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comments5.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mpuesto sociedades" sheetId="1" state="hidden" r:id="rId2"/>
    <sheet name="Inicio" sheetId="2" state="visible" r:id="rId3"/>
    <sheet name="Datos generales" sheetId="3" state="visible" r:id="rId4"/>
    <sheet name="Previsión de negocio" sheetId="4" state="visible" r:id="rId5"/>
    <sheet name="Entrada Inver_Finan" sheetId="5" state="visible" r:id="rId6"/>
    <sheet name="Previsión de Gastos" sheetId="6" state="visible" r:id="rId7"/>
    <sheet name="PRESUPUESTO INICIAL INVER_FINAN" sheetId="7" state="visible" r:id="rId8"/>
    <sheet name="CUENTA DE RESULTADOS" sheetId="8" state="visible" r:id="rId9"/>
    <sheet name="TESORERIA" sheetId="9" state="visible" r:id="rId10"/>
    <sheet name="BALANCES" sheetId="10" state="visible" r:id="rId11"/>
    <sheet name="AMORTIZACION CONTABLE" sheetId="11" state="visible" r:id="rId12"/>
    <sheet name="Préstamos LP" sheetId="12" state="visible" r:id="rId13"/>
    <sheet name="Préstamos CP" sheetId="13" state="visible" r:id="rId14"/>
    <sheet name="Otra financiación" sheetId="14" state="hidden" r:id="rId15"/>
    <sheet name="Plan de inversión" sheetId="15" state="visible" r:id="rId16"/>
    <sheet name="Presupuesto de ventas" sheetId="16" state="visible" r:id="rId17"/>
    <sheet name="Margen B" sheetId="17" state="visible" r:id="rId18"/>
    <sheet name="Politica Cobr. Pagos" sheetId="18" state="visible" r:id="rId19"/>
  </sheets>
  <definedNames>
    <definedName function="false" hidden="false" localSheetId="10" name="_xlnm.Print_Area" vbProcedure="false">'AMORTIZACION CONTABLE'!$B$3:$L$39</definedName>
    <definedName function="false" hidden="false" localSheetId="10" name="_xlnm.Print_Titles" vbProcedure="false">'AMORTIZACION CONTABLE'!$3:$8</definedName>
    <definedName function="false" hidden="false" localSheetId="9" name="_xlnm.Print_Area" vbProcedure="false">BALANCES!$A$10:$J$69</definedName>
    <definedName function="false" hidden="false" localSheetId="9" name="_xlnm.Print_Titles" vbProcedure="false">BALANCES!$6:$9</definedName>
    <definedName function="false" hidden="false" localSheetId="7" name="_xlnm.Print_Area" vbProcedure="false">'CUENTA DE RESULTADOS'!$B$50:$R$129</definedName>
    <definedName function="false" hidden="false" localSheetId="7" name="_xlnm.Print_Titles" vbProcedure="false">'CUENTA DE RESULTADOS'!$6:$10</definedName>
    <definedName function="false" hidden="false" localSheetId="16" name="_xlnm.Print_Area" vbProcedure="false">'Margen B'!$A$4:$I$40</definedName>
    <definedName function="false" hidden="false" localSheetId="16" name="_xlnm.Print_Titles" vbProcedure="false">'Margen B'!$5:$9</definedName>
    <definedName function="false" hidden="false" localSheetId="14" name="_xlnm.Print_Area" vbProcedure="false">'Plan de inversión'!$B$2:$F$22</definedName>
    <definedName function="false" hidden="false" localSheetId="14" name="_xlnm.Print_Titles" vbProcedure="false">'Plan de inversión'!$2:$6</definedName>
    <definedName function="false" hidden="false" localSheetId="17" name="_xlnm.Print_Area" vbProcedure="false">'Politica Cobr. Pagos'!$B$2:$S$109</definedName>
    <definedName function="false" hidden="false" localSheetId="17" name="_xlnm.Print_Titles" vbProcedure="false">'Politica Cobr. Pagos'!$3:$6</definedName>
    <definedName function="false" hidden="false" localSheetId="12" name="_xlnm.Print_Titles" vbProcedure="false">'Préstamos CP'!$2:$7</definedName>
    <definedName function="false" hidden="false" localSheetId="11" name="_xlnm.Print_Area" vbProcedure="false">'Préstamos LP'!$J$2:$AJ$13</definedName>
    <definedName function="false" hidden="false" localSheetId="11" name="_xlnm.Print_Titles" vbProcedure="false">'Préstamos LP'!$2:$7</definedName>
    <definedName function="false" hidden="false" localSheetId="15" name="_xlnm.Print_Area" vbProcedure="false">'Presupuesto de ventas'!$B$6:$U$33</definedName>
    <definedName function="false" hidden="false" localSheetId="15" name="_xlnm.Print_Titles" vbProcedure="false">'Presupuesto de ventas'!$3:$7</definedName>
    <definedName function="false" hidden="false" localSheetId="6" name="_xlnm.Print_Area" vbProcedure="false">'PRESUPUESTO INICIAL INVER_FINAN'!$B$11:$G$119</definedName>
    <definedName function="false" hidden="false" localSheetId="6" name="_xlnm.Print_Titles" vbProcedure="false">'PRESUPUESTO INICIAL INVER_FINAN'!$6:$10</definedName>
    <definedName function="false" hidden="false" localSheetId="8" name="_xlnm.Print_Area" vbProcedure="false">TESORERIA!$A$6:$G$40</definedName>
    <definedName function="false" hidden="false" localSheetId="8" name="_xlnm.Print_Titles" vbProcedure="false">TESORERIA!$4:$7</definedName>
  </definedName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D79" authorId="0">
      <text>
        <r>
          <rPr>
            <sz val="10"/>
            <rFont val="Arial"/>
            <family val="0"/>
            <charset val="1"/>
          </rPr>
          <t xml:space="preserve">Beneficio neto x 100 / Recursos propios. (valor de referencia: lo más elevado posible)
</t>
        </r>
      </text>
    </comment>
    <comment ref="D80" authorId="0">
      <text>
        <r>
          <rPr>
            <sz val="10"/>
            <rFont val="Arial"/>
            <family val="0"/>
            <charset val="1"/>
          </rPr>
          <t xml:space="preserve">Beneficios antes de intereses e impuestos x 100 / Activo.
(valor de referencia: lo más elevado posible)
</t>
        </r>
      </text>
    </comment>
    <comment ref="D81" authorId="0">
      <text>
        <r>
          <rPr>
            <sz val="10"/>
            <rFont val="Arial"/>
            <family val="0"/>
            <charset val="1"/>
          </rPr>
          <t xml:space="preserve">Fondo de maniobra / Exigible a corto plazo  (valor de referencia Entre 0,5 y 1)
</t>
        </r>
      </text>
    </comment>
    <comment ref="D82" authorId="0">
      <text>
        <r>
          <rPr>
            <sz val="10"/>
            <rFont val="Arial"/>
            <family val="0"/>
            <charset val="1"/>
          </rPr>
          <t xml:space="preserve">Disponible / Exigible a corto plazo 
(valor de referencia: 0,3)
</t>
        </r>
      </text>
    </comment>
    <comment ref="D83" authorId="0">
      <text>
        <r>
          <rPr>
            <sz val="10"/>
            <rFont val="Arial"/>
            <family val="0"/>
            <charset val="1"/>
          </rPr>
          <t xml:space="preserve">Inmovilizado neto / Exigible a corto + Exigible a largo (valor de referencia: Superior a 1)
</t>
        </r>
      </text>
    </comment>
    <comment ref="D84" authorId="0">
      <text>
        <r>
          <rPr>
            <sz val="10"/>
            <rFont val="Arial"/>
            <family val="0"/>
            <charset val="1"/>
          </rPr>
          <t xml:space="preserve">Gastos financieros / Ventas 
(valor de referencia: inferior a 0,02)
</t>
        </r>
      </text>
    </comment>
    <comment ref="D85" authorId="0">
      <text>
        <r>
          <rPr>
            <sz val="10"/>
            <rFont val="Arial"/>
            <family val="0"/>
            <charset val="1"/>
          </rPr>
          <t xml:space="preserve">Beneficios antes de impuestos / Bfº antes de interesese e impuestos) x (Activo / Recursos propios) 
Valor de referencia: 1 (indiferente el endeudamiento) o superior.
</t>
        </r>
      </text>
    </comment>
    <comment ref="D86" authorId="0">
      <text>
        <r>
          <rPr>
            <sz val="10"/>
            <rFont val="Arial"/>
            <family val="0"/>
            <charset val="1"/>
          </rPr>
          <t xml:space="preserve">Recursos exigibles / Total pasivo 
(valor de referencia : &gt;0. Si fuera excesivo debilitaría la estructura financiera)
</t>
        </r>
      </text>
    </comment>
    <comment ref="D87" authorId="0">
      <text>
        <r>
          <rPr>
            <sz val="10"/>
            <rFont val="Arial"/>
            <family val="0"/>
            <charset val="1"/>
          </rPr>
          <t xml:space="preserve">Ventas / Activo Circulante 
(valor de referencia: lo más elevado posible)
</t>
        </r>
      </text>
    </comment>
    <comment ref="D88" authorId="0">
      <text>
        <r>
          <rPr>
            <sz val="10"/>
            <rFont val="Arial"/>
            <family val="0"/>
            <charset val="1"/>
          </rPr>
          <t xml:space="preserve">Aprovisionamietos (coste de las mercancías)/ Existencias
(valor de referencia: lo más elevado posible)
</t>
        </r>
      </text>
    </comment>
    <comment ref="D89" authorId="0">
      <text>
        <r>
          <rPr>
            <sz val="10"/>
            <rFont val="Arial"/>
            <family val="0"/>
            <charset val="1"/>
          </rPr>
          <t xml:space="preserve">Gastos Fijos/1-(Costes de las ventas/Ventas).- Ventas mínimas para cubrir gastos.
</t>
        </r>
      </text>
    </comment>
    <comment ref="D90" authorId="0">
      <text>
        <r>
          <rPr>
            <sz val="10"/>
            <rFont val="Arial"/>
            <family val="0"/>
            <charset val="1"/>
          </rPr>
          <t xml:space="preserve"> = Pasivo / Activo
Valor óptimo: 0,4 a 0,5
</t>
        </r>
        <r>
          <rPr>
            <sz val="8"/>
            <color rgb="FF000000"/>
            <rFont val="Tahoma"/>
            <family val="2"/>
            <charset val="1"/>
          </rPr>
          <t xml:space="preserve">Si reducido, síntoma de mala capitalización. Si muy elevado, puede ser difícil rentabilizar el patrimonio</t>
        </r>
      </text>
    </comment>
    <comment ref="D92" authorId="0">
      <text>
        <r>
          <rPr>
            <sz val="10"/>
            <rFont val="Arial"/>
            <family val="0"/>
            <charset val="1"/>
          </rPr>
          <t xml:space="preserve">= Realizable + Tesorería/ Pasivo corriente.
 Valor óptimo: Alrededor de 1
</t>
        </r>
        <r>
          <rPr>
            <sz val="8"/>
            <color rgb="FF000000"/>
            <rFont val="Tahoma"/>
            <family val="2"/>
            <charset val="1"/>
          </rPr>
          <t xml:space="preserve">Este ratio mide las posibilidades de hacer frente a las obligaciones de pago a corto plazo. 
Si reducido, síntoma de liquidez insuficiente. Si elevado utilización mejorable del realizable y tesorería.
El realizable incluye todos los activos corrientes menos existencias y tesorería
</t>
        </r>
      </text>
    </comment>
    <comment ref="D93" authorId="0">
      <text>
        <r>
          <rPr>
            <sz val="10"/>
            <rFont val="Arial"/>
            <family val="0"/>
            <charset val="1"/>
          </rPr>
          <t xml:space="preserve">= Activo corriente / Pasivo corriente.
Valor óptimo: mayor de 1,5 y menor de 2
</t>
        </r>
        <r>
          <rPr>
            <sz val="8"/>
            <color rgb="FF000000"/>
            <rFont val="Tahoma"/>
            <family val="2"/>
            <charset val="1"/>
          </rPr>
          <t xml:space="preserve">Si reducido, síntoma de liquidez insuficiente. Si elevado, utilización mejorable del realizable y la tesorería.</t>
        </r>
      </text>
    </comment>
    <comment ref="D96" authorId="0">
      <text>
        <r>
          <rPr>
            <sz val="10"/>
            <rFont val="Arial"/>
            <family val="0"/>
            <charset val="1"/>
          </rPr>
          <t xml:space="preserve">=(Activo Circulante-Pasivo Circulante / Pasivo Fijo) x 100
</t>
        </r>
        <r>
          <rPr>
            <sz val="8"/>
            <color rgb="FF000000"/>
            <rFont val="Tahoma"/>
            <family val="2"/>
            <charset val="1"/>
          </rPr>
          <t xml:space="preserve">El fondo de maniobra se define como los recursos financieros permanentes necesarios para poder llevar a cabo con normalidad las operaciones de naturaleza corriente, y se calcula como la  diferencia entre el activo circulante  y los Acreedores a corto plazo.
Un valor negativo supone que parte del inmovilizado se financia con deudas a corto plazo, lo que pondría a la empresa en una situación difícil.
A efectos de poder realizar comparaciones entre sectores y dimensiones se ha definido el RFM como el porcentaje que representa el fondo respecto al pasivo fijo.
</t>
        </r>
      </text>
    </comment>
    <comment ref="D97" authorId="0">
      <text>
        <r>
          <rPr>
            <sz val="10"/>
            <rFont val="Arial"/>
            <family val="0"/>
            <charset val="1"/>
          </rPr>
          <t xml:space="preserve">=(Recursos ajenos / Recursos propios) x 100
Valor de referencia entre 40 y 60
</t>
        </r>
        <r>
          <rPr>
            <sz val="8"/>
            <color rgb="FF000000"/>
            <rFont val="Tahoma"/>
            <family val="2"/>
            <charset val="1"/>
          </rPr>
          <t xml:space="preserve">Por encima indica dificultades para atender pagos futuros
Relaciona las deudas totales de la empresa con los recursos propios  y es el inverso al ratio de autonomía financiera.
La tasa de endeudamiento es elevada en colectivos que acuden mayoritariamente a fuentes externas de financiación de las inversiones.
Este ratio y el de autonomía financiera presentan valores negativos en aquellos sectores con recursos propios netos negativos.
</t>
        </r>
      </text>
    </comment>
    <comment ref="D98" authorId="0">
      <text>
        <r>
          <rPr>
            <sz val="10"/>
            <rFont val="Arial"/>
            <family val="0"/>
            <charset val="1"/>
          </rPr>
          <t xml:space="preserve">Recursos propios / Exigible a corto + Exigible a largo (valor de referencia: Entre 0,7 y 1,5)
</t>
        </r>
      </text>
    </comment>
    <comment ref="D99" authorId="0">
      <text>
        <r>
          <rPr>
            <sz val="10"/>
            <rFont val="Arial"/>
            <family val="0"/>
            <charset val="1"/>
          </rPr>
          <t xml:space="preserve">=(Activo corriente+Activo no corriente)/(Pasivo Corriente+Pasivo no corriente)
Lo ideal es que el valor de este ratio sea superior a 1,5 
</t>
        </r>
        <r>
          <rPr>
            <sz val="9"/>
            <color rgb="FF000000"/>
            <rFont val="Tahoma"/>
            <family val="2"/>
            <charset val="1"/>
          </rPr>
          <t xml:space="preserve">Ratio que mide la capacidad de una empresa para hacer frente sus obligaciones de pago.
Este ratio lo podemos encontrar tanto de forma agregada, activo total entre pasivo total, o de forma desagregada esto es en función del activo y pasivo corriente o no corriente. (Ver Ratio de Liquidez)
Obviamente este es uno de los ratios que las entidades financieras tienen en consideración a la hora de analizar las operaciones de financiación que solicitan sus clientes.
</t>
        </r>
      </text>
    </comment>
    <comment ref="D100" authorId="0">
      <text>
        <r>
          <rPr>
            <sz val="10"/>
            <rFont val="Arial"/>
            <family val="0"/>
            <charset val="1"/>
          </rPr>
          <t xml:space="preserve">= Pasivo corriente / Pasivo total
Valor óptimo: Lo más reducido posible.
</t>
        </r>
        <r>
          <rPr>
            <sz val="8"/>
            <color rgb="FF000000"/>
            <rFont val="Tahoma"/>
            <family val="2"/>
            <charset val="1"/>
          </rPr>
          <t xml:space="preserve">Si elevado puede indicar dificultad para atender vencimientos  a corto plazo.
</t>
        </r>
      </text>
    </comment>
    <comment ref="D101" authorId="0">
      <text>
        <r>
          <rPr>
            <sz val="10"/>
            <rFont val="Arial"/>
            <family val="0"/>
            <charset val="1"/>
          </rPr>
          <t xml:space="preserve">= Flujo de caja / Préstamos.
Valor óptimo:  Elevado
</t>
        </r>
        <r>
          <rPr>
            <sz val="8"/>
            <color rgb="FF000000"/>
            <rFont val="Tahoma"/>
            <family val="2"/>
            <charset val="1"/>
          </rPr>
          <t xml:space="preserve">Si es reducido puede indicar poca capacidad para devolver préstamos. En ocasiones conviene diferenciar el ratio entre prestamos a corto y largo plazo.
Flujo de caja = Beneficio neto + Amortizaciones.
Préstamos = deuda bancaria a corto y largo plazo.
</t>
        </r>
      </text>
    </comment>
    <comment ref="D102" authorId="0">
      <text>
        <r>
          <rPr>
            <sz val="10"/>
            <rFont val="Arial"/>
            <family val="0"/>
            <charset val="1"/>
          </rPr>
          <t xml:space="preserve">= Fondo de Maniobra / Activo corriente.
Valor óptimo: Lo más elevado posible.
</t>
        </r>
        <r>
          <rPr>
            <sz val="8"/>
            <color rgb="FF000000"/>
            <rFont val="Tahoma"/>
            <family val="2"/>
            <charset val="1"/>
          </rPr>
          <t xml:space="preserve">Indica la parte de activo corriente que queda financiada por capitales no exigibles (patrimonio neto) o exigibles a más de un año.
Conviene, si es posible, que cubra la mayor parte de las existencias.
Fondo de Maniobra = Patrimonio Neto + Pasivo no corriente – Inmovilizado total </t>
        </r>
      </text>
    </comment>
    <comment ref="D103" authorId="0">
      <text>
        <r>
          <rPr>
            <sz val="10"/>
            <rFont val="Arial"/>
            <family val="0"/>
            <charset val="1"/>
          </rPr>
          <t xml:space="preserve">= Existencias / Coste de ventas diario.
Valor óptimo: Lo más reducido posible.
</t>
        </r>
        <r>
          <rPr>
            <sz val="8"/>
            <color rgb="FF000000"/>
            <rFont val="Tahoma"/>
            <family val="2"/>
            <charset val="1"/>
          </rPr>
          <t xml:space="preserve">Permite juzgar el exceso o defecto de existencias, que puede ser producido  o no, por “un almacén desequilibrado” (con productos de poca venta).
Expresa las existencias en días venta .
Coste diario = Coste de Ventas / 365 
</t>
        </r>
      </text>
    </comment>
    <comment ref="D104" authorId="0">
      <text>
        <r>
          <rPr>
            <sz val="10"/>
            <rFont val="Arial"/>
            <family val="0"/>
            <charset val="1"/>
          </rPr>
          <t xml:space="preserve">= Proveedores / Clientes
Valor óptimo: Lo más elevado posible.
</t>
        </r>
        <r>
          <rPr>
            <sz val="8"/>
            <color rgb="FF000000"/>
            <rFont val="Tahoma"/>
            <family val="2"/>
            <charset val="1"/>
          </rPr>
          <t xml:space="preserve">¡La financiación de proveedores no tiene coste!
</t>
        </r>
      </text>
    </comment>
    <comment ref="D107" authorId="0">
      <text>
        <r>
          <rPr>
            <sz val="10"/>
            <rFont val="Arial"/>
            <family val="0"/>
            <charset val="1"/>
          </rPr>
          <t xml:space="preserve">= Gastos fijos / Margen bruto s.ventas
Valor óptimo: Lo más reducido posible
</t>
        </r>
        <r>
          <rPr>
            <sz val="8"/>
            <color rgb="FF000000"/>
            <rFont val="Tahoma"/>
            <family val="2"/>
            <charset val="1"/>
          </rPr>
          <t xml:space="preserve">Indica las ventas que hay que lograr para resultado cero. Menos venta supondría pérdidas, y más venta beneficios
</t>
        </r>
      </text>
    </comment>
    <comment ref="D108" authorId="0">
      <text>
        <r>
          <rPr>
            <sz val="10"/>
            <rFont val="Arial"/>
            <family val="0"/>
            <charset val="1"/>
          </rPr>
          <t xml:space="preserve">= (Valor añadido de la empresa/Producción)x100
Valor óptimo: Lo más elevado posible.
</t>
        </r>
        <r>
          <rPr>
            <sz val="8"/>
            <color rgb="FF000000"/>
            <rFont val="Tahoma"/>
            <family val="2"/>
            <charset val="1"/>
          </rPr>
          <t xml:space="preserve">
Se define como el porcentaje que representa el valor añadido respecto a la producción y sintetiza, por tanto, la capacidad de generación de rentas por unidad de producto</t>
        </r>
      </text>
    </comment>
    <comment ref="D109" authorId="0">
      <text>
        <r>
          <rPr>
            <sz val="10"/>
            <rFont val="Arial"/>
            <family val="0"/>
            <charset val="1"/>
          </rPr>
          <t xml:space="preserve">=(Gastos de personal/Valor añadido de la empresa) x 100
Valor óptimo: Lo más reducido posible.
</t>
        </r>
        <r>
          <rPr>
            <sz val="8"/>
            <color rgb="FF000000"/>
            <rFont val="Tahoma"/>
            <family val="2"/>
            <charset val="1"/>
          </rPr>
          <t xml:space="preserve"> 
Es la proporción que los gastos de personal representan respecto al valor añadido y mide la participación del empleo asalariado en el reparto de la renta generada en la empresa. </t>
        </r>
      </text>
    </comment>
    <comment ref="D110" authorId="0">
      <text>
        <r>
          <rPr>
            <sz val="10"/>
            <rFont val="Arial"/>
            <family val="0"/>
            <charset val="1"/>
          </rPr>
          <t xml:space="preserve">=Margen bruto / Ventas x100
Valor óptimo:  Positivo,  lo más elevado posible.
</t>
        </r>
        <r>
          <rPr>
            <sz val="8"/>
            <color rgb="FF000000"/>
            <rFont val="Tahoma"/>
            <family val="2"/>
            <charset val="1"/>
          </rPr>
          <t xml:space="preserve">El margen bruto obtenible depende en buena medida del sector y del grado de diferenciación del producto. Debe ser suficiente para dotar amortizaciones y provisiones, cubrir las cargas financieras, liquidar el impuesto sobre sociedades, dotar fondos de autofinanciación (reservas) y proporcionar una adecuada remuneración a los accionistas (dividendos).
Margen Bruto = Ventas – Coste de las ventas (coste directo variable)
</t>
        </r>
      </text>
    </comment>
    <comment ref="D111" authorId="0">
      <text>
        <r>
          <rPr>
            <sz val="10"/>
            <rFont val="Arial"/>
            <family val="0"/>
            <charset val="1"/>
          </rPr>
          <t xml:space="preserve">=Gastos fijos / Ventas
Valor óptimo: Lo más reducido posible.
</t>
        </r>
        <r>
          <rPr>
            <sz val="8"/>
            <color rgb="FF000000"/>
            <rFont val="Tahoma"/>
            <family val="2"/>
            <charset val="1"/>
          </rPr>
          <t xml:space="preserve">Los gastos fijos también denominados  gastos de estructura se deducen del margen bruto para obtener el resultado.
</t>
        </r>
      </text>
    </comment>
    <comment ref="D112" authorId="0">
      <text>
        <r>
          <rPr>
            <sz val="10"/>
            <rFont val="Arial"/>
            <family val="0"/>
            <charset val="1"/>
          </rPr>
          <t xml:space="preserve">Clientes x 360 / Ventas anuales 
(valor de referencia: lo más reducido posible)
</t>
        </r>
      </text>
    </comment>
    <comment ref="D113" authorId="0">
      <text>
        <r>
          <rPr>
            <sz val="10"/>
            <rFont val="Arial"/>
            <family val="0"/>
            <charset val="1"/>
          </rPr>
          <t xml:space="preserve">Proveedores x 360 / compras anuales
(valor de referencia: lo más elevado posible)
</t>
        </r>
      </text>
    </comment>
    <comment ref="D117" authorId="0">
      <text>
        <r>
          <rPr>
            <sz val="10"/>
            <rFont val="Arial"/>
            <family val="0"/>
            <charset val="1"/>
          </rPr>
          <t xml:space="preserve">=(Beneficio antes de intereses e impuestos BAII)/Activo X 100
Valor óptimo: Lo más elevado posible.
</t>
        </r>
        <r>
          <rPr>
            <sz val="8"/>
            <color rgb="FF000000"/>
            <rFont val="Tahoma"/>
            <family val="2"/>
            <charset val="1"/>
          </rPr>
          <t xml:space="preserve">
</t>
        </r>
      </text>
    </comment>
    <comment ref="D118" authorId="0">
      <text>
        <r>
          <rPr>
            <sz val="10"/>
            <rFont val="Arial"/>
            <family val="0"/>
            <charset val="1"/>
          </rPr>
          <t xml:space="preserve">=(Resultado antes de impuestos/Fondos propios) x 100.
Valor óptimo: Positivo, lo más elevado posible.
</t>
        </r>
        <r>
          <rPr>
            <sz val="8"/>
            <color rgb="FF000000"/>
            <rFont val="Tahoma"/>
            <family val="2"/>
            <charset val="1"/>
          </rPr>
          <t xml:space="preserve">Puede considerarse como la medida de la rentabilidad desde la perspectiva del propietario o accionista ya que incluye la totalidad de los resultados, con independencia de su origen.</t>
        </r>
      </text>
    </comment>
    <comment ref="D119" authorId="0">
      <text>
        <r>
          <rPr>
            <sz val="10"/>
            <rFont val="Arial"/>
            <family val="0"/>
            <charset val="1"/>
          </rPr>
          <t xml:space="preserve">= Resultado / Patrimonio Neto
</t>
        </r>
        <r>
          <rPr>
            <b val="true"/>
            <sz val="8"/>
            <color rgb="FF000000"/>
            <rFont val="Tahoma"/>
            <family val="2"/>
            <charset val="1"/>
          </rPr>
          <t xml:space="preserve">Valor óptimo: Superior a inversiones con poco riesgo.
</t>
        </r>
        <r>
          <rPr>
            <sz val="8"/>
            <color rgb="FF000000"/>
            <rFont val="Tahoma"/>
            <family val="2"/>
            <charset val="1"/>
          </rPr>
          <t xml:space="preserve">Para conocer las causas que originan un valor determinado del ratio conviene considerar  la  incidencia en sus componentes: 
Resultado              Ventas                     Activo                       Resultado
--------------     x   -----------   x   -----------------------   =   ----------------------
 Ventas                  Activo                  Patrimonio Neto       Patrimonio Neto
  </t>
        </r>
      </text>
    </comment>
    <comment ref="D120" authorId="0">
      <text>
        <r>
          <rPr>
            <sz val="10"/>
            <rFont val="Arial"/>
            <family val="0"/>
            <charset val="1"/>
          </rPr>
          <t xml:space="preserve">= Ventas / Activo
Valor óptimo: Lo más elevado posible
</t>
        </r>
        <r>
          <rPr>
            <sz val="8"/>
            <color rgb="FF000000"/>
            <rFont val="Tahoma"/>
            <family val="2"/>
            <charset val="1"/>
          </rPr>
          <t xml:space="preserve">Puede interesar calcular el ratio para cada uno de los activos ( corrientes y no corrientes)</t>
        </r>
      </text>
    </comment>
    <comment ref="D121" authorId="0">
      <text>
        <r>
          <rPr>
            <sz val="10"/>
            <rFont val="Arial"/>
            <family val="0"/>
            <charset val="1"/>
          </rPr>
          <t xml:space="preserve">=BAII/Ventas.
Valor óptimo:  Positivo,  lo más elevado posible
</t>
        </r>
        <r>
          <rPr>
            <sz val="8"/>
            <color rgb="FF000000"/>
            <rFont val="Tahoma"/>
            <family val="2"/>
            <charset val="1"/>
          </rPr>
          <t xml:space="preserve">Representa el porcentaje de las ventas que supone el margen del negocio en sí mismo, antes de descontar intereses, gastos extraordinarios e impuestos. Mide el beneficio obtenido en la actividad por cada unidad monetaria facturada</t>
        </r>
      </text>
    </comment>
    <comment ref="D122" authorId="0">
      <text>
        <r>
          <rPr>
            <sz val="10"/>
            <rFont val="Arial"/>
            <family val="0"/>
            <charset val="1"/>
          </rPr>
          <t xml:space="preserve">=Beneficio Neto/Ventas
Valor óptimo: Positivo, o más elevado posible.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E43"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 ref="E58"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 ref="E73"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List>
</comments>
</file>

<file path=xl/comments4.xml><?xml version="1.0" encoding="utf-8"?>
<comments xmlns="http://schemas.openxmlformats.org/spreadsheetml/2006/main" xmlns:xdr="http://schemas.openxmlformats.org/drawingml/2006/spreadsheetDrawing">
  <authors>
    <author> </author>
  </authors>
  <commentList>
    <comment ref="C31" authorId="0">
      <text>
        <r>
          <rPr>
            <sz val="10"/>
            <rFont val="Arial"/>
            <family val="0"/>
            <charset val="1"/>
          </rPr>
          <t xml:space="preserve">Número de unidades de cada producto o servicio que espera vender cada mes.
Si desconoce el número de unidades y solo cuenta con una estimación global de la cifra de ventas, coloque 1 en esta casilla y el total de ventas previstas en la casilla de "Precio unitario de venta".</t>
        </r>
      </text>
    </comment>
    <comment ref="C32" authorId="0">
      <text>
        <r>
          <rPr>
            <sz val="10"/>
            <rFont val="Arial"/>
            <family val="0"/>
            <charset val="1"/>
          </rPr>
          <t xml:space="preserve">Precio de venta de cada unidad de producto o servicio que aplicará en cada mes.
Si desconoce el precio de cada unidad y solo cuenta con una estimación global de la cifra de ventas, coloque  en esta casilla  el total de ventas previstas y 1 en la casilla de "Unidades a vender".</t>
        </r>
      </text>
    </comment>
    <comment ref="C34" authorId="0">
      <text>
        <r>
          <rPr>
            <sz val="10"/>
            <rFont val="Arial"/>
            <family val="0"/>
            <charset val="1"/>
          </rPr>
          <t xml:space="preserve">Precio que espera tener que pagar  cada mes por cada unidad de mercancía </t>
        </r>
        <r>
          <rPr>
            <b val="true"/>
            <u val="single"/>
            <sz val="8"/>
            <color rgb="FF000000"/>
            <rFont val="Tahoma"/>
            <family val="2"/>
            <charset val="1"/>
          </rPr>
          <t xml:space="preserve">adquirida para reventa</t>
        </r>
        <r>
          <rPr>
            <b val="true"/>
            <sz val="8"/>
            <color rgb="FF000000"/>
            <rFont val="Tahoma"/>
            <family val="2"/>
            <charset val="1"/>
          </rPr>
          <t xml:space="preserve">.  
Si desconoce el precio de cada unidad y solo cuenta con una cifra global del coste de las mercancías, coloque aquí  esa cantidad, 1 en la casilla de "Unidades a vender" y la cifra total de ventas previstas en el mes en la casilla "Precio unitario de venta".
Las compras de   materia prima o materiales que debe adquirir para, tras un proceso de transformacion,  obtener  este producto o servicio a vender se reseñan en el apartado de "Otros costes directos imputables al producto/servicio". </t>
        </r>
      </text>
    </comment>
    <comment ref="C35" authorId="0">
      <text>
        <r>
          <rPr>
            <sz val="10"/>
            <rFont val="Arial"/>
            <family val="0"/>
            <charset val="1"/>
          </rPr>
          <t xml:space="preserve">Indique el total mensual de de la adquisición de productos y/o materias primas necesarios para la obtención del producto o servicio, además de aquellos otros costes, que sean imputables a la comercialización del mismo, como puede ser: Envases, costes de transformación etc. 
Si no fuera posible esta asignación por tratarse de costes comunes a todos los productos o servicios, indique el importe más abajo en el apartado "Otros costes proporcionales comunes a todos los productos".
</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7" authorId="0">
      <text>
        <r>
          <rPr>
            <sz val="10"/>
            <rFont val="Arial"/>
            <family val="0"/>
            <charset val="1"/>
          </rPr>
          <t xml:space="preserve">El inmovilizado material puede incluir los gastos de financiación, impuestos indirectos y una estimación de las obligaciones asumidas de desmantelamiento, siempre que vengan determinadas por disposición legal</t>
        </r>
      </text>
    </comment>
    <comment ref="C28" authorId="0">
      <text>
        <r>
          <rPr>
            <sz val="10"/>
            <rFont val="Arial"/>
            <family val="0"/>
            <charset val="1"/>
          </rPr>
          <t xml:space="preserve">Valor de los locales del negocio u otros edificios que no sean alquilados </t>
        </r>
        <r>
          <rPr>
            <b val="true"/>
            <u val="single"/>
            <sz val="9"/>
            <color rgb="FF000000"/>
            <rFont val="Arial"/>
            <family val="2"/>
            <charset val="1"/>
          </rPr>
          <t xml:space="preserve"> y que se trate de primera adquisición  (sujeto a IVA)
</t>
        </r>
        <r>
          <rPr>
            <sz val="9"/>
            <color rgb="FF000000"/>
            <rFont val="Arial"/>
            <family val="2"/>
            <charset val="1"/>
          </rPr>
          <t xml:space="preserve">
Si fuera significativo, puede separar los valores de la construcción y de los terrenos, llenando una casilla para Edificios y Construcciones y otra para  Terrenos y Solares.</t>
        </r>
      </text>
    </comment>
    <comment ref="C29" authorId="0">
      <text>
        <r>
          <rPr>
            <sz val="10"/>
            <rFont val="Arial"/>
            <family val="0"/>
            <charset val="1"/>
          </rPr>
          <t xml:space="preserve">Gastos de acondicionamiento del negocio: Obras, cableado informático, electrico, aire acondicionado, sanitario, etc.
</t>
        </r>
      </text>
    </comment>
    <comment ref="C30" authorId="0">
      <text>
        <r>
          <rPr>
            <sz val="10"/>
            <rFont val="Arial"/>
            <family val="0"/>
            <charset val="1"/>
          </rPr>
          <t xml:space="preserve">Con la que se fabricarán los productos
</t>
        </r>
      </text>
    </comment>
    <comment ref="C31" authorId="0">
      <text>
        <r>
          <rPr>
            <sz val="10"/>
            <rFont val="Arial"/>
            <family val="0"/>
            <charset val="1"/>
          </rPr>
          <t xml:space="preserve">Herramientas y maquinarias utilizadas en el proceso de producción (tornos, fresadoras, prensas, etc.) </t>
        </r>
        <r>
          <rPr>
            <b val="true"/>
            <u val="single"/>
            <sz val="9"/>
            <color rgb="FF000000"/>
            <rFont val="Arial"/>
            <family val="2"/>
            <charset val="1"/>
          </rPr>
          <t xml:space="preserve">Con vida útil superior a un año
</t>
        </r>
      </text>
    </comment>
    <comment ref="C32" authorId="0">
      <text>
        <r>
          <rPr>
            <sz val="10"/>
            <rFont val="Arial"/>
            <family val="0"/>
            <charset val="1"/>
          </rPr>
          <t xml:space="preserve">Mesas, sillas, estanterías, etc.
</t>
        </r>
      </text>
    </comment>
    <comment ref="C33" authorId="0">
      <text>
        <r>
          <rPr>
            <sz val="10"/>
            <rFont val="Arial"/>
            <family val="0"/>
            <charset val="1"/>
          </rPr>
          <t xml:space="preserve">Vehículos que utilizará en el negocio
</t>
        </r>
      </text>
    </comment>
    <comment ref="C34" authorId="0">
      <text>
        <r>
          <rPr>
            <sz val="10"/>
            <rFont val="Arial"/>
            <family val="0"/>
            <charset val="1"/>
          </rPr>
          <t xml:space="preserve">Ordenadores, impresoras, escaners, etc.
</t>
        </r>
      </text>
    </comment>
    <comment ref="C38" authorId="0">
      <text>
        <r>
          <rPr>
            <sz val="10"/>
            <rFont val="Arial"/>
            <family val="0"/>
            <charset val="1"/>
          </rPr>
          <t xml:space="preserve">Edificios o locales adquiridos, cuando no se trate de primera adquisición. Incremente el precio del Impuesto de Transmisiones Patrimoniales
</t>
        </r>
      </text>
    </comment>
    <comment ref="C41" authorId="0">
      <text>
        <r>
          <rPr>
            <sz val="10"/>
            <rFont val="Arial"/>
            <family val="0"/>
            <charset val="1"/>
          </rPr>
          <t xml:space="preserve">El valor de los elementos del inmovilizado puede incrementarse, si fuera significativo, en el importe de los impuestos no recuperables satisfechos y los gastos financieros que se hayan devengado antes de la puesta en marcha (siempre que dicho período no supere un año).
</t>
        </r>
      </text>
    </comment>
    <comment ref="C42" authorId="0">
      <text>
        <r>
          <rPr>
            <sz val="10"/>
            <rFont val="Arial"/>
            <family val="0"/>
            <charset val="1"/>
          </rPr>
          <t xml:space="preserve">Programas informáticos que se utilizarán en la empresa
</t>
        </r>
      </text>
    </comment>
    <comment ref="C43" authorId="0">
      <text>
        <r>
          <rPr>
            <sz val="10"/>
            <rFont val="Arial"/>
            <family val="0"/>
            <charset val="1"/>
          </rPr>
          <t xml:space="preserve">Licencias  y permisos administrativos necesarios para la apertura del negocio o para la explotación de un bien, concedidos por entidades públicas o privadas.
</t>
        </r>
      </text>
    </comment>
    <comment ref="C44" authorId="0">
      <text>
        <r>
          <rPr>
            <sz val="10"/>
            <rFont val="Arial"/>
            <family val="0"/>
            <charset val="1"/>
          </rPr>
          <t xml:space="preserve">Valoración  de las patentes o marcas con que contará la empresa
</t>
        </r>
      </text>
    </comment>
    <comment ref="C66" authorId="0">
      <text>
        <r>
          <rPr>
            <sz val="10"/>
            <rFont val="Arial"/>
            <family val="0"/>
            <charset val="1"/>
          </rPr>
          <t xml:space="preserve">Honorarios de letrados, notario, inscripción en el Registro Mercantil, impuestos, etc.
</t>
        </r>
      </text>
    </comment>
    <comment ref="C67" authorId="0">
      <text>
        <r>
          <rPr>
            <sz val="10"/>
            <rFont val="Arial"/>
            <family val="0"/>
            <charset val="1"/>
          </rPr>
          <t xml:space="preserve">Necesaria para que los trabajadores inicien su actividad
</t>
        </r>
      </text>
    </comment>
    <comment ref="C68" authorId="0">
      <text>
        <r>
          <rPr>
            <sz val="10"/>
            <rFont val="Arial"/>
            <family val="0"/>
            <charset val="1"/>
          </rPr>
          <t xml:space="preserve">Realizados por empresas independientes y necesarios para la puesta en marcha de la empresa.
</t>
        </r>
      </text>
    </comment>
    <comment ref="C69" authorId="0">
      <text>
        <r>
          <rPr>
            <sz val="10"/>
            <rFont val="Arial"/>
            <family val="0"/>
            <charset val="1"/>
          </rPr>
          <t xml:space="preserve">Publicidad inicial para dar a conocer la existencia de la empresa.
</t>
        </r>
      </text>
    </comment>
    <comment ref="C70" authorId="0">
      <text>
        <r>
          <rPr>
            <sz val="10"/>
            <rFont val="Arial"/>
            <family val="0"/>
            <charset val="1"/>
          </rPr>
          <t xml:space="preserve">IMPORTE DEL ALTA en contratos de suministro. La estimación de los costes mensuales se rellenará en el apartado: "Previsión de Gastos"
</t>
        </r>
      </text>
    </comment>
    <comment ref="C71" authorId="0">
      <text>
        <r>
          <rPr>
            <sz val="10"/>
            <rFont val="Arial"/>
            <family val="0"/>
            <charset val="1"/>
          </rPr>
          <t xml:space="preserve">En el caso de que la empresa los pague al arrendar locales.</t>
        </r>
      </text>
    </comment>
    <comment ref="C99" authorId="0">
      <text>
        <r>
          <rPr>
            <sz val="10"/>
            <rFont val="Arial"/>
            <family val="0"/>
            <charset val="1"/>
          </rPr>
          <t xml:space="preserve">Importe del dinero efectivo aportado por los socios por su participación en el capital</t>
        </r>
      </text>
    </comment>
    <comment ref="C100" authorId="0">
      <text>
        <r>
          <rPr>
            <sz val="10"/>
            <rFont val="Arial"/>
            <family val="0"/>
            <charset val="1"/>
          </rPr>
          <t xml:space="preserve">Importe de los bienes aportados por los socios como contrapartida a su participación en el capital , ya sean muebles,  inmuebles, o derechos. 
Estos bienes tienen que estar relacionados más arriba,  en el Plan de Inversión y/o en la aportación de mercancías.</t>
        </r>
      </text>
    </comment>
    <comment ref="C102" authorId="0">
      <text>
        <r>
          <rPr>
            <sz val="10"/>
            <rFont val="Arial"/>
            <family val="0"/>
            <charset val="1"/>
          </rPr>
          <t xml:space="preserve">Subvenciones recibidas a fondo perdido (que no se devolverán).</t>
        </r>
      </text>
    </comment>
    <comment ref="C103" authorId="0">
      <text>
        <r>
          <rPr>
            <sz val="10"/>
            <rFont val="Arial"/>
            <family val="0"/>
            <charset val="1"/>
          </rPr>
          <t xml:space="preserve">Otras aportaciones recibidas a fondo perdido (que no se devolverán).</t>
        </r>
      </text>
    </comment>
    <comment ref="C107" authorId="0">
      <text>
        <r>
          <rPr>
            <sz val="10"/>
            <rFont val="Arial"/>
            <family val="0"/>
            <charset val="1"/>
          </rPr>
          <t xml:space="preserve">Importe de los préstamos recibidos a devolver en más de  un año.</t>
        </r>
      </text>
    </comment>
    <comment ref="C113" authorId="0">
      <text>
        <r>
          <rPr>
            <sz val="10"/>
            <rFont val="Arial"/>
            <family val="0"/>
            <charset val="1"/>
          </rPr>
          <t xml:space="preserve">Contratos de alquiler de bienes con opción a compra.
Los bienes adquiridos bajo esta modalidad deben figurar más arriba,  en el Inmovilizado material.</t>
        </r>
      </text>
    </comment>
    <comment ref="C119" authorId="0">
      <text>
        <r>
          <rPr>
            <sz val="10"/>
            <rFont val="Arial"/>
            <family val="0"/>
            <charset val="1"/>
          </rPr>
          <t xml:space="preserve">Importes que deberán ser devueltos a los socios a más de un año.
</t>
        </r>
      </text>
    </comment>
    <comment ref="C120" authorId="0">
      <text>
        <r>
          <rPr>
            <sz val="10"/>
            <rFont val="Arial"/>
            <family val="0"/>
            <charset val="1"/>
          </rPr>
          <t xml:space="preserve">Otros importes que deberán ser devueltos o pagos plazados a más de un año.
</t>
        </r>
      </text>
    </comment>
    <comment ref="C125" authorId="0">
      <text>
        <r>
          <rPr>
            <sz val="10"/>
            <rFont val="Arial"/>
            <family val="0"/>
            <charset val="1"/>
          </rPr>
          <t xml:space="preserve">Importe de los préstamos recibidos a devolver antes de un año
</t>
        </r>
      </text>
    </comment>
    <comment ref="C130" authorId="0">
      <text>
        <r>
          <rPr>
            <sz val="10"/>
            <rFont val="Arial"/>
            <family val="0"/>
            <charset val="1"/>
          </rPr>
          <t xml:space="preserve">Importe de los pagos aplazados a proveedores.
</t>
        </r>
      </text>
    </comment>
    <comment ref="C136" authorId="0">
      <text>
        <r>
          <rPr>
            <sz val="10"/>
            <rFont val="Arial"/>
            <family val="0"/>
            <charset val="1"/>
          </rPr>
          <t xml:space="preserve">Importes que deberán ser devueltos a los socios antes de un año.
</t>
        </r>
      </text>
    </comment>
    <comment ref="C137" authorId="0">
      <text>
        <r>
          <rPr>
            <sz val="10"/>
            <rFont val="Arial"/>
            <family val="0"/>
            <charset val="1"/>
          </rPr>
          <t xml:space="preserve">Otros importes que deberán ser devueltos o pagos plazados a menos de un año.
</t>
        </r>
      </text>
    </comment>
    <comment ref="D143" authorId="0">
      <text>
        <r>
          <rPr>
            <sz val="10"/>
            <rFont val="Arial"/>
            <family val="0"/>
            <charset val="1"/>
          </rPr>
          <t xml:space="preserve">Si esta cifra es distinta de cero, quiere decir que no cuenta con suficientes recursos para iniciar su actividad.
</t>
        </r>
      </text>
    </comment>
    <comment ref="D145" authorId="0">
      <text>
        <r>
          <rPr>
            <sz val="10"/>
            <rFont val="Arial"/>
            <family val="0"/>
            <charset val="1"/>
          </rPr>
          <t xml:space="preserve">Si esta cifra es distinta de cero, quiere decir que no cuenta con suficiente efectivo para atender sus pagos iniciales.
Consulte además la Cuenta de Tesorería para verificar que mantiene suficiente liquidez para atender sus pagos en todo momento.
</t>
        </r>
      </text>
    </comment>
    <comment ref="E25" authorId="0">
      <text>
        <r>
          <rPr>
            <sz val="10"/>
            <rFont val="Arial"/>
            <family val="0"/>
            <charset val="1"/>
          </rPr>
          <t xml:space="preserve">Se sugieren períodos anuales razonables para la amortización de los elementos de inversión inicial, los cuales pueden ser libremente modificados según  su criterio.
Tenga en cuenta que, a efectos fiscales, el Mº de Hacienda tiene establecidos unos plazos máximos según el régimen fiscal.</t>
        </r>
      </text>
    </comment>
    <comment ref="E28" authorId="0">
      <text>
        <r>
          <rPr>
            <sz val="10"/>
            <rFont val="Arial"/>
            <family val="0"/>
            <charset val="1"/>
          </rPr>
          <t xml:space="preserve">Se aconseja entre 33 y 68 años.
</t>
        </r>
      </text>
    </comment>
    <comment ref="E29" authorId="0">
      <text>
        <r>
          <rPr>
            <sz val="10"/>
            <rFont val="Arial"/>
            <family val="0"/>
            <charset val="1"/>
          </rPr>
          <t xml:space="preserve">Se aconseja entre 10 y 20 años.
</t>
        </r>
      </text>
    </comment>
    <comment ref="E30" authorId="0">
      <text>
        <r>
          <rPr>
            <sz val="10"/>
            <rFont val="Arial"/>
            <family val="0"/>
            <charset val="1"/>
          </rPr>
          <t xml:space="preserve">Se aconseja entre 9 y 18 años.
</t>
        </r>
      </text>
    </comment>
    <comment ref="E31" authorId="0">
      <text>
        <r>
          <rPr>
            <sz val="10"/>
            <rFont val="Arial"/>
            <family val="0"/>
            <charset val="1"/>
          </rPr>
          <t xml:space="preserve">Se aconseja entre 4 y 8 años.
</t>
        </r>
      </text>
    </comment>
    <comment ref="E32" authorId="0">
      <text>
        <r>
          <rPr>
            <sz val="10"/>
            <rFont val="Arial"/>
            <family val="0"/>
            <charset val="1"/>
          </rPr>
          <t xml:space="preserve">Se aconseja entre 10 y 20 años.
</t>
        </r>
      </text>
    </comment>
    <comment ref="E33" authorId="0">
      <text>
        <r>
          <rPr>
            <sz val="10"/>
            <rFont val="Arial"/>
            <family val="0"/>
            <charset val="1"/>
          </rPr>
          <t xml:space="preserve">Se aconseja entre 7 y 14 años.
</t>
        </r>
      </text>
    </comment>
    <comment ref="E34" authorId="0">
      <text>
        <r>
          <rPr>
            <sz val="10"/>
            <rFont val="Arial"/>
            <family val="0"/>
            <charset val="1"/>
          </rPr>
          <t xml:space="preserve">Se aconseja entre 4 y 10 años.
</t>
        </r>
      </text>
    </comment>
    <comment ref="E39" authorId="0">
      <text>
        <r>
          <rPr>
            <sz val="10"/>
            <rFont val="Arial"/>
            <family val="0"/>
            <charset val="1"/>
          </rPr>
          <t xml:space="preserve">No se amortizan por considerar que tienen vida ilimitada.
</t>
        </r>
        <r>
          <rPr>
            <sz val="8"/>
            <color rgb="FF000000"/>
            <rFont val="Tahoma"/>
            <family val="2"/>
            <charset val="1"/>
          </rPr>
          <t xml:space="preserve">
</t>
        </r>
      </text>
    </comment>
    <comment ref="E42" authorId="0">
      <text>
        <r>
          <rPr>
            <sz val="10"/>
            <rFont val="Arial"/>
            <family val="0"/>
            <charset val="1"/>
          </rPr>
          <t xml:space="preserve">Máximo 5 años. 
Se aconseja entre 1 y 3 años.
</t>
        </r>
      </text>
    </comment>
    <comment ref="E43" authorId="0">
      <text>
        <r>
          <rPr>
            <sz val="10"/>
            <rFont val="Arial"/>
            <family val="0"/>
            <charset val="1"/>
          </rPr>
          <t xml:space="preserve">Se aconseja entre 1 y 10 años.
</t>
        </r>
        <r>
          <rPr>
            <sz val="8"/>
            <color rgb="FF000000"/>
            <rFont val="Tahoma"/>
            <family val="2"/>
            <charset val="1"/>
          </rPr>
          <t xml:space="preserve">
</t>
        </r>
      </text>
    </comment>
    <comment ref="E44" authorId="0">
      <text>
        <r>
          <rPr>
            <sz val="10"/>
            <rFont val="Arial"/>
            <family val="0"/>
            <charset val="1"/>
          </rPr>
          <t xml:space="preserve">Se aconseja entre 1 y 5 años.
</t>
        </r>
        <r>
          <rPr>
            <sz val="8"/>
            <color rgb="FF000000"/>
            <rFont val="Tahoma"/>
            <family val="2"/>
            <charset val="1"/>
          </rPr>
          <t xml:space="preserve">
</t>
        </r>
      </text>
    </comment>
    <comment ref="E45" authorId="0">
      <text>
        <r>
          <rPr>
            <sz val="10"/>
            <rFont val="Arial"/>
            <family val="0"/>
            <charset val="1"/>
          </rPr>
          <t xml:space="preserve">Máximo 5 años.
Se aconseja entre 1 y 3 años.</t>
        </r>
      </text>
    </comment>
    <comment ref="F118" authorId="0">
      <text>
        <r>
          <rPr>
            <sz val="10"/>
            <rFont val="Arial"/>
            <family val="0"/>
            <charset val="1"/>
          </rPr>
          <t xml:space="preserve">Si la deuda se cancela íntegra al vencimiento indique 0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1" authorId="0">
      <text>
        <r>
          <rPr>
            <sz val="10"/>
            <rFont val="Arial"/>
            <family val="0"/>
            <charset val="1"/>
          </rPr>
          <t xml:space="preserve">Estos gastos  son todos aquellos (personal, alquileres, informática, luz, seguridad, comunicaciones, etc.) que no están imputados directamente a la venta de productos o servicios y que se producen independientemente de que dicha venta se realice o no.
</t>
        </r>
        <r>
          <rPr>
            <sz val="8"/>
            <color rgb="FF000000"/>
            <rFont val="Tahoma"/>
            <family val="2"/>
            <charset val="1"/>
          </rPr>
          <t xml:space="preserve">
</t>
        </r>
      </text>
    </comment>
    <comment ref="B12" authorId="0">
      <text>
        <r>
          <rPr>
            <sz val="10"/>
            <rFont val="Arial"/>
            <family val="0"/>
            <charset val="1"/>
          </rPr>
          <t xml:space="preserve">Indique el total de gastos  incluyendo:  Seguridad Social, beneficios sociales, etc.
</t>
        </r>
      </text>
    </comment>
    <comment ref="B52" authorId="0">
      <text>
        <r>
          <rPr>
            <sz val="10"/>
            <rFont val="Arial"/>
            <family val="0"/>
            <charset val="1"/>
          </rPr>
          <t xml:space="preserve">Los ingresos financieros se originan por inversiones en acciones, títulos de renta fija, préstamos concedidos por la compañía, etc.
</t>
        </r>
      </text>
    </comment>
  </commentList>
</comments>
</file>

<file path=xl/comments7.xml><?xml version="1.0" encoding="utf-8"?>
<comments xmlns="http://schemas.openxmlformats.org/spreadsheetml/2006/main" xmlns:xdr="http://schemas.openxmlformats.org/drawingml/2006/spreadsheetDrawing">
  <authors>
    <author> </author>
  </authors>
  <commentList>
    <comment ref="D109" authorId="0">
      <text>
        <r>
          <rPr>
            <sz val="10"/>
            <rFont val="Arial"/>
            <family val="0"/>
            <charset val="1"/>
          </rPr>
          <t xml:space="preserve">El importe incluye el IVA
</t>
        </r>
        <r>
          <rPr>
            <sz val="9"/>
            <color rgb="FF000000"/>
            <rFont val="Tahoma"/>
            <family val="2"/>
            <charset val="1"/>
          </rPr>
          <t xml:space="preserve">
</t>
        </r>
      </text>
    </comment>
  </commentList>
</comments>
</file>

<file path=xl/comments8.xml><?xml version="1.0" encoding="utf-8"?>
<comments xmlns="http://schemas.openxmlformats.org/spreadsheetml/2006/main" xmlns:xdr="http://schemas.openxmlformats.org/drawingml/2006/spreadsheetDrawing">
  <authors>
    <author> </author>
  </authors>
  <commentList>
    <comment ref="C40" authorId="0">
      <text>
        <r>
          <rPr>
            <sz val="10"/>
            <rFont val="Arial"/>
            <family val="0"/>
            <charset val="1"/>
          </rPr>
          <t xml:space="preserve">Beneficio neto + Amortizaciones + Provisiones
</t>
        </r>
      </text>
    </comment>
    <comment ref="C48" authorId="0">
      <text>
        <r>
          <rPr>
            <sz val="10"/>
            <rFont val="Arial"/>
            <family val="0"/>
            <charset val="1"/>
          </rPr>
          <t xml:space="preserve">Resultado antes de: intereses, impuestos, depreciaciones y amortizaciones productivas.
</t>
        </r>
      </text>
    </comment>
    <comment ref="C80" authorId="0">
      <text>
        <r>
          <rPr>
            <sz val="10"/>
            <rFont val="Arial"/>
            <family val="0"/>
            <charset val="1"/>
          </rPr>
          <t xml:space="preserve">Incluye el IVA de las cuotas por arrendamiento financiero.
</t>
        </r>
      </text>
    </comment>
    <comment ref="P188" authorId="0">
      <text>
        <r>
          <rPr>
            <sz val="10"/>
            <rFont val="Arial"/>
            <family val="0"/>
            <charset val="1"/>
          </rPr>
          <t xml:space="preserve">Subvenciones y Donaciones
</t>
        </r>
      </text>
    </comment>
    <comment ref="P266" authorId="0">
      <text>
        <r>
          <rPr>
            <sz val="10"/>
            <rFont val="Arial"/>
            <family val="0"/>
            <charset val="1"/>
          </rPr>
          <t xml:space="preserve">Subvenciones y Donaciones
</t>
        </r>
        <r>
          <rPr>
            <sz val="8"/>
            <color rgb="FF000000"/>
            <rFont val="Tahoma"/>
            <family val="2"/>
            <charset val="1"/>
          </rPr>
          <t xml:space="preserve">
</t>
        </r>
      </text>
    </comment>
    <comment ref="Q110" authorId="0">
      <text>
        <r>
          <rPr>
            <sz val="10"/>
            <rFont val="Arial"/>
            <family val="0"/>
            <charset val="1"/>
          </rPr>
          <t xml:space="preserve">Subvenciones y Donaciones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65" authorId="0">
      <text>
        <r>
          <rPr>
            <sz val="10"/>
            <rFont val="Arial"/>
            <family val="0"/>
            <charset val="1"/>
          </rPr>
          <t xml:space="preserve">El IVA se liquida los meses de enero, abril, julio y octubre.
</t>
        </r>
      </text>
    </comment>
    <comment ref="B66"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69" authorId="0">
      <text>
        <r>
          <rPr>
            <sz val="10"/>
            <rFont val="Arial"/>
            <family val="0"/>
            <charset val="1"/>
          </rPr>
          <t xml:space="preserve">Los beneficios del 1er año se distribuyen el 2º y los del  2º el 3º
</t>
        </r>
      </text>
    </comment>
    <comment ref="B101" authorId="0">
      <text>
        <r>
          <rPr>
            <sz val="10"/>
            <rFont val="Arial"/>
            <family val="0"/>
            <charset val="1"/>
          </rPr>
          <t xml:space="preserve">El IVA se liquida los meses de enero, abril, julio y octubre.
</t>
        </r>
      </text>
    </comment>
    <comment ref="B102"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105" authorId="0">
      <text>
        <r>
          <rPr>
            <sz val="10"/>
            <rFont val="Arial"/>
            <family val="0"/>
            <charset val="1"/>
          </rPr>
          <t xml:space="preserve">Los beneficios del 1er año se distribuyen el 2º y los del  2º el 3º
</t>
        </r>
      </text>
    </comment>
    <comment ref="B137" authorId="0">
      <text>
        <r>
          <rPr>
            <sz val="10"/>
            <rFont val="Arial"/>
            <family val="0"/>
            <charset val="1"/>
          </rPr>
          <t xml:space="preserve">El IVA se liquida los meses de enero, abril, julio y octubre.
</t>
        </r>
      </text>
    </comment>
    <comment ref="B138"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141" authorId="0">
      <text>
        <r>
          <rPr>
            <sz val="10"/>
            <rFont val="Arial"/>
            <family val="0"/>
            <charset val="1"/>
          </rPr>
          <t xml:space="preserve">Los beneficios del 1er año se distribuyen el 2º y los del  2º el 3º</t>
        </r>
      </text>
    </comment>
    <comment ref="C10" authorId="0">
      <text>
        <r>
          <rPr>
            <sz val="10"/>
            <rFont val="Arial"/>
            <family val="0"/>
            <charset val="1"/>
          </rPr>
          <t xml:space="preserve">No se consideran las Aportaciones No Dinerarias, ya que no representan efectivo.</t>
        </r>
      </text>
    </comment>
    <comment ref="C16" authorId="0">
      <text>
        <r>
          <rPr>
            <sz val="10"/>
            <rFont val="Arial"/>
            <family val="0"/>
            <charset val="1"/>
          </rPr>
          <t xml:space="preserve">No se consideran las aportaciones de mercancías de los socios, ya que no suponen movimiento de efectivo, excepto el pago del IVA.</t>
        </r>
      </text>
    </comment>
    <comment ref="C26" authorId="0">
      <text>
        <r>
          <rPr>
            <sz val="10"/>
            <rFont val="Arial"/>
            <family val="0"/>
            <charset val="1"/>
          </rPr>
          <t xml:space="preserve">No se consideran las Aportaciones No Dinerarias, ni los bienes adquiridos en régimen de Arrendamiento Financiero ya que no suponen movimiento de efectivo.</t>
        </r>
      </text>
    </comment>
    <comment ref="C105" authorId="0">
      <text>
        <r>
          <rPr>
            <sz val="10"/>
            <rFont val="Arial"/>
            <family val="0"/>
            <charset val="1"/>
          </rPr>
          <t xml:space="preserve">Distribución de beneficios del 1er año
</t>
        </r>
      </text>
    </comment>
    <comment ref="C141" authorId="0">
      <text>
        <r>
          <rPr>
            <sz val="10"/>
            <rFont val="Arial"/>
            <family val="0"/>
            <charset val="1"/>
          </rPr>
          <t xml:space="preserve">Distribución de beneficios del 2º año
</t>
        </r>
      </text>
    </comment>
    <comment ref="O47" authorId="0">
      <text>
        <r>
          <rPr>
            <sz val="10"/>
            <rFont val="Arial"/>
            <family val="0"/>
            <charset val="1"/>
          </rPr>
          <t xml:space="preserve">Aportaciones al capital de los socios, donaciones y subvenciones
</t>
        </r>
      </text>
    </comment>
    <comment ref="O63" authorId="0">
      <text>
        <r>
          <rPr>
            <sz val="10"/>
            <rFont val="Arial"/>
            <family val="0"/>
            <charset val="1"/>
          </rPr>
          <t xml:space="preserve">Inversiones realizadas a lo largo del 1er.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t>
        </r>
      </text>
    </comment>
    <comment ref="O83" authorId="0">
      <text>
        <r>
          <rPr>
            <sz val="10"/>
            <rFont val="Arial"/>
            <family val="0"/>
            <charset val="1"/>
          </rPr>
          <t xml:space="preserve">Aportaciones al capital de los socios, donaciones y subvenciones
</t>
        </r>
      </text>
    </comment>
    <comment ref="O99" authorId="0">
      <text>
        <r>
          <rPr>
            <sz val="10"/>
            <rFont val="Arial"/>
            <family val="0"/>
            <charset val="1"/>
          </rPr>
          <t xml:space="preserve">Inversiones realizadas a lo largo del 2º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
</t>
        </r>
      </text>
    </comment>
    <comment ref="O119" authorId="0">
      <text>
        <r>
          <rPr>
            <sz val="10"/>
            <rFont val="Arial"/>
            <family val="0"/>
            <charset val="1"/>
          </rPr>
          <t xml:space="preserve">Aportaciones al capital de los socios, donaciones y subvenciones
</t>
        </r>
      </text>
    </comment>
    <comment ref="O135" authorId="0">
      <text>
        <r>
          <rPr>
            <sz val="10"/>
            <rFont val="Arial"/>
            <family val="0"/>
            <charset val="1"/>
          </rPr>
          <t xml:space="preserve">Inversiones realizadas a lo largo del 3er.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t>
        </r>
      </text>
    </comment>
  </commentList>
</comments>
</file>

<file path=xl/sharedStrings.xml><?xml version="1.0" encoding="utf-8"?>
<sst xmlns="http://schemas.openxmlformats.org/spreadsheetml/2006/main" count="1843" uniqueCount="760">
  <si>
    <t xml:space="preserve">LIQUIDACION DEL IMPUESTO DE SOCIEDADES</t>
  </si>
  <si>
    <t xml:space="preserve">Porcentaje del impuesto</t>
  </si>
  <si>
    <t xml:space="preserve">Porcentaje s/pagos fraccionados</t>
  </si>
  <si>
    <t xml:space="preserve">Año 1</t>
  </si>
  <si>
    <t xml:space="preserve">Año 2</t>
  </si>
  <si>
    <t xml:space="preserve">Año 3</t>
  </si>
  <si>
    <t xml:space="preserve">Resultados</t>
  </si>
  <si>
    <t xml:space="preserve">Cuota íntegra: Coincide con el dato de la Cuenta de Resultados,  Impuesto de Sociedades</t>
  </si>
  <si>
    <t xml:space="preserve">Importe a compensar por pérdidas en ejercicios anteriores:</t>
  </si>
  <si>
    <t xml:space="preserve">Cuota líquida</t>
  </si>
  <si>
    <t xml:space="preserve">Pago fraccionado Abril</t>
  </si>
  <si>
    <t xml:space="preserve">Importe liquidación Julio año x-1 cuota diferencial</t>
  </si>
  <si>
    <t xml:space="preserve">Pago fraccionado Octubre</t>
  </si>
  <si>
    <t xml:space="preserve">Pago fraccionado Diciembre</t>
  </si>
  <si>
    <t xml:space="preserve">Importe a llevar a Otros deudores.- 470. Hacienda Pública, deudora por diversos conceptos..- Crédito por pérdidas a compensar en el impuesto de Sociedades</t>
  </si>
  <si>
    <r>
      <rPr>
        <b val="true"/>
        <sz val="10"/>
        <rFont val="Arial"/>
        <family val="2"/>
        <charset val="1"/>
      </rPr>
      <t xml:space="preserve">Saldo d</t>
    </r>
    <r>
      <rPr>
        <sz val="10"/>
        <rFont val="Arial"/>
        <family val="0"/>
        <charset val="1"/>
      </rPr>
      <t xml:space="preserve">e la cuenta de Otros deudores.- 470. Hacienda Pública, deudora por diversos conceptos..- Crédito por pérdidas a compensar en el impuesto de Sociedades</t>
    </r>
  </si>
  <si>
    <t xml:space="preserve">activo</t>
  </si>
  <si>
    <t xml:space="preserve">Importe a llevar a Otros deudores (Pagos fraccionados a cuenta del Impuesto de Sociedades a liquidar el próximo año)</t>
  </si>
  <si>
    <t xml:space="preserve">pasivo</t>
  </si>
  <si>
    <t xml:space="preserve">Importe a llevar a Otros acreedores (saldo a fin de año a favor de Hacienda)</t>
  </si>
  <si>
    <t xml:space="preserve">LIQUIDACION DE AUTONOMOS Estimación directa</t>
  </si>
  <si>
    <t xml:space="preserve">Año1</t>
  </si>
  <si>
    <t xml:space="preserve">% para pagos fraccionados</t>
  </si>
  <si>
    <t xml:space="preserve">Pagos anticipados</t>
  </si>
  <si>
    <t xml:space="preserve">A pagar a cta.</t>
  </si>
  <si>
    <t xml:space="preserve">Pagos ant.</t>
  </si>
  <si>
    <t xml:space="preserve">1er trimestre (abril año n)</t>
  </si>
  <si>
    <t xml:space="preserve">2º trimestre (julio año n)</t>
  </si>
  <si>
    <t xml:space="preserve">3er trimestre (octubre año n)</t>
  </si>
  <si>
    <t xml:space="preserve">4º trimestre (enero año n+1)</t>
  </si>
  <si>
    <t xml:space="preserve">Si Liquidación en IRPF (junio año n+1)</t>
  </si>
  <si>
    <t xml:space="preserve">Pago por caja</t>
  </si>
  <si>
    <t xml:space="preserve">LIQUIDACION DE AUTONOMOS Estimación objetiva</t>
  </si>
  <si>
    <t xml:space="preserve">Año2</t>
  </si>
  <si>
    <t xml:space="preserve">Año3</t>
  </si>
  <si>
    <t xml:space="preserve">Estimación</t>
  </si>
  <si>
    <t xml:space="preserve">Total liquidación</t>
  </si>
  <si>
    <t xml:space="preserve">Importes de los pagos fraccionados en autónomos</t>
  </si>
  <si>
    <t xml:space="preserve">Tesorería</t>
  </si>
  <si>
    <t xml:space="preserve">Saldo fin año</t>
  </si>
  <si>
    <t xml:space="preserve">Datos contables</t>
  </si>
  <si>
    <t xml:space="preserve">Total impuestos a llevar a la cuenta de resultados:</t>
  </si>
  <si>
    <t xml:space="preserve">Activo</t>
  </si>
  <si>
    <t xml:space="preserve">Total  impuestos a llevar a la cuenta de Otros deudores.- 470. Hacienda Pública, deudora por diversos conceptos. (Pagos fraccionados anticipados y liquidaciones negativas por pérdidas)</t>
  </si>
  <si>
    <t xml:space="preserve">Pasivo</t>
  </si>
  <si>
    <t xml:space="preserve">Total  impuestos a llevar a la cuenta de Otros acreedores. 475. Hacienda Pública, acreedora por conceptos fiscales (liquidación a fin de año a favor de Hacienda)</t>
  </si>
  <si>
    <t xml:space="preserve">SECOT</t>
  </si>
  <si>
    <t xml:space="preserve">Voluntariado senior de asesoramiento empresarial</t>
  </si>
  <si>
    <t xml:space="preserve">Análisis económico-financiero de proyectos empresariales</t>
  </si>
  <si>
    <t xml:space="preserve">Nota: Esta es una versión reducida del Estudio Económico Financiero para planes de negocio que puede obtener en </t>
  </si>
  <si>
    <t xml:space="preserve">https://sites.google.com/site/secotdelegacionmadrid/estudio-economico-financiero</t>
  </si>
  <si>
    <t xml:space="preserve">Instrucciones:</t>
  </si>
  <si>
    <t xml:space="preserve">Por favor, lea atentamente estas instrucciones antes de comenzar a utilizar el plan financiero</t>
  </si>
  <si>
    <r>
      <rPr>
        <i val="true"/>
        <sz val="10"/>
        <rFont val="Arial"/>
        <family val="2"/>
        <charset val="1"/>
      </rPr>
      <t xml:space="preserve">El presente libro Excel ha sido diseñado con el propósito de facilitar el análisis de viabilidad de una pequeña o mediana empresa y de que los informes que se generan, puedan ser impresos o copiados a un documento de plan de negocio</t>
    </r>
    <r>
      <rPr>
        <b val="true"/>
        <i val="true"/>
        <sz val="10"/>
        <rFont val="Arial"/>
        <family val="2"/>
        <charset val="1"/>
      </rPr>
      <t xml:space="preserve">.
</t>
    </r>
    <r>
      <rPr>
        <i val="true"/>
        <sz val="10"/>
        <rFont val="Arial"/>
        <family val="2"/>
        <charset val="1"/>
      </rPr>
      <t xml:space="preserve">
Este análisis,  pretende dar respuesta a la mayoría de los negocios, por lo que, casi con toda seguridad, en su caso no serán de aplicación una buena parte de los informes. Utilice sólo aquellos que sean relevantes para su plan de negocio </t>
    </r>
    <r>
      <rPr>
        <b val="true"/>
        <i val="true"/>
        <sz val="10"/>
        <rFont val="Arial"/>
        <family val="2"/>
        <charset val="1"/>
      </rPr>
      <t xml:space="preserve">(generalmente los del apartado de "Informes Principales" suelen ser suficientes)</t>
    </r>
    <r>
      <rPr>
        <i val="true"/>
        <sz val="10"/>
        <rFont val="Arial"/>
        <family val="2"/>
        <charset val="1"/>
      </rPr>
      <t xml:space="preserve">. En cualquier caso, le recomendamos que, en su plan de negocio, añada comentarios que expliquen las razones de las cifras que sean más significativas o llamativas.
Se ha  intentado facilitar la cumplimentación de los datos a las personas que no posean un elevado conocimiento de los términos o expresiones propios del lenguaje financiero, incluyendo comentarios en las casillas a rellenar (aparece un pequeño triángulo rojo en el ángulo superior derecho y basta con pasar el cursor sobre él para que se despliegue la ayuda).
Únicamente deben rellenarse las celdas de color amarilo claro.  Los textos y cifras que aparecen en azul son a título de ejemplo y pueden ser libremente modificados, o suprimidos si no van a ser utilizados. El resto de celdas  se encuentran protegidas para garantizar el funcionamiento de las fórmulas.
SECOT y el autor de este libro Excel  no se hacen responsables de los hechos sucedidos como consecuencia de los resultados obtenidos en él.
</t>
    </r>
  </si>
  <si>
    <t xml:space="preserve">El libro consta de cuatro bloques de pestañas:</t>
  </si>
  <si>
    <t xml:space="preserve">Datos a rellenar por el emprendedor:</t>
  </si>
  <si>
    <t xml:space="preserve">Informes Principales:</t>
  </si>
  <si>
    <t xml:space="preserve">Otros Informes:</t>
  </si>
  <si>
    <t xml:space="preserve">Pestañas de color amarillo</t>
  </si>
  <si>
    <t xml:space="preserve">Pestañas de color azul</t>
  </si>
  <si>
    <t xml:space="preserve">Pestañas de color verde</t>
  </si>
  <si>
    <t xml:space="preserve">Cumplimente la información que corresponda en las cuatro pestañas amarillas (aunque deje casillas en blanco, debe responder a los cuatro cuestionarios). El resto de los informes  se generan automáticamente.</t>
  </si>
  <si>
    <t xml:space="preserve">1. DATOS GENERALES</t>
  </si>
  <si>
    <t xml:space="preserve">La tienda S.L</t>
  </si>
  <si>
    <t xml:space="preserve"> Indique el nombre de su empresa</t>
  </si>
  <si>
    <t xml:space="preserve">Sector:</t>
  </si>
  <si>
    <t xml:space="preserve">Otros</t>
  </si>
  <si>
    <t xml:space="preserve">   Seleccione de la tabla su sector de actividad</t>
  </si>
  <si>
    <t xml:space="preserve">tabla de sectores:</t>
  </si>
  <si>
    <t xml:space="preserve">Fecha prevista de inicio actividad:</t>
  </si>
  <si>
    <t xml:space="preserve">Indique la fecha en la que tiene previsto iniciar su actividad. Los informes se generarán en función de la misma.
Si desea que los informes contemplen tres años completos, reseñe 1 de enero.</t>
  </si>
  <si>
    <t xml:space="preserve">                                        ----</t>
  </si>
  <si>
    <t xml:space="preserve">Energía y agua</t>
  </si>
  <si>
    <t xml:space="preserve">Industria</t>
  </si>
  <si>
    <t xml:space="preserve">Construcción y servicios inmobiliarios</t>
  </si>
  <si>
    <t xml:space="preserve">Impuesto sobre el Valor Añadido:</t>
  </si>
  <si>
    <t xml:space="preserve">Comercio</t>
  </si>
  <si>
    <t xml:space="preserve"> Indique el porcentaje de IVA que le aplican sus proveedores de materias primas </t>
  </si>
  <si>
    <t xml:space="preserve">Transportes y comunicaciones</t>
  </si>
  <si>
    <t xml:space="preserve">IVA soportado en productos para venta o materias primas:</t>
  </si>
  <si>
    <t xml:space="preserve"> o de productos que luego vaya a comercializar (si son varios tipos indique un promedio)</t>
  </si>
  <si>
    <t xml:space="preserve">Hostelería y restauración</t>
  </si>
  <si>
    <t xml:space="preserve">IVA soportado en resto de productos o servicios:</t>
  </si>
  <si>
    <t xml:space="preserve"> Indique el porcentaje de IVA que le aplican el resto de proveedores de productos y servicios.</t>
  </si>
  <si>
    <t xml:space="preserve">Entidades financieras y aseguradoras</t>
  </si>
  <si>
    <t xml:space="preserve">IVA repercutido:</t>
  </si>
  <si>
    <t xml:space="preserve"> Indique el porcentaje de IVA que debe usted repercutir a sus clientes. (si son varios tipos indique un promedio)</t>
  </si>
  <si>
    <t xml:space="preserve">Servicios a empresas</t>
  </si>
  <si>
    <t xml:space="preserve">Enseñanza y sanidad</t>
  </si>
  <si>
    <t xml:space="preserve">Impuestos y distribución de resultados:</t>
  </si>
  <si>
    <t xml:space="preserve">Tipo del impuesto a aplicar</t>
  </si>
  <si>
    <t xml:space="preserve"> % Pagos fracciona-dos</t>
  </si>
  <si>
    <t xml:space="preserve">Impuesto de Sociedades (*)</t>
  </si>
  <si>
    <t xml:space="preserve">Puede escoger rellenar una cifra concreta o un porcentaje.
Si indica una cifra (estimación objetiva) el sistema la repartirá en 4 pagos fraccionados.
Si opta por el porcentaje (estimación directa) indique el % que espera le sea aplicado en el IRPF. </t>
  </si>
  <si>
    <t xml:space="preserve">Impuestos en empresarios individuales (Autónomos)</t>
  </si>
  <si>
    <t xml:space="preserve">Primer año</t>
  </si>
  <si>
    <t xml:space="preserve">Segundo año</t>
  </si>
  <si>
    <t xml:space="preserve">Tercer año</t>
  </si>
  <si>
    <t xml:space="preserve">%Pagos fraccionados.</t>
  </si>
  <si>
    <t xml:space="preserve">cifra</t>
  </si>
  <si>
    <t xml:space="preserve">%</t>
  </si>
  <si>
    <t xml:space="preserve">Estimación: (cifra o % sobre beneficios)</t>
  </si>
  <si>
    <t xml:space="preserve">Puede optar por rellenar una cifra concreta o un porcentaje</t>
  </si>
  <si>
    <t xml:space="preserve">Distribución de Resultados</t>
  </si>
  <si>
    <t xml:space="preserve">Estimación (cifra o % sobre beneficios después de impuestos.)</t>
  </si>
  <si>
    <t xml:space="preserve">Establezca la parte de los beneficios que, una vez pagados los impuestos, se distribuirán entre los socios al final de cada año. Puede indicar una cifra concreta o un porcentaje.
La parte no distribuida se contabilizará en Reservas. Tenga presente que la Ley obliga a destinar todos los años al menos un 10% del beneficio a constituir una reserva de carácter indisponible, hasta que la misma represente al menos el 20% de la cifra de capital. </t>
  </si>
  <si>
    <t xml:space="preserve">Productos o servicios  a comercializar:</t>
  </si>
  <si>
    <t xml:space="preserve">Pienso para perro adulto 12 kg</t>
  </si>
  <si>
    <t xml:space="preserve">Indique la denominación de cada tipo o familia  de productos o servicios que vaya a comercializar en su negocio.
Los nombres que reseñe en este cuadro serán los que se utilizarán en todos los cuestionarios e informes de la hoja de cálculo.
Si, más adelante, decide ampliar su gama de productos, tenga presente que debe darlos de alta en este cuestionario para que aparezcan en el resto de informes.</t>
  </si>
  <si>
    <t xml:space="preserve">Pienso para gato adulto 10 kg</t>
  </si>
  <si>
    <t xml:space="preserve">Pienso para loros 12 kg</t>
  </si>
  <si>
    <t xml:space="preserve">Pienso para cobayas 3 kg</t>
  </si>
  <si>
    <t xml:space="preserve">Pienso para conejo adulto 1,75 kg</t>
  </si>
  <si>
    <t xml:space="preserve">Pienso para hamsters 1 kg</t>
  </si>
  <si>
    <t xml:space="preserve">Pienso natural para perro 3 kg</t>
  </si>
  <si>
    <t xml:space="preserve">Pienso natural para cachorros 6 kg</t>
  </si>
  <si>
    <t xml:space="preserve">Menú natural semihúmedo perro</t>
  </si>
  <si>
    <t xml:space="preserve">Comida húmeda para gatos 26 pouches</t>
  </si>
  <si>
    <t xml:space="preserve">Inicio actividad</t>
  </si>
  <si>
    <t xml:space="preserve">Mes </t>
  </si>
  <si>
    <t xml:space="preserve">año</t>
  </si>
  <si>
    <r>
      <rPr>
        <i val="true"/>
        <sz val="10"/>
        <color rgb="FF984807"/>
        <rFont val="Arial"/>
        <family val="2"/>
        <charset val="1"/>
      </rPr>
      <t xml:space="preserve">Indique, en cada mes, el número de unidades  que espera vender, el precio que piensa aplicar a cada unidad,  el coste unitario de las mercancías o materias primas y otros costes que sean imputables a la comercialización del producto o servicio en concreto, como pueden ser: Envases, costes de transformación etc. 
Si no fuera posible esta asignación por tratarse de costes comunes a todos los productos o servicios, indique el importe  en el apartado "Otros costes directos comunes a todos los productos".
Si tiene previsto realizar descuentos sobre ventas  o si espera obtener descuentos sobre sus compras de mercancías/materias primas, réstelos del precio correspondiente.
Tenga en cuenta  los  incrementos que estima se producirán en los años sucesivos en el precio y volumen de ventas, así como en el coste de las mercancías o materias primas de cada producto.
El desglose por meses se presenta para poder controlar la incidencia de la estacionalidad en los informes detallados sobre la evolución de la tesorería y la cuenta de resultados, por lo que debe rellenar todas las casillas correspondientes a los meses en los que vaya a comercializar cada producto. Puede utilizar la función copiar y pegar para los datos que se repitan.
</t>
    </r>
    <r>
      <rPr>
        <b val="true"/>
        <i val="true"/>
        <sz val="10"/>
        <color rgb="FF993300"/>
        <rFont val="Arial"/>
        <family val="2"/>
        <charset val="1"/>
      </rPr>
      <t xml:space="preserve">Importante: No utilice la función cortar y pegar celdas, ya que desplazará la referencia de las mismas y podría originar errorres en los informes .
</t>
    </r>
  </si>
  <si>
    <t xml:space="preserve">2. PRESUPUESTO DE VENTAS Y ESTIMACION DE COSTES</t>
  </si>
  <si>
    <t xml:space="preserve">Productos o servicios</t>
  </si>
  <si>
    <t xml:space="preserve">   Enero</t>
  </si>
  <si>
    <t xml:space="preserve">Febrero</t>
  </si>
  <si>
    <t xml:space="preserve">Marzo</t>
  </si>
  <si>
    <t xml:space="preserve">    Abril</t>
  </si>
  <si>
    <t xml:space="preserve">Mayo</t>
  </si>
  <si>
    <t xml:space="preserve">   Junio</t>
  </si>
  <si>
    <t xml:space="preserve">Julio</t>
  </si>
  <si>
    <t xml:space="preserve">Agosto</t>
  </si>
  <si>
    <t xml:space="preserve">Septiembre</t>
  </si>
  <si>
    <t xml:space="preserve">Octubre</t>
  </si>
  <si>
    <t xml:space="preserve">Noviembre</t>
  </si>
  <si>
    <t xml:space="preserve">Diciembre</t>
  </si>
  <si>
    <t xml:space="preserve">Total</t>
  </si>
  <si>
    <t xml:space="preserve">Unidades a vender:</t>
  </si>
  <si>
    <t xml:space="preserve">Precio unitario de venta:</t>
  </si>
  <si>
    <t xml:space="preserve">Ingresos previstos por ventas:</t>
  </si>
  <si>
    <t xml:space="preserve">Precio unitario de compras:</t>
  </si>
  <si>
    <t xml:space="preserve">Otros costes directos imputables al producto/servicio</t>
  </si>
  <si>
    <t xml:space="preserve">*En el caso de prever descuentos réstelos del precio</t>
  </si>
  <si>
    <t xml:space="preserve">Otros costes proporcionales comunes a todos los productos/servicios</t>
  </si>
  <si>
    <t xml:space="preserve">% s/ total de ventas</t>
  </si>
  <si>
    <t xml:space="preserve">% s/total de ventas Año2</t>
  </si>
  <si>
    <t xml:space="preserve">% s/ total de ventas Año3</t>
  </si>
  <si>
    <r>
      <rPr>
        <i val="true"/>
        <sz val="10"/>
        <color rgb="FF984807"/>
        <rFont val="Arial"/>
        <family val="2"/>
        <charset val="1"/>
      </rPr>
      <t xml:space="preserve">Reseñe el porcentaje sobre el total de las ventas de productos o prestación de servicios que estima supondrán los otros costes directos  en cada año.
Estos costes son aquellos que sólo se producirán si se realizan ventas. Los gastos fijos del negocio (Sueldos, alquileres, luz, teléfono, impuestos etc.) se cumplimentarán aparte, en el cuestionario de </t>
    </r>
    <r>
      <rPr>
        <b val="true"/>
        <i val="true"/>
        <sz val="10"/>
        <color rgb="FF993300"/>
        <rFont val="Arial"/>
        <family val="2"/>
        <charset val="1"/>
      </rPr>
      <t xml:space="preserve">Previsión de Gastos.</t>
    </r>
  </si>
  <si>
    <t xml:space="preserve">Transporte</t>
  </si>
  <si>
    <t xml:space="preserve">Comisiones</t>
  </si>
  <si>
    <t xml:space="preserve">Embalajes</t>
  </si>
  <si>
    <t xml:space="preserve">Otros costes variables</t>
  </si>
  <si>
    <t xml:space="preserve">EXISTENCIAS DE MERCANCIAS PARA REVENTA
</t>
  </si>
  <si>
    <t xml:space="preserve">Fecha de compra de existencias iniciales</t>
  </si>
  <si>
    <r>
      <rPr>
        <i val="true"/>
        <sz val="10"/>
        <color rgb="FF984807"/>
        <rFont val="Arial"/>
        <family val="2"/>
        <charset val="1"/>
      </rPr>
      <t xml:space="preserve">Rellene,  en las columnas de Existencias, el número de unidades de cada producto que desea mantener en stock y su precio de coste. 
Si desconoce el precio de cada unidad, y solo cuenta con una estimación global del coste, coloque  el total en la casilla de "Precio de coste"  y  1  en la casilla de "Unidades".(*)
Para simplificar, se considera que las cifras que indique serán el nivel de stocks a mantener en todo momento, y los cálculos de compras se realizarán en este sentido.
Indique también la fecha en las que adquirirá las existencias iniciales de productos o materias primas. (por defecto aparece la fecha de inicio de actividad, pero puede modificarla libremente)
</t>
    </r>
    <r>
      <rPr>
        <b val="true"/>
        <i val="true"/>
        <sz val="10"/>
        <color rgb="FF993300"/>
        <rFont val="Arial"/>
        <family val="2"/>
        <charset val="1"/>
      </rPr>
      <t xml:space="preserve">(*) Nota:
El sistema actualiza anualmente el valor de las existencias al precio de compra a diciembre, salvo que  se indiquen estimaciones  globales de coste en lugar de precios unitarios, en cuyo caso, mantiene el valor de las existencias constante.</t>
    </r>
  </si>
  <si>
    <t xml:space="preserve">Productos  a comercializar:</t>
  </si>
  <si>
    <t xml:space="preserve">Unidades</t>
  </si>
  <si>
    <t xml:space="preserve">Precio coste</t>
  </si>
  <si>
    <t xml:space="preserve">Total (€)</t>
  </si>
  <si>
    <t xml:space="preserve">Fecha</t>
  </si>
  <si>
    <t xml:space="preserve">mes año 1</t>
  </si>
  <si>
    <t xml:space="preserve">mes año 2</t>
  </si>
  <si>
    <t xml:space="preserve">mes año 3</t>
  </si>
  <si>
    <t xml:space="preserve">3. POLITICA DE COBROS Y PAGOS</t>
  </si>
  <si>
    <t xml:space="preserve">Plazos de cobro</t>
  </si>
  <si>
    <t xml:space="preserve">% / Total</t>
  </si>
  <si>
    <r>
      <rPr>
        <i val="true"/>
        <sz val="10"/>
        <color rgb="FF984807"/>
        <rFont val="Arial"/>
        <family val="2"/>
        <charset val="1"/>
      </rPr>
      <t xml:space="preserve">Indique el porcentaje de ventas que cobrará al contado y, si tiene previsto conceder aplazamientos, los meses a los que cobrará y el porcentaje de las ventas.
</t>
    </r>
    <r>
      <rPr>
        <b val="true"/>
        <i val="true"/>
        <sz val="10"/>
        <color rgb="FF993300"/>
        <rFont val="Arial"/>
        <family val="2"/>
        <charset val="1"/>
      </rPr>
      <t xml:space="preserve">Por defecto aparece que se cobrará a partes iguales (25%)al contado,  y  aplazado a 1,  2  y 3 meses. Puede modificar estas cifras respetando que el total sea un 100%</t>
    </r>
  </si>
  <si>
    <t xml:space="preserve">Cobros al Contado:</t>
  </si>
  <si>
    <t xml:space="preserve">Cobros aplazados</t>
  </si>
  <si>
    <t xml:space="preserve">nº meses</t>
  </si>
  <si>
    <t xml:space="preserve">Plazos de pago</t>
  </si>
  <si>
    <t xml:space="preserve">Pagos al Contado:</t>
  </si>
  <si>
    <t xml:space="preserve">Pagos aplazados</t>
  </si>
  <si>
    <t xml:space="preserve">Indique el porcentaje de compras que realizará al contado y si tiene previsto conseguir aplazamientos, los meses a los que pagará y los porcentajes sobre el total de compras.</t>
  </si>
  <si>
    <r>
      <rPr>
        <i val="true"/>
        <sz val="10"/>
        <color rgb="FF984807"/>
        <rFont val="Arial"/>
        <family val="2"/>
        <charset val="1"/>
      </rPr>
      <t xml:space="preserve">La denominación de los conceptos puede ser modificada. Los nombres que se incluyen son a título de ejemplo y puede borrar o sustituir los que no utilice.
En la columna "Inversión inicial" detalle el importe, sin IVA,  del valor previsto de todos los bienes necesarios para la puesta en marcha de la empresa.
Se sugieren períodos anuales razonables para la amortización de los elementos de inversión inicial, pero, por supuesto, éstos pueden ser libremente modificados.
En las columnas de "Inversiones" y "Aportaciones previstas", indique el importe de las que estime realizará a lo largo del primer año y siguientes.
</t>
    </r>
    <r>
      <rPr>
        <b val="true"/>
        <i val="true"/>
        <sz val="10"/>
        <color rgb="FF993300"/>
        <rFont val="Arial"/>
        <family val="2"/>
        <charset val="1"/>
      </rPr>
      <t xml:space="preserve">Importante: No utilice la función cortar y pegar celdas, ya que desplazará la referencia de las mismas y podría originar errorres en los informes .</t>
    </r>
  </si>
  <si>
    <t xml:space="preserve">4. PLAN DE INVERSION</t>
  </si>
  <si>
    <t xml:space="preserve">(Datos sin IVA)</t>
  </si>
  <si>
    <t xml:space="preserve">Concepto</t>
  </si>
  <si>
    <t xml:space="preserve">Inversión inicial</t>
  </si>
  <si>
    <t xml:space="preserve">Amortización en AÑOS</t>
  </si>
  <si>
    <t xml:space="preserve">Otras inversiones previstas en año 1</t>
  </si>
  <si>
    <t xml:space="preserve">Inversiones previstas en año 2</t>
  </si>
  <si>
    <t xml:space="preserve">Inversiones previstas en año 3</t>
  </si>
  <si>
    <t xml:space="preserve">Importe</t>
  </si>
  <si>
    <t xml:space="preserve">Inmovilizado material:</t>
  </si>
  <si>
    <t xml:space="preserve">Edificios/Locales</t>
  </si>
  <si>
    <t xml:space="preserve">Instalaciones / Acondicionamiento</t>
  </si>
  <si>
    <t xml:space="preserve">Maquinaria</t>
  </si>
  <si>
    <t xml:space="preserve">Utillaje, herramientas,...</t>
  </si>
  <si>
    <t xml:space="preserve">Mobiliario</t>
  </si>
  <si>
    <t xml:space="preserve">Elementos de transporte</t>
  </si>
  <si>
    <t xml:space="preserve">Equipos informáticos</t>
  </si>
  <si>
    <t xml:space="preserve">Otro inmovilizado material</t>
  </si>
  <si>
    <t xml:space="preserve">Edificios /Locales de segunda mano</t>
  </si>
  <si>
    <t xml:space="preserve">Solares sin edificar</t>
  </si>
  <si>
    <t xml:space="preserve">Total Inmovilizado material:</t>
  </si>
  <si>
    <t xml:space="preserve">Inmovilizado intangible:</t>
  </si>
  <si>
    <t xml:space="preserve">Aplicaciones Informáticas</t>
  </si>
  <si>
    <t xml:space="preserve">Licencias y concesiones administrativas</t>
  </si>
  <si>
    <t xml:space="preserve">Propiedad Industrial</t>
  </si>
  <si>
    <t xml:space="preserve">Investigación y desarrrollo</t>
  </si>
  <si>
    <t xml:space="preserve">Otro inmovilizado intangible</t>
  </si>
  <si>
    <t xml:space="preserve">No amortizable:</t>
  </si>
  <si>
    <t xml:space="preserve">Fondo de comercio</t>
  </si>
  <si>
    <t xml:space="preserve">Total Inmovilizado intangible:</t>
  </si>
  <si>
    <t xml:space="preserve">Inversiones financieras:</t>
  </si>
  <si>
    <t xml:space="preserve">Fianza del local</t>
  </si>
  <si>
    <t xml:space="preserve">Otras fianzas o garantías prestadas</t>
  </si>
  <si>
    <t xml:space="preserve">Cuentas a plazo y otras inversiones</t>
  </si>
  <si>
    <t xml:space="preserve">Total Inversiones financieras:</t>
  </si>
  <si>
    <t xml:space="preserve">Total Inmovilizado:</t>
  </si>
  <si>
    <t xml:space="preserve">Gastos de establecimiento (no amortizables):</t>
  </si>
  <si>
    <t xml:space="preserve">Gastos de constitución</t>
  </si>
  <si>
    <t xml:space="preserve">Formación del personal</t>
  </si>
  <si>
    <t xml:space="preserve">Estudios e informes previos</t>
  </si>
  <si>
    <t xml:space="preserve">Publicidad y propaganda</t>
  </si>
  <si>
    <t xml:space="preserve">Contratos de suministro: luz, agua, teléfono, etc.</t>
  </si>
  <si>
    <t xml:space="preserve">Derechos de traspaso</t>
  </si>
  <si>
    <t xml:space="preserve">Material de oficina</t>
  </si>
  <si>
    <t xml:space="preserve">Otros gastos de primer establecimiento</t>
  </si>
  <si>
    <t xml:space="preserve">Total Gastos de Establecimiento con IVA</t>
  </si>
  <si>
    <t xml:space="preserve"> ocultar esta fila</t>
  </si>
  <si>
    <t xml:space="preserve">Total Gastos de Establecimiento</t>
  </si>
  <si>
    <t xml:space="preserve">Existencias iniciales de mercancías:</t>
  </si>
  <si>
    <t xml:space="preserve">Stock inicial (€)</t>
  </si>
  <si>
    <t xml:space="preserve">Aportadas por  los socios</t>
  </si>
  <si>
    <t xml:space="preserve">Las compras de existencias necesarias para el inicio de la actividad han sido rellenadas en el cuestionario de "Previsión de negocio, facturación y consumos".
Si todas o parte de estas mercancías han sido entregadas por los socios como aportación no dineraria de capital, indique aquí el valor de las mismas.
Recuerde que las aportaciones de mercancías están sujetas a  IVA y que el sistema realizará la oportuna liquidación.
</t>
  </si>
  <si>
    <t xml:space="preserve">Total Existencias Iniciales:</t>
  </si>
  <si>
    <t xml:space="preserve">Total Inversión:</t>
  </si>
  <si>
    <t xml:space="preserve">5. FUENTES DE FINANCIACION</t>
  </si>
  <si>
    <t xml:space="preserve">Aportaciones previstas en año 1</t>
  </si>
  <si>
    <t xml:space="preserve">Aportaciones previstas en año 2</t>
  </si>
  <si>
    <t xml:space="preserve">Aportaciones previstas en año 3</t>
  </si>
  <si>
    <t xml:space="preserve">RECURSOS PROPIOS:</t>
  </si>
  <si>
    <t xml:space="preserve">Aportaciones dinerarias</t>
  </si>
  <si>
    <t xml:space="preserve">Aportaciones no dinerarias</t>
  </si>
  <si>
    <t xml:space="preserve">Capital</t>
  </si>
  <si>
    <r>
      <rPr>
        <i val="true"/>
        <sz val="9"/>
        <color rgb="FF984807"/>
        <rFont val="Arial"/>
        <family val="2"/>
        <charset val="1"/>
      </rPr>
      <t xml:space="preserve">Aún cuando las subvenciones y donaciones tienen un tratamiento contable diferente si se han obtenido  para mejorar la rentabilidad</t>
    </r>
    <r>
      <rPr>
        <b val="true"/>
        <i val="true"/>
        <sz val="9"/>
        <color rgb="FF993300"/>
        <rFont val="Arial"/>
        <family val="2"/>
        <charset val="1"/>
      </rPr>
      <t xml:space="preserve"> "subvenciones de explotación"</t>
    </r>
    <r>
      <rPr>
        <i val="true"/>
        <sz val="9"/>
        <color rgb="FF993300"/>
        <rFont val="Arial"/>
        <family val="2"/>
        <charset val="1"/>
      </rPr>
      <t xml:space="preserve"> o para adquirir inmovilizado</t>
    </r>
    <r>
      <rPr>
        <b val="true"/>
        <i val="true"/>
        <sz val="9"/>
        <color rgb="FF993300"/>
        <rFont val="Arial"/>
        <family val="2"/>
        <charset val="1"/>
      </rPr>
      <t xml:space="preserve"> "subvenciones de capital"</t>
    </r>
    <r>
      <rPr>
        <i val="true"/>
        <sz val="9"/>
        <color rgb="FF993300"/>
        <rFont val="Arial"/>
        <family val="2"/>
        <charset val="1"/>
      </rPr>
      <t xml:space="preserve"> Se ha optado por considerarlas todas como de la primera categoría (se traspasan a resultados al fin de ejercicio), ya que las subvenciones de capital implican identificar cada bien adquirido y traspasarlas a resultados año a año,  en función de la vida útil de los mismos.</t>
    </r>
  </si>
  <si>
    <t xml:space="preserve">Subvenciones</t>
  </si>
  <si>
    <t xml:space="preserve">Donaciones</t>
  </si>
  <si>
    <t xml:space="preserve">TOTAL RECURSOS PROPIOS:</t>
  </si>
  <si>
    <t xml:space="preserve">RECURSOS AJENOS:</t>
  </si>
  <si>
    <t xml:space="preserve">CREDITOS A LARGO PLAZO:</t>
  </si>
  <si>
    <t xml:space="preserve">Plazo de pago en años</t>
  </si>
  <si>
    <t xml:space="preserve">Número de pagos por año</t>
  </si>
  <si>
    <t xml:space="preserve">Tipo de interés</t>
  </si>
  <si>
    <t xml:space="preserve">Fecha disposición</t>
  </si>
  <si>
    <t xml:space="preserve">Vencimiento del 1er. pago</t>
  </si>
  <si>
    <t xml:space="preserve">Meses de carencia de amortización de capital</t>
  </si>
  <si>
    <t xml:space="preserve">Disponible a inicio actividad</t>
  </si>
  <si>
    <t xml:space="preserve">Préstamos a largo plazo financieros:</t>
  </si>
  <si>
    <t xml:space="preserve">del préstamo</t>
  </si>
  <si>
    <t xml:space="preserve">Préstamo de...( Entidad financiera A)</t>
  </si>
  <si>
    <t xml:space="preserve">Préstamo de...( Entidad financiera B)</t>
  </si>
  <si>
    <t xml:space="preserve">Total préstamos a largo plazo financieros:</t>
  </si>
  <si>
    <t xml:space="preserve">&lt;--------------------</t>
  </si>
  <si>
    <t xml:space="preserve">(Disponible al inicio de la actividad)</t>
  </si>
  <si>
    <t xml:space="preserve">-------------------------------------------------------------------------------------------------------------'</t>
  </si>
  <si>
    <t xml:space="preserve">Arrendamientos financieros (Leasing)</t>
  </si>
  <si>
    <t xml:space="preserve">Fecha del contrato</t>
  </si>
  <si>
    <t xml:space="preserve">Opción de compra</t>
  </si>
  <si>
    <t xml:space="preserve">Contratados a inicio actividad</t>
  </si>
  <si>
    <r>
      <rPr>
        <b val="true"/>
        <i val="true"/>
        <sz val="9"/>
        <color rgb="FF993300"/>
        <rFont val="Arial"/>
        <family val="2"/>
        <charset val="1"/>
      </rPr>
      <t xml:space="preserve">IMPORTANTE:
</t>
    </r>
    <r>
      <rPr>
        <i val="true"/>
        <sz val="9"/>
        <color rgb="FF993300"/>
        <rFont val="Arial"/>
        <family val="2"/>
        <charset val="1"/>
      </rPr>
      <t xml:space="preserve">Los bienes adquiridos bajo la modalidad de Arrendamiento financiero deben figurar previamente  en el Inmovilizado material.</t>
    </r>
  </si>
  <si>
    <t xml:space="preserve">Contratados año1</t>
  </si>
  <si>
    <t xml:space="preserve">Contratados año2</t>
  </si>
  <si>
    <t xml:space="preserve">Contratados año3</t>
  </si>
  <si>
    <t xml:space="preserve">Leasing Maquinaria</t>
  </si>
  <si>
    <t xml:space="preserve">Leasing Transporte</t>
  </si>
  <si>
    <t xml:space="preserve">Total arrendamientos financieros</t>
  </si>
  <si>
    <t xml:space="preserve">(Contratados al inicio de la actividad)</t>
  </si>
  <si>
    <t xml:space="preserve">------------------------------------------------------------------------------------------'</t>
  </si>
  <si>
    <t xml:space="preserve">Otra financiación a  largo plazo</t>
  </si>
  <si>
    <t xml:space="preserve">Fecha de disposición</t>
  </si>
  <si>
    <t xml:space="preserve">Contraídas a inicio actividad</t>
  </si>
  <si>
    <t xml:space="preserve">Deudas con socios a largo plazo</t>
  </si>
  <si>
    <t xml:space="preserve">Otros acreedores a largo plazo</t>
  </si>
  <si>
    <t xml:space="preserve">Total otra financiación a largo plazo</t>
  </si>
  <si>
    <t xml:space="preserve">(Concedida al inicio de la actividad)</t>
  </si>
  <si>
    <t xml:space="preserve">-------------------------------------'</t>
  </si>
  <si>
    <t xml:space="preserve">TOTAL CREDITOS A LARGO PLAZO:</t>
  </si>
  <si>
    <t xml:space="preserve">CREDITOS A CORTO PLAZO:</t>
  </si>
  <si>
    <t xml:space="preserve">Plazo pago en meses</t>
  </si>
  <si>
    <t xml:space="preserve">Cuotas</t>
  </si>
  <si>
    <t xml:space="preserve">Préstamos a corto plazo financieros:</t>
  </si>
  <si>
    <t xml:space="preserve">Mensuales</t>
  </si>
  <si>
    <t xml:space="preserve">Total acreedores a corto plazo financieros:</t>
  </si>
  <si>
    <t xml:space="preserve">--------------------------------------------------------------------'</t>
  </si>
  <si>
    <t xml:space="preserve">Acreedores comerciales: </t>
  </si>
  <si>
    <t xml:space="preserve">Total acreedores comerciales: </t>
  </si>
  <si>
    <t xml:space="preserve">Otros acreedores</t>
  </si>
  <si>
    <t xml:space="preserve">Deudas con socios a corto plazo.</t>
  </si>
  <si>
    <t xml:space="preserve">Otros acreedores a corto plazo</t>
  </si>
  <si>
    <t xml:space="preserve">TOTAL CREDITOS A CORTO PLAZO:</t>
  </si>
  <si>
    <t xml:space="preserve">TOTAL RECURSOS AJENOS:</t>
  </si>
  <si>
    <t xml:space="preserve">Total Financiación:</t>
  </si>
  <si>
    <t xml:space="preserve">Déficit de financiación:</t>
  </si>
  <si>
    <t xml:space="preserve">Deficit de liquidez:</t>
  </si>
  <si>
    <r>
      <rPr>
        <i val="true"/>
        <sz val="10"/>
        <color rgb="FF984807"/>
        <rFont val="Arial"/>
        <family val="2"/>
        <charset val="1"/>
      </rPr>
      <t xml:space="preserve">La denominación de los conceptos puede ser modificada. Los nombres que se incluyen son a título de ejemplo y puede borrar  o sustituir los que no utilice.
Rellene los gastos que estime debe realizar en cada mes, cumplimentando todo el año. Esto es importante para definir la estacionalidad y las necesidades de tesorería mes a mes. Los informes tendrán en cuenta la fecha de inicio de actividad. 
Indique la fecha en la que contratará al personal (por defecto aparece la de inicio de actividad, pero si tiene previsto ir ampliando la plantillla  puede modificarla libremente).
En las últimas columnas, indique el porcentaje de incremento que estima tendrá cada capítulo en los años sucesivos.
</t>
    </r>
    <r>
      <rPr>
        <b val="true"/>
        <i val="true"/>
        <sz val="10"/>
        <color rgb="FF993300"/>
        <rFont val="Arial"/>
        <family val="2"/>
        <charset val="1"/>
      </rPr>
      <t xml:space="preserve">Importante: No utilice la función cortar y pegar celdas, ya que desplazará la referencia de las mismas y podría originar errorres en los informes .
</t>
    </r>
  </si>
  <si>
    <t xml:space="preserve">6. PREVISIÓN DE GASTOS Y OTROS RESULTADOS</t>
  </si>
  <si>
    <t xml:space="preserve">¡ATENCION!  Cumplimente el año completo. Los informes tendrán en cuenta la fecha de inicio de la actividad</t>
  </si>
  <si>
    <t xml:space="preserve">% incr.</t>
  </si>
  <si>
    <t xml:space="preserve">Fecha de contratación</t>
  </si>
  <si>
    <t xml:space="preserve">Conceptos</t>
  </si>
  <si>
    <t xml:space="preserve">   Ene.</t>
  </si>
  <si>
    <t xml:space="preserve">Febr.</t>
  </si>
  <si>
    <t xml:space="preserve">Mar.</t>
  </si>
  <si>
    <t xml:space="preserve">Ago.</t>
  </si>
  <si>
    <t xml:space="preserve">Sep.</t>
  </si>
  <si>
    <t xml:space="preserve">Oct.</t>
  </si>
  <si>
    <t xml:space="preserve">Nov.</t>
  </si>
  <si>
    <t xml:space="preserve">Dic.</t>
  </si>
  <si>
    <t xml:space="preserve">año 2</t>
  </si>
  <si>
    <t xml:space="preserve">año 3</t>
  </si>
  <si>
    <t xml:space="preserve">Gastos de personal:</t>
  </si>
  <si>
    <t xml:space="preserve">mes</t>
  </si>
  <si>
    <t xml:space="preserve">Promotor  (Sueldo + S.S.)</t>
  </si>
  <si>
    <t xml:space="preserve">Asalariado (Sueldo + S.S.)</t>
  </si>
  <si>
    <t xml:space="preserve">Total Gastos de personal</t>
  </si>
  <si>
    <t xml:space="preserve">Tributos e impuestos:</t>
  </si>
  <si>
    <t xml:space="preserve">IBI</t>
  </si>
  <si>
    <t xml:space="preserve">Impuesto de vehículos de tracción mecánica </t>
  </si>
  <si>
    <t xml:space="preserve">Impuestos</t>
  </si>
  <si>
    <t xml:space="preserve">Total Tributos e impuestos</t>
  </si>
  <si>
    <t xml:space="preserve">Gastos financieros:</t>
  </si>
  <si>
    <t xml:space="preserve">Gastos amortización préstamos Largo Plazo</t>
  </si>
  <si>
    <t xml:space="preserve">Gastos amortización préstamos Corto Plazo</t>
  </si>
  <si>
    <t xml:space="preserve">Arrendamientos Financieros</t>
  </si>
  <si>
    <t xml:space="preserve">Total Gastos financieros</t>
  </si>
  <si>
    <t xml:space="preserve">Gastos comerciales:</t>
  </si>
  <si>
    <t xml:space="preserve">Total Gastos comerciales</t>
  </si>
  <si>
    <t xml:space="preserve">Otros gastos (Servicios exteriores):</t>
  </si>
  <si>
    <t xml:space="preserve">Suministros: luz, agua, teléfono, etc.</t>
  </si>
  <si>
    <t xml:space="preserve">Servicios de profesionales indep.</t>
  </si>
  <si>
    <t xml:space="preserve">Primas de Seguros</t>
  </si>
  <si>
    <t xml:space="preserve">Trabajos realizados por otras empresas</t>
  </si>
  <si>
    <t xml:space="preserve">Arrendamientos</t>
  </si>
  <si>
    <t xml:space="preserve">Mantenimiento y reparación</t>
  </si>
  <si>
    <t xml:space="preserve">Limpieza</t>
  </si>
  <si>
    <t xml:space="preserve">Hosting</t>
  </si>
  <si>
    <t xml:space="preserve">Varios</t>
  </si>
  <si>
    <t xml:space="preserve">Total Otros gastos (Servicios exteriores)</t>
  </si>
  <si>
    <t xml:space="preserve">Total gastos</t>
  </si>
  <si>
    <t xml:space="preserve">Ingresos financieros</t>
  </si>
  <si>
    <t xml:space="preserve">Total Ingresos financieros</t>
  </si>
  <si>
    <t xml:space="preserve">Presupuesto inicial Inversiones - Financiación</t>
  </si>
  <si>
    <t xml:space="preserve">Inversiones:</t>
  </si>
  <si>
    <t xml:space="preserve">% sobre inversión</t>
  </si>
  <si>
    <t xml:space="preserve">INMOVILIZADO</t>
  </si>
  <si>
    <t xml:space="preserve">INMOVILIZADO INTANGIBLE</t>
  </si>
  <si>
    <t xml:space="preserve">TOTAL INMOVILIZADO INTANGIBLE</t>
  </si>
  <si>
    <t xml:space="preserve">INMOVILIZADO MATERIAL</t>
  </si>
  <si>
    <t xml:space="preserve">TOTAL INMOVILIZADO MATERIAL</t>
  </si>
  <si>
    <t xml:space="preserve">INMOVILIZADO FINANCIERO</t>
  </si>
  <si>
    <t xml:space="preserve">TOTAL INMOVILIZADO FINANCIERO</t>
  </si>
  <si>
    <t xml:space="preserve">TOTAL INMOVILIZADO:</t>
  </si>
  <si>
    <t xml:space="preserve">GASTOS DE PERSONAL</t>
  </si>
  <si>
    <t xml:space="preserve">TOTAL GASTOS DE PERSONAL</t>
  </si>
  <si>
    <t xml:space="preserve">GASTOS DE PRIMER ESTABLECIMIENTO:</t>
  </si>
  <si>
    <t xml:space="preserve">Columnas que deben estar ocultas:</t>
  </si>
  <si>
    <t xml:space="preserve">TOTAL GASTOS DE PRIMER ESTABLECIMIENTO</t>
  </si>
  <si>
    <t xml:space="preserve">EXISTENCIAS INICIALES:</t>
  </si>
  <si>
    <t xml:space="preserve">Mercancías financiadas por proveedores:</t>
  </si>
  <si>
    <t xml:space="preserve">IVA soportado por compra mercancías financiada por proveedores</t>
  </si>
  <si>
    <t xml:space="preserve">Total deuda con Acreedores comerciales</t>
  </si>
  <si>
    <t xml:space="preserve">TOTAL EXISTENCIAS INICIALES:</t>
  </si>
  <si>
    <t xml:space="preserve">Total Inversiones:</t>
  </si>
  <si>
    <t xml:space="preserve">IVA SOPORTADO</t>
  </si>
  <si>
    <t xml:space="preserve">IVA soportado por Inversiones</t>
  </si>
  <si>
    <t xml:space="preserve">Financiación:</t>
  </si>
  <si>
    <t xml:space="preserve">IVA soportado por Gastos de Establecimiento</t>
  </si>
  <si>
    <t xml:space="preserve">IVA soportado por Compras Mercaderías</t>
  </si>
  <si>
    <t xml:space="preserve">Financiación inicial</t>
  </si>
  <si>
    <t xml:space="preserve">TOTAL Hacienda Pública Deudora por IVA:</t>
  </si>
  <si>
    <t xml:space="preserve">% sobre financiación</t>
  </si>
  <si>
    <t xml:space="preserve">Existencias iniciales más IVA</t>
  </si>
  <si>
    <t xml:space="preserve">CREDITOS A LARGO PLAZO</t>
  </si>
  <si>
    <t xml:space="preserve">Acreedores comerciales:
(Por compra del stock de existencias a plazo)</t>
  </si>
  <si>
    <t xml:space="preserve">TESORERIA INICIAL/DISPONIBLE:</t>
  </si>
  <si>
    <r>
      <rPr>
        <b val="true"/>
        <sz val="10"/>
        <color rgb="FF993300"/>
        <rFont val="Arial"/>
        <family val="2"/>
        <charset val="1"/>
      </rPr>
      <t xml:space="preserve">Nota:
</t>
    </r>
    <r>
      <rPr>
        <sz val="10"/>
        <color rgb="FF993300"/>
        <rFont val="Arial"/>
        <family val="2"/>
        <charset val="1"/>
      </rPr>
      <t xml:space="preserve">El informe presenta la situación antes del reparto de beneficios.</t>
    </r>
  </si>
  <si>
    <t xml:space="preserve">Previsión de Cuenta de Pérdidas y Ganancias.</t>
  </si>
  <si>
    <t xml:space="preserve">1er año</t>
  </si>
  <si>
    <t xml:space="preserve">2º año</t>
  </si>
  <si>
    <t xml:space="preserve">3er año</t>
  </si>
  <si>
    <t xml:space="preserve">1.</t>
  </si>
  <si>
    <t xml:space="preserve">Importe neto de la cifra de negocios:</t>
  </si>
  <si>
    <t xml:space="preserve">2.</t>
  </si>
  <si>
    <t xml:space="preserve">Variación de existencias de productos terminados y en curso de fabricación</t>
  </si>
  <si>
    <t xml:space="preserve">3.</t>
  </si>
  <si>
    <t xml:space="preserve">Trabajos realizados por la empresa para su activo</t>
  </si>
  <si>
    <t xml:space="preserve">4.</t>
  </si>
  <si>
    <t xml:space="preserve"> Aprovisionamientos</t>
  </si>
  <si>
    <t xml:space="preserve">5.</t>
  </si>
  <si>
    <t xml:space="preserve">Otros ingresos de explotación</t>
  </si>
  <si>
    <t xml:space="preserve">6.</t>
  </si>
  <si>
    <t xml:space="preserve">Gastos de Personal</t>
  </si>
  <si>
    <t xml:space="preserve">7.</t>
  </si>
  <si>
    <t xml:space="preserve">Otros gastos de explotación</t>
  </si>
  <si>
    <t xml:space="preserve">8.</t>
  </si>
  <si>
    <t xml:space="preserve"> Amortización del inmovilizado</t>
  </si>
  <si>
    <t xml:space="preserve">9.</t>
  </si>
  <si>
    <t xml:space="preserve">Imputación de subvenciones de inmovilizado no financiero y otras</t>
  </si>
  <si>
    <t xml:space="preserve">RESULTADO DE EXPLOTACIÓN</t>
  </si>
  <si>
    <t xml:space="preserve">12.</t>
  </si>
  <si>
    <t xml:space="preserve">13.</t>
  </si>
  <si>
    <t xml:space="preserve">Gastos financieros</t>
  </si>
  <si>
    <t xml:space="preserve">RESULTADO FINANCIERO</t>
  </si>
  <si>
    <t xml:space="preserve">RESULTADO ANTES DE IMPUESTOS</t>
  </si>
  <si>
    <t xml:space="preserve">17.</t>
  </si>
  <si>
    <t xml:space="preserve">Impuestos s/beneficios</t>
  </si>
  <si>
    <t xml:space="preserve">RESULTADO DEL EJERCICIO</t>
  </si>
  <si>
    <t xml:space="preserve">Beneficios  a distribuir:</t>
  </si>
  <si>
    <t xml:space="preserve">Remanente</t>
  </si>
  <si>
    <t xml:space="preserve">Cash Flow</t>
  </si>
  <si>
    <t xml:space="preserve">Valor de la producción</t>
  </si>
  <si>
    <t xml:space="preserve">Consumo intermedio</t>
  </si>
  <si>
    <t xml:space="preserve">Valor añadido de la empresa</t>
  </si>
  <si>
    <t xml:space="preserve">Punto de equilibrio</t>
  </si>
  <si>
    <t xml:space="preserve">Resultado operativo (EBIDTA)</t>
  </si>
  <si>
    <t xml:space="preserve">Cuenta de Resultados.- Detalle del primer año:</t>
  </si>
  <si>
    <t xml:space="preserve">Estado inicial</t>
  </si>
  <si>
    <t xml:space="preserve">Sin fecha determinada</t>
  </si>
  <si>
    <t xml:space="preserve">Variación de existencias de productos terminados y en curso de fabricación:</t>
  </si>
  <si>
    <t xml:space="preserve">Trabajos realizados por la empresa para su activo:</t>
  </si>
  <si>
    <t xml:space="preserve">Aprovisionamientos:</t>
  </si>
  <si>
    <t xml:space="preserve">Compras</t>
  </si>
  <si>
    <t xml:space="preserve">Otros costes directos imputables a los productos o servicios</t>
  </si>
  <si>
    <t xml:space="preserve">Total Aprovisionamientos</t>
  </si>
  <si>
    <t xml:space="preserve">Margen Bruto s/Ventas</t>
  </si>
  <si>
    <t xml:space="preserve">IVA soportado s/inversiones(*)</t>
  </si>
  <si>
    <t xml:space="preserve">IVA soportado(*)</t>
  </si>
  <si>
    <t xml:space="preserve">Gastos de primer establecimiento</t>
  </si>
  <si>
    <t xml:space="preserve">Total Otros gastos de explotación</t>
  </si>
  <si>
    <t xml:space="preserve">Resultado de las operaciones</t>
  </si>
  <si>
    <t xml:space="preserve">Amortización del inmovilizado</t>
  </si>
  <si>
    <t xml:space="preserve">Imputación de subvenciones de inmovilizado no financiero y otras:</t>
  </si>
  <si>
    <t xml:space="preserve">Gastos de constitución de préstamos</t>
  </si>
  <si>
    <t xml:space="preserve">Cuenta de Resultados.- Detalle del segundo año:</t>
  </si>
  <si>
    <t xml:space="preserve">Cuenta de Resultados.- Detalle del tercer año:</t>
  </si>
  <si>
    <t xml:space="preserve"> Previsión de Tesorería y Cuenta de  IVA</t>
  </si>
  <si>
    <t xml:space="preserve">Primer     año</t>
  </si>
  <si>
    <t xml:space="preserve">Tercer     año</t>
  </si>
  <si>
    <t xml:space="preserve">Saldo inicial (1)</t>
  </si>
  <si>
    <t xml:space="preserve">Recursos propios</t>
  </si>
  <si>
    <t xml:space="preserve">Cobros por  ventas y prestación de servicios con IVA</t>
  </si>
  <si>
    <t xml:space="preserve">Créditos obtenidos a largo plazo</t>
  </si>
  <si>
    <t xml:space="preserve">Créditos obtenidos a corto plazo</t>
  </si>
  <si>
    <t xml:space="preserve">Total Entradas (2)</t>
  </si>
  <si>
    <t xml:space="preserve">Pagos por compras con IVA</t>
  </si>
  <si>
    <t xml:space="preserve">Pago de otros costes directos imputables a los productos o servicios</t>
  </si>
  <si>
    <t xml:space="preserve">Pago de otros costes proporcionales comunes a todos los productos/servicios</t>
  </si>
  <si>
    <t xml:space="preserve">Devolución de préstamos financieros</t>
  </si>
  <si>
    <t xml:space="preserve">Amortización de los arrendamientos financieros</t>
  </si>
  <si>
    <t xml:space="preserve">Devolución de otros préstamos no financieros</t>
  </si>
  <si>
    <t xml:space="preserve">Inversiones realizadas</t>
  </si>
  <si>
    <t xml:space="preserve">Resto I.V.A. soportado</t>
  </si>
  <si>
    <t xml:space="preserve">Liquidación trimestral del I.V.A. </t>
  </si>
  <si>
    <t xml:space="preserve">Pagos por Impuesto de Sociedades*</t>
  </si>
  <si>
    <t xml:space="preserve">Pagos por Impuesto s/ Beneficios (IRPF)*</t>
  </si>
  <si>
    <t xml:space="preserve">Otros Impuestos y tributos</t>
  </si>
  <si>
    <t xml:space="preserve">Pagos por distribución de beneficios</t>
  </si>
  <si>
    <t xml:space="preserve">Total Salidas (3)</t>
  </si>
  <si>
    <t xml:space="preserve">Tesorería del periodo = (2)-(3)</t>
  </si>
  <si>
    <t xml:space="preserve">Saldo final = Tesorería periodo + (1)</t>
  </si>
  <si>
    <t xml:space="preserve">* Cuando el importe de "Pagos por Impuesto de Sociedades" aparece en negativo quiere decir que la declaración resulta "a devolver"</t>
  </si>
  <si>
    <t xml:space="preserve">* Cuando el importe de "Pagos por Impuesto de Beneficios" aparece en negativo quiere decir que la declaración resulta "a devolver"</t>
  </si>
  <si>
    <t xml:space="preserve">Saldo de IVA: </t>
  </si>
  <si>
    <t xml:space="preserve">Detalle del primer año:</t>
  </si>
  <si>
    <t xml:space="preserve">s/fecha det.</t>
  </si>
  <si>
    <t xml:space="preserve">Cobros por  ventas (con IVA)</t>
  </si>
  <si>
    <t xml:space="preserve">Pagos por Impuesto de Sociedades</t>
  </si>
  <si>
    <t xml:space="preserve">Pagos por Impuesto s/ Beneficios (IRPF)</t>
  </si>
  <si>
    <t xml:space="preserve">IVA repercutido en Ventas de mercancías</t>
  </si>
  <si>
    <t xml:space="preserve">IVA soportado por Compras de mercancías</t>
  </si>
  <si>
    <t xml:space="preserve">Saldo de IVA  </t>
  </si>
  <si>
    <t xml:space="preserve">Fechas de liquidación del IVA y pago del impuesto s/ beneficios:</t>
  </si>
  <si>
    <t xml:space="preserve">Detalle del segundo año:</t>
  </si>
  <si>
    <t xml:space="preserve">Detalle del tercer año:</t>
  </si>
  <si>
    <t xml:space="preserve">Pagos por compras</t>
  </si>
  <si>
    <t xml:space="preserve">Notas:
El informe presenta la situación antes del reparto de beneficios.
En Pérdidas y Ganancias del Ejercicio, se refleja el resultado después de impuestos y en Pasivos por Impuesto Diferido, el impuesto sobre el beneficio que se pagará al año siguiente. Los pagos fraccionados a cuenta figuran en Activos por Impuesto Diferido.
El saldo de IVA figura en Otros Acreedores o en Otros deudores en función de que la liquidación sea positiva o negativa</t>
  </si>
  <si>
    <t xml:space="preserve">Previsión de Balances:</t>
  </si>
  <si>
    <t xml:space="preserve">Activo:</t>
  </si>
  <si>
    <t xml:space="preserve">€</t>
  </si>
  <si>
    <t xml:space="preserve">A) ACTIVO NO CORRIENTE</t>
  </si>
  <si>
    <t xml:space="preserve">    Inmovilizado intangible.</t>
  </si>
  <si>
    <t xml:space="preserve">.</t>
  </si>
  <si>
    <t xml:space="preserve">    Inmovilizado material.</t>
  </si>
  <si>
    <t xml:space="preserve">    Inversiones inmobiliarias.</t>
  </si>
  <si>
    <t xml:space="preserve">    Inmovilizado Financiero</t>
  </si>
  <si>
    <t xml:space="preserve">    Inversiones financieras a largo plazo.</t>
  </si>
  <si>
    <t xml:space="preserve">    Activos por impuesto diferido.</t>
  </si>
  <si>
    <t xml:space="preserve">Total Activo no corriente</t>
  </si>
  <si>
    <t xml:space="preserve">B) ACTIVO CORRIENTE</t>
  </si>
  <si>
    <t xml:space="preserve">   Existencias</t>
  </si>
  <si>
    <t xml:space="preserve">   Deudores comerc. y otras cuentas a cobrar</t>
  </si>
  <si>
    <t xml:space="preserve">      Clientes por ventas y prestación de servicios</t>
  </si>
  <si>
    <t xml:space="preserve">      Otros deudores</t>
  </si>
  <si>
    <t xml:space="preserve">   Inversiones financieras a corto plazo.</t>
  </si>
  <si>
    <t xml:space="preserve">   Periodificaciones a corto plazo.</t>
  </si>
  <si>
    <t xml:space="preserve">   Efectivo y otros activos líquidos equivalentes.</t>
  </si>
  <si>
    <t xml:space="preserve">Total Activo corriente</t>
  </si>
  <si>
    <t xml:space="preserve">Total Activo</t>
  </si>
  <si>
    <t xml:space="preserve">Patrimonio Neto y Pasivo:</t>
  </si>
  <si>
    <t xml:space="preserve">A) PATRIMONIO NETO</t>
  </si>
  <si>
    <t xml:space="preserve">A-1) Fondos propios</t>
  </si>
  <si>
    <t xml:space="preserve">   Capital</t>
  </si>
  <si>
    <t xml:space="preserve">   Reservas</t>
  </si>
  <si>
    <t xml:space="preserve">   Resultados de ejercicios anteriores.</t>
  </si>
  <si>
    <t xml:space="preserve">   Otras aportaciones de socios.</t>
  </si>
  <si>
    <t xml:space="preserve">   Resultado del ejercicio.</t>
  </si>
  <si>
    <t xml:space="preserve">A-2) Subvenciones, donaciones y legados recibidos</t>
  </si>
  <si>
    <t xml:space="preserve">Total Patrimonio neto</t>
  </si>
  <si>
    <t xml:space="preserve">B) PASIVO NO CORRIENTE</t>
  </si>
  <si>
    <t xml:space="preserve">   Deudas a largo plazo</t>
  </si>
  <si>
    <t xml:space="preserve">       Deudas con entidades de crédito</t>
  </si>
  <si>
    <t xml:space="preserve">       Acreedores por arrendamiento financiero</t>
  </si>
  <si>
    <t xml:space="preserve">       Otras deudas a largo plazo</t>
  </si>
  <si>
    <t xml:space="preserve">   Deudas con empresas del grupo y asociadas</t>
  </si>
  <si>
    <t xml:space="preserve">   Pasivos por impuesto diferido</t>
  </si>
  <si>
    <t xml:space="preserve">   Periodificaciones a largo plazo</t>
  </si>
  <si>
    <t xml:space="preserve">Total Pasivo no corriente</t>
  </si>
  <si>
    <t xml:space="preserve">C) PASIVO CORRIENTE</t>
  </si>
  <si>
    <t xml:space="preserve">   Deudas a corto plazo</t>
  </si>
  <si>
    <t xml:space="preserve">       Otros Acreedores a C. Plazo</t>
  </si>
  <si>
    <t xml:space="preserve">   Acreed. comerciales y otras cuentas a pagar</t>
  </si>
  <si>
    <t xml:space="preserve">         Proveedores</t>
  </si>
  <si>
    <t xml:space="preserve">         Otros Acreedores</t>
  </si>
  <si>
    <t xml:space="preserve">Total Pasivo corriente</t>
  </si>
  <si>
    <t xml:space="preserve">Total Patrimonio Neto y Pasivo</t>
  </si>
  <si>
    <t xml:space="preserve">Total Recursos Permanentes</t>
  </si>
  <si>
    <t xml:space="preserve">Total Recursos Ajenos</t>
  </si>
  <si>
    <t xml:space="preserve">Fondo de Maniobra:</t>
  </si>
  <si>
    <t xml:space="preserve">Los % de Fondo de Maniobra son sobre el Activo Total.</t>
  </si>
  <si>
    <t xml:space="preserve"> Cuadre de Balance. Diferencia: </t>
  </si>
  <si>
    <t xml:space="preserve">Ratio medio</t>
  </si>
  <si>
    <t xml:space="preserve">Ratios:</t>
  </si>
  <si>
    <t xml:space="preserve">del sector</t>
  </si>
  <si>
    <t xml:space="preserve">Cash Flow:</t>
  </si>
  <si>
    <t xml:space="preserve">Margen bruto s/ventas</t>
  </si>
  <si>
    <t xml:space="preserve">Crecimiento Beneficio</t>
  </si>
  <si>
    <t xml:space="preserve">-   -</t>
  </si>
  <si>
    <t xml:space="preserve">Rentabilidad financiera</t>
  </si>
  <si>
    <t xml:space="preserve">Rendimiento o Rentabilidad del Activo</t>
  </si>
  <si>
    <t xml:space="preserve">Fondo de maniobra s/Exigible a corto plazo</t>
  </si>
  <si>
    <t xml:space="preserve">Disponibilidad</t>
  </si>
  <si>
    <t xml:space="preserve">Garantía</t>
  </si>
  <si>
    <t xml:space="preserve">Gastos financieros  s/Ventas</t>
  </si>
  <si>
    <t xml:space="preserve">Apalancamiento financiero</t>
  </si>
  <si>
    <t xml:space="preserve">Grado de apalancamiento</t>
  </si>
  <si>
    <t xml:space="preserve">Rotación del activo circulante</t>
  </si>
  <si>
    <t xml:space="preserve">Rotación de stocks</t>
  </si>
  <si>
    <t xml:space="preserve">Umbral de rentabilidad o Punto muerto del negocio</t>
  </si>
  <si>
    <t xml:space="preserve">Euros</t>
  </si>
  <si>
    <t xml:space="preserve">Endeudamiento</t>
  </si>
  <si>
    <t xml:space="preserve">Solvencia a corto plazo:</t>
  </si>
  <si>
    <t xml:space="preserve">Liquidez</t>
  </si>
  <si>
    <t xml:space="preserve">Estructura financiera:</t>
  </si>
  <si>
    <t xml:space="preserve">Fondo de maniobra s/pasivo fijo</t>
  </si>
  <si>
    <t xml:space="preserve">Autonomía</t>
  </si>
  <si>
    <t xml:space="preserve">Solvencia Global</t>
  </si>
  <si>
    <t xml:space="preserve">Calidad de la deuda</t>
  </si>
  <si>
    <t xml:space="preserve">Capacidad de devolución</t>
  </si>
  <si>
    <t xml:space="preserve">Cobertura del fondo de maniobra </t>
  </si>
  <si>
    <t xml:space="preserve">Plazo de existencias</t>
  </si>
  <si>
    <t xml:space="preserve">Financiación de clientes por proveedores </t>
  </si>
  <si>
    <t xml:space="preserve">Ventas y gastos:</t>
  </si>
  <si>
    <t xml:space="preserve">Tasa del valor añadido</t>
  </si>
  <si>
    <t xml:space="preserve">Tasa de gastos de personal </t>
  </si>
  <si>
    <t xml:space="preserve">Margen bruto/Ventas o M. bruto de explotación</t>
  </si>
  <si>
    <t xml:space="preserve">Gastos fijos / Ventas</t>
  </si>
  <si>
    <t xml:space="preserve">Plazo de cobro o rotación de la cuenta de clientes</t>
  </si>
  <si>
    <t xml:space="preserve">Días</t>
  </si>
  <si>
    <t xml:space="preserve">Plazo de pago o rotación de proveedores</t>
  </si>
  <si>
    <t xml:space="preserve">Rentabilidad:</t>
  </si>
  <si>
    <t xml:space="preserve">Rentabilidad económica (ROI)</t>
  </si>
  <si>
    <t xml:space="preserve">Rentabilidad financiera (ROE)</t>
  </si>
  <si>
    <t xml:space="preserve">% </t>
  </si>
  <si>
    <t xml:space="preserve">Rentabilidad del patrimonio</t>
  </si>
  <si>
    <t xml:space="preserve">Rotación del activo</t>
  </si>
  <si>
    <t xml:space="preserve">Margen operativo</t>
  </si>
  <si>
    <t xml:space="preserve">Beneficio s/ ventas</t>
  </si>
  <si>
    <t xml:space="preserve">Cuadro de Amortización Contable </t>
  </si>
  <si>
    <t xml:space="preserve">Amortización</t>
  </si>
  <si>
    <t xml:space="preserve">Inversiones año 1</t>
  </si>
  <si>
    <t xml:space="preserve">Cuota mens. amort.año 1</t>
  </si>
  <si>
    <t xml:space="preserve">Amortización año 1</t>
  </si>
  <si>
    <t xml:space="preserve">Inversiones año 2</t>
  </si>
  <si>
    <t xml:space="preserve">Amortización año 2</t>
  </si>
  <si>
    <t xml:space="preserve">Inversiones año 3</t>
  </si>
  <si>
    <t xml:space="preserve">Amortización año 3</t>
  </si>
  <si>
    <t xml:space="preserve">AÑOS</t>
  </si>
  <si>
    <t xml:space="preserve">Inmovilizado Material:</t>
  </si>
  <si>
    <t xml:space="preserve">Total Inmovilizado Material</t>
  </si>
  <si>
    <t xml:space="preserve">Inmovilizado Intangible</t>
  </si>
  <si>
    <t xml:space="preserve">Total Inmovilizado Intangible</t>
  </si>
  <si>
    <t xml:space="preserve">Totales anuales</t>
  </si>
  <si>
    <t xml:space="preserve">Amortización de préstamos a Largo Plazo</t>
  </si>
  <si>
    <t xml:space="preserve">RESUMEN:</t>
  </si>
  <si>
    <t xml:space="preserve">Financiación</t>
  </si>
  <si>
    <t xml:space="preserve">Interés</t>
  </si>
  <si>
    <t xml:space="preserve">Contratos </t>
  </si>
  <si>
    <t xml:space="preserve">I.V.A</t>
  </si>
  <si>
    <t xml:space="preserve">Obtenida</t>
  </si>
  <si>
    <t xml:space="preserve">pagado</t>
  </si>
  <si>
    <t xml:space="preserve">amortizado</t>
  </si>
  <si>
    <t xml:space="preserve">suscritos</t>
  </si>
  <si>
    <t xml:space="preserve">Financiacion inicial:</t>
  </si>
  <si>
    <t xml:space="preserve">Situación inical:</t>
  </si>
  <si>
    <t xml:space="preserve">Primer año:</t>
  </si>
  <si>
    <t xml:space="preserve">Segundo año:</t>
  </si>
  <si>
    <t xml:space="preserve">Tercer año:</t>
  </si>
  <si>
    <t xml:space="preserve">Cuarto año:</t>
  </si>
  <si>
    <t xml:space="preserve">Capital  a amortizar cada año (traspaso a corto plazo)</t>
  </si>
  <si>
    <t xml:space="preserve">Obtenida:</t>
  </si>
  <si>
    <t xml:space="preserve">4º año</t>
  </si>
  <si>
    <t xml:space="preserve">contratados:</t>
  </si>
  <si>
    <t xml:space="preserve">Inicialmente:</t>
  </si>
  <si>
    <t xml:space="preserve">Fecha informe:</t>
  </si>
  <si>
    <t xml:space="preserve">PRESTAMOS.- Amortización en los cuatro primeros años:</t>
  </si>
  <si>
    <t xml:space="preserve">ARRENDAMIENTOS FINANCIEROS (LEASING).- Amortización en los cuatro primeros años:</t>
  </si>
  <si>
    <t xml:space="preserve">Total financiación</t>
  </si>
  <si>
    <t xml:space="preserve">Total Dispuesto</t>
  </si>
  <si>
    <t xml:space="preserve">Intereses</t>
  </si>
  <si>
    <t xml:space="preserve">Disposición</t>
  </si>
  <si>
    <t xml:space="preserve">Capital </t>
  </si>
  <si>
    <t xml:space="preserve">I.V.A.</t>
  </si>
  <si>
    <t xml:space="preserve">Constitución</t>
  </si>
  <si>
    <t xml:space="preserve">pagados</t>
  </si>
  <si>
    <t xml:space="preserve">Situación inicial</t>
  </si>
  <si>
    <t xml:space="preserve">TABLAS DE AMORTIZACION DE PRESTAMOS</t>
  </si>
  <si>
    <t xml:space="preserve">Datos iniciales</t>
  </si>
  <si>
    <t xml:space="preserve">Contrato</t>
  </si>
  <si>
    <t xml:space="preserve">Monto</t>
  </si>
  <si>
    <t xml:space="preserve">Opción de Compra</t>
  </si>
  <si>
    <t xml:space="preserve">Tasa de interés anual</t>
  </si>
  <si>
    <t xml:space="preserve">Plazo en años</t>
  </si>
  <si>
    <t xml:space="preserve">Pagos por año</t>
  </si>
  <si>
    <t xml:space="preserve">Meses carencia</t>
  </si>
  <si>
    <t xml:space="preserve">Vencimiento 1er pago</t>
  </si>
  <si>
    <t xml:space="preserve">Numero de cuotas</t>
  </si>
  <si>
    <t xml:space="preserve">Tipo mensual equivalente a % anual</t>
  </si>
  <si>
    <t xml:space="preserve">Tipo mensual equiva-lente a % anual</t>
  </si>
  <si>
    <t xml:space="preserve">Valor actual</t>
  </si>
  <si>
    <t xml:space="preserve">Cuota constante</t>
  </si>
  <si>
    <t xml:space="preserve">Cuota neta constante</t>
  </si>
  <si>
    <t xml:space="preserve">Gastos de Constitución</t>
  </si>
  <si>
    <t xml:space="preserve">Intereses primer período</t>
  </si>
  <si>
    <t xml:space="preserve">Amortización 1er período</t>
  </si>
  <si>
    <t xml:space="preserve">Cuota bruta constante</t>
  </si>
  <si>
    <t xml:space="preserve">Nº cuota</t>
  </si>
  <si>
    <t xml:space="preserve">Fecha del pago</t>
  </si>
  <si>
    <t xml:space="preserve">Saldo inicial</t>
  </si>
  <si>
    <t xml:space="preserve">Capital amortizado</t>
  </si>
  <si>
    <t xml:space="preserve">Capital pendiente</t>
  </si>
  <si>
    <t xml:space="preserve">Interés acumulado</t>
  </si>
  <si>
    <t xml:space="preserve">Total amortizado</t>
  </si>
  <si>
    <t xml:space="preserve">Amortización de préstamos a Corto Plazo</t>
  </si>
  <si>
    <t xml:space="preserve">Fecha informe</t>
  </si>
  <si>
    <t xml:space="preserve">Financiacion inicial</t>
  </si>
  <si>
    <t xml:space="preserve">primer año</t>
  </si>
  <si>
    <t xml:space="preserve">Amortización en los tres primeros años:</t>
  </si>
  <si>
    <t xml:space="preserve">Total amotizado</t>
  </si>
  <si>
    <t xml:space="preserve">Financiación:
</t>
  </si>
  <si>
    <t xml:space="preserve">Total otros prestamos no financieros</t>
  </si>
  <si>
    <t xml:space="preserve">Total Acreedores comerciales </t>
  </si>
  <si>
    <t xml:space="preserve">Plazo de pago</t>
  </si>
  <si>
    <t xml:space="preserve">nº de cuotas</t>
  </si>
  <si>
    <t xml:space="preserve">nª  Cuotas por año</t>
  </si>
  <si>
    <t xml:space="preserve">Importe cuota</t>
  </si>
  <si>
    <t xml:space="preserve">Vto 1er Pago</t>
  </si>
  <si>
    <t xml:space="preserve">Fecha de pago</t>
  </si>
  <si>
    <t xml:space="preserve">Dispuesto inicialmente</t>
  </si>
  <si>
    <t xml:space="preserve">Total dispuesto 1er año</t>
  </si>
  <si>
    <t xml:space="preserve">Total dispuesto 2 año</t>
  </si>
  <si>
    <t xml:space="preserve">Total dispuesto 3er año</t>
  </si>
  <si>
    <t xml:space="preserve">Total dispuesto 4º año</t>
  </si>
  <si>
    <t xml:space="preserve">Total pagado 1er año</t>
  </si>
  <si>
    <t xml:space="preserve">Total pagado 2 año</t>
  </si>
  <si>
    <t xml:space="preserve">Total pagado 3er año</t>
  </si>
  <si>
    <t xml:space="preserve">Total pagado 4º año</t>
  </si>
  <si>
    <t xml:space="preserve">Disposiciones</t>
  </si>
  <si>
    <t xml:space="preserve">Amortizaciones</t>
  </si>
  <si>
    <t xml:space="preserve">Detalle de cuotas</t>
  </si>
  <si>
    <t xml:space="preserve">Socios</t>
  </si>
  <si>
    <t xml:space="preserve">Importe Cuota</t>
  </si>
  <si>
    <t xml:space="preserve">Plan de Inversión: 3 primeros años de actividad</t>
  </si>
  <si>
    <t xml:space="preserve">(Evolución del activo)</t>
  </si>
  <si>
    <t xml:space="preserve">Estimación Inicial</t>
  </si>
  <si>
    <t xml:space="preserve">Año  2</t>
  </si>
  <si>
    <t xml:space="preserve">Inmovilizado:</t>
  </si>
  <si>
    <t xml:space="preserve">   Inmovilizado Material</t>
  </si>
  <si>
    <t xml:space="preserve">           Amortización Inmovilizado Material</t>
  </si>
  <si>
    <t xml:space="preserve">   Inmovilizado Intangible</t>
  </si>
  <si>
    <t xml:space="preserve">           Amortización del Inmovilizado Intangible</t>
  </si>
  <si>
    <t xml:space="preserve">   Inmovilizado financiero</t>
  </si>
  <si>
    <t xml:space="preserve">Circulante:</t>
  </si>
  <si>
    <t xml:space="preserve">    Existencias</t>
  </si>
  <si>
    <t xml:space="preserve">    Realizable</t>
  </si>
  <si>
    <t xml:space="preserve">    Tesorería</t>
  </si>
  <si>
    <t xml:space="preserve">Total Circulante:</t>
  </si>
  <si>
    <t xml:space="preserve">Presupuesto de ventas</t>
  </si>
  <si>
    <t xml:space="preserve">Previsión a tres años:</t>
  </si>
  <si>
    <t xml:space="preserve">1er. año</t>
  </si>
  <si>
    <t xml:space="preserve">3er. año</t>
  </si>
  <si>
    <t xml:space="preserve">Ventas de productos</t>
  </si>
  <si>
    <t xml:space="preserve">Total ventas</t>
  </si>
  <si>
    <t xml:space="preserve">Total unidades:</t>
  </si>
  <si>
    <t xml:space="preserve">Total Euros:</t>
  </si>
  <si>
    <t xml:space="preserve">Ventas</t>
  </si>
  <si>
    <t xml:space="preserve">Nota:
En el presente informe no aparece reflejada la compra de existencias iniciales de mercancías, para no distorsionar el análisis de la evolución del negocio.</t>
  </si>
  <si>
    <t xml:space="preserve">MARGEN BRUTO</t>
  </si>
  <si>
    <t xml:space="preserve">Estimación de costes variables:</t>
  </si>
  <si>
    <t xml:space="preserve">Producto/Servicio</t>
  </si>
  <si>
    <t xml:space="preserve">Compras de mercancías o materias primas</t>
  </si>
  <si>
    <t xml:space="preserve">Costes directos imputables a los productos/ servicios</t>
  </si>
  <si>
    <t xml:space="preserve">Totales
</t>
  </si>
  <si>
    <t xml:space="preserve">IVA</t>
  </si>
  <si>
    <t xml:space="preserve">Total coste productos:</t>
  </si>
  <si>
    <t xml:space="preserve">% sobre ventas</t>
  </si>
  <si>
    <t xml:space="preserve">Totales</t>
  </si>
  <si>
    <t xml:space="preserve">Total costes variables s/ ventas:</t>
  </si>
  <si>
    <t xml:space="preserve">Total costes variables:</t>
  </si>
  <si>
    <t xml:space="preserve">Estructura de márgenes y costes:</t>
  </si>
  <si>
    <t xml:space="preserve">% s/tot</t>
  </si>
  <si>
    <t xml:space="preserve">% de con-</t>
  </si>
  <si>
    <t xml:space="preserve">ventas</t>
  </si>
  <si>
    <t xml:space="preserve">Costes</t>
  </si>
  <si>
    <t xml:space="preserve">coste</t>
  </si>
  <si>
    <t xml:space="preserve">Margen  </t>
  </si>
  <si>
    <t xml:space="preserve">tribución </t>
  </si>
  <si>
    <t xml:space="preserve">Estimación de costes variables</t>
  </si>
  <si>
    <t xml:space="preserve">Compras de mercancías o materias primas:</t>
  </si>
  <si>
    <t xml:space="preserve">Total coste de compras</t>
  </si>
  <si>
    <t xml:space="preserve">Otros costes directos imputables a los productos o servicios:</t>
  </si>
  <si>
    <t xml:space="preserve">Total otros costes directos imputables a los productos o servicios:</t>
  </si>
  <si>
    <t xml:space="preserve">Compras de existencias</t>
  </si>
  <si>
    <t xml:space="preserve">valor fin año</t>
  </si>
  <si>
    <t xml:space="preserve">Total+IVA (para empresas que no repercuten)</t>
  </si>
  <si>
    <t xml:space="preserve">Total otros costes directos imputables a los productos o servicios</t>
  </si>
  <si>
    <t xml:space="preserve">Política de Cobros y de Pagos de la Empresa</t>
  </si>
  <si>
    <t xml:space="preserve">Cobros por Ventas</t>
  </si>
  <si>
    <t xml:space="preserve">Ventas del período:</t>
  </si>
  <si>
    <t xml:space="preserve">Plazos de cobro:</t>
  </si>
  <si>
    <t xml:space="preserve">Contado</t>
  </si>
  <si>
    <t xml:space="preserve">Aplazado meses:</t>
  </si>
  <si>
    <t xml:space="preserve">Total cobrado:</t>
  </si>
  <si>
    <t xml:space="preserve">Saldo final de clientes:</t>
  </si>
  <si>
    <t xml:space="preserve">Total pagado:</t>
  </si>
  <si>
    <t xml:space="preserve">Aplazado compras iniciales:</t>
  </si>
  <si>
    <t xml:space="preserve">Saldo de proveedores</t>
  </si>
  <si>
    <t xml:space="preserve">Saldo final de proveedores</t>
  </si>
  <si>
    <t xml:space="preserve">   Total</t>
  </si>
  <si>
    <t xml:space="preserve">Ventas del período</t>
  </si>
  <si>
    <t xml:space="preserve">Ventas con IVA</t>
  </si>
  <si>
    <t xml:space="preserve">Saldo de clientes</t>
  </si>
  <si>
    <t xml:space="preserve">Pagos por Compras</t>
  </si>
  <si>
    <t xml:space="preserve">Compras del periodo</t>
  </si>
  <si>
    <t xml:space="preserve">IVA de las compras</t>
  </si>
  <si>
    <t xml:space="preserve">Compras con IVA</t>
  </si>
  <si>
    <t xml:space="preserve">Saldo de Proveedores</t>
  </si>
  <si>
    <t xml:space="preserve">Saldo de Proveedores:</t>
  </si>
</sst>
</file>

<file path=xl/styles.xml><?xml version="1.0" encoding="utf-8"?>
<styleSheet xmlns="http://schemas.openxmlformats.org/spreadsheetml/2006/main">
  <numFmts count="30">
    <numFmt numFmtId="164" formatCode="General"/>
    <numFmt numFmtId="165" formatCode="_-* #,##0.00\ [$€]_-;\-* #,##0.00\ [$€]_-;_-* \-??\ [$€]_-;_-@_-"/>
    <numFmt numFmtId="166" formatCode="0.00\ %"/>
    <numFmt numFmtId="167" formatCode="#,##0"/>
    <numFmt numFmtId="168" formatCode="#,##0.00"/>
    <numFmt numFmtId="169" formatCode="0.00"/>
    <numFmt numFmtId="170" formatCode="dd/mm/yyyy"/>
    <numFmt numFmtId="171" formatCode="mmm\-yy"/>
    <numFmt numFmtId="172" formatCode="General"/>
    <numFmt numFmtId="173" formatCode="0\ %"/>
    <numFmt numFmtId="174" formatCode="dd\-mm\-yy;@"/>
    <numFmt numFmtId="175" formatCode="d\-m\-yyyy"/>
    <numFmt numFmtId="176" formatCode="dd\-mm\-yy"/>
    <numFmt numFmtId="177" formatCode="[$-C0A]d\-mmm\-yy;@"/>
    <numFmt numFmtId="178" formatCode="0"/>
    <numFmt numFmtId="179" formatCode="[$-C0A]mmm\-yy;@"/>
    <numFmt numFmtId="180" formatCode="#,##0_ ;[RED]\-#,##0\ "/>
    <numFmt numFmtId="181" formatCode="_-* #,##0.00\ _p_t_a_-;\-* #,##0.00\ _p_t_a_-;_-* \-??\ _p_t_a_-;_-@_-"/>
    <numFmt numFmtId="182" formatCode="dd\-mmm"/>
    <numFmt numFmtId="183" formatCode="#,##0.000000000000000"/>
    <numFmt numFmtId="184" formatCode="0.0%"/>
    <numFmt numFmtId="185" formatCode="0.000000"/>
    <numFmt numFmtId="186" formatCode="#,##0.000000000000000000000000000000_ ;[RED]\-#,##0.000000000000000000000000000000\ "/>
    <numFmt numFmtId="187" formatCode="#,##0.00_ ;[RED]\-#,##0.00\ "/>
    <numFmt numFmtId="188" formatCode="d\-m\-yy;@"/>
    <numFmt numFmtId="189" formatCode="#,##0.0000"/>
    <numFmt numFmtId="190" formatCode="#,##0.0"/>
    <numFmt numFmtId="191" formatCode="_-* #,##0\ _p_t_a_-;\-* #,##0\ _p_t_a_-;_-* &quot;- &quot;_p_t_a_-;_-@_-"/>
    <numFmt numFmtId="192" formatCode="@"/>
    <numFmt numFmtId="193" formatCode="#,##0_ ;\-#,##0\ "/>
  </numFmts>
  <fonts count="106">
    <font>
      <sz val="10"/>
      <name val="Arial"/>
      <family val="0"/>
      <charset val="1"/>
    </font>
    <font>
      <sz val="10"/>
      <name val="Arial"/>
      <family val="0"/>
    </font>
    <font>
      <sz val="10"/>
      <name val="Arial"/>
      <family val="0"/>
    </font>
    <font>
      <sz val="10"/>
      <name val="Arial"/>
      <family val="0"/>
    </font>
    <font>
      <sz val="10"/>
      <color rgb="FFFF0000"/>
      <name val="Arial"/>
      <family val="2"/>
      <charset val="1"/>
    </font>
    <font>
      <b val="true"/>
      <sz val="10"/>
      <name val="Arial"/>
      <family val="2"/>
      <charset val="1"/>
    </font>
    <font>
      <sz val="14"/>
      <name val="Arial"/>
      <family val="2"/>
      <charset val="1"/>
    </font>
    <font>
      <b val="true"/>
      <sz val="24"/>
      <color rgb="FF558ED5"/>
      <name val="Arial"/>
      <family val="2"/>
      <charset val="1"/>
    </font>
    <font>
      <sz val="10"/>
      <color rgb="FF558ED5"/>
      <name val="Arial"/>
      <family val="2"/>
      <charset val="1"/>
    </font>
    <font>
      <sz val="18"/>
      <color rgb="FF17375E"/>
      <name val="Arial"/>
      <family val="2"/>
      <charset val="1"/>
    </font>
    <font>
      <sz val="8"/>
      <color rgb="FF984807"/>
      <name val="Arial"/>
      <family val="2"/>
      <charset val="1"/>
    </font>
    <font>
      <sz val="8"/>
      <name val="Arial"/>
      <family val="2"/>
      <charset val="1"/>
    </font>
    <font>
      <u val="single"/>
      <sz val="8"/>
      <color rgb="FF0000FF"/>
      <name val="Arial"/>
      <family val="2"/>
      <charset val="1"/>
    </font>
    <font>
      <u val="single"/>
      <sz val="10"/>
      <color rgb="FF0000FF"/>
      <name val="Arial"/>
      <family val="2"/>
      <charset val="1"/>
    </font>
    <font>
      <b val="true"/>
      <sz val="12"/>
      <color rgb="FF993300"/>
      <name val="Arial"/>
      <family val="2"/>
      <charset val="1"/>
    </font>
    <font>
      <i val="true"/>
      <sz val="10"/>
      <name val="Arial"/>
      <family val="2"/>
      <charset val="1"/>
    </font>
    <font>
      <b val="true"/>
      <i val="true"/>
      <sz val="10"/>
      <name val="Arial"/>
      <family val="2"/>
      <charset val="1"/>
    </font>
    <font>
      <b val="true"/>
      <sz val="11"/>
      <color rgb="FF993300"/>
      <name val="Arial"/>
      <family val="2"/>
      <charset val="1"/>
    </font>
    <font>
      <sz val="10"/>
      <name val="Arial"/>
      <family val="2"/>
      <charset val="1"/>
    </font>
    <font>
      <b val="true"/>
      <sz val="10"/>
      <color rgb="FF000080"/>
      <name val="Arial"/>
      <family val="0"/>
    </font>
    <font>
      <sz val="6"/>
      <name val="Arial"/>
      <family val="2"/>
      <charset val="1"/>
    </font>
    <font>
      <b val="true"/>
      <sz val="12"/>
      <color rgb="FF800000"/>
      <name val="Arial"/>
      <family val="2"/>
      <charset val="1"/>
    </font>
    <font>
      <b val="true"/>
      <sz val="8"/>
      <name val="Arial"/>
      <family val="2"/>
      <charset val="1"/>
    </font>
    <font>
      <sz val="10"/>
      <color rgb="FF0000FF"/>
      <name val="Arial"/>
      <family val="2"/>
      <charset val="1"/>
    </font>
    <font>
      <sz val="8"/>
      <color rgb="FF993300"/>
      <name val="Arial"/>
      <family val="2"/>
      <charset val="1"/>
    </font>
    <font>
      <b val="true"/>
      <sz val="8"/>
      <color rgb="FFC0C0C0"/>
      <name val="Arial"/>
      <family val="2"/>
      <charset val="1"/>
    </font>
    <font>
      <sz val="8"/>
      <color rgb="FF0000FF"/>
      <name val="Arial"/>
      <family val="2"/>
      <charset val="1"/>
    </font>
    <font>
      <sz val="8"/>
      <color rgb="FFC0C0C0"/>
      <name val="Arial"/>
      <family val="2"/>
      <charset val="1"/>
    </font>
    <font>
      <sz val="8"/>
      <color rgb="FFBFBFBF"/>
      <name val="Arial"/>
      <family val="2"/>
      <charset val="1"/>
    </font>
    <font>
      <b val="true"/>
      <sz val="12"/>
      <name val="Arial"/>
      <family val="2"/>
      <charset val="1"/>
    </font>
    <font>
      <i val="true"/>
      <sz val="8"/>
      <color rgb="FF993300"/>
      <name val="Arial"/>
      <family val="2"/>
      <charset val="1"/>
    </font>
    <font>
      <sz val="9"/>
      <color rgb="FF993300"/>
      <name val="Arial"/>
      <family val="0"/>
    </font>
    <font>
      <sz val="10"/>
      <color rgb="FF969696"/>
      <name val="Arial"/>
      <family val="2"/>
      <charset val="1"/>
    </font>
    <font>
      <sz val="8"/>
      <color rgb="FF969696"/>
      <name val="Arial"/>
      <family val="2"/>
      <charset val="1"/>
    </font>
    <font>
      <i val="true"/>
      <sz val="10"/>
      <color rgb="FF984807"/>
      <name val="Arial"/>
      <family val="2"/>
      <charset val="1"/>
    </font>
    <font>
      <b val="true"/>
      <i val="true"/>
      <sz val="10"/>
      <color rgb="FF993300"/>
      <name val="Arial"/>
      <family val="2"/>
      <charset val="1"/>
    </font>
    <font>
      <i val="true"/>
      <sz val="10"/>
      <color rgb="FF993300"/>
      <name val="Arial"/>
      <family val="2"/>
      <charset val="1"/>
    </font>
    <font>
      <sz val="10"/>
      <color rgb="FFC0C0C0"/>
      <name val="Arial"/>
      <family val="2"/>
      <charset val="1"/>
    </font>
    <font>
      <b val="true"/>
      <sz val="8"/>
      <color rgb="FF000000"/>
      <name val="Arial"/>
      <family val="2"/>
      <charset val="1"/>
    </font>
    <font>
      <i val="true"/>
      <sz val="8"/>
      <name val="Arial"/>
      <family val="2"/>
      <charset val="1"/>
    </font>
    <font>
      <sz val="14"/>
      <color rgb="FFFF0000"/>
      <name val="Arial"/>
      <family val="2"/>
      <charset val="1"/>
    </font>
    <font>
      <b val="true"/>
      <u val="single"/>
      <sz val="8"/>
      <color rgb="FF000000"/>
      <name val="Tahoma"/>
      <family val="2"/>
      <charset val="1"/>
    </font>
    <font>
      <b val="true"/>
      <sz val="8"/>
      <color rgb="FF000000"/>
      <name val="Tahoma"/>
      <family val="2"/>
      <charset val="1"/>
    </font>
    <font>
      <i val="true"/>
      <sz val="10"/>
      <color rgb="FF993300"/>
      <name val="Arial"/>
      <family val="0"/>
    </font>
    <font>
      <b val="true"/>
      <i val="true"/>
      <sz val="8"/>
      <color rgb="FF993300"/>
      <name val="Arial"/>
      <family val="2"/>
      <charset val="1"/>
    </font>
    <font>
      <sz val="8"/>
      <color rgb="FF000000"/>
      <name val="Arial"/>
      <family val="2"/>
      <charset val="1"/>
    </font>
    <font>
      <i val="true"/>
      <sz val="9"/>
      <color rgb="FF984807"/>
      <name val="Arial"/>
      <family val="2"/>
      <charset val="1"/>
    </font>
    <font>
      <b val="true"/>
      <sz val="11"/>
      <name val="Arial"/>
      <family val="2"/>
      <charset val="1"/>
    </font>
    <font>
      <b val="true"/>
      <i val="true"/>
      <sz val="9"/>
      <color rgb="FF993300"/>
      <name val="Arial"/>
      <family val="2"/>
      <charset val="1"/>
    </font>
    <font>
      <i val="true"/>
      <sz val="9"/>
      <color rgb="FF993300"/>
      <name val="Arial"/>
      <family val="2"/>
      <charset val="1"/>
    </font>
    <font>
      <sz val="10"/>
      <color rgb="FF993300"/>
      <name val="Arial"/>
      <family val="2"/>
      <charset val="1"/>
    </font>
    <font>
      <sz val="6"/>
      <color rgb="FFFFFFFF"/>
      <name val="Arial"/>
      <family val="2"/>
      <charset val="1"/>
    </font>
    <font>
      <sz val="8"/>
      <color rgb="FFFF0000"/>
      <name val="Arial"/>
      <family val="2"/>
      <charset val="1"/>
    </font>
    <font>
      <b val="true"/>
      <sz val="10"/>
      <color rgb="FFFF0000"/>
      <name val="Arial"/>
      <family val="2"/>
      <charset val="1"/>
    </font>
    <font>
      <b val="true"/>
      <sz val="14"/>
      <name val="Arial"/>
      <family val="2"/>
      <charset val="1"/>
    </font>
    <font>
      <b val="true"/>
      <sz val="12"/>
      <color rgb="FFFF0000"/>
      <name val="Arial"/>
      <family val="2"/>
      <charset val="1"/>
    </font>
    <font>
      <b val="true"/>
      <u val="single"/>
      <sz val="9"/>
      <color rgb="FF000000"/>
      <name val="Arial"/>
      <family val="2"/>
      <charset val="1"/>
    </font>
    <font>
      <sz val="9"/>
      <color rgb="FF000000"/>
      <name val="Arial"/>
      <family val="2"/>
      <charset val="1"/>
    </font>
    <font>
      <b val="true"/>
      <sz val="9"/>
      <color rgb="FF000000"/>
      <name val="Arial"/>
      <family val="2"/>
      <charset val="1"/>
    </font>
    <font>
      <sz val="8"/>
      <color rgb="FF000000"/>
      <name val="Tahoma"/>
      <family val="2"/>
      <charset val="1"/>
    </font>
    <font>
      <sz val="9"/>
      <color rgb="FF000000"/>
      <name val="Tahoma"/>
      <family val="2"/>
      <charset val="1"/>
    </font>
    <font>
      <b val="true"/>
      <i val="true"/>
      <sz val="12"/>
      <color rgb="FFFF0000"/>
      <name val="Arial"/>
      <family val="2"/>
      <charset val="1"/>
    </font>
    <font>
      <sz val="10"/>
      <color rgb="FF000000"/>
      <name val="Arial"/>
      <family val="2"/>
      <charset val="1"/>
    </font>
    <font>
      <sz val="16"/>
      <name val="Arial"/>
      <family val="2"/>
      <charset val="1"/>
    </font>
    <font>
      <sz val="14"/>
      <color rgb="FF800000"/>
      <name val="Arial"/>
      <family val="2"/>
      <charset val="1"/>
    </font>
    <font>
      <b val="true"/>
      <u val="single"/>
      <sz val="10"/>
      <name val="Arial"/>
      <family val="2"/>
      <charset val="1"/>
    </font>
    <font>
      <sz val="7"/>
      <name val="Arial"/>
      <family val="2"/>
      <charset val="1"/>
    </font>
    <font>
      <sz val="11"/>
      <name val="Arial"/>
      <family val="2"/>
      <charset val="1"/>
    </font>
    <font>
      <b val="true"/>
      <sz val="10"/>
      <color rgb="FF000000"/>
      <name val="Arial"/>
      <family val="2"/>
      <charset val="1"/>
    </font>
    <font>
      <sz val="11"/>
      <color rgb="FF000000"/>
      <name val="Arial"/>
      <family val="2"/>
      <charset val="1"/>
    </font>
    <font>
      <b val="true"/>
      <sz val="11"/>
      <color rgb="FF000000"/>
      <name val="Arial"/>
      <family val="2"/>
      <charset val="1"/>
    </font>
    <font>
      <sz val="12"/>
      <name val="Arial"/>
      <family val="2"/>
      <charset val="1"/>
    </font>
    <font>
      <b val="true"/>
      <sz val="11"/>
      <color rgb="FFC0C0C0"/>
      <name val="Arial"/>
      <family val="2"/>
      <charset val="1"/>
    </font>
    <font>
      <sz val="7"/>
      <color rgb="FFC0C0C0"/>
      <name val="Arial"/>
      <family val="2"/>
      <charset val="1"/>
    </font>
    <font>
      <sz val="14"/>
      <color rgb="FF993300"/>
      <name val="Arial"/>
      <family val="2"/>
      <charset val="1"/>
    </font>
    <font>
      <b val="true"/>
      <sz val="10"/>
      <color rgb="FFC0C0C0"/>
      <name val="Arial"/>
      <family val="2"/>
      <charset val="1"/>
    </font>
    <font>
      <b val="true"/>
      <sz val="7"/>
      <name val="Arial"/>
      <family val="2"/>
      <charset val="1"/>
    </font>
    <font>
      <b val="true"/>
      <sz val="10"/>
      <color rgb="FF993300"/>
      <name val="Arial"/>
      <family val="2"/>
      <charset val="1"/>
    </font>
    <font>
      <sz val="10"/>
      <name val="Times New Roman"/>
      <family val="1"/>
      <charset val="1"/>
    </font>
    <font>
      <sz val="10"/>
      <color rgb="FFFF9900"/>
      <name val="Arial"/>
      <family val="2"/>
      <charset val="1"/>
    </font>
    <font>
      <i val="true"/>
      <sz val="10"/>
      <color rgb="FF993300"/>
      <name val="Times New Roman"/>
      <family val="1"/>
      <charset val="1"/>
    </font>
    <font>
      <b val="true"/>
      <sz val="18"/>
      <name val="Arial"/>
      <family val="2"/>
      <charset val="1"/>
    </font>
    <font>
      <b val="true"/>
      <sz val="10"/>
      <color rgb="FF800000"/>
      <name val="Arial"/>
      <family val="2"/>
      <charset val="1"/>
    </font>
    <font>
      <b val="true"/>
      <sz val="12"/>
      <color rgb="FF000000"/>
      <name val="Arial"/>
      <family val="2"/>
      <charset val="1"/>
    </font>
    <font>
      <b val="true"/>
      <sz val="9"/>
      <name val="Arial"/>
      <family val="2"/>
      <charset val="1"/>
    </font>
    <font>
      <sz val="10"/>
      <color rgb="FFBFBFBF"/>
      <name val="Arial"/>
      <family val="2"/>
      <charset val="1"/>
    </font>
    <font>
      <sz val="10"/>
      <color rgb="FFA6A6A6"/>
      <name val="Arial"/>
      <family val="2"/>
      <charset val="1"/>
    </font>
    <font>
      <sz val="11"/>
      <color rgb="FF984807"/>
      <name val="Arial"/>
      <family val="2"/>
      <charset val="1"/>
    </font>
    <font>
      <b val="true"/>
      <sz val="14"/>
      <color rgb="FF993300"/>
      <name val="Arial"/>
      <family val="2"/>
      <charset val="1"/>
    </font>
    <font>
      <b val="true"/>
      <sz val="14"/>
      <color rgb="FF000000"/>
      <name val="Arial"/>
      <family val="2"/>
      <charset val="1"/>
    </font>
    <font>
      <sz val="12"/>
      <color rgb="FF000000"/>
      <name val="Arial"/>
      <family val="2"/>
      <charset val="1"/>
    </font>
    <font>
      <sz val="10"/>
      <color rgb="FFFFFFFF"/>
      <name val="Arial"/>
      <family val="2"/>
      <charset val="1"/>
    </font>
    <font>
      <b val="true"/>
      <sz val="16"/>
      <color rgb="FFFF0000"/>
      <name val="Arial"/>
      <family val="2"/>
      <charset val="1"/>
    </font>
    <font>
      <b val="true"/>
      <sz val="16"/>
      <color rgb="FF000000"/>
      <name val="Arial"/>
      <family val="2"/>
      <charset val="1"/>
    </font>
    <font>
      <b val="true"/>
      <sz val="12"/>
      <color rgb="FFC0C0C0"/>
      <name val="Arial"/>
      <family val="2"/>
      <charset val="1"/>
    </font>
    <font>
      <sz val="12"/>
      <color rgb="FFC0C0C0"/>
      <name val="Arial"/>
      <family val="2"/>
      <charset val="1"/>
    </font>
    <font>
      <u val="single"/>
      <sz val="8"/>
      <name val="Arial"/>
      <family val="2"/>
      <charset val="1"/>
    </font>
    <font>
      <sz val="12"/>
      <name val="Times New Roman"/>
      <family val="1"/>
      <charset val="1"/>
    </font>
    <font>
      <b val="true"/>
      <sz val="9"/>
      <color rgb="FF993300"/>
      <name val="Arial"/>
      <family val="2"/>
      <charset val="1"/>
    </font>
    <font>
      <i val="true"/>
      <sz val="10"/>
      <color rgb="FFFF0000"/>
      <name val="Arial"/>
      <family val="2"/>
      <charset val="1"/>
    </font>
    <font>
      <sz val="9"/>
      <name val="Arial"/>
      <family val="2"/>
      <charset val="1"/>
    </font>
    <font>
      <b val="true"/>
      <sz val="20"/>
      <name val="Arial"/>
      <family val="2"/>
      <charset val="1"/>
    </font>
    <font>
      <b val="true"/>
      <sz val="14"/>
      <color rgb="FF800000"/>
      <name val="Arial"/>
      <family val="2"/>
      <charset val="1"/>
    </font>
    <font>
      <sz val="10"/>
      <color rgb="FF984807"/>
      <name val="Arial"/>
      <family val="2"/>
      <charset val="1"/>
    </font>
    <font>
      <sz val="10"/>
      <color rgb="FFFF6600"/>
      <name val="Arial"/>
      <family val="2"/>
      <charset val="1"/>
    </font>
    <font>
      <b val="true"/>
      <sz val="10"/>
      <name val="Times New Roman"/>
      <family val="1"/>
      <charset val="1"/>
    </font>
  </fonts>
  <fills count="13">
    <fill>
      <patternFill patternType="none"/>
    </fill>
    <fill>
      <patternFill patternType="gray125"/>
    </fill>
    <fill>
      <patternFill patternType="solid">
        <fgColor rgb="FFCCFFFF"/>
        <bgColor rgb="FFCCECFF"/>
      </patternFill>
    </fill>
    <fill>
      <patternFill patternType="solid">
        <fgColor rgb="FF969696"/>
        <bgColor rgb="FFA6A6A6"/>
      </patternFill>
    </fill>
    <fill>
      <patternFill patternType="solid">
        <fgColor rgb="FFC0C0C0"/>
        <bgColor rgb="FFBFBFBF"/>
      </patternFill>
    </fill>
    <fill>
      <patternFill patternType="solid">
        <fgColor rgb="FFFFFFFF"/>
        <bgColor rgb="FFFFFFCC"/>
      </patternFill>
    </fill>
    <fill>
      <patternFill patternType="solid">
        <fgColor rgb="FFCCECFF"/>
        <bgColor rgb="FFDCE6F2"/>
      </patternFill>
    </fill>
    <fill>
      <patternFill patternType="solid">
        <fgColor rgb="FFFFFF00"/>
        <bgColor rgb="FFFFFF00"/>
      </patternFill>
    </fill>
    <fill>
      <patternFill patternType="solid">
        <fgColor rgb="FFDCE6F2"/>
        <bgColor rgb="FFCCECFF"/>
      </patternFill>
    </fill>
    <fill>
      <patternFill patternType="solid">
        <fgColor rgb="FFD7E4BD"/>
        <bgColor rgb="FFDCE6F2"/>
      </patternFill>
    </fill>
    <fill>
      <patternFill patternType="solid">
        <fgColor rgb="FFFFFFCC"/>
        <bgColor rgb="FFFFFFFF"/>
      </patternFill>
    </fill>
    <fill>
      <patternFill patternType="solid">
        <fgColor rgb="FFFFCC99"/>
        <bgColor rgb="FFD7E4BD"/>
      </patternFill>
    </fill>
    <fill>
      <patternFill patternType="solid">
        <fgColor rgb="FFCCFFCC"/>
        <bgColor rgb="FFCCFFFF"/>
      </patternFill>
    </fill>
  </fills>
  <borders count="15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thin"/>
      <diagonal/>
    </border>
    <border diagonalUp="false" diagonalDown="false">
      <left/>
      <right style="thin"/>
      <top style="thin"/>
      <bottom style="thin"/>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double"/>
      <right style="double"/>
      <top style="double"/>
      <bottom style="double"/>
      <diagonal/>
    </border>
    <border diagonalUp="false" diagonalDown="false">
      <left/>
      <right/>
      <top/>
      <bottom style="thin"/>
      <diagonal/>
    </border>
    <border diagonalUp="false" diagonalDown="false">
      <left/>
      <right/>
      <top style="thin"/>
      <bottom/>
      <diagonal/>
    </border>
    <border diagonalUp="false" diagonalDown="false">
      <left style="double"/>
      <right style="double"/>
      <top style="thin"/>
      <bottom style="thin"/>
      <diagonal/>
    </border>
    <border diagonalUp="false" diagonalDown="false">
      <left style="double"/>
      <right/>
      <top/>
      <bottom/>
      <diagonal/>
    </border>
    <border diagonalUp="false" diagonalDown="false">
      <left style="double"/>
      <right style="double"/>
      <top style="thin"/>
      <bottom style="double"/>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style="thin"/>
      <diagonal/>
    </border>
    <border diagonalUp="false" diagonalDown="false">
      <left style="thin"/>
      <right/>
      <top/>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top style="double"/>
      <bottom/>
      <diagonal/>
    </border>
    <border diagonalUp="false" diagonalDown="false">
      <left style="thin"/>
      <right style="thin"/>
      <top/>
      <botto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style="thin"/>
      <right style="medium"/>
      <top style="thin"/>
      <bottom/>
      <diagonal/>
    </border>
    <border diagonalUp="false" diagonalDown="false">
      <left/>
      <right style="medium"/>
      <top style="thin"/>
      <bottom style="thin"/>
      <diagonal/>
    </border>
    <border diagonalUp="false" diagonalDown="false">
      <left style="thin"/>
      <right style="thin"/>
      <top/>
      <bottom style="thin"/>
      <diagonal/>
    </border>
    <border diagonalUp="false" diagonalDown="false">
      <left style="double"/>
      <right style="thin"/>
      <top style="double"/>
      <bottom style="double"/>
      <diagonal/>
    </border>
    <border diagonalUp="false" diagonalDown="false">
      <left style="thin"/>
      <right style="double"/>
      <top style="double"/>
      <bottom style="double"/>
      <diagonal/>
    </border>
    <border diagonalUp="false" diagonalDown="false">
      <left style="thin"/>
      <right/>
      <top/>
      <bottom style="thin"/>
      <diagonal/>
    </border>
    <border diagonalUp="false" diagonalDown="false">
      <left style="medium">
        <color rgb="FFC0C0C0"/>
      </left>
      <right style="medium">
        <color rgb="FFC0C0C0"/>
      </right>
      <top style="medium">
        <color rgb="FFC0C0C0"/>
      </top>
      <bottom style="medium">
        <color rgb="FFC0C0C0"/>
      </bottom>
      <diagonal/>
    </border>
    <border diagonalUp="false" diagonalDown="false">
      <left/>
      <right style="medium">
        <color rgb="FFC0C0C0"/>
      </right>
      <top style="medium">
        <color rgb="FFC0C0C0"/>
      </top>
      <bottom style="medium">
        <color rgb="FFC0C0C0"/>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top style="thin"/>
      <bottom style="thin"/>
      <diagonal/>
    </border>
    <border diagonalUp="false" diagonalDown="false">
      <left style="thin"/>
      <right style="thin"/>
      <top style="double"/>
      <bottom style="double"/>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right/>
      <top/>
      <bottom style="medium"/>
      <diagonal/>
    </border>
    <border diagonalUp="false" diagonalDown="false">
      <left/>
      <right style="thin"/>
      <top/>
      <botto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right/>
      <top/>
      <bottom style="double"/>
      <diagonal/>
    </border>
    <border diagonalUp="false" diagonalDown="false">
      <left style="double"/>
      <right/>
      <top style="double"/>
      <bottom style="thin"/>
      <diagonal/>
    </border>
    <border diagonalUp="false" diagonalDown="false">
      <left style="thin"/>
      <right style="double"/>
      <top style="double"/>
      <bottom/>
      <diagonal/>
    </border>
    <border diagonalUp="false" diagonalDown="false">
      <left style="thin"/>
      <right style="double"/>
      <top style="thin"/>
      <bottom style="thin"/>
      <diagonal/>
    </border>
    <border diagonalUp="false" diagonalDown="false">
      <left style="thin"/>
      <right style="double"/>
      <top/>
      <bottom/>
      <diagonal/>
    </border>
    <border diagonalUp="false" diagonalDown="false">
      <left style="thin"/>
      <right style="double"/>
      <top/>
      <bottom style="thin"/>
      <diagonal/>
    </border>
    <border diagonalUp="false" diagonalDown="false">
      <left style="double"/>
      <right/>
      <top/>
      <bottom style="double"/>
      <diagonal/>
    </border>
    <border diagonalUp="false" diagonalDown="false">
      <left style="thin"/>
      <right style="double"/>
      <top/>
      <bottom style="double"/>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double"/>
      <right style="thin"/>
      <top style="thin"/>
      <bottom/>
      <diagonal/>
    </border>
    <border diagonalUp="false" diagonalDown="false">
      <left style="thin"/>
      <right style="double"/>
      <top style="thin"/>
      <bottom/>
      <diagonal/>
    </border>
    <border diagonalUp="false" diagonalDown="false">
      <left/>
      <right style="thin"/>
      <top style="double"/>
      <bottom style="thin"/>
      <diagonal/>
    </border>
    <border diagonalUp="false" diagonalDown="false">
      <left/>
      <right/>
      <top style="double"/>
      <bottom style="thin"/>
      <diagonal/>
    </border>
    <border diagonalUp="false" diagonalDown="false">
      <left/>
      <right style="thin"/>
      <top style="double"/>
      <bottom/>
      <diagonal/>
    </border>
    <border diagonalUp="false" diagonalDown="false">
      <left/>
      <right style="double"/>
      <top style="double"/>
      <bottom style="thin"/>
      <diagonal/>
    </border>
    <border diagonalUp="false" diagonalDown="false">
      <left style="double"/>
      <right/>
      <top style="thin"/>
      <bottom style="thin"/>
      <diagonal/>
    </border>
    <border diagonalUp="false" diagonalDown="false">
      <left/>
      <right style="double"/>
      <top style="thin"/>
      <bottom style="thin"/>
      <diagonal/>
    </border>
    <border diagonalUp="false" diagonalDown="false">
      <left/>
      <right style="double"/>
      <top/>
      <bottom/>
      <diagonal/>
    </border>
    <border diagonalUp="false" diagonalDown="false">
      <left style="double"/>
      <right/>
      <top/>
      <bottom style="thin"/>
      <diagonal/>
    </border>
    <border diagonalUp="false" diagonalDown="false">
      <left/>
      <right style="double"/>
      <top/>
      <bottom style="thin"/>
      <diagonal/>
    </border>
    <border diagonalUp="false" diagonalDown="false">
      <left/>
      <right style="double"/>
      <top style="thin"/>
      <bottom/>
      <diagonal/>
    </border>
    <border diagonalUp="false" diagonalDown="false">
      <left style="double"/>
      <right style="thin"/>
      <top/>
      <bottom style="thin"/>
      <diagonal/>
    </border>
    <border diagonalUp="false" diagonalDown="false">
      <left/>
      <right style="thin"/>
      <top/>
      <bottom style="double"/>
      <diagonal/>
    </border>
    <border diagonalUp="false" diagonalDown="false">
      <left/>
      <right style="double"/>
      <top/>
      <bottom style="double"/>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diagonal/>
    </border>
    <border diagonalUp="false" diagonalDown="false">
      <left/>
      <right style="thin"/>
      <top style="medium"/>
      <bottom/>
      <diagonal/>
    </border>
    <border diagonalUp="false" diagonalDown="false">
      <left/>
      <right style="medium"/>
      <top style="medium"/>
      <bottom/>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thin"/>
      <bottom/>
      <diagonal/>
    </border>
    <border diagonalUp="false" diagonalDown="false">
      <left style="medium"/>
      <right/>
      <top/>
      <bottom style="medium"/>
      <diagonal/>
    </border>
    <border diagonalUp="false" diagonalDown="false">
      <left/>
      <right style="thin"/>
      <top/>
      <bottom style="medium"/>
      <diagonal/>
    </border>
    <border diagonalUp="false" diagonalDown="false">
      <left/>
      <right style="medium"/>
      <top/>
      <bottom style="medium"/>
      <diagonal/>
    </border>
    <border diagonalUp="false" diagonalDown="false">
      <left/>
      <right/>
      <top style="double"/>
      <bottom style="double"/>
      <diagonal/>
    </border>
    <border diagonalUp="false" diagonalDown="false">
      <left/>
      <right style="double"/>
      <top style="double"/>
      <bottom/>
      <diagonal/>
    </border>
    <border diagonalUp="false" diagonalDown="false">
      <left style="double"/>
      <right/>
      <top style="thin"/>
      <bottom style="double"/>
      <diagonal/>
    </border>
    <border diagonalUp="false" diagonalDown="false">
      <left/>
      <right/>
      <top style="thin"/>
      <bottom style="double"/>
      <diagonal/>
    </border>
    <border diagonalUp="false" diagonalDown="false">
      <left/>
      <right style="double"/>
      <top style="thin"/>
      <bottom style="double"/>
      <diagonal/>
    </border>
    <border diagonalUp="false" diagonalDown="false">
      <left style="double"/>
      <right/>
      <top style="double"/>
      <bottom/>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ck"/>
      <top style="thin"/>
      <bottom style="thick"/>
      <diagonal/>
    </border>
    <border diagonalUp="false" diagonalDown="false">
      <left style="medium"/>
      <right style="thin"/>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thin"/>
      <right/>
      <top style="thin"/>
      <bottom style="medium"/>
      <diagonal/>
    </border>
    <border diagonalUp="false" diagonalDown="false">
      <left style="medium"/>
      <right style="medium"/>
      <top style="medium"/>
      <bottom style="medium"/>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style="double"/>
      <right/>
      <top style="thin"/>
      <bottom style="medium"/>
      <diagonal/>
    </border>
    <border diagonalUp="false" diagonalDown="false">
      <left/>
      <right/>
      <top style="thin"/>
      <bottom style="medium"/>
      <diagonal/>
    </border>
    <border diagonalUp="false" diagonalDown="false">
      <left/>
      <right style="double"/>
      <top style="thin"/>
      <bottom style="medium"/>
      <diagonal/>
    </border>
    <border diagonalUp="false" diagonalDown="false">
      <left/>
      <right style="thick"/>
      <top style="double"/>
      <bottom/>
      <diagonal/>
    </border>
    <border diagonalUp="false" diagonalDown="false">
      <left style="thick"/>
      <right style="thick"/>
      <top style="double"/>
      <bottom/>
      <diagonal/>
    </border>
    <border diagonalUp="false" diagonalDown="false">
      <left style="thick"/>
      <right style="double"/>
      <top style="double"/>
      <bottom/>
      <diagonal/>
    </border>
    <border diagonalUp="false" diagonalDown="false">
      <left style="double"/>
      <right/>
      <top/>
      <bottom style="medium"/>
      <diagonal/>
    </border>
    <border diagonalUp="false" diagonalDown="false">
      <left/>
      <right style="thick"/>
      <top/>
      <bottom style="medium"/>
      <diagonal/>
    </border>
    <border diagonalUp="false" diagonalDown="false">
      <left/>
      <right style="double"/>
      <top/>
      <bottom style="medium"/>
      <diagonal/>
    </border>
    <border diagonalUp="false" diagonalDown="false">
      <left style="double"/>
      <right/>
      <top style="thin"/>
      <bottom/>
      <diagonal/>
    </border>
    <border diagonalUp="false" diagonalDown="false">
      <left/>
      <right style="thick"/>
      <top style="thin"/>
      <bottom/>
      <diagonal/>
    </border>
    <border diagonalUp="false" diagonalDown="false">
      <left style="double"/>
      <right/>
      <top style="medium"/>
      <bottom style="medium"/>
      <diagonal/>
    </border>
    <border diagonalUp="false" diagonalDown="false">
      <left/>
      <right style="thick"/>
      <top style="medium"/>
      <bottom style="medium"/>
      <diagonal/>
    </border>
    <border diagonalUp="false" diagonalDown="false">
      <left/>
      <right style="double"/>
      <top style="medium"/>
      <bottom style="medium"/>
      <diagonal/>
    </border>
    <border diagonalUp="false" diagonalDown="false">
      <left/>
      <right/>
      <top style="medium"/>
      <bottom style="double"/>
      <diagonal/>
    </border>
    <border diagonalUp="false" diagonalDown="false">
      <left/>
      <right style="thick"/>
      <top style="medium"/>
      <bottom style="double"/>
      <diagonal/>
    </border>
    <border diagonalUp="false" diagonalDown="false">
      <left/>
      <right style="double"/>
      <top style="medium"/>
      <bottom style="double"/>
      <diagonal/>
    </border>
    <border diagonalUp="false" diagonalDown="false">
      <left style="double"/>
      <right style="thin"/>
      <top style="double"/>
      <bottom/>
      <diagonal/>
    </border>
    <border diagonalUp="false" diagonalDown="false">
      <left style="thin"/>
      <right/>
      <top style="double"/>
      <bottom style="thin"/>
      <diagonal/>
    </border>
    <border diagonalUp="false" diagonalDown="false">
      <left style="medium"/>
      <right style="double"/>
      <top style="double"/>
      <bottom style="thin"/>
      <diagonal/>
    </border>
    <border diagonalUp="false" diagonalDown="false">
      <left style="medium"/>
      <right style="double"/>
      <top style="thin"/>
      <bottom/>
      <diagonal/>
    </border>
    <border diagonalUp="false" diagonalDown="false">
      <left style="double"/>
      <right style="thin"/>
      <top/>
      <bottom style="medium"/>
      <diagonal/>
    </border>
    <border diagonalUp="false" diagonalDown="false">
      <left style="thin"/>
      <right style="thin"/>
      <top/>
      <bottom style="medium"/>
      <diagonal/>
    </border>
    <border diagonalUp="false" diagonalDown="false">
      <left style="medium"/>
      <right style="double"/>
      <top/>
      <bottom style="medium"/>
      <diagonal/>
    </border>
    <border diagonalUp="false" diagonalDown="false">
      <left style="medium"/>
      <right style="double"/>
      <top style="medium"/>
      <bottom style="medium"/>
      <diagonal/>
    </border>
    <border diagonalUp="false" diagonalDown="false">
      <left style="thin"/>
      <right style="thin"/>
      <top/>
      <bottom style="double"/>
      <diagonal/>
    </border>
    <border diagonalUp="false" diagonalDown="false">
      <left style="medium"/>
      <right style="double"/>
      <top/>
      <bottom style="double"/>
      <diagonal/>
    </border>
    <border diagonalUp="false" diagonalDown="false">
      <left style="thin"/>
      <right style="double"/>
      <top/>
      <bottom style="medium"/>
      <diagonal/>
    </border>
    <border diagonalUp="false" diagonalDown="false">
      <left style="thin"/>
      <right style="double"/>
      <top style="medium"/>
      <bottom style="medium"/>
      <diagonal/>
    </border>
    <border diagonalUp="false" diagonalDown="false">
      <left style="medium"/>
      <right style="medium"/>
      <top/>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style="thin"/>
      <top style="medium"/>
      <bottom style="thin"/>
      <diagonal/>
    </border>
    <border diagonalUp="false" diagonalDown="false">
      <left style="medium"/>
      <right/>
      <top style="thin"/>
      <bottom/>
      <diagonal/>
    </border>
    <border diagonalUp="false" diagonalDown="false">
      <left style="medium"/>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91" fontId="0" fillId="0" borderId="0" applyFont="true" applyBorder="false" applyAlignment="true" applyProtection="false">
      <alignment horizontal="general" vertical="bottom" textRotation="0" wrapText="false" indent="0" shrinkToFit="false"/>
    </xf>
  </cellStyleXfs>
  <cellXfs count="13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7" fontId="0" fillId="3"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8" fontId="0" fillId="4" borderId="1"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0" fillId="0" borderId="2" xfId="0" applyFont="false" applyBorder="true" applyAlignment="true" applyProtection="true">
      <alignment horizontal="general" vertical="bottom" textRotation="0" wrapText="false" indent="0" shrinkToFit="false"/>
      <protection locked="true" hidden="false"/>
    </xf>
    <xf numFmtId="168" fontId="0" fillId="0" borderId="3" xfId="0" applyFont="false" applyBorder="true" applyAlignment="true" applyProtection="true">
      <alignment horizontal="general" vertical="bottom" textRotation="0" wrapText="false" indent="0" shrinkToFit="false"/>
      <protection locked="true" hidden="false"/>
    </xf>
    <xf numFmtId="168"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center" vertical="bottom" textRotation="0" wrapText="false" indent="0" shrinkToFit="false"/>
      <protection locked="true" hidden="false"/>
    </xf>
    <xf numFmtId="168" fontId="0" fillId="5"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8" fontId="0" fillId="0" borderId="5" xfId="0" applyFont="fals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8" fontId="0" fillId="0" borderId="8"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6" borderId="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7" fillId="0" borderId="0" xfId="0" applyFont="true" applyBorder="true" applyAlignment="true" applyProtection="true">
      <alignment horizontal="center"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18" fillId="7" borderId="0" xfId="0" applyFont="true" applyBorder="true" applyAlignment="true" applyProtection="true">
      <alignment horizontal="center" vertical="bottom" textRotation="0" wrapText="false" indent="0" shrinkToFit="false"/>
      <protection locked="true" hidden="false"/>
    </xf>
    <xf numFmtId="164" fontId="18" fillId="8" borderId="0" xfId="0" applyFont="true" applyBorder="true" applyAlignment="true" applyProtection="true">
      <alignment horizontal="center" vertical="bottom" textRotation="0" wrapText="false" indent="0" shrinkToFit="false"/>
      <protection locked="true" hidden="false"/>
    </xf>
    <xf numFmtId="164" fontId="18" fillId="9" borderId="0"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7" fontId="11" fillId="0" borderId="0" xfId="0" applyFont="true" applyBorder="false" applyAlignment="true" applyProtection="true">
      <alignment horizontal="general"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7"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10" borderId="9" xfId="0" applyFont="true" applyBorder="true" applyAlignment="true" applyProtection="true">
      <alignment horizontal="general" vertical="bottom" textRotation="0" wrapText="false" indent="0" shrinkToFit="false"/>
      <protection locked="fals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70" fontId="26" fillId="10" borderId="9" xfId="0" applyFont="true" applyBorder="true" applyAlignment="true" applyProtection="true">
      <alignment horizontal="general" vertical="bottom" textRotation="0" wrapText="false" indent="0" shrinkToFit="false"/>
      <protection locked="false" hidden="false"/>
    </xf>
    <xf numFmtId="167" fontId="10" fillId="0" borderId="0" xfId="0" applyFont="true" applyBorder="tru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71" fontId="28" fillId="0" borderId="0" xfId="0" applyFont="true" applyBorder="false" applyAlignment="true" applyProtection="true">
      <alignment horizontal="general" vertical="bottom" textRotation="0" wrapText="false" indent="0" shrinkToFit="false"/>
      <protection locked="true" hidden="false"/>
    </xf>
    <xf numFmtId="167" fontId="28" fillId="0" borderId="0" xfId="0" applyFont="true" applyBorder="false" applyAlignment="true" applyProtection="true">
      <alignment horizontal="general" vertical="bottom" textRotation="0" wrapText="false" indent="0" shrinkToFit="false"/>
      <protection locked="true" hidden="false"/>
    </xf>
    <xf numFmtId="172" fontId="28"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7" fontId="24" fillId="0" borderId="0" xfId="0" applyFont="true" applyBorder="false" applyAlignment="true" applyProtection="true">
      <alignment horizontal="general" vertical="bottom" textRotation="0" wrapText="false" indent="0" shrinkToFit="false"/>
      <protection locked="true" hidden="false"/>
    </xf>
    <xf numFmtId="166" fontId="26" fillId="10" borderId="9" xfId="0" applyFont="true" applyBorder="true" applyAlignment="true" applyProtection="true">
      <alignment horizontal="right" vertical="bottom" textRotation="0" wrapText="false" indent="0" shrinkToFit="false"/>
      <protection locked="false" hidden="false"/>
    </xf>
    <xf numFmtId="166" fontId="26" fillId="0" borderId="0" xfId="0" applyFont="true" applyBorder="false" applyAlignment="true" applyProtection="true">
      <alignment horizontal="right" vertical="bottom" textRotation="0" wrapText="false" indent="0" shrinkToFit="false"/>
      <protection locked="true" hidden="false"/>
    </xf>
    <xf numFmtId="173" fontId="26" fillId="0"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fals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2" fillId="4" borderId="1" xfId="0" applyFont="true" applyBorder="true" applyAlignment="true" applyProtection="true">
      <alignment horizontal="center" vertical="bottom" textRotation="0" wrapText="true" indent="0" shrinkToFit="false"/>
      <protection locked="true" hidden="false"/>
    </xf>
    <xf numFmtId="167" fontId="22" fillId="4" borderId="1"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false" indent="0" shrinkToFit="false"/>
      <protection locked="true" hidden="false"/>
    </xf>
    <xf numFmtId="167" fontId="22" fillId="0" borderId="0" xfId="0" applyFont="true" applyBorder="false" applyAlignment="true" applyProtection="true">
      <alignment horizontal="center" vertical="bottom" textRotation="0" wrapText="false" indent="0" shrinkToFit="false"/>
      <protection locked="true" hidden="false"/>
    </xf>
    <xf numFmtId="164" fontId="22" fillId="4" borderId="1" xfId="0" applyFont="true" applyBorder="true" applyAlignment="true" applyProtection="true">
      <alignment horizontal="general" vertical="bottom" textRotation="0" wrapText="false" indent="0" shrinkToFit="false"/>
      <protection locked="true" hidden="false"/>
    </xf>
    <xf numFmtId="166" fontId="26" fillId="10" borderId="1" xfId="0" applyFont="true" applyBorder="true" applyAlignment="true" applyProtection="true">
      <alignment horizontal="general" vertical="bottom" textRotation="0" wrapText="false" indent="0" shrinkToFit="false"/>
      <protection locked="false" hidden="false"/>
    </xf>
    <xf numFmtId="164" fontId="26" fillId="0" borderId="0" xfId="0" applyFont="true" applyBorder="false" applyAlignment="true" applyProtection="true">
      <alignment horizontal="general" vertical="bottom" textRotation="0" wrapText="false" indent="0" shrinkToFit="false"/>
      <protection locked="false" hidden="false"/>
    </xf>
    <xf numFmtId="166" fontId="26" fillId="0" borderId="0" xfId="0" applyFont="true" applyBorder="false" applyAlignment="true" applyProtection="true">
      <alignment horizontal="general" vertical="bottom" textRotation="0" wrapText="false" indent="0" shrinkToFit="false"/>
      <protection locked="fals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24" fillId="0" borderId="10" xfId="0" applyFont="true" applyBorder="true" applyAlignment="true" applyProtection="true">
      <alignment horizontal="general" vertical="bottom" textRotation="0" wrapText="true" indent="0" shrinkToFit="false"/>
      <protection locked="true" hidden="false"/>
    </xf>
    <xf numFmtId="164" fontId="22" fillId="4" borderId="1" xfId="0" applyFont="true" applyBorder="true" applyAlignment="true" applyProtection="true">
      <alignment horizontal="general" vertical="bottom" textRotation="0" wrapText="true" indent="0" shrinkToFit="false"/>
      <protection locked="true" hidden="false"/>
    </xf>
    <xf numFmtId="164" fontId="22" fillId="4" borderId="1"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general" vertical="bottom" textRotation="0" wrapText="false" indent="0" shrinkToFit="false"/>
      <protection locked="true" hidden="false"/>
    </xf>
    <xf numFmtId="168" fontId="26" fillId="10" borderId="1" xfId="0" applyFont="true" applyBorder="true" applyAlignment="true" applyProtection="true">
      <alignment horizontal="general" vertical="bottom" textRotation="0" wrapText="false" indent="0" shrinkToFit="false"/>
      <protection locked="false" hidden="false"/>
    </xf>
    <xf numFmtId="164" fontId="22" fillId="4" borderId="2" xfId="0" applyFont="true" applyBorder="true" applyAlignment="true" applyProtection="true">
      <alignment horizontal="center" vertical="bottom" textRotation="0" wrapText="false" indent="0" shrinkToFit="false"/>
      <protection locked="true" hidden="false"/>
    </xf>
    <xf numFmtId="164" fontId="22" fillId="4" borderId="4" xfId="0" applyFont="true" applyBorder="true" applyAlignment="true" applyProtection="true">
      <alignment horizontal="center" vertical="bottom" textRotation="0" wrapText="false" indent="0" shrinkToFit="false"/>
      <protection locked="true" hidden="false"/>
    </xf>
    <xf numFmtId="167" fontId="26" fillId="10" borderId="1" xfId="0" applyFont="true" applyBorder="true" applyAlignment="true" applyProtection="true">
      <alignment horizontal="general" vertical="bottom" textRotation="0" wrapText="false" indent="0" shrinkToFit="false"/>
      <protection locked="false" hidden="false"/>
    </xf>
    <xf numFmtId="164" fontId="10" fillId="0" borderId="11" xfId="0" applyFont="true" applyBorder="true" applyAlignment="true" applyProtection="true">
      <alignment horizontal="left" vertical="center" textRotation="0" wrapText="true" indent="0" shrinkToFit="false"/>
      <protection locked="true" hidden="false"/>
    </xf>
    <xf numFmtId="167" fontId="26" fillId="10" borderId="12" xfId="0" applyFont="true" applyBorder="true" applyAlignment="true" applyProtection="true">
      <alignment horizontal="general" vertical="bottom" textRotation="0" wrapText="false" indent="0" shrinkToFit="false"/>
      <protection locked="false" hidden="false"/>
    </xf>
    <xf numFmtId="164" fontId="10" fillId="0" borderId="13" xfId="0" applyFont="true" applyBorder="true" applyAlignment="true" applyProtection="true">
      <alignment horizontal="general" vertical="center" textRotation="0" wrapText="true" indent="0" shrinkToFit="false"/>
      <protection locked="true" hidden="false"/>
    </xf>
    <xf numFmtId="167" fontId="26" fillId="10" borderId="14" xfId="0" applyFont="tru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32" fillId="3" borderId="0" xfId="0" applyFont="true" applyBorder="false" applyAlignment="true" applyProtection="true">
      <alignment horizontal="general" vertical="bottom" textRotation="0" wrapText="false" indent="0" shrinkToFit="false"/>
      <protection locked="true" hidden="false"/>
    </xf>
    <xf numFmtId="167" fontId="32" fillId="3" borderId="0" xfId="0" applyFont="true" applyBorder="false" applyAlignment="true" applyProtection="true">
      <alignment horizontal="general" vertical="bottom" textRotation="0" wrapText="false" indent="0" shrinkToFit="false"/>
      <protection locked="true" hidden="false"/>
    </xf>
    <xf numFmtId="164" fontId="33" fillId="3" borderId="0" xfId="0" applyFont="true" applyBorder="false" applyAlignment="true" applyProtection="true">
      <alignment horizontal="general" vertical="bottom" textRotation="0" wrapText="false" indent="0" shrinkToFit="false"/>
      <protection locked="true" hidden="false"/>
    </xf>
    <xf numFmtId="167" fontId="27" fillId="0" borderId="15" xfId="0" applyFont="true" applyBorder="true" applyAlignment="true" applyProtection="true">
      <alignment horizontal="general" vertical="bottom" textRotation="0" wrapText="false" indent="0" shrinkToFit="false"/>
      <protection locked="true" hidden="false"/>
    </xf>
    <xf numFmtId="164" fontId="27" fillId="0" borderId="15" xfId="0" applyFont="true" applyBorder="true" applyAlignment="true" applyProtection="true">
      <alignment horizontal="general" vertical="bottom" textRotation="0" wrapText="false" indent="0" shrinkToFit="false"/>
      <protection locked="true" hidden="false"/>
    </xf>
    <xf numFmtId="170" fontId="27" fillId="0" borderId="16" xfId="0" applyFont="true" applyBorder="true" applyAlignment="true" applyProtection="true">
      <alignment horizontal="general" vertical="bottom" textRotation="0" wrapText="false" indent="0" shrinkToFit="false"/>
      <protection locked="true" hidden="false"/>
    </xf>
    <xf numFmtId="172" fontId="27" fillId="0" borderId="16" xfId="0" applyFont="true" applyBorder="true" applyAlignment="true" applyProtection="true">
      <alignment horizontal="general" vertical="bottom" textRotation="0" wrapText="false" indent="0" shrinkToFit="false"/>
      <protection locked="true" hidden="false"/>
    </xf>
    <xf numFmtId="164" fontId="34" fillId="0" borderId="1" xfId="0" applyFont="true" applyBorder="tru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8" fontId="11" fillId="0" borderId="0" xfId="0" applyFont="true" applyBorder="false" applyAlignment="true" applyProtection="tru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22" fillId="4" borderId="2" xfId="0" applyFont="true" applyBorder="true" applyAlignment="true" applyProtection="true">
      <alignment horizontal="general" vertical="bottom" textRotation="0" wrapText="false" indent="0" shrinkToFit="false"/>
      <protection locked="true" hidden="false"/>
    </xf>
    <xf numFmtId="164" fontId="22" fillId="4" borderId="17" xfId="0" applyFont="true" applyBorder="true" applyAlignment="true" applyProtection="true">
      <alignment horizontal="general" vertical="bottom" textRotation="0" wrapText="false" indent="0" shrinkToFit="false"/>
      <protection locked="true" hidden="false"/>
    </xf>
    <xf numFmtId="167" fontId="38" fillId="0" borderId="18" xfId="0" applyFont="true" applyBorder="true" applyAlignment="true" applyProtection="true">
      <alignment horizontal="general" vertical="bottom" textRotation="0" wrapText="false" indent="0" shrinkToFit="false"/>
      <protection locked="true" hidden="false"/>
    </xf>
    <xf numFmtId="167" fontId="38" fillId="0" borderId="19" xfId="0" applyFont="true" applyBorder="true" applyAlignment="true" applyProtection="true">
      <alignment horizontal="general" vertical="bottom" textRotation="0" wrapText="false" indent="0" shrinkToFit="false"/>
      <protection locked="true" hidden="false"/>
    </xf>
    <xf numFmtId="167" fontId="26" fillId="0" borderId="1" xfId="0" applyFont="true" applyBorder="true" applyAlignment="true" applyProtection="true">
      <alignment horizontal="general" vertical="bottom" textRotation="0" wrapText="false" indent="0" shrinkToFit="false"/>
      <protection locked="true" hidden="false"/>
    </xf>
    <xf numFmtId="167" fontId="11" fillId="0" borderId="1" xfId="0" applyFont="true" applyBorder="true" applyAlignment="true" applyProtection="true">
      <alignment horizontal="general" vertical="bottom" textRotation="0" wrapText="false" indent="0" shrinkToFit="false"/>
      <protection locked="true" hidden="false"/>
    </xf>
    <xf numFmtId="167" fontId="26" fillId="0" borderId="20" xfId="0" applyFont="true" applyBorder="true" applyAlignment="true" applyProtection="true">
      <alignment horizontal="general" vertical="bottom" textRotation="0" wrapText="false" indent="0" shrinkToFit="false"/>
      <protection locked="true" hidden="false"/>
    </xf>
    <xf numFmtId="164" fontId="39" fillId="0" borderId="21" xfId="0" applyFont="true" applyBorder="true" applyAlignment="true" applyProtection="true">
      <alignment horizontal="general" vertical="bottom" textRotation="0" wrapText="true" indent="0" shrinkToFit="false"/>
      <protection locked="true" hidden="false"/>
    </xf>
    <xf numFmtId="167" fontId="22" fillId="0" borderId="1" xfId="0" applyFont="true" applyBorder="true" applyAlignment="true" applyProtection="true">
      <alignment horizontal="general" vertical="bottom" textRotation="0" wrapText="false" indent="0" shrinkToFit="false"/>
      <protection locked="true" hidden="false"/>
    </xf>
    <xf numFmtId="164" fontId="39" fillId="0" borderId="20" xfId="0" applyFont="true" applyBorder="true" applyAlignment="true" applyProtection="true">
      <alignment horizontal="general" vertical="bottom" textRotation="0" wrapText="false" indent="0" shrinkToFit="false"/>
      <protection locked="true" hidden="false"/>
    </xf>
    <xf numFmtId="164" fontId="39" fillId="0" borderId="4" xfId="0" applyFont="true" applyBorder="true" applyAlignment="true" applyProtection="true">
      <alignment horizontal="general" vertical="bottom" textRotation="0" wrapText="true" indent="0" shrinkToFit="false"/>
      <protection locked="true" hidden="false"/>
    </xf>
    <xf numFmtId="168" fontId="22" fillId="0" borderId="1" xfId="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7" fontId="22" fillId="0" borderId="18" xfId="0" applyFont="true" applyBorder="true" applyAlignment="true" applyProtection="true">
      <alignment horizontal="general" vertical="bottom" textRotation="0" wrapText="false" indent="0" shrinkToFit="false"/>
      <protection locked="true" hidden="false"/>
    </xf>
    <xf numFmtId="164" fontId="39" fillId="0" borderId="17" xfId="0" applyFont="true" applyBorder="true" applyAlignment="true" applyProtection="true">
      <alignment horizontal="general" vertical="bottom" textRotation="0" wrapText="true" indent="0" shrinkToFit="false"/>
      <protection locked="true" hidden="false"/>
    </xf>
    <xf numFmtId="167" fontId="22" fillId="0" borderId="19" xfId="0" applyFont="true" applyBorder="true" applyAlignment="true" applyProtection="true">
      <alignment horizontal="general" vertical="bottom" textRotation="0" wrapText="false" indent="0" shrinkToFit="false"/>
      <protection locked="true" hidden="false"/>
    </xf>
    <xf numFmtId="164" fontId="39" fillId="0" borderId="22" xfId="0" applyFont="true" applyBorder="true" applyAlignment="true" applyProtection="true">
      <alignment horizontal="general" vertical="bottom" textRotation="0" wrapText="false" indent="0" shrinkToFit="false"/>
      <protection locked="true" hidden="false"/>
    </xf>
    <xf numFmtId="164" fontId="39" fillId="0" borderId="23" xfId="0" applyFont="true" applyBorder="true" applyAlignment="true" applyProtection="true">
      <alignment horizontal="general" vertical="bottom" textRotation="0" wrapText="true" indent="0" shrinkToFit="false"/>
      <protection locked="true" hidden="false"/>
    </xf>
    <xf numFmtId="168" fontId="26" fillId="10" borderId="18" xfId="0" applyFont="true" applyBorder="true" applyAlignment="true" applyProtection="true">
      <alignment horizontal="general" vertical="bottom" textRotation="0" wrapText="false" indent="0" shrinkToFit="false"/>
      <protection locked="false" hidden="false"/>
    </xf>
    <xf numFmtId="167" fontId="22" fillId="0" borderId="24" xfId="0" applyFont="true" applyBorder="true" applyAlignment="true" applyProtection="true">
      <alignment horizontal="general" vertical="bottom" textRotation="0" wrapText="false" indent="0" shrinkToFit="false"/>
      <protection locked="true" hidden="false"/>
    </xf>
    <xf numFmtId="169" fontId="26" fillId="0" borderId="25" xfId="0" applyFont="true" applyBorder="true" applyAlignment="true" applyProtection="true">
      <alignment horizontal="general" vertical="bottom" textRotation="0" wrapText="false" indent="0" shrinkToFit="false"/>
      <protection locked="true" hidden="false"/>
    </xf>
    <xf numFmtId="167" fontId="26" fillId="0" borderId="2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7" fontId="24" fillId="0" borderId="26" xfId="0" applyFont="tru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general" vertical="bottom" textRotation="0" wrapText="false" indent="0" shrinkToFit="false"/>
      <protection locked="true" hidden="false"/>
    </xf>
    <xf numFmtId="167" fontId="38" fillId="0" borderId="27" xfId="0" applyFont="true" applyBorder="true" applyAlignment="true" applyProtection="true">
      <alignment horizontal="general" vertical="bottom" textRotation="0" wrapText="false" indent="0" shrinkToFit="false"/>
      <protection locked="true" hidden="false"/>
    </xf>
    <xf numFmtId="167" fontId="26" fillId="0" borderId="0" xfId="0" applyFont="true" applyBorder="false" applyAlignment="true" applyProtection="true">
      <alignment horizontal="general" vertical="bottom" textRotation="0" wrapText="false" indent="0" shrinkToFit="false"/>
      <protection locked="true" hidden="false"/>
    </xf>
    <xf numFmtId="166" fontId="26" fillId="0" borderId="0" xfId="0" applyFont="true" applyBorder="false" applyAlignment="true" applyProtection="true">
      <alignment horizontal="general" vertical="bottom" textRotation="0" wrapText="false" indent="0" shrinkToFit="false"/>
      <protection locked="true" hidden="false"/>
    </xf>
    <xf numFmtId="164" fontId="22" fillId="4" borderId="28" xfId="0" applyFont="true" applyBorder="true" applyAlignment="true" applyProtection="true">
      <alignment horizontal="center" vertical="bottom" textRotation="0" wrapText="true" indent="0" shrinkToFit="false"/>
      <protection locked="true" hidden="false"/>
    </xf>
    <xf numFmtId="167" fontId="22" fillId="4" borderId="29" xfId="0" applyFont="true" applyBorder="true" applyAlignment="true" applyProtection="true">
      <alignment horizontal="center" vertical="bottom" textRotation="0" wrapText="true" indent="0" shrinkToFit="false"/>
      <protection locked="true" hidden="false"/>
    </xf>
    <xf numFmtId="167" fontId="22" fillId="4" borderId="30" xfId="0" applyFont="true" applyBorder="true" applyAlignment="true" applyProtection="true">
      <alignment horizontal="center" vertical="bottom"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7" fontId="26" fillId="10" borderId="31" xfId="0" applyFont="true" applyBorder="true" applyAlignment="true" applyProtection="true">
      <alignment horizontal="general" vertical="bottom" textRotation="0" wrapText="false" indent="0" shrinkToFit="false"/>
      <protection locked="false" hidden="false"/>
    </xf>
    <xf numFmtId="166" fontId="26" fillId="10" borderId="32" xfId="0" applyFont="true" applyBorder="true" applyAlignment="true" applyProtection="true">
      <alignment horizontal="general" vertical="bottom" textRotation="0" wrapText="false" indent="0" shrinkToFit="false"/>
      <protection locked="false" hidden="false"/>
    </xf>
    <xf numFmtId="167" fontId="26" fillId="10" borderId="33" xfId="0" applyFont="true" applyBorder="true" applyAlignment="true" applyProtection="true">
      <alignment horizontal="general" vertical="bottom" textRotation="0" wrapText="false" indent="0" shrinkToFit="false"/>
      <protection locked="false" hidden="false"/>
    </xf>
    <xf numFmtId="167" fontId="26" fillId="10" borderId="34" xfId="0" applyFont="true" applyBorder="true" applyAlignment="true" applyProtection="true">
      <alignment horizontal="general" vertical="bottom" textRotation="0" wrapText="false" indent="0" shrinkToFit="false"/>
      <protection locked="false" hidden="false"/>
    </xf>
    <xf numFmtId="166" fontId="26" fillId="10" borderId="35" xfId="0" applyFont="true" applyBorder="true" applyAlignment="true" applyProtection="true">
      <alignment horizontal="general" vertical="bottom" textRotation="0" wrapText="false" indent="0" shrinkToFit="false"/>
      <protection locked="false" hidden="false"/>
    </xf>
    <xf numFmtId="166" fontId="26" fillId="10" borderId="36" xfId="0" applyFont="true" applyBorder="true" applyAlignment="true" applyProtection="true">
      <alignment horizontal="general" vertical="bottom" textRotation="0" wrapText="false" indent="0" shrinkToFit="false"/>
      <protection locked="false" hidden="false"/>
    </xf>
    <xf numFmtId="167" fontId="26" fillId="0" borderId="0" xfId="0" applyFont="true" applyBorder="false" applyAlignment="true" applyProtection="true">
      <alignment horizontal="general" vertical="bottom" textRotation="0" wrapText="false" indent="0" shrinkToFit="false"/>
      <protection locked="false" hidden="false"/>
    </xf>
    <xf numFmtId="164" fontId="29" fillId="4" borderId="6" xfId="0" applyFont="true" applyBorder="true" applyAlignment="true" applyProtection="true">
      <alignment horizontal="center" vertical="bottom" textRotation="0" wrapText="true" indent="0" shrinkToFit="false"/>
      <protection locked="true" hidden="false"/>
    </xf>
    <xf numFmtId="164" fontId="22" fillId="4" borderId="30" xfId="0" applyFont="true" applyBorder="true" applyAlignment="true" applyProtection="true">
      <alignment horizontal="center" vertical="bottom" textRotation="0" wrapText="true" indent="0" shrinkToFit="false"/>
      <protection locked="true" hidden="false"/>
    </xf>
    <xf numFmtId="164" fontId="22" fillId="4" borderId="33" xfId="0" applyFont="true" applyBorder="true" applyAlignment="true" applyProtection="true">
      <alignment horizontal="center" vertical="bottom" textRotation="0" wrapText="true" indent="0" shrinkToFit="false"/>
      <protection locked="true" hidden="false"/>
    </xf>
    <xf numFmtId="164" fontId="22" fillId="4" borderId="37" xfId="0" applyFont="true" applyBorder="true" applyAlignment="true" applyProtection="true">
      <alignment horizontal="center" vertical="bottom" textRotation="0" wrapText="true" indent="0" shrinkToFit="false"/>
      <protection locked="true" hidden="false"/>
    </xf>
    <xf numFmtId="164" fontId="22" fillId="4" borderId="38" xfId="0" applyFont="true" applyBorder="true" applyAlignment="true" applyProtection="true">
      <alignment horizontal="center" vertical="bottom" textRotation="0" wrapText="true" indent="0" shrinkToFit="false"/>
      <protection locked="true" hidden="false"/>
    </xf>
    <xf numFmtId="164" fontId="25" fillId="0" borderId="0" xfId="0" applyFont="true" applyBorder="false" applyAlignment="true" applyProtection="true">
      <alignment horizontal="center" vertical="bottom" textRotation="0" wrapText="true" indent="0" shrinkToFit="false"/>
      <protection locked="true" hidden="false"/>
    </xf>
    <xf numFmtId="167" fontId="5" fillId="0" borderId="33" xfId="0" applyFont="true" applyBorder="true" applyAlignment="true" applyProtection="true">
      <alignment horizontal="general" vertical="bottom" textRotation="0" wrapText="false" indent="0" shrinkToFit="false"/>
      <protection locked="true" hidden="false"/>
    </xf>
    <xf numFmtId="167" fontId="11" fillId="0" borderId="32" xfId="0" applyFont="true" applyBorder="true" applyAlignment="true" applyProtection="true">
      <alignment horizontal="general" vertical="bottom" textRotation="0" wrapText="false" indent="0" shrinkToFit="false"/>
      <protection locked="true" hidden="false"/>
    </xf>
    <xf numFmtId="174" fontId="26" fillId="10" borderId="39" xfId="0" applyFont="true" applyBorder="true" applyAlignment="true" applyProtection="true">
      <alignment horizontal="center" vertical="bottom" textRotation="0" wrapText="false" indent="0" shrinkToFit="false"/>
      <protection locked="false" hidden="false"/>
    </xf>
    <xf numFmtId="170" fontId="37" fillId="0" borderId="0" xfId="0" applyFont="true" applyBorder="false" applyAlignment="true" applyProtection="true">
      <alignment horizontal="general" vertical="bottom" textRotation="0" wrapText="false" indent="0" shrinkToFit="false"/>
      <protection locked="true" hidden="false"/>
    </xf>
    <xf numFmtId="167" fontId="5" fillId="0" borderId="34" xfId="0" applyFont="true" applyBorder="true" applyAlignment="true" applyProtection="true">
      <alignment horizontal="general" vertical="bottom" textRotation="0" wrapText="false" indent="0" shrinkToFit="false"/>
      <protection locked="true" hidden="false"/>
    </xf>
    <xf numFmtId="167" fontId="11" fillId="0" borderId="36" xfId="0" applyFont="true" applyBorder="true" applyAlignment="true" applyProtection="true">
      <alignment horizontal="general" vertical="bottom" textRotation="0" wrapText="false" indent="0" shrinkToFit="false"/>
      <protection locked="true" hidden="false"/>
    </xf>
    <xf numFmtId="167" fontId="0" fillId="4" borderId="17" xfId="0" applyFont="false" applyBorder="true" applyAlignment="true" applyProtection="true">
      <alignment horizontal="general" vertical="bottom" textRotation="0" wrapText="false" indent="0" shrinkToFit="false"/>
      <protection locked="true" hidden="false"/>
    </xf>
    <xf numFmtId="164" fontId="22" fillId="4" borderId="1" xfId="0" applyFont="true" applyBorder="true" applyAlignment="true" applyProtection="true">
      <alignment horizontal="right" vertical="bottom"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7" fontId="11" fillId="4" borderId="1" xfId="0" applyFont="true" applyBorder="true" applyAlignment="true" applyProtection="true">
      <alignment horizontal="general" vertical="bottom" textRotation="0" wrapText="false" indent="0" shrinkToFit="false"/>
      <protection locked="true" hidden="false"/>
    </xf>
    <xf numFmtId="173" fontId="11" fillId="0" borderId="1" xfId="0" applyFont="true" applyBorder="true" applyAlignment="true" applyProtection="true">
      <alignment horizontal="general" vertical="bottom" textRotation="0" wrapText="false" indent="0" shrinkToFit="false"/>
      <protection locked="true" hidden="false"/>
    </xf>
    <xf numFmtId="167" fontId="26" fillId="10" borderId="40" xfId="0" applyFont="true" applyBorder="true" applyAlignment="true" applyProtection="true">
      <alignment horizontal="general" vertical="bottom" textRotation="0" wrapText="false" indent="0" shrinkToFit="false"/>
      <protection locked="false" hidden="false"/>
    </xf>
    <xf numFmtId="173" fontId="29"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73" fontId="11" fillId="0" borderId="0" xfId="0" applyFont="true" applyBorder="false" applyAlignment="true" applyProtection="true">
      <alignment horizontal="general" vertical="bottom" textRotation="0" wrapText="false" indent="0" shrinkToFit="false"/>
      <protection locked="true" hidden="false"/>
    </xf>
    <xf numFmtId="167" fontId="0" fillId="4" borderId="4" xfId="0" applyFont="false" applyBorder="true" applyAlignment="true" applyProtection="true">
      <alignment horizontal="general" vertical="bottom" textRotation="0" wrapText="false" indent="0" shrinkToFit="false"/>
      <protection locked="true" hidden="false"/>
    </xf>
    <xf numFmtId="173" fontId="22" fillId="4" borderId="4" xfId="0" applyFont="true" applyBorder="true" applyAlignment="true" applyProtection="true">
      <alignment horizontal="right" vertical="bottom" textRotation="0" wrapText="false" indent="0" shrinkToFit="false"/>
      <protection locked="true" hidden="false"/>
    </xf>
    <xf numFmtId="166" fontId="26" fillId="0" borderId="1"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general" vertical="top" textRotation="0" wrapText="true" indent="0" shrinkToFit="false"/>
      <protection locked="true" hidden="false"/>
    </xf>
    <xf numFmtId="175" fontId="11"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76" fontId="0" fillId="0" borderId="0" xfId="0" applyFont="false" applyBorder="false" applyAlignment="true" applyProtection="true">
      <alignment horizontal="general" vertical="bottom" textRotation="0" wrapText="false" indent="0" shrinkToFit="false"/>
      <protection locked="true" hidden="false"/>
    </xf>
    <xf numFmtId="164" fontId="34" fillId="0" borderId="1" xfId="0" applyFont="true" applyBorder="tru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left" vertical="bottom" textRotation="0" wrapText="false" indent="0" shrinkToFit="false"/>
      <protection locked="true" hidden="false"/>
    </xf>
    <xf numFmtId="168" fontId="23" fillId="5" borderId="0" xfId="0" applyFont="true" applyBorder="false" applyAlignment="true" applyProtection="true">
      <alignment horizontal="general" vertical="bottom" textRotation="0" wrapText="false" indent="0" shrinkToFit="false"/>
      <protection locked="true" hidden="false"/>
    </xf>
    <xf numFmtId="167" fontId="23" fillId="5" borderId="0" xfId="0" applyFont="true" applyBorder="false" applyAlignment="true" applyProtection="true">
      <alignment horizontal="general" vertical="bottom" textRotation="0" wrapText="false" indent="0" shrinkToFit="false"/>
      <protection locked="true" hidden="false"/>
    </xf>
    <xf numFmtId="167" fontId="11" fillId="0" borderId="0" xfId="19" applyFont="true" applyBorder="true" applyAlignment="true" applyProtection="true">
      <alignment horizontal="right" vertical="bottom" textRotation="0" wrapText="false" indent="0" shrinkToFit="false"/>
      <protection locked="true" hidden="false"/>
    </xf>
    <xf numFmtId="164" fontId="44" fillId="0" borderId="0" xfId="0" applyFont="true" applyBorder="false" applyAlignment="true" applyProtection="true">
      <alignment horizontal="general"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false"/>
    </xf>
    <xf numFmtId="164" fontId="22" fillId="4" borderId="1" xfId="0" applyFont="true" applyBorder="true" applyAlignment="true" applyProtection="true">
      <alignment horizontal="center" vertical="center" textRotation="0" wrapText="false" indent="0" shrinkToFit="false"/>
      <protection locked="true" hidden="false"/>
    </xf>
    <xf numFmtId="173" fontId="22" fillId="4" borderId="1" xfId="19" applyFont="true" applyBorder="true" applyAlignment="true" applyProtection="true">
      <alignment horizontal="center" vertical="center" textRotation="0" wrapText="true" indent="0" shrinkToFit="false"/>
      <protection locked="true" hidden="false"/>
    </xf>
    <xf numFmtId="164" fontId="22" fillId="11" borderId="1" xfId="0" applyFont="true" applyBorder="true" applyAlignment="true" applyProtection="true">
      <alignment horizontal="left" vertical="bottom" textRotation="0" wrapText="false" indent="0" shrinkToFit="false"/>
      <protection locked="true" hidden="false"/>
    </xf>
    <xf numFmtId="167" fontId="22"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false" indent="0" shrinkToFit="false"/>
      <protection locked="true" hidden="false"/>
    </xf>
    <xf numFmtId="164" fontId="26" fillId="10" borderId="1" xfId="0" applyFont="true" applyBorder="true" applyAlignment="true" applyProtection="true">
      <alignment horizontal="left" vertical="bottom" textRotation="0" wrapText="false" indent="0" shrinkToFit="false"/>
      <protection locked="false" hidden="false"/>
    </xf>
    <xf numFmtId="167" fontId="26" fillId="10" borderId="4" xfId="0" applyFont="true" applyBorder="true" applyAlignment="true" applyProtection="true">
      <alignment horizontal="general" vertical="bottom" textRotation="0" wrapText="false" indent="0" shrinkToFit="false"/>
      <protection locked="false" hidden="false"/>
    </xf>
    <xf numFmtId="167" fontId="26" fillId="10" borderId="1" xfId="19" applyFont="true" applyBorder="true" applyAlignment="true" applyProtection="true">
      <alignment horizontal="right" vertical="bottom" textRotation="0" wrapText="false" indent="0" shrinkToFit="false"/>
      <protection locked="false" hidden="false"/>
    </xf>
    <xf numFmtId="164" fontId="26" fillId="10" borderId="1" xfId="0" applyFont="true" applyBorder="true" applyAlignment="true" applyProtection="true">
      <alignment horizontal="general" vertical="bottom" textRotation="0" wrapText="false" indent="0" shrinkToFit="false"/>
      <protection locked="false" hidden="false"/>
    </xf>
    <xf numFmtId="164" fontId="45" fillId="5" borderId="1" xfId="0" applyFont="true" applyBorder="true" applyAlignment="true" applyProtection="true">
      <alignment horizontal="general" vertical="bottom" textRotation="0" wrapText="false" indent="0" shrinkToFit="false"/>
      <protection locked="true" hidden="false"/>
    </xf>
    <xf numFmtId="167" fontId="45" fillId="5" borderId="1" xfId="19" applyFont="true" applyBorder="true" applyAlignment="true" applyProtection="true">
      <alignment horizontal="right" vertical="bottom" textRotation="0" wrapText="false" indent="0" shrinkToFit="false"/>
      <protection locked="true" hidden="false"/>
    </xf>
    <xf numFmtId="164" fontId="22" fillId="2" borderId="1" xfId="0" applyFont="true" applyBorder="true" applyAlignment="true" applyProtection="true">
      <alignment horizontal="left" vertical="bottom" textRotation="0" wrapText="false" indent="0" shrinkToFit="false"/>
      <protection locked="true" hidden="false"/>
    </xf>
    <xf numFmtId="167" fontId="22" fillId="2" borderId="4" xfId="0" applyFont="true" applyBorder="true" applyAlignment="true" applyProtection="true">
      <alignment horizontal="right" vertical="bottom" textRotation="0" wrapText="false" indent="0" shrinkToFit="false"/>
      <protection locked="true" hidden="false"/>
    </xf>
    <xf numFmtId="167" fontId="11" fillId="2" borderId="1" xfId="19" applyFont="true" applyBorder="true" applyAlignment="true" applyProtection="true">
      <alignment horizontal="right" vertical="bottom" textRotation="0" wrapText="false" indent="0" shrinkToFit="false"/>
      <protection locked="true" hidden="false"/>
    </xf>
    <xf numFmtId="167" fontId="22" fillId="2" borderId="1" xfId="0" applyFont="true" applyBorder="true" applyAlignment="true" applyProtection="true">
      <alignment horizontal="general" vertical="bottom" textRotation="0" wrapText="false" indent="0" shrinkToFit="false"/>
      <protection locked="true" hidden="false"/>
    </xf>
    <xf numFmtId="164" fontId="22" fillId="11" borderId="1"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right" vertical="bottom" textRotation="0" wrapText="false" indent="0" shrinkToFit="false"/>
      <protection locked="true" hidden="false"/>
    </xf>
    <xf numFmtId="168" fontId="2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38" fillId="0" borderId="2" xfId="0" applyFont="true" applyBorder="true" applyAlignment="true" applyProtection="true">
      <alignment horizontal="general" vertical="bottom" textRotation="0" wrapText="false" indent="0" shrinkToFit="false"/>
      <protection locked="true" hidden="false"/>
    </xf>
    <xf numFmtId="167" fontId="26" fillId="0" borderId="0" xfId="19" applyFont="true" applyBorder="true" applyAlignment="true" applyProtection="true">
      <alignment horizontal="right" vertical="bottom" textRotation="0" wrapText="false" indent="0" shrinkToFit="false"/>
      <protection locked="true" hidden="false"/>
    </xf>
    <xf numFmtId="164" fontId="22" fillId="2" borderId="1"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7" fontId="22" fillId="2" borderId="4"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true" hidden="false"/>
    </xf>
    <xf numFmtId="167" fontId="5" fillId="2" borderId="4"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7" fontId="5" fillId="0" borderId="0" xfId="0" applyFont="true" applyBorder="false" applyAlignment="true" applyProtection="true">
      <alignment horizontal="right" vertical="bottom" textRotation="0" wrapText="false" indent="0" shrinkToFit="false"/>
      <protection locked="true" hidden="false"/>
    </xf>
    <xf numFmtId="167" fontId="18" fillId="0" borderId="0" xfId="19" applyFont="true" applyBorder="true" applyAlignment="true" applyProtection="true">
      <alignment horizontal="right" vertical="bottom" textRotation="0" wrapText="false" indent="0" shrinkToFit="false"/>
      <protection locked="true" hidden="false"/>
    </xf>
    <xf numFmtId="164" fontId="38" fillId="0" borderId="1" xfId="0" applyFont="true" applyBorder="true" applyAlignment="true" applyProtection="true">
      <alignment horizontal="general" vertical="bottom"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7" fontId="25" fillId="0" borderId="1" xfId="0" applyFont="true" applyBorder="true" applyAlignment="true" applyProtection="true">
      <alignment horizontal="general" vertical="bottom" textRotation="0" wrapText="false" indent="0" shrinkToFit="false"/>
      <protection locked="true" hidden="false"/>
    </xf>
    <xf numFmtId="167" fontId="37" fillId="0" borderId="0" xfId="19" applyFont="true" applyBorder="true" applyAlignment="true" applyProtection="true">
      <alignment horizontal="right" vertical="bottom" textRotation="0" wrapText="false" indent="0" shrinkToFit="false"/>
      <protection locked="true" hidden="false"/>
    </xf>
    <xf numFmtId="167" fontId="5" fillId="2" borderId="1" xfId="0" applyFont="true" applyBorder="true" applyAlignment="true" applyProtection="true">
      <alignment horizontal="right" vertical="bottom" textRotation="0" wrapText="false" indent="0" shrinkToFit="false"/>
      <protection locked="true" hidden="false"/>
    </xf>
    <xf numFmtId="164" fontId="22" fillId="11" borderId="1" xfId="0" applyFont="true" applyBorder="true" applyAlignment="true" applyProtection="true">
      <alignment horizontal="center" vertical="bottom" textRotation="0" wrapText="false" indent="0" shrinkToFit="false"/>
      <protection locked="true" hidden="false"/>
    </xf>
    <xf numFmtId="164" fontId="22" fillId="11" borderId="1" xfId="0" applyFont="true" applyBorder="true" applyAlignment="true" applyProtection="true">
      <alignment horizontal="center" vertical="bottom" textRotation="0" wrapText="true" indent="0" shrinkToFit="false"/>
      <protection locked="true" hidden="false"/>
    </xf>
    <xf numFmtId="164" fontId="46" fillId="0" borderId="0" xfId="0" applyFont="true" applyBorder="true" applyAlignment="true" applyProtection="true">
      <alignment horizontal="general" vertical="bottom" textRotation="0" wrapText="true" indent="0" shrinkToFit="false"/>
      <protection locked="true" hidden="false"/>
    </xf>
    <xf numFmtId="167" fontId="38" fillId="0" borderId="1" xfId="0" applyFont="true" applyBorder="true" applyAlignment="true" applyProtection="true">
      <alignment horizontal="general" vertical="bottom" textRotation="0" wrapText="false" indent="0" shrinkToFit="false"/>
      <protection locked="true" hidden="false"/>
    </xf>
    <xf numFmtId="167" fontId="11" fillId="0" borderId="4" xfId="0" applyFont="true" applyBorder="true" applyAlignment="true" applyProtection="true">
      <alignment horizontal="general" vertical="bottom" textRotation="0" wrapText="false" indent="0" shrinkToFit="false"/>
      <protection locked="true" hidden="false"/>
    </xf>
    <xf numFmtId="164" fontId="29" fillId="2" borderId="41" xfId="0" applyFont="true" applyBorder="true" applyAlignment="true" applyProtection="true">
      <alignment horizontal="left" vertical="bottom" textRotation="0" wrapText="false" indent="0" shrinkToFit="false"/>
      <protection locked="true" hidden="false"/>
    </xf>
    <xf numFmtId="167" fontId="29" fillId="2" borderId="42" xfId="0" applyFont="true" applyBorder="true" applyAlignment="true" applyProtection="true">
      <alignment horizontal="right" vertical="bottom" textRotation="0" wrapText="false" indent="0" shrinkToFit="false"/>
      <protection locked="true" hidden="false"/>
    </xf>
    <xf numFmtId="167" fontId="27" fillId="0" borderId="0" xfId="0" applyFont="true" applyBorder="false" applyAlignment="true" applyProtection="true">
      <alignment horizontal="general" vertical="bottom" textRotation="0" wrapText="false" indent="0" shrinkToFit="false"/>
      <protection locked="true" hidden="false"/>
    </xf>
    <xf numFmtId="167" fontId="29" fillId="0" borderId="0" xfId="0" applyFont="true" applyBorder="false" applyAlignment="true" applyProtection="true">
      <alignment horizontal="general" vertical="bottom" textRotation="0" wrapText="false" indent="0" shrinkToFit="false"/>
      <protection locked="true" hidden="false"/>
    </xf>
    <xf numFmtId="167" fontId="22" fillId="4" borderId="1" xfId="0" applyFont="true" applyBorder="true" applyAlignment="true" applyProtection="true">
      <alignment horizontal="center" vertical="center" textRotation="0" wrapText="false" indent="0" shrinkToFit="false"/>
      <protection locked="true" hidden="false"/>
    </xf>
    <xf numFmtId="164" fontId="47" fillId="11" borderId="1" xfId="0" applyFont="true" applyBorder="true" applyAlignment="true" applyProtection="true">
      <alignment horizontal="general" vertical="bottom" textRotation="0" wrapText="false" indent="0" shrinkToFit="false"/>
      <protection locked="true" hidden="false"/>
    </xf>
    <xf numFmtId="167" fontId="26" fillId="0" borderId="10" xfId="0" applyFont="true" applyBorder="true" applyAlignment="true" applyProtection="true">
      <alignment horizontal="general" vertical="bottom" textRotation="0" wrapText="false" indent="0" shrinkToFit="false"/>
      <protection locked="true" hidden="false"/>
    </xf>
    <xf numFmtId="167" fontId="38" fillId="2" borderId="1" xfId="0" applyFont="true" applyBorder="true" applyAlignment="true" applyProtection="true">
      <alignment horizontal="general" vertical="bottom" textRotation="0" wrapText="false" indent="0" shrinkToFit="false"/>
      <protection locked="true" hidden="false"/>
    </xf>
    <xf numFmtId="167" fontId="38" fillId="2" borderId="40" xfId="0" applyFont="true" applyBorder="true" applyAlignment="true" applyProtection="true">
      <alignment horizontal="general" vertical="bottom" textRotation="0" wrapText="false" indent="0" shrinkToFit="false"/>
      <protection locked="true" hidden="false"/>
    </xf>
    <xf numFmtId="164" fontId="47" fillId="2" borderId="1" xfId="0" applyFont="true" applyBorder="true" applyAlignment="true" applyProtection="true">
      <alignment horizontal="general" vertical="bottom" textRotation="0" wrapText="false" indent="0" shrinkToFit="false"/>
      <protection locked="true" hidden="false"/>
    </xf>
    <xf numFmtId="167" fontId="22" fillId="2" borderId="1" xfId="0" applyFont="true" applyBorder="true" applyAlignment="true" applyProtection="true">
      <alignment horizontal="right"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64" fontId="22" fillId="4" borderId="18" xfId="0" applyFont="true" applyBorder="true" applyAlignment="true" applyProtection="true">
      <alignment horizontal="center" vertical="bottom" textRotation="0" wrapText="true" indent="0" shrinkToFit="false"/>
      <protection locked="true" hidden="false"/>
    </xf>
    <xf numFmtId="167" fontId="22" fillId="4" borderId="18" xfId="0" applyFont="true" applyBorder="true" applyAlignment="true" applyProtection="true">
      <alignment horizontal="center" vertical="bottom" textRotation="0" wrapText="true" indent="0" shrinkToFit="false"/>
      <protection locked="true" hidden="false"/>
    </xf>
    <xf numFmtId="164" fontId="22" fillId="4" borderId="18" xfId="0" applyFont="true" applyBorder="true" applyAlignment="true" applyProtection="true">
      <alignment horizontal="general" vertical="bottom" textRotation="0" wrapText="true" indent="0" shrinkToFit="false"/>
      <protection locked="true" hidden="false"/>
    </xf>
    <xf numFmtId="164" fontId="0" fillId="4" borderId="43" xfId="0" applyFont="false" applyBorder="true" applyAlignment="true" applyProtection="true">
      <alignment horizontal="general" vertical="bottom" textRotation="0" wrapText="false" indent="0" shrinkToFit="false"/>
      <protection locked="true" hidden="false"/>
    </xf>
    <xf numFmtId="164" fontId="0" fillId="4" borderId="40" xfId="0" applyFont="false" applyBorder="true" applyAlignment="true" applyProtection="true">
      <alignment horizontal="general" vertical="bottom" textRotation="0" wrapText="false" indent="0" shrinkToFit="false"/>
      <protection locked="true" hidden="false"/>
    </xf>
    <xf numFmtId="164" fontId="0" fillId="4" borderId="40" xfId="0" applyFont="false" applyBorder="true" applyAlignment="true" applyProtection="true">
      <alignment horizontal="general" vertical="bottom" textRotation="0" wrapText="true" indent="0" shrinkToFit="false"/>
      <protection locked="true" hidden="false"/>
    </xf>
    <xf numFmtId="164" fontId="22" fillId="4" borderId="40" xfId="0" applyFont="true" applyBorder="true" applyAlignment="true" applyProtection="true">
      <alignment horizontal="center" vertical="bottom" textRotation="0" wrapText="false" indent="0" shrinkToFit="false"/>
      <protection locked="true" hidden="false"/>
    </xf>
    <xf numFmtId="164" fontId="26" fillId="10" borderId="40" xfId="0" applyFont="true" applyBorder="true" applyAlignment="true" applyProtection="true">
      <alignment horizontal="general" vertical="bottom" textRotation="0" wrapText="false" indent="0" shrinkToFit="false"/>
      <protection locked="false" hidden="false"/>
    </xf>
    <xf numFmtId="164" fontId="26" fillId="10" borderId="21" xfId="0" applyFont="true" applyBorder="true" applyAlignment="true" applyProtection="true">
      <alignment horizontal="general" vertical="bottom" textRotation="0" wrapText="false" indent="0" shrinkToFit="false"/>
      <protection locked="false" hidden="false"/>
    </xf>
    <xf numFmtId="168" fontId="26" fillId="10" borderId="40" xfId="0" applyFont="true" applyBorder="true" applyAlignment="true" applyProtection="true">
      <alignment horizontal="right" vertical="bottom" textRotation="0" wrapText="false" indent="0" shrinkToFit="false"/>
      <protection locked="false" hidden="false"/>
    </xf>
    <xf numFmtId="177" fontId="26" fillId="10" borderId="40" xfId="0" applyFont="true" applyBorder="true" applyAlignment="true" applyProtection="true">
      <alignment horizontal="general" vertical="bottom" textRotation="0" wrapText="false" indent="0" shrinkToFit="false"/>
      <protection locked="false" hidden="false"/>
    </xf>
    <xf numFmtId="167" fontId="26" fillId="10" borderId="40" xfId="0" applyFont="true" applyBorder="true" applyAlignment="true" applyProtection="true">
      <alignment horizontal="right" vertical="bottom" textRotation="0" wrapText="false" indent="0" shrinkToFit="false"/>
      <protection locked="false" hidden="false"/>
    </xf>
    <xf numFmtId="167" fontId="22" fillId="0" borderId="40" xfId="0" applyFont="true" applyBorder="true" applyAlignment="true" applyProtection="true">
      <alignment horizontal="general" vertical="bottom" textRotation="0" wrapText="false" indent="0" shrinkToFit="false"/>
      <protection locked="true" hidden="false"/>
    </xf>
    <xf numFmtId="164" fontId="50" fillId="0" borderId="0" xfId="0" applyFont="true" applyBorder="false" applyAlignment="true" applyProtection="true">
      <alignment horizontal="general" vertical="bottom" textRotation="0" wrapText="false" indent="0" shrinkToFit="false"/>
      <protection locked="true" hidden="false"/>
    </xf>
    <xf numFmtId="168" fontId="24" fillId="0" borderId="0" xfId="0" applyFont="true" applyBorder="false" applyAlignment="true" applyProtection="true">
      <alignment horizontal="left"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67" fontId="22" fillId="4" borderId="1" xfId="0" applyFont="true" applyBorder="true" applyAlignment="true" applyProtection="true">
      <alignment horizontal="center" vertical="bottom" textRotation="0" wrapText="true" indent="0" shrinkToFit="false"/>
      <protection locked="true" hidden="false"/>
    </xf>
    <xf numFmtId="164" fontId="48" fillId="0" borderId="0" xfId="0" applyFont="true" applyBorder="tru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true" indent="0" shrinkToFit="false"/>
      <protection locked="true" hidden="false"/>
    </xf>
    <xf numFmtId="164" fontId="46" fillId="0" borderId="0" xfId="0" applyFont="true" applyBorder="false" applyAlignment="true" applyProtection="true">
      <alignment horizontal="general" vertical="bottom" textRotation="0" wrapText="false" indent="0" shrinkToFit="false"/>
      <protection locked="true" hidden="false"/>
    </xf>
    <xf numFmtId="172" fontId="51"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5" borderId="1" xfId="0" applyFont="true" applyBorder="true" applyAlignment="true" applyProtection="true">
      <alignment horizontal="general" vertical="bottom" textRotation="0" wrapText="false" indent="0" shrinkToFit="false"/>
      <protection locked="true" hidden="false"/>
    </xf>
    <xf numFmtId="164" fontId="52" fillId="0" borderId="0" xfId="0" applyFont="true" applyBorder="false" applyAlignment="true" applyProtection="true">
      <alignment horizontal="left"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true" indent="0" shrinkToFit="false"/>
      <protection locked="true" hidden="false"/>
    </xf>
    <xf numFmtId="164" fontId="26" fillId="10" borderId="4" xfId="0" applyFont="true" applyBorder="true" applyAlignment="true" applyProtection="true">
      <alignment horizontal="right" vertical="bottom" textRotation="0" wrapText="false" indent="0" shrinkToFit="false"/>
      <protection locked="false" hidden="false"/>
    </xf>
    <xf numFmtId="164" fontId="26" fillId="10" borderId="1" xfId="0" applyFont="true" applyBorder="true" applyAlignment="true" applyProtection="true">
      <alignment horizontal="right" vertical="bottom" textRotation="0" wrapText="false" indent="0" shrinkToFit="false"/>
      <protection locked="false" hidden="false"/>
    </xf>
    <xf numFmtId="171"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7" fontId="22" fillId="0" borderId="2" xfId="0" applyFont="true" applyBorder="true" applyAlignment="true" applyProtection="true">
      <alignment horizontal="general" vertical="bottom" textRotation="0" wrapText="false" indent="0" shrinkToFit="false"/>
      <protection locked="true" hidden="false"/>
    </xf>
    <xf numFmtId="164" fontId="45" fillId="0" borderId="1" xfId="0" applyFont="true" applyBorder="true" applyAlignment="true" applyProtection="true">
      <alignment horizontal="general" vertical="bottom" textRotation="0" wrapText="false" indent="0" shrinkToFit="false"/>
      <protection locked="true" hidden="false"/>
    </xf>
    <xf numFmtId="167" fontId="11" fillId="0" borderId="0" xfId="0" applyFont="true" applyBorder="false" applyAlignment="true" applyProtection="true">
      <alignment horizontal="right" vertical="bottom" textRotation="0" wrapText="false" indent="0" shrinkToFit="false"/>
      <protection locked="true" hidden="false"/>
    </xf>
    <xf numFmtId="167" fontId="47" fillId="2" borderId="1" xfId="0" applyFont="true" applyBorder="tru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true" hidden="false"/>
    </xf>
    <xf numFmtId="164" fontId="54" fillId="2" borderId="41" xfId="0" applyFont="true" applyBorder="true" applyAlignment="true" applyProtection="true">
      <alignment horizontal="general" vertical="bottom" textRotation="0" wrapText="false" indent="0" shrinkToFit="false"/>
      <protection locked="true" hidden="false"/>
    </xf>
    <xf numFmtId="167" fontId="54" fillId="2" borderId="42" xfId="0" applyFont="true" applyBorder="true" applyAlignment="true" applyProtection="true">
      <alignment horizontal="general" vertical="bottom" textRotation="0" wrapText="false" indent="0" shrinkToFit="false"/>
      <protection locked="true" hidden="false"/>
    </xf>
    <xf numFmtId="164" fontId="29" fillId="11" borderId="1" xfId="0" applyFont="true" applyBorder="true" applyAlignment="true" applyProtection="true">
      <alignment horizontal="general" vertical="bottom" textRotation="0" wrapText="false" indent="0" shrinkToFit="false"/>
      <protection locked="true" hidden="false"/>
    </xf>
    <xf numFmtId="167" fontId="55" fillId="11" borderId="1" xfId="0" applyFont="true" applyBorder="true" applyAlignment="true" applyProtection="true">
      <alignment horizontal="general" vertical="bottom" textRotation="0" wrapText="false" indent="0" shrinkToFit="false"/>
      <protection locked="true" hidden="false"/>
    </xf>
    <xf numFmtId="164" fontId="27" fillId="0" borderId="44" xfId="0" applyFont="true" applyBorder="true" applyAlignment="true" applyProtection="true">
      <alignment horizontal="general" vertical="bottom" textRotation="0" wrapText="false" indent="0" shrinkToFit="false"/>
      <protection locked="true" hidden="false"/>
    </xf>
    <xf numFmtId="164" fontId="27" fillId="0" borderId="45" xfId="0" applyFont="true" applyBorder="true" applyAlignment="true" applyProtection="true">
      <alignment horizontal="general" vertical="bottom" textRotation="0" wrapText="false" indent="0" shrinkToFit="false"/>
      <protection locked="true" hidden="false"/>
    </xf>
    <xf numFmtId="174" fontId="27" fillId="0" borderId="44" xfId="0" applyFont="true" applyBorder="true" applyAlignment="true" applyProtection="true">
      <alignment horizontal="general" vertical="bottom" textRotation="0" wrapText="false" indent="0" shrinkToFit="false"/>
      <protection locked="true" hidden="false"/>
    </xf>
    <xf numFmtId="178" fontId="27" fillId="0" borderId="44" xfId="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22" fillId="4" borderId="46" xfId="0" applyFont="true" applyBorder="true" applyAlignment="true" applyProtection="true">
      <alignment horizontal="general" vertical="bottom" textRotation="0" wrapText="false" indent="0" shrinkToFit="false"/>
      <protection locked="true" hidden="false"/>
    </xf>
    <xf numFmtId="179" fontId="26" fillId="10" borderId="1" xfId="0" applyFont="true" applyBorder="true" applyAlignment="true" applyProtection="true">
      <alignment horizontal="general" vertical="bottom" textRotation="0" wrapText="false" indent="0" shrinkToFit="false"/>
      <protection locked="false" hidden="false"/>
    </xf>
    <xf numFmtId="178" fontId="27" fillId="0" borderId="45" xfId="0" applyFont="true" applyBorder="true" applyAlignment="true" applyProtection="true">
      <alignment horizontal="general" vertical="bottom" textRotation="0" wrapText="false" indent="0" shrinkToFit="false"/>
      <protection locked="true" hidden="false"/>
    </xf>
    <xf numFmtId="164" fontId="22" fillId="2" borderId="47" xfId="0" applyFont="true" applyBorder="true" applyAlignment="true" applyProtection="true">
      <alignment horizontal="general" vertical="bottom" textRotation="0" wrapText="false" indent="0" shrinkToFit="false"/>
      <protection locked="true" hidden="false"/>
    </xf>
    <xf numFmtId="166" fontId="11" fillId="0" borderId="10"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7" fontId="45" fillId="0" borderId="1" xfId="0" applyFont="true" applyBorder="true" applyAlignment="true" applyProtection="true">
      <alignment horizontal="general" vertical="bottom" textRotation="0" wrapText="false" indent="0" shrinkToFit="false"/>
      <protection locked="true" hidden="false"/>
    </xf>
    <xf numFmtId="164" fontId="22" fillId="2" borderId="48" xfId="0" applyFont="true" applyBorder="true" applyAlignment="true" applyProtection="true">
      <alignment horizontal="general" vertical="bottom" textRotation="0" wrapText="false" indent="0" shrinkToFit="false"/>
      <protection locked="true" hidden="false"/>
    </xf>
    <xf numFmtId="166" fontId="11" fillId="0" borderId="37" xfId="0" applyFont="true" applyBorder="true" applyAlignment="true" applyProtection="true">
      <alignment horizontal="general" vertical="bottom" textRotation="0" wrapText="false" indent="0" shrinkToFit="false"/>
      <protection locked="true" hidden="false"/>
    </xf>
    <xf numFmtId="164" fontId="29" fillId="2" borderId="41" xfId="0" applyFont="true" applyBorder="true" applyAlignment="true" applyProtection="true">
      <alignment horizontal="general" vertical="bottom" textRotation="0" wrapText="false" indent="0" shrinkToFit="false"/>
      <protection locked="true" hidden="false"/>
    </xf>
    <xf numFmtId="167" fontId="29" fillId="2" borderId="49" xfId="0" applyFont="true" applyBorder="true" applyAlignment="true" applyProtection="true">
      <alignment horizontal="general" vertical="bottom" textRotation="0" wrapText="false" indent="0" shrinkToFit="false"/>
      <protection locked="true" hidden="false"/>
    </xf>
    <xf numFmtId="167" fontId="29" fillId="2" borderId="42" xfId="0" applyFont="true" applyBorder="true" applyAlignment="true" applyProtection="true">
      <alignment horizontal="general" vertical="bottom" textRotation="0" wrapText="false" indent="0" shrinkToFit="false"/>
      <protection locked="true" hidden="false"/>
    </xf>
    <xf numFmtId="164" fontId="22" fillId="11" borderId="50" xfId="0" applyFont="true" applyBorder="true" applyAlignment="true" applyProtection="true">
      <alignment horizontal="general" vertical="bottom" textRotation="0" wrapText="false" indent="0" shrinkToFit="false"/>
      <protection locked="true" hidden="false"/>
    </xf>
    <xf numFmtId="172" fontId="22" fillId="0" borderId="51" xfId="0" applyFont="true" applyBorder="true" applyAlignment="true" applyProtection="true">
      <alignment horizontal="general" vertical="bottom" textRotation="0" wrapText="false" indent="0" shrinkToFit="false"/>
      <protection locked="true" hidden="false"/>
    </xf>
    <xf numFmtId="172" fontId="22" fillId="0" borderId="52" xfId="0" applyFont="true" applyBorder="true" applyAlignment="true" applyProtection="true">
      <alignment horizontal="general" vertical="bottom" textRotation="0" wrapText="false" indent="0" shrinkToFit="false"/>
      <protection locked="true" hidden="false"/>
    </xf>
    <xf numFmtId="164" fontId="22" fillId="2" borderId="50" xfId="0" applyFont="true" applyBorder="true" applyAlignment="true" applyProtection="true">
      <alignment horizontal="general" vertical="bottom" textRotation="0" wrapText="false" indent="0" shrinkToFit="false"/>
      <protection locked="true" hidden="false"/>
    </xf>
    <xf numFmtId="172" fontId="22" fillId="2" borderId="51" xfId="0" applyFont="true" applyBorder="true" applyAlignment="true" applyProtection="true">
      <alignment horizontal="general" vertical="bottom" textRotation="0" wrapText="false" indent="0" shrinkToFit="false"/>
      <protection locked="true" hidden="false"/>
    </xf>
    <xf numFmtId="173" fontId="26"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true" applyAlignment="true" applyProtection="true">
      <alignment horizontal="left" vertical="bottom" textRotation="0" wrapText="true" indent="0" shrinkToFit="false"/>
      <protection locked="true" hidden="false"/>
    </xf>
    <xf numFmtId="164" fontId="62" fillId="0" borderId="0" xfId="0" applyFont="true" applyBorder="false" applyAlignment="true" applyProtection="true">
      <alignment horizontal="left" vertical="top" textRotation="0" wrapText="true" indent="0" shrinkToFit="false"/>
      <protection locked="true" hidden="false"/>
    </xf>
    <xf numFmtId="164" fontId="62" fillId="0" borderId="0" xfId="0" applyFont="true" applyBorder="false" applyAlignment="true" applyProtection="true">
      <alignment horizontal="general" vertical="top" textRotation="0" wrapText="true" indent="0" shrinkToFit="false"/>
      <protection locked="true" hidden="false"/>
    </xf>
    <xf numFmtId="164" fontId="0" fillId="4" borderId="53" xfId="0" applyFont="false" applyBorder="true" applyAlignment="true" applyProtection="true">
      <alignment horizontal="general" vertical="bottom" textRotation="0" wrapText="false" indent="0" shrinkToFit="false"/>
      <protection locked="true" hidden="false"/>
    </xf>
    <xf numFmtId="167" fontId="0" fillId="4" borderId="53" xfId="0" applyFont="false" applyBorder="true" applyAlignment="true" applyProtection="true">
      <alignment horizontal="general" vertical="bottom" textRotation="0" wrapText="false" indent="0" shrinkToFit="false"/>
      <protection locked="true" hidden="false"/>
    </xf>
    <xf numFmtId="164" fontId="63" fillId="0" borderId="0" xfId="0" applyFont="true" applyBorder="true" applyAlignment="true" applyProtection="true">
      <alignment horizontal="general" vertical="bottom" textRotation="0" wrapText="false" indent="0" shrinkToFit="false"/>
      <protection locked="true" hidden="false"/>
    </xf>
    <xf numFmtId="164" fontId="63" fillId="0" borderId="0" xfId="0" applyFont="true" applyBorder="false" applyAlignment="true" applyProtection="true">
      <alignment horizontal="general" vertical="bottom" textRotation="0" wrapText="false" indent="0" shrinkToFit="false"/>
      <protection locked="true" hidden="false"/>
    </xf>
    <xf numFmtId="164" fontId="64" fillId="0" borderId="0" xfId="0" applyFont="true" applyBorder="false" applyAlignment="true" applyProtection="true">
      <alignment horizontal="general" vertical="bottom" textRotation="0" wrapText="false" indent="0" shrinkToFit="false"/>
      <protection locked="true" hidden="false"/>
    </xf>
    <xf numFmtId="164" fontId="22" fillId="4" borderId="2" xfId="0" applyFont="true" applyBorder="true" applyAlignment="true" applyProtection="true">
      <alignment horizontal="center" vertical="center" textRotation="0" wrapText="false" indent="0" shrinkToFit="false"/>
      <protection locked="true" hidden="false"/>
    </xf>
    <xf numFmtId="167" fontId="65" fillId="4" borderId="18" xfId="0" applyFont="true" applyBorder="true" applyAlignment="true" applyProtection="true">
      <alignment horizontal="center" vertical="bottom" textRotation="0" wrapText="false" indent="0" shrinkToFit="false"/>
      <protection locked="true" hidden="false"/>
    </xf>
    <xf numFmtId="167" fontId="22" fillId="4" borderId="43" xfId="0" applyFont="true" applyBorder="true" applyAlignment="true" applyProtection="true">
      <alignment horizontal="center" vertical="bottom" textRotation="0" wrapText="false" indent="0" shrinkToFit="false"/>
      <protection locked="true" hidden="false"/>
    </xf>
    <xf numFmtId="173" fontId="22" fillId="4" borderId="21" xfId="19"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true">
      <alignment horizontal="center" vertical="center" textRotation="0" wrapText="false" indent="0" shrinkToFit="false"/>
      <protection locked="true" hidden="false"/>
    </xf>
    <xf numFmtId="173" fontId="22" fillId="0" borderId="0" xfId="19" applyFont="true" applyBorder="true" applyAlignment="true" applyProtection="true">
      <alignment horizontal="center" vertical="bottom" textRotation="0" wrapText="true" indent="0" shrinkToFit="false"/>
      <protection locked="true" hidden="false"/>
    </xf>
    <xf numFmtId="167" fontId="47" fillId="0" borderId="37" xfId="0" applyFont="true" applyBorder="true" applyAlignment="tru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center" vertical="center" textRotation="0" wrapText="false" indent="0" shrinkToFit="false"/>
      <protection locked="true" hidden="false"/>
    </xf>
    <xf numFmtId="167" fontId="22" fillId="0" borderId="11" xfId="0" applyFont="true" applyBorder="true" applyAlignment="true" applyProtection="true">
      <alignment horizontal="right" vertical="bottom" textRotation="0" wrapText="false" indent="0" shrinkToFit="false"/>
      <protection locked="true" hidden="false"/>
    </xf>
    <xf numFmtId="173" fontId="22" fillId="0" borderId="19" xfId="19" applyFont="true" applyBorder="true" applyAlignment="true" applyProtection="true">
      <alignment horizontal="center" vertical="bottom" textRotation="0" wrapText="true" indent="0" shrinkToFit="false"/>
      <protection locked="true" hidden="false"/>
    </xf>
    <xf numFmtId="164" fontId="0" fillId="0" borderId="54" xfId="0" applyFont="false" applyBorder="true" applyAlignment="true" applyProtection="true">
      <alignment horizontal="general" vertical="bottom" textRotation="0" wrapText="false" indent="0" shrinkToFit="false"/>
      <protection locked="true" hidden="false"/>
    </xf>
    <xf numFmtId="164" fontId="11" fillId="0" borderId="10" xfId="0" applyFont="true" applyBorder="true" applyAlignment="true" applyProtection="true">
      <alignment horizontal="left" vertical="bottom" textRotation="0" wrapText="false" indent="0" shrinkToFit="false"/>
      <protection locked="true" hidden="false"/>
    </xf>
    <xf numFmtId="167" fontId="11" fillId="0" borderId="10" xfId="0" applyFont="true" applyBorder="true" applyAlignment="true" applyProtection="true">
      <alignment horizontal="general" vertical="bottom" textRotation="0" wrapText="false" indent="0" shrinkToFit="false"/>
      <protection locked="true" hidden="false"/>
    </xf>
    <xf numFmtId="166" fontId="66" fillId="0" borderId="21" xfId="19" applyFont="true" applyBorder="true" applyAlignment="true" applyProtection="true">
      <alignment horizontal="right" vertical="bottom" textRotation="0" wrapText="false" indent="0" shrinkToFit="false"/>
      <protection locked="true" hidden="false"/>
    </xf>
    <xf numFmtId="164" fontId="11" fillId="0" borderId="17" xfId="0" applyFont="true" applyBorder="true" applyAlignment="true" applyProtection="true">
      <alignment horizontal="left" vertical="bottom" textRotation="0" wrapText="false" indent="0" shrinkToFit="false"/>
      <protection locked="true" hidden="false"/>
    </xf>
    <xf numFmtId="167" fontId="11" fillId="0" borderId="17" xfId="0" applyFont="true" applyBorder="true" applyAlignment="true" applyProtection="true">
      <alignment horizontal="general" vertical="bottom" textRotation="0" wrapText="false" indent="0" shrinkToFit="false"/>
      <protection locked="true" hidden="false"/>
    </xf>
    <xf numFmtId="166" fontId="66" fillId="0" borderId="4" xfId="19" applyFont="true" applyBorder="true" applyAlignment="true" applyProtection="true">
      <alignment horizontal="right" vertical="bottom" textRotation="0" wrapText="false" indent="0" shrinkToFit="false"/>
      <protection locked="true" hidden="false"/>
    </xf>
    <xf numFmtId="164" fontId="11" fillId="0" borderId="11" xfId="0" applyFont="true" applyBorder="true" applyAlignment="true" applyProtection="true">
      <alignment horizontal="left" vertical="bottom" textRotation="0" wrapText="false" indent="0" shrinkToFit="false"/>
      <protection locked="true" hidden="false"/>
    </xf>
    <xf numFmtId="164" fontId="22" fillId="2" borderId="2" xfId="0" applyFont="true" applyBorder="true" applyAlignment="true" applyProtection="true">
      <alignment horizontal="left" vertical="bottom" textRotation="0" wrapText="false" indent="0" shrinkToFit="false"/>
      <protection locked="true" hidden="false"/>
    </xf>
    <xf numFmtId="164" fontId="0" fillId="2" borderId="17" xfId="0" applyFont="false" applyBorder="true" applyAlignment="true" applyProtection="true">
      <alignment horizontal="general" vertical="bottom" textRotation="0" wrapText="false" indent="0" shrinkToFit="false"/>
      <protection locked="true" hidden="false"/>
    </xf>
    <xf numFmtId="167" fontId="22" fillId="2" borderId="17" xfId="0" applyFont="true" applyBorder="true" applyAlignment="true" applyProtection="true">
      <alignment horizontal="general" vertical="bottom" textRotation="0" wrapText="false" indent="0" shrinkToFit="false"/>
      <protection locked="true" hidden="false"/>
    </xf>
    <xf numFmtId="166" fontId="22" fillId="2" borderId="4" xfId="19" applyFont="true" applyBorder="true" applyAlignment="true" applyProtection="true">
      <alignment horizontal="right" vertical="bottom" textRotation="0" wrapText="false" indent="0" shrinkToFit="false"/>
      <protection locked="true" hidden="false"/>
    </xf>
    <xf numFmtId="172" fontId="11" fillId="0" borderId="17" xfId="0" applyFont="true" applyBorder="true" applyAlignment="true" applyProtection="true">
      <alignment horizontal="general" vertical="bottom" textRotation="0" wrapText="false" indent="0" shrinkToFit="false"/>
      <protection locked="true" hidden="false"/>
    </xf>
    <xf numFmtId="172" fontId="11" fillId="0" borderId="11" xfId="0" applyFont="true" applyBorder="true" applyAlignment="true" applyProtection="true">
      <alignment horizontal="general" vertical="bottom" textRotation="0" wrapText="false" indent="0" shrinkToFit="false"/>
      <protection locked="true" hidden="false"/>
    </xf>
    <xf numFmtId="166" fontId="66" fillId="0" borderId="19" xfId="19" applyFont="true" applyBorder="true" applyAlignment="true" applyProtection="true">
      <alignment horizontal="right" vertical="bottom" textRotation="0" wrapText="false" indent="0" shrinkToFit="false"/>
      <protection locked="true" hidden="false"/>
    </xf>
    <xf numFmtId="172" fontId="11" fillId="0" borderId="10" xfId="0" applyFont="true" applyBorder="true" applyAlignment="true" applyProtection="true">
      <alignment horizontal="general" vertical="bottom" textRotation="0" wrapText="false" indent="0" shrinkToFit="false"/>
      <protection locked="true" hidden="false"/>
    </xf>
    <xf numFmtId="164" fontId="0" fillId="0" borderId="43" xfId="0" applyFont="false" applyBorder="true" applyAlignment="true" applyProtection="true">
      <alignment horizontal="general" vertical="bottom" textRotation="0" wrapText="false" indent="0" shrinkToFit="false"/>
      <protection locked="true" hidden="false"/>
    </xf>
    <xf numFmtId="164" fontId="22" fillId="2" borderId="2" xfId="0" applyFont="true" applyBorder="true" applyAlignment="true" applyProtection="true">
      <alignment horizontal="general" vertical="bottom" textRotation="0" wrapText="false" indent="0" shrinkToFit="false"/>
      <protection locked="true" hidden="false"/>
    </xf>
    <xf numFmtId="166" fontId="22" fillId="0" borderId="0" xfId="19" applyFont="true" applyBorder="true" applyAlignment="true" applyProtection="true">
      <alignment horizontal="right" vertical="bottom" textRotation="0" wrapText="false" indent="0" shrinkToFit="false"/>
      <protection locked="true" hidden="false"/>
    </xf>
    <xf numFmtId="167" fontId="47" fillId="2" borderId="2" xfId="0" applyFont="true" applyBorder="true" applyAlignment="true" applyProtection="true">
      <alignment horizontal="general" vertical="bottom" textRotation="0" wrapText="false" indent="0" shrinkToFit="false"/>
      <protection locked="true" hidden="false"/>
    </xf>
    <xf numFmtId="164" fontId="67" fillId="2" borderId="17" xfId="0" applyFont="true" applyBorder="true" applyAlignment="true" applyProtection="true">
      <alignment horizontal="general" vertical="bottom" textRotation="0" wrapText="false" indent="0" shrinkToFit="false"/>
      <protection locked="true" hidden="false"/>
    </xf>
    <xf numFmtId="167" fontId="47" fillId="2" borderId="17" xfId="0" applyFont="true" applyBorder="true" applyAlignment="true" applyProtection="true">
      <alignment horizontal="general" vertical="bottom" textRotation="0" wrapText="false" indent="0" shrinkToFit="false"/>
      <protection locked="true" hidden="false"/>
    </xf>
    <xf numFmtId="167" fontId="47" fillId="0" borderId="0" xfId="0" applyFont="true" applyBorder="false" applyAlignment="true" applyProtection="true">
      <alignment horizontal="general" vertical="bottom" textRotation="0" wrapText="false" indent="0" shrinkToFit="false"/>
      <protection locked="true" hidden="false"/>
    </xf>
    <xf numFmtId="164" fontId="67" fillId="0" borderId="0" xfId="0" applyFont="true" applyBorder="false" applyAlignment="true" applyProtection="true">
      <alignment horizontal="general" vertical="bottom" textRotation="0" wrapText="false" indent="0" shrinkToFit="false"/>
      <protection locked="true" hidden="false"/>
    </xf>
    <xf numFmtId="164" fontId="5" fillId="0" borderId="37" xfId="0" applyFont="true" applyBorder="true" applyAlignment="true" applyProtection="true">
      <alignment horizontal="left" vertical="bottom" textRotation="0" wrapText="false" indent="0" shrinkToFit="false"/>
      <protection locked="true" hidden="false"/>
    </xf>
    <xf numFmtId="164" fontId="67" fillId="0" borderId="11" xfId="0" applyFont="true" applyBorder="true" applyAlignment="true" applyProtection="true">
      <alignment horizontal="general" vertical="bottom" textRotation="0" wrapText="false" indent="0" shrinkToFit="false"/>
      <protection locked="true" hidden="false"/>
    </xf>
    <xf numFmtId="167" fontId="47" fillId="0" borderId="11" xfId="0" applyFont="true" applyBorder="true" applyAlignment="true" applyProtection="true">
      <alignment horizontal="general" vertical="bottom" textRotation="0" wrapText="false" indent="0" shrinkToFit="false"/>
      <protection locked="true" hidden="false"/>
    </xf>
    <xf numFmtId="166" fontId="22" fillId="0" borderId="19" xfId="19" applyFont="true" applyBorder="true" applyAlignment="true" applyProtection="true">
      <alignment horizontal="right" vertical="bottom" textRotation="0" wrapText="false" indent="0" shrinkToFit="false"/>
      <protection locked="true" hidden="false"/>
    </xf>
    <xf numFmtId="167" fontId="47" fillId="0" borderId="20" xfId="0" applyFont="true" applyBorder="true" applyAlignment="true" applyProtection="true">
      <alignment horizontal="general" vertical="bottom" textRotation="0" wrapText="false" indent="0" shrinkToFit="false"/>
      <protection locked="true" hidden="false"/>
    </xf>
    <xf numFmtId="167" fontId="68" fillId="2" borderId="2" xfId="0" applyFont="true" applyBorder="true" applyAlignment="true" applyProtection="true">
      <alignment horizontal="general" vertical="bottom" textRotation="0" wrapText="false" indent="0" shrinkToFit="false"/>
      <protection locked="true" hidden="false"/>
    </xf>
    <xf numFmtId="164" fontId="69" fillId="2" borderId="17" xfId="0" applyFont="true" applyBorder="true" applyAlignment="true" applyProtection="true">
      <alignment horizontal="general" vertical="bottom" textRotation="0" wrapText="false" indent="0" shrinkToFit="false"/>
      <protection locked="true" hidden="false"/>
    </xf>
    <xf numFmtId="167" fontId="70" fillId="2" borderId="17" xfId="0" applyFont="true" applyBorder="true" applyAlignment="true" applyProtection="true">
      <alignment horizontal="general" vertical="bottom" textRotation="0" wrapText="false" indent="0" shrinkToFit="false"/>
      <protection locked="true" hidden="false"/>
    </xf>
    <xf numFmtId="166" fontId="38" fillId="2" borderId="4" xfId="19" applyFont="true" applyBorder="true" applyAlignment="true" applyProtection="true">
      <alignment horizontal="right"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7" fontId="5" fillId="0" borderId="11" xfId="0" applyFont="true" applyBorder="true" applyAlignment="true" applyProtection="true">
      <alignment horizontal="general" vertical="bottom" textRotation="0" wrapText="false" indent="0" shrinkToFit="false"/>
      <protection locked="true" hidden="false"/>
    </xf>
    <xf numFmtId="164" fontId="5" fillId="0" borderId="20" xfId="0" applyFont="true" applyBorder="true" applyAlignment="true" applyProtection="true">
      <alignment horizontal="left" vertical="bottom" textRotation="0" wrapText="false" indent="0" shrinkToFit="false"/>
      <protection locked="true" hidden="false"/>
    </xf>
    <xf numFmtId="164" fontId="52" fillId="0" borderId="10" xfId="0" applyFont="true" applyBorder="true" applyAlignment="true" applyProtection="true">
      <alignment horizontal="left"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7" fontId="37" fillId="0" borderId="0" xfId="0" applyFont="true" applyBorder="false" applyAlignment="true" applyProtection="true">
      <alignment horizontal="general" vertical="bottom" textRotation="0" wrapText="false" indent="0" shrinkToFit="false"/>
      <protection locked="true" hidden="false"/>
    </xf>
    <xf numFmtId="168" fontId="37" fillId="0" borderId="0" xfId="0" applyFont="true" applyBorder="false" applyAlignment="true" applyProtection="true">
      <alignment horizontal="general" vertical="bottom" textRotation="0" wrapText="false" indent="0" shrinkToFit="false"/>
      <protection locked="true" hidden="false"/>
    </xf>
    <xf numFmtId="164" fontId="62" fillId="0" borderId="0" xfId="0" applyFont="true" applyBorder="false" applyAlignment="true" applyProtection="true">
      <alignment horizontal="general" vertical="bottom" textRotation="0" wrapText="false" indent="0" shrinkToFit="false"/>
      <protection locked="true" hidden="false"/>
    </xf>
    <xf numFmtId="167" fontId="62" fillId="0" borderId="0" xfId="0" applyFont="true" applyBorder="false" applyAlignment="true" applyProtection="true">
      <alignment horizontal="general" vertical="bottom" textRotation="0" wrapText="false" indent="0" shrinkToFit="false"/>
      <protection locked="true" hidden="false"/>
    </xf>
    <xf numFmtId="164" fontId="47" fillId="0" borderId="37" xfId="0" applyFont="true" applyBorder="true" applyAlignment="true" applyProtection="true">
      <alignment horizontal="general" vertical="bottom" textRotation="0" wrapText="false" indent="0" shrinkToFit="false"/>
      <protection locked="true" hidden="false"/>
    </xf>
    <xf numFmtId="167" fontId="0" fillId="0" borderId="11" xfId="0" applyFont="fals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6" fontId="66" fillId="0" borderId="54" xfId="19" applyFont="true" applyBorder="true" applyAlignment="true" applyProtection="true">
      <alignment horizontal="right" vertical="bottom" textRotation="0" wrapText="false" indent="0" shrinkToFit="false"/>
      <protection locked="true" hidden="false"/>
    </xf>
    <xf numFmtId="164" fontId="47" fillId="2" borderId="2" xfId="0" applyFont="true" applyBorder="true" applyAlignment="true" applyProtection="true">
      <alignment horizontal="general" vertical="bottom" textRotation="0" wrapText="false" indent="0" shrinkToFit="false"/>
      <protection locked="true" hidden="false"/>
    </xf>
    <xf numFmtId="167" fontId="5" fillId="2" borderId="17" xfId="0" applyFont="true" applyBorder="true" applyAlignment="true" applyProtection="true">
      <alignment horizontal="general" vertical="bottom" textRotation="0" wrapText="false" indent="0" shrinkToFit="false"/>
      <protection locked="true" hidden="false"/>
    </xf>
    <xf numFmtId="164" fontId="71" fillId="0" borderId="0" xfId="0" applyFont="true" applyBorder="false" applyAlignment="true" applyProtection="true">
      <alignment horizontal="general" vertical="bottom" textRotation="0" wrapText="false" indent="0" shrinkToFit="false"/>
      <protection locked="true" hidden="false"/>
    </xf>
    <xf numFmtId="164" fontId="54" fillId="2" borderId="7" xfId="0" applyFont="true" applyBorder="true" applyAlignment="true" applyProtection="true">
      <alignment horizontal="general" vertical="bottom" textRotation="0" wrapText="false" indent="0" shrinkToFit="false"/>
      <protection locked="true" hidden="false"/>
    </xf>
    <xf numFmtId="164" fontId="71" fillId="2" borderId="8" xfId="0" applyFont="true" applyBorder="true" applyAlignment="true" applyProtection="true">
      <alignment horizontal="general" vertical="bottom" textRotation="0" wrapText="false" indent="0" shrinkToFit="false"/>
      <protection locked="true" hidden="false"/>
    </xf>
    <xf numFmtId="167" fontId="29" fillId="2" borderId="8" xfId="0" applyFont="true" applyBorder="true" applyAlignment="true" applyProtection="true">
      <alignment horizontal="general" vertical="bottom" textRotation="0" wrapText="false" indent="0" shrinkToFit="false"/>
      <protection locked="true" hidden="false"/>
    </xf>
    <xf numFmtId="166" fontId="22" fillId="2" borderId="55" xfId="19" applyFont="true" applyBorder="true" applyAlignment="true" applyProtection="true">
      <alignment horizontal="right" vertical="bottom" textRotation="0" wrapText="false" indent="0" shrinkToFit="false"/>
      <protection locked="true" hidden="false"/>
    </xf>
    <xf numFmtId="167" fontId="71" fillId="0" borderId="0" xfId="0" applyFont="true" applyBorder="false" applyAlignment="true" applyProtection="true">
      <alignment horizontal="general" vertical="bottom" textRotation="0" wrapText="false" indent="0" shrinkToFit="false"/>
      <protection locked="true" hidden="false"/>
    </xf>
    <xf numFmtId="173" fontId="11" fillId="0" borderId="0" xfId="19" applyFont="true" applyBorder="true" applyAlignment="true" applyProtection="true">
      <alignment horizontal="right" vertical="bottom" textRotation="0" wrapText="false" indent="0" shrinkToFit="false"/>
      <protection locked="true" hidden="false"/>
    </xf>
    <xf numFmtId="164" fontId="72" fillId="0" borderId="37" xfId="0" applyFont="true" applyBorder="true" applyAlignment="true" applyProtection="true">
      <alignment horizontal="general" vertical="bottom" textRotation="0" wrapText="false" indent="0" shrinkToFit="false"/>
      <protection locked="true" hidden="false"/>
    </xf>
    <xf numFmtId="164" fontId="37" fillId="0" borderId="11" xfId="0" applyFont="true" applyBorder="true" applyAlignment="true" applyProtection="true">
      <alignment horizontal="general" vertical="bottom" textRotation="0" wrapText="false" indent="0" shrinkToFit="false"/>
      <protection locked="true" hidden="false"/>
    </xf>
    <xf numFmtId="167" fontId="37" fillId="0" borderId="11" xfId="0" applyFont="true" applyBorder="true" applyAlignment="true" applyProtection="true">
      <alignment horizontal="general" vertical="bottom" textRotation="0" wrapText="false" indent="0" shrinkToFit="false"/>
      <protection locked="true" hidden="false"/>
    </xf>
    <xf numFmtId="164" fontId="37" fillId="0" borderId="19" xfId="0" applyFont="true" applyBorder="true" applyAlignment="true" applyProtection="true">
      <alignment horizontal="general" vertical="bottom" textRotation="0" wrapText="false" indent="0" shrinkToFit="false"/>
      <protection locked="true" hidden="false"/>
    </xf>
    <xf numFmtId="164" fontId="37" fillId="0" borderId="20" xfId="0" applyFont="true" applyBorder="true" applyAlignment="true" applyProtection="true">
      <alignment horizontal="general" vertical="bottom" textRotation="0" wrapText="false" indent="0" shrinkToFit="false"/>
      <protection locked="true" hidden="false"/>
    </xf>
    <xf numFmtId="164" fontId="27" fillId="0" borderId="10" xfId="0" applyFont="true" applyBorder="true" applyAlignment="true" applyProtection="true">
      <alignment horizontal="general" vertical="bottom" textRotation="0" wrapText="false" indent="0" shrinkToFit="false"/>
      <protection locked="true" hidden="false"/>
    </xf>
    <xf numFmtId="164" fontId="37" fillId="0" borderId="10" xfId="0" applyFont="true" applyBorder="true" applyAlignment="true" applyProtection="true">
      <alignment horizontal="general" vertical="bottom" textRotation="0" wrapText="false" indent="0" shrinkToFit="false"/>
      <protection locked="true" hidden="false"/>
    </xf>
    <xf numFmtId="167" fontId="27" fillId="0" borderId="10" xfId="0" applyFont="true" applyBorder="true" applyAlignment="true" applyProtection="true">
      <alignment horizontal="general" vertical="bottom" textRotation="0" wrapText="false" indent="0" shrinkToFit="false"/>
      <protection locked="true" hidden="false"/>
    </xf>
    <xf numFmtId="166" fontId="73" fillId="0" borderId="21" xfId="19" applyFont="true" applyBorder="true" applyAlignment="true" applyProtection="true">
      <alignment horizontal="right" vertical="bottom" textRotation="0" wrapText="false" indent="0" shrinkToFit="false"/>
      <protection locked="true" hidden="false"/>
    </xf>
    <xf numFmtId="164" fontId="74" fillId="0" borderId="0" xfId="0" applyFont="true" applyBorder="false" applyAlignment="true" applyProtection="true">
      <alignment horizontal="general" vertical="bottom" textRotation="0" wrapText="false" indent="0" shrinkToFit="false"/>
      <protection locked="true" hidden="false"/>
    </xf>
    <xf numFmtId="164" fontId="27" fillId="0" borderId="17" xfId="0" applyFont="true" applyBorder="true" applyAlignment="true" applyProtection="true">
      <alignment horizontal="general" vertical="bottom" textRotation="0" wrapText="false" indent="0" shrinkToFit="false"/>
      <protection locked="true" hidden="false"/>
    </xf>
    <xf numFmtId="164" fontId="37" fillId="0" borderId="17" xfId="0" applyFont="true" applyBorder="true" applyAlignment="true" applyProtection="true">
      <alignment horizontal="general" vertical="bottom" textRotation="0" wrapText="false" indent="0" shrinkToFit="false"/>
      <protection locked="true" hidden="false"/>
    </xf>
    <xf numFmtId="166" fontId="73" fillId="0" borderId="54" xfId="19" applyFont="true" applyBorder="true" applyAlignment="true" applyProtection="true">
      <alignment horizontal="right" vertical="bottom" textRotation="0" wrapText="false" indent="0" shrinkToFit="false"/>
      <protection locked="true" hidden="false"/>
    </xf>
    <xf numFmtId="164" fontId="72" fillId="2" borderId="2" xfId="0" applyFont="true" applyBorder="true" applyAlignment="true" applyProtection="true">
      <alignment horizontal="general" vertical="bottom" textRotation="0" wrapText="false" indent="0" shrinkToFit="false"/>
      <protection locked="true" hidden="false"/>
    </xf>
    <xf numFmtId="164" fontId="37" fillId="2" borderId="17" xfId="0" applyFont="true" applyBorder="true" applyAlignment="true" applyProtection="true">
      <alignment horizontal="general" vertical="bottom" textRotation="0" wrapText="false" indent="0" shrinkToFit="false"/>
      <protection locked="true" hidden="false"/>
    </xf>
    <xf numFmtId="167" fontId="75" fillId="2" borderId="17" xfId="0" applyFont="true" applyBorder="true" applyAlignment="true" applyProtection="true">
      <alignment horizontal="general" vertical="bottom" textRotation="0" wrapText="false" indent="0" shrinkToFit="false"/>
      <protection locked="true" hidden="false"/>
    </xf>
    <xf numFmtId="166" fontId="25" fillId="2" borderId="4" xfId="19" applyFont="true" applyBorder="true" applyAlignment="true" applyProtection="true">
      <alignment horizontal="right" vertical="bottom" textRotation="0" wrapText="false" indent="0" shrinkToFit="false"/>
      <protection locked="true" hidden="false"/>
    </xf>
    <xf numFmtId="167" fontId="22" fillId="4" borderId="43" xfId="0" applyFont="true" applyBorder="true" applyAlignment="true" applyProtection="true">
      <alignment horizontal="center" vertical="center" textRotation="0" wrapText="false" indent="0" shrinkToFit="false"/>
      <protection locked="true" hidden="false"/>
    </xf>
    <xf numFmtId="173" fontId="22" fillId="4" borderId="21" xfId="0" applyFont="true" applyBorder="true" applyAlignment="true" applyProtection="true">
      <alignment horizontal="center" vertical="center" textRotation="0" wrapText="true" indent="0" shrinkToFit="false"/>
      <protection locked="true" hidden="false"/>
    </xf>
    <xf numFmtId="167" fontId="22" fillId="0" borderId="0" xfId="0" applyFont="true" applyBorder="false" applyAlignment="true" applyProtection="true">
      <alignment horizontal="center" vertical="center" textRotation="0" wrapText="false" indent="0" shrinkToFit="false"/>
      <protection locked="true" hidden="false"/>
    </xf>
    <xf numFmtId="173" fontId="22" fillId="0" borderId="0" xfId="0" applyFont="true" applyBorder="false" applyAlignment="true" applyProtection="true">
      <alignment horizontal="center" vertical="center" textRotation="0" wrapText="true" indent="0" shrinkToFit="false"/>
      <protection locked="true" hidden="false"/>
    </xf>
    <xf numFmtId="167" fontId="47" fillId="0" borderId="18" xfId="0" applyFont="true" applyBorder="true" applyAlignment="true" applyProtection="true">
      <alignment horizontal="general"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22" fillId="0" borderId="10" xfId="0" applyFont="true" applyBorder="true" applyAlignment="true" applyProtection="true">
      <alignment horizontal="general" vertical="bottom" textRotation="0" wrapText="false" indent="0" shrinkToFit="false"/>
      <protection locked="false" hidden="false"/>
    </xf>
    <xf numFmtId="167" fontId="11" fillId="0" borderId="10" xfId="0" applyFont="true" applyBorder="true" applyAlignment="true" applyProtection="true">
      <alignment horizontal="general" vertical="bottom" textRotation="0" wrapText="false" indent="0" shrinkToFit="false"/>
      <protection locked="false" hidden="false"/>
    </xf>
    <xf numFmtId="167" fontId="22" fillId="0" borderId="10" xfId="0" applyFont="true" applyBorder="true" applyAlignment="true" applyProtection="true">
      <alignment horizontal="general" vertical="bottom" textRotation="0" wrapText="false" indent="0" shrinkToFit="false"/>
      <protection locked="false" hidden="false"/>
    </xf>
    <xf numFmtId="166" fontId="22" fillId="2" borderId="4" xfId="0" applyFont="true" applyBorder="true" applyAlignment="true" applyProtection="true">
      <alignment horizontal="right" vertical="bottom" textRotation="0" wrapText="false" indent="0" shrinkToFit="false"/>
      <protection locked="true" hidden="false"/>
    </xf>
    <xf numFmtId="166" fontId="22" fillId="0" borderId="0" xfId="0" applyFont="true" applyBorder="false" applyAlignment="true" applyProtection="true">
      <alignment horizontal="right" vertical="bottom" textRotation="0" wrapText="false" indent="0" shrinkToFit="false"/>
      <protection locked="true" hidden="false"/>
    </xf>
    <xf numFmtId="164" fontId="22" fillId="0" borderId="17" xfId="0" applyFont="true" applyBorder="true" applyAlignment="true" applyProtection="true">
      <alignment horizontal="general" vertical="bottom" textRotation="0" wrapText="false" indent="0" shrinkToFit="false"/>
      <protection locked="false" hidden="false"/>
    </xf>
    <xf numFmtId="167" fontId="22" fillId="0" borderId="17" xfId="0" applyFont="true" applyBorder="true" applyAlignment="true" applyProtection="true">
      <alignment horizontal="general" vertical="bottom" textRotation="0" wrapText="false" indent="0" shrinkToFit="false"/>
      <protection locked="false" hidden="false"/>
    </xf>
    <xf numFmtId="164" fontId="22" fillId="0" borderId="11" xfId="0" applyFont="true" applyBorder="true" applyAlignment="true" applyProtection="true">
      <alignment horizontal="general" vertical="bottom" textRotation="0" wrapText="false" indent="0" shrinkToFit="false"/>
      <protection locked="false" hidden="false"/>
    </xf>
    <xf numFmtId="167" fontId="22" fillId="0" borderId="11" xfId="0" applyFont="true" applyBorder="true" applyAlignment="true" applyProtection="true">
      <alignment horizontal="general" vertical="bottom" textRotation="0" wrapText="false" indent="0" shrinkToFit="false"/>
      <protection locked="false" hidden="false"/>
    </xf>
    <xf numFmtId="164" fontId="22" fillId="2" borderId="2" xfId="0" applyFont="true" applyBorder="true" applyAlignment="true" applyProtection="true">
      <alignment horizontal="general" vertical="bottom" textRotation="0" wrapText="false" indent="0" shrinkToFit="false"/>
      <protection locked="false" hidden="false"/>
    </xf>
    <xf numFmtId="167" fontId="22" fillId="2" borderId="17" xfId="0" applyFont="true" applyBorder="true" applyAlignment="true" applyProtection="true">
      <alignment horizontal="general" vertical="bottom" textRotation="0" wrapText="false" indent="0" shrinkToFit="false"/>
      <protection locked="false" hidden="false"/>
    </xf>
    <xf numFmtId="166" fontId="66" fillId="2" borderId="4" xfId="19" applyFont="true" applyBorder="true" applyAlignment="true" applyProtection="true">
      <alignment horizontal="right" vertical="bottom" textRotation="0" wrapText="false" indent="0" shrinkToFit="false"/>
      <protection locked="true" hidden="false"/>
    </xf>
    <xf numFmtId="166" fontId="22" fillId="0" borderId="21" xfId="19" applyFont="true" applyBorder="true" applyAlignment="true" applyProtection="true">
      <alignment horizontal="right" vertical="bottom" textRotation="0" wrapText="false" indent="0" shrinkToFit="false"/>
      <protection locked="true" hidden="false"/>
    </xf>
    <xf numFmtId="164" fontId="22" fillId="0" borderId="17" xfId="0" applyFont="true" applyBorder="true" applyAlignment="true" applyProtection="true">
      <alignment horizontal="general" vertical="bottom" textRotation="0" wrapText="true" indent="0" shrinkToFit="false"/>
      <protection locked="false" hidden="false"/>
    </xf>
    <xf numFmtId="167" fontId="22" fillId="5" borderId="10" xfId="0" applyFont="true" applyBorder="true" applyAlignment="true" applyProtection="true">
      <alignment horizontal="general" vertical="bottom" textRotation="0" wrapText="false" indent="0" shrinkToFit="false"/>
      <protection locked="false" hidden="false"/>
    </xf>
    <xf numFmtId="166" fontId="76" fillId="0" borderId="21" xfId="19" applyFont="true" applyBorder="true" applyAlignment="true" applyProtection="true">
      <alignment horizontal="right"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false" hidden="false"/>
    </xf>
    <xf numFmtId="167" fontId="22" fillId="0" borderId="0" xfId="0" applyFont="true" applyBorder="false" applyAlignment="true" applyProtection="true">
      <alignment horizontal="general" vertical="bottom" textRotation="0" wrapText="false" indent="0" shrinkToFit="false"/>
      <protection locked="false" hidden="false"/>
    </xf>
    <xf numFmtId="166" fontId="22" fillId="0" borderId="54" xfId="19" applyFont="true" applyBorder="true" applyAlignment="true" applyProtection="true">
      <alignment horizontal="right" vertical="bottom" textRotation="0" wrapText="false" indent="0" shrinkToFit="false"/>
      <protection locked="true" hidden="false"/>
    </xf>
    <xf numFmtId="166" fontId="22" fillId="0" borderId="0" xfId="0" applyFont="true" applyBorder="false" applyAlignment="true" applyProtection="true">
      <alignment horizontal="center" vertical="bottom" textRotation="0" wrapText="false" indent="0" shrinkToFit="false"/>
      <protection locked="true" hidden="false"/>
    </xf>
    <xf numFmtId="164" fontId="54" fillId="2" borderId="56" xfId="0" applyFont="true" applyBorder="true" applyAlignment="true" applyProtection="true">
      <alignment horizontal="general" vertical="bottom" textRotation="0" wrapText="false" indent="0" shrinkToFit="false"/>
      <protection locked="true" hidden="false"/>
    </xf>
    <xf numFmtId="166" fontId="22" fillId="2" borderId="55" xfId="0" applyFont="true" applyBorder="true" applyAlignment="true" applyProtection="true">
      <alignment horizontal="right" vertical="bottom" textRotation="0" wrapText="false" indent="0" shrinkToFit="false"/>
      <protection locked="true" hidden="false"/>
    </xf>
    <xf numFmtId="167" fontId="39" fillId="0" borderId="0" xfId="0" applyFont="true" applyBorder="false" applyAlignment="true" applyProtection="true">
      <alignment horizontal="general" vertical="bottom" textRotation="0" wrapText="false" indent="0" shrinkToFit="false"/>
      <protection locked="true" hidden="false"/>
    </xf>
    <xf numFmtId="166" fontId="66" fillId="0" borderId="0" xfId="19" applyFont="true" applyBorder="true" applyAlignment="true" applyProtection="true">
      <alignment horizontal="right" vertical="bottom" textRotation="0" wrapText="false" indent="0" shrinkToFit="false"/>
      <protection locked="true" hidden="false"/>
    </xf>
    <xf numFmtId="167" fontId="29" fillId="2" borderId="55"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11" fillId="4" borderId="53" xfId="0" applyFont="true" applyBorder="true" applyAlignment="true" applyProtection="true">
      <alignment horizontal="right" vertical="bottom" textRotation="0" wrapText="false" indent="0" shrinkToFit="false"/>
      <protection locked="true" hidden="false"/>
    </xf>
    <xf numFmtId="167" fontId="11" fillId="4" borderId="53" xfId="0" applyFont="true" applyBorder="true" applyAlignment="true" applyProtection="true">
      <alignment horizontal="general" vertical="bottom" textRotation="0" wrapText="false" indent="0" shrinkToFit="false"/>
      <protection locked="true" hidden="false"/>
    </xf>
    <xf numFmtId="164" fontId="0" fillId="0" borderId="53" xfId="0" applyFont="false" applyBorder="true" applyAlignment="true" applyProtection="true">
      <alignment horizontal="general" vertical="bottom" textRotation="0" wrapText="false" indent="0" shrinkToFit="false"/>
      <protection locked="true" hidden="false"/>
    </xf>
    <xf numFmtId="164" fontId="77" fillId="0" borderId="1" xfId="0" applyFont="true" applyBorder="true" applyAlignment="true" applyProtection="true">
      <alignment horizontal="general" vertical="bottom" textRotation="0" wrapText="true" indent="0" shrinkToFit="false"/>
      <protection locked="true" hidden="false"/>
    </xf>
    <xf numFmtId="164" fontId="63" fillId="0" borderId="0" xfId="0" applyFont="true" applyBorder="false" applyAlignment="true" applyProtection="true">
      <alignment horizontal="right" vertical="bottom" textRotation="0" wrapText="false" indent="0" shrinkToFit="false"/>
      <protection locked="true" hidden="false"/>
    </xf>
    <xf numFmtId="164" fontId="78" fillId="0" borderId="0" xfId="0" applyFont="true" applyBorder="false" applyAlignment="true" applyProtection="true">
      <alignment horizontal="right" vertical="bottom" textRotation="0" wrapText="false" indent="0" shrinkToFit="false"/>
      <protection locked="true" hidden="false"/>
    </xf>
    <xf numFmtId="164" fontId="78" fillId="0" borderId="0" xfId="0" applyFont="true" applyBorder="false" applyAlignment="true" applyProtection="true">
      <alignment horizontal="general" vertical="bottom" textRotation="0" wrapText="false" indent="0" shrinkToFit="false"/>
      <protection locked="true" hidden="false"/>
    </xf>
    <xf numFmtId="164" fontId="21" fillId="0" borderId="57" xfId="0" applyFont="true" applyBorder="true" applyAlignment="true" applyProtection="true">
      <alignment horizontal="right" vertical="bottom" textRotation="0" wrapText="false" indent="0" shrinkToFit="false"/>
      <protection locked="true" hidden="false"/>
    </xf>
    <xf numFmtId="164" fontId="21" fillId="0" borderId="57"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false" indent="0" shrinkToFit="false"/>
      <protection locked="true" hidden="false"/>
    </xf>
    <xf numFmtId="164" fontId="22" fillId="4" borderId="58" xfId="0" applyFont="true" applyBorder="true" applyAlignment="true" applyProtection="true">
      <alignment horizontal="center" vertical="bottom" textRotation="0" wrapText="false" indent="0" shrinkToFit="false"/>
      <protection locked="true" hidden="false"/>
    </xf>
    <xf numFmtId="167" fontId="22" fillId="4" borderId="26" xfId="0" applyFont="true" applyBorder="true" applyAlignment="true" applyProtection="true">
      <alignment horizontal="right" vertical="bottom" textRotation="0" wrapText="false" indent="0" shrinkToFit="false"/>
      <protection locked="true" hidden="false"/>
    </xf>
    <xf numFmtId="167" fontId="22" fillId="4" borderId="59" xfId="0" applyFont="true" applyBorder="true" applyAlignment="true" applyProtection="true">
      <alignment horizontal="right" vertical="bottom" textRotation="0" wrapText="false" indent="0" shrinkToFit="false"/>
      <protection locked="true" hidden="false"/>
    </xf>
    <xf numFmtId="164" fontId="5" fillId="0" borderId="13" xfId="0" applyFont="true" applyBorder="true" applyAlignment="true" applyProtection="true">
      <alignment horizontal="right" vertical="top"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80" fontId="5" fillId="0" borderId="1" xfId="0" applyFont="true" applyBorder="true" applyAlignment="true" applyProtection="true">
      <alignment horizontal="right" vertical="bottom" textRotation="0" wrapText="false" indent="0" shrinkToFit="false"/>
      <protection locked="true" hidden="false"/>
    </xf>
    <xf numFmtId="180" fontId="5" fillId="0" borderId="17" xfId="0" applyFont="true" applyBorder="true" applyAlignment="true" applyProtection="true">
      <alignment horizontal="general" vertical="bottom" textRotation="0" wrapText="false" indent="0" shrinkToFit="false"/>
      <protection locked="true" hidden="false"/>
    </xf>
    <xf numFmtId="180" fontId="5" fillId="0" borderId="60" xfId="0" applyFont="true" applyBorder="true" applyAlignment="true" applyProtection="true">
      <alignment horizontal="general" vertical="bottom" textRotation="0" wrapText="false" indent="0" shrinkToFit="false"/>
      <protection locked="true" hidden="false"/>
    </xf>
    <xf numFmtId="166" fontId="22" fillId="0" borderId="0" xfId="0" applyFont="true" applyBorder="fals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tru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80" fontId="68" fillId="0" borderId="1" xfId="0" applyFont="true" applyBorder="true" applyAlignment="true" applyProtection="true">
      <alignment horizontal="right" vertical="bottom" textRotation="0" wrapText="false" indent="0" shrinkToFit="false"/>
      <protection locked="true" hidden="false"/>
    </xf>
    <xf numFmtId="180" fontId="68" fillId="0" borderId="17" xfId="0" applyFont="true" applyBorder="true" applyAlignment="true" applyProtection="true">
      <alignment horizontal="general" vertical="bottom" textRotation="0" wrapText="false" indent="0" shrinkToFit="false"/>
      <protection locked="true" hidden="false"/>
    </xf>
    <xf numFmtId="180" fontId="68" fillId="0" borderId="60" xfId="0" applyFont="true" applyBorder="true" applyAlignment="true" applyProtection="true">
      <alignment horizontal="general" vertical="bottom" textRotation="0" wrapText="false" indent="0" shrinkToFit="false"/>
      <protection locked="true" hidden="false"/>
    </xf>
    <xf numFmtId="166" fontId="11" fillId="0" borderId="0" xfId="19"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80" fontId="68" fillId="0" borderId="4" xfId="0" applyFont="true" applyBorder="true" applyAlignment="true" applyProtection="true">
      <alignment horizontal="right" vertical="bottom" textRotation="0" wrapText="false" indent="0" shrinkToFit="false"/>
      <protection locked="true" hidden="false"/>
    </xf>
    <xf numFmtId="166" fontId="22" fillId="0" borderId="0" xfId="19" applyFont="true" applyBorder="true" applyAlignment="true" applyProtection="true">
      <alignment horizontal="general" vertical="bottom" textRotation="0" wrapText="false" indent="0" shrinkToFit="false"/>
      <protection locked="true" hidden="false"/>
    </xf>
    <xf numFmtId="180" fontId="18" fillId="0" borderId="1" xfId="0" applyFont="true" applyBorder="true" applyAlignment="true" applyProtection="true">
      <alignment horizontal="right" vertical="bottom" textRotation="0" wrapText="false" indent="0" shrinkToFit="false"/>
      <protection locked="true" hidden="false"/>
    </xf>
    <xf numFmtId="180" fontId="18" fillId="0" borderId="17" xfId="0" applyFont="true" applyBorder="true" applyAlignment="true" applyProtection="true">
      <alignment horizontal="general" vertical="bottom" textRotation="0" wrapText="false" indent="0" shrinkToFit="false"/>
      <protection locked="true" hidden="false"/>
    </xf>
    <xf numFmtId="180" fontId="18" fillId="0" borderId="6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80" fontId="5" fillId="0" borderId="27" xfId="0" applyFont="true" applyBorder="true" applyAlignment="true" applyProtection="true">
      <alignment horizontal="right" vertical="bottom" textRotation="0" wrapText="false" indent="0" shrinkToFit="false"/>
      <protection locked="true" hidden="false"/>
    </xf>
    <xf numFmtId="180" fontId="5" fillId="0" borderId="0" xfId="0" applyFont="true" applyBorder="false" applyAlignment="true" applyProtection="true">
      <alignment horizontal="general" vertical="bottom" textRotation="0" wrapText="false" indent="0" shrinkToFit="false"/>
      <protection locked="true" hidden="false"/>
    </xf>
    <xf numFmtId="180" fontId="5" fillId="0" borderId="61" xfId="0" applyFont="true" applyBorder="true" applyAlignment="true" applyProtection="true">
      <alignment horizontal="general" vertical="bottom" textRotation="0" wrapText="false" indent="0" shrinkToFit="false"/>
      <protection locked="true" hidden="false"/>
    </xf>
    <xf numFmtId="167" fontId="29" fillId="2" borderId="13" xfId="0" applyFont="true" applyBorder="true" applyAlignment="true" applyProtection="true">
      <alignment horizontal="general" vertical="bottom" textRotation="0" wrapText="false" indent="0" shrinkToFit="false"/>
      <protection locked="true" hidden="false"/>
    </xf>
    <xf numFmtId="167" fontId="47" fillId="2" borderId="0" xfId="0" applyFont="true" applyBorder="false" applyAlignment="true" applyProtection="true">
      <alignment horizontal="general" vertical="bottom" textRotation="0" wrapText="false" indent="0" shrinkToFit="false"/>
      <protection locked="true" hidden="false"/>
    </xf>
    <xf numFmtId="180" fontId="47" fillId="2" borderId="27" xfId="0" applyFont="true" applyBorder="true" applyAlignment="true" applyProtection="true">
      <alignment horizontal="right" vertical="bottom" textRotation="0" wrapText="false" indent="0" shrinkToFit="false"/>
      <protection locked="true" hidden="false"/>
    </xf>
    <xf numFmtId="180" fontId="47" fillId="2" borderId="0" xfId="0" applyFont="true" applyBorder="false" applyAlignment="true" applyProtection="true">
      <alignment horizontal="general" vertical="bottom" textRotation="0" wrapText="false" indent="0" shrinkToFit="false"/>
      <protection locked="true" hidden="false"/>
    </xf>
    <xf numFmtId="180" fontId="47" fillId="2" borderId="61" xfId="0" applyFont="true" applyBorder="true" applyAlignment="true" applyProtection="true">
      <alignment horizontal="general" vertical="bottom" textRotation="0" wrapText="false" indent="0" shrinkToFit="false"/>
      <protection locked="true" hidden="false"/>
    </xf>
    <xf numFmtId="167" fontId="29" fillId="0" borderId="13" xfId="0" applyFont="true" applyBorder="true" applyAlignment="true" applyProtection="true">
      <alignment horizontal="general" vertical="bottom" textRotation="0" wrapText="false" indent="0" shrinkToFit="false"/>
      <protection locked="true" hidden="false"/>
    </xf>
    <xf numFmtId="180" fontId="29" fillId="0" borderId="27" xfId="0" applyFont="true" applyBorder="true" applyAlignment="true" applyProtection="true">
      <alignment horizontal="right" vertical="bottom" textRotation="0" wrapText="false" indent="0" shrinkToFit="false"/>
      <protection locked="true" hidden="false"/>
    </xf>
    <xf numFmtId="180" fontId="29" fillId="0" borderId="0" xfId="0" applyFont="true" applyBorder="false" applyAlignment="true" applyProtection="true">
      <alignment horizontal="general" vertical="bottom" textRotation="0" wrapText="false" indent="0" shrinkToFit="false"/>
      <protection locked="true" hidden="false"/>
    </xf>
    <xf numFmtId="180" fontId="29" fillId="0" borderId="61"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80" fontId="5" fillId="0" borderId="40" xfId="0" applyFont="true" applyBorder="true" applyAlignment="true" applyProtection="true">
      <alignment horizontal="right" vertical="bottom" textRotation="0" wrapText="false" indent="0" shrinkToFit="false"/>
      <protection locked="true" hidden="false"/>
    </xf>
    <xf numFmtId="180" fontId="5" fillId="0" borderId="10" xfId="0" applyFont="true" applyBorder="true" applyAlignment="true" applyProtection="true">
      <alignment horizontal="general" vertical="bottom" textRotation="0" wrapText="false" indent="0" shrinkToFit="false"/>
      <protection locked="true" hidden="false"/>
    </xf>
    <xf numFmtId="180" fontId="5" fillId="0" borderId="62"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general" vertical="bottom" textRotation="0" wrapText="false" indent="0" shrinkToFit="false"/>
      <protection locked="true" hidden="false"/>
    </xf>
    <xf numFmtId="180" fontId="29" fillId="2" borderId="27" xfId="0" applyFont="true" applyBorder="true" applyAlignment="true" applyProtection="true">
      <alignment horizontal="right" vertical="bottom" textRotation="0" wrapText="false" indent="0" shrinkToFit="false"/>
      <protection locked="true" hidden="false"/>
    </xf>
    <xf numFmtId="180" fontId="29" fillId="2" borderId="0" xfId="0" applyFont="true" applyBorder="false" applyAlignment="true" applyProtection="true">
      <alignment horizontal="general" vertical="bottom" textRotation="0" wrapText="false" indent="0" shrinkToFit="false"/>
      <protection locked="true" hidden="false"/>
    </xf>
    <xf numFmtId="180" fontId="29" fillId="2" borderId="61" xfId="0"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80" fontId="0" fillId="0" borderId="27" xfId="0" applyFont="false" applyBorder="true" applyAlignment="true" applyProtection="true">
      <alignment horizontal="right" vertical="bottom" textRotation="0" wrapText="false" indent="0" shrinkToFit="false"/>
      <protection locked="true" hidden="false"/>
    </xf>
    <xf numFmtId="180" fontId="0" fillId="0" borderId="0" xfId="0" applyFont="false" applyBorder="false" applyAlignment="true" applyProtection="true">
      <alignment horizontal="general" vertical="bottom" textRotation="0" wrapText="false" indent="0" shrinkToFit="false"/>
      <protection locked="true" hidden="false"/>
    </xf>
    <xf numFmtId="180" fontId="0" fillId="0" borderId="61" xfId="0" applyFont="false" applyBorder="true" applyAlignment="true" applyProtection="true">
      <alignment horizontal="general" vertical="bottom" textRotation="0" wrapText="false" indent="0" shrinkToFit="false"/>
      <protection locked="true" hidden="false"/>
    </xf>
    <xf numFmtId="180" fontId="68" fillId="0" borderId="40" xfId="0" applyFont="true" applyBorder="true" applyAlignment="true" applyProtection="true">
      <alignment horizontal="right" vertical="bottom" textRotation="0" wrapText="false" indent="0" shrinkToFit="false"/>
      <protection locked="true" hidden="false"/>
    </xf>
    <xf numFmtId="180" fontId="68" fillId="0" borderId="10" xfId="0" applyFont="true" applyBorder="true" applyAlignment="true" applyProtection="true">
      <alignment horizontal="general" vertical="bottom" textRotation="0" wrapText="false" indent="0" shrinkToFit="false"/>
      <protection locked="true" hidden="false"/>
    </xf>
    <xf numFmtId="180" fontId="68" fillId="0" borderId="62" xfId="0" applyFont="true" applyBorder="true" applyAlignment="true" applyProtection="true">
      <alignment horizontal="general" vertical="bottom" textRotation="0" wrapText="false" indent="0" shrinkToFit="false"/>
      <protection locked="true" hidden="false"/>
    </xf>
    <xf numFmtId="166" fontId="78" fillId="0" borderId="0" xfId="0" applyFont="true" applyBorder="false" applyAlignment="true" applyProtection="true">
      <alignment horizontal="general" vertical="bottom" textRotation="0" wrapText="false" indent="0" shrinkToFit="false"/>
      <protection locked="true" hidden="false"/>
    </xf>
    <xf numFmtId="164" fontId="79" fillId="0" borderId="0" xfId="0" applyFont="true" applyBorder="false" applyAlignment="true" applyProtection="true">
      <alignment horizontal="general" vertical="bottom" textRotation="0" wrapText="false" indent="0" shrinkToFit="false"/>
      <protection locked="true" hidden="false"/>
    </xf>
    <xf numFmtId="167" fontId="79" fillId="0" borderId="0" xfId="0" applyFont="true" applyBorder="false" applyAlignment="true" applyProtection="true">
      <alignment horizontal="general" vertical="bottom" textRotation="0" wrapText="false" indent="0" shrinkToFit="false"/>
      <protection locked="true" hidden="false"/>
    </xf>
    <xf numFmtId="164" fontId="5" fillId="0" borderId="63" xfId="0" applyFont="true" applyBorder="true" applyAlignment="true" applyProtection="true">
      <alignment horizontal="general" vertical="bottom" textRotation="0" wrapText="false" indent="0" shrinkToFit="false"/>
      <protection locked="true" hidden="false"/>
    </xf>
    <xf numFmtId="164" fontId="5" fillId="0" borderId="57" xfId="0" applyFont="true" applyBorder="true" applyAlignment="true" applyProtection="true">
      <alignment horizontal="general" vertical="bottom" textRotation="0" wrapText="false" indent="0" shrinkToFit="false"/>
      <protection locked="true" hidden="false"/>
    </xf>
    <xf numFmtId="180" fontId="5" fillId="0" borderId="22" xfId="0" applyFont="true" applyBorder="true" applyAlignment="true" applyProtection="true">
      <alignment horizontal="right" vertical="bottom" textRotation="0" wrapText="false" indent="0" shrinkToFit="false"/>
      <protection locked="true" hidden="false"/>
    </xf>
    <xf numFmtId="180" fontId="5" fillId="0" borderId="22" xfId="0" applyFont="true" applyBorder="true" applyAlignment="true" applyProtection="true">
      <alignment horizontal="general" vertical="bottom" textRotation="0" wrapText="false" indent="0" shrinkToFit="false"/>
      <protection locked="true" hidden="false"/>
    </xf>
    <xf numFmtId="180" fontId="5" fillId="0" borderId="64" xfId="0" applyFont="true" applyBorder="true" applyAlignment="true" applyProtection="true">
      <alignment horizontal="general" vertical="bottom" textRotation="0" wrapText="false" indent="0" shrinkToFit="false"/>
      <protection locked="true" hidden="false"/>
    </xf>
    <xf numFmtId="180" fontId="5" fillId="0" borderId="0" xfId="0" applyFont="true" applyBorder="false" applyAlignment="true" applyProtection="true">
      <alignment horizontal="right" vertical="bottom" textRotation="0" wrapText="false" indent="0" shrinkToFit="false"/>
      <protection locked="true" hidden="false"/>
    </xf>
    <xf numFmtId="164" fontId="5" fillId="0" borderId="65" xfId="0" applyFont="true" applyBorder="true" applyAlignment="true" applyProtection="true">
      <alignment horizontal="general" vertical="bottom" textRotation="0" wrapText="false" indent="0" shrinkToFit="false"/>
      <protection locked="true" hidden="false"/>
    </xf>
    <xf numFmtId="164" fontId="5" fillId="0" borderId="25" xfId="0" applyFont="true" applyBorder="true" applyAlignment="true" applyProtection="true">
      <alignment horizontal="general" vertical="bottom" textRotation="0" wrapText="false" indent="0" shrinkToFit="false"/>
      <protection locked="true" hidden="false"/>
    </xf>
    <xf numFmtId="180" fontId="47" fillId="0" borderId="25" xfId="0" applyFont="true" applyBorder="true" applyAlignment="true" applyProtection="true">
      <alignment horizontal="right" vertical="bottom" textRotation="0" wrapText="false" indent="0" shrinkToFit="false"/>
      <protection locked="true" hidden="false"/>
    </xf>
    <xf numFmtId="180" fontId="47" fillId="0" borderId="25" xfId="0" applyFont="true" applyBorder="true" applyAlignment="true" applyProtection="true">
      <alignment horizontal="general" vertical="bottom" textRotation="0" wrapText="false" indent="0" shrinkToFit="false"/>
      <protection locked="true" hidden="false"/>
    </xf>
    <xf numFmtId="180" fontId="47" fillId="0" borderId="66" xfId="0" applyFont="true" applyBorder="true" applyAlignment="true" applyProtection="true">
      <alignment horizontal="general" vertical="bottom" textRotation="0" wrapText="false" indent="0" shrinkToFit="false"/>
      <protection locked="true" hidden="false"/>
    </xf>
    <xf numFmtId="164" fontId="5" fillId="0" borderId="67"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80" fontId="47" fillId="0" borderId="1" xfId="0" applyFont="true" applyBorder="true" applyAlignment="true" applyProtection="true">
      <alignment horizontal="right" vertical="bottom" textRotation="0" wrapText="false" indent="0" shrinkToFit="false"/>
      <protection locked="true" hidden="false"/>
    </xf>
    <xf numFmtId="180" fontId="47" fillId="0" borderId="1" xfId="0" applyFont="true" applyBorder="true" applyAlignment="true" applyProtection="true">
      <alignment horizontal="general" vertical="bottom" textRotation="0" wrapText="false" indent="0" shrinkToFit="false"/>
      <protection locked="true" hidden="false"/>
    </xf>
    <xf numFmtId="180" fontId="47" fillId="0" borderId="60" xfId="0" applyFont="true" applyBorder="true" applyAlignment="true" applyProtection="true">
      <alignment horizontal="general" vertical="bottom" textRotation="0" wrapText="false" indent="0" shrinkToFit="false"/>
      <protection locked="true" hidden="false"/>
    </xf>
    <xf numFmtId="164" fontId="5" fillId="0" borderId="68" xfId="0" applyFont="true" applyBorder="true" applyAlignment="true" applyProtection="true">
      <alignment horizontal="general" vertical="bottom" textRotation="0" wrapText="false" indent="0" shrinkToFit="false"/>
      <protection locked="true" hidden="false"/>
    </xf>
    <xf numFmtId="164" fontId="5" fillId="0" borderId="24" xfId="0" applyFont="true" applyBorder="true" applyAlignment="true" applyProtection="true">
      <alignment horizontal="general" vertical="bottom" textRotation="0" wrapText="false" indent="0" shrinkToFit="false"/>
      <protection locked="true" hidden="false"/>
    </xf>
    <xf numFmtId="180" fontId="47" fillId="0" borderId="24" xfId="0" applyFont="true" applyBorder="true" applyAlignment="true" applyProtection="true">
      <alignment horizontal="right" vertical="bottom" textRotation="0" wrapText="false" indent="0" shrinkToFit="false"/>
      <protection locked="true" hidden="false"/>
    </xf>
    <xf numFmtId="180" fontId="47" fillId="0" borderId="24" xfId="0" applyFont="true" applyBorder="true" applyAlignment="true" applyProtection="true">
      <alignment horizontal="general" vertical="bottom" textRotation="0" wrapText="false" indent="0" shrinkToFit="false"/>
      <protection locked="true" hidden="false"/>
    </xf>
    <xf numFmtId="180" fontId="47" fillId="0" borderId="69" xfId="0" applyFont="true" applyBorder="true" applyAlignment="true" applyProtection="true">
      <alignment horizontal="general" vertical="bottom" textRotation="0" wrapText="false" indent="0" shrinkToFit="false"/>
      <protection locked="true" hidden="false"/>
    </xf>
    <xf numFmtId="180" fontId="47" fillId="0" borderId="0" xfId="0" applyFont="true" applyBorder="false" applyAlignment="true" applyProtection="true">
      <alignment horizontal="right" vertical="bottom" textRotation="0" wrapText="false" indent="0" shrinkToFit="false"/>
      <protection locked="true" hidden="false"/>
    </xf>
    <xf numFmtId="180" fontId="47" fillId="0" borderId="0" xfId="0" applyFont="true" applyBorder="false" applyAlignment="true" applyProtection="true">
      <alignment horizontal="general" vertical="bottom" textRotation="0" wrapText="false" indent="0" shrinkToFit="false"/>
      <protection locked="true" hidden="false"/>
    </xf>
    <xf numFmtId="164" fontId="5" fillId="0" borderId="70" xfId="0" applyFont="true" applyBorder="true" applyAlignment="true" applyProtection="true">
      <alignment horizontal="general" vertical="bottom" textRotation="0" wrapText="false" indent="0" shrinkToFit="false"/>
      <protection locked="true" hidden="false"/>
    </xf>
    <xf numFmtId="164" fontId="5" fillId="0" borderId="18" xfId="0" applyFont="true" applyBorder="true" applyAlignment="true" applyProtection="true">
      <alignment horizontal="general" vertical="bottom" textRotation="0" wrapText="false" indent="0" shrinkToFit="false"/>
      <protection locked="true" hidden="false"/>
    </xf>
    <xf numFmtId="180" fontId="47" fillId="0" borderId="18" xfId="0" applyFont="true" applyBorder="true" applyAlignment="true" applyProtection="true">
      <alignment horizontal="right" vertical="bottom" textRotation="0" wrapText="false" indent="0" shrinkToFit="false"/>
      <protection locked="true" hidden="false"/>
    </xf>
    <xf numFmtId="180" fontId="47" fillId="0" borderId="18" xfId="0" applyFont="true" applyBorder="true" applyAlignment="true" applyProtection="true">
      <alignment horizontal="general" vertical="bottom" textRotation="0" wrapText="false" indent="0" shrinkToFit="false"/>
      <protection locked="true" hidden="false"/>
    </xf>
    <xf numFmtId="180" fontId="47" fillId="0" borderId="71" xfId="0" applyFont="true" applyBorder="true" applyAlignment="true" applyProtection="true">
      <alignment horizontal="general" vertical="bottom" textRotation="0" wrapText="false" indent="0" shrinkToFit="false"/>
      <protection locked="true" hidden="false"/>
    </xf>
    <xf numFmtId="164" fontId="5" fillId="0" borderId="58" xfId="0" applyFont="true" applyBorder="true" applyAlignment="true" applyProtection="true">
      <alignment horizontal="general" vertical="bottom" textRotation="0" wrapText="false" indent="0" shrinkToFit="false"/>
      <protection locked="true" hidden="false"/>
    </xf>
    <xf numFmtId="164" fontId="5" fillId="0" borderId="72" xfId="0" applyFont="true" applyBorder="true" applyAlignment="true" applyProtection="true">
      <alignment horizontal="general" vertical="bottom" textRotation="0" wrapText="false" indent="0" shrinkToFit="false"/>
      <protection locked="true" hidden="false"/>
    </xf>
    <xf numFmtId="180" fontId="47" fillId="0" borderId="69" xfId="0" applyFont="true" applyBorder="true" applyAlignment="true" applyProtection="true">
      <alignment horizontal="right" vertical="bottom" textRotation="0" wrapText="false" indent="0" shrinkToFit="false"/>
      <protection locked="true" hidden="false"/>
    </xf>
    <xf numFmtId="167" fontId="78" fillId="0" borderId="0" xfId="0" applyFont="true" applyBorder="false" applyAlignment="true" applyProtection="true">
      <alignment horizontal="general" vertical="bottom" textRotation="0" wrapText="false" indent="0" shrinkToFit="false"/>
      <protection locked="true" hidden="false"/>
    </xf>
    <xf numFmtId="167" fontId="22" fillId="4" borderId="73" xfId="0" applyFont="true" applyBorder="true" applyAlignment="true" applyProtection="true">
      <alignment horizontal="right" vertical="bottom" textRotation="0" wrapText="false" indent="0" shrinkToFit="false"/>
      <protection locked="true" hidden="false"/>
    </xf>
    <xf numFmtId="167" fontId="22" fillId="4" borderId="73" xfId="0" applyFont="true" applyBorder="true" applyAlignment="true" applyProtection="true">
      <alignment horizontal="center" vertical="bottom" textRotation="0" wrapText="false" indent="0" shrinkToFit="false"/>
      <protection locked="true" hidden="false"/>
    </xf>
    <xf numFmtId="167" fontId="22" fillId="4" borderId="74" xfId="0" applyFont="true" applyBorder="true" applyAlignment="true" applyProtection="true">
      <alignment horizontal="center" vertical="bottom" textRotation="0" wrapText="true" indent="0" shrinkToFit="false"/>
      <protection locked="true" hidden="false"/>
    </xf>
    <xf numFmtId="167" fontId="22" fillId="4" borderId="75" xfId="0" applyFont="true" applyBorder="true" applyAlignment="true" applyProtection="true">
      <alignment horizontal="center" vertical="bottom" textRotation="0" wrapText="false" indent="0" shrinkToFit="false"/>
      <protection locked="true" hidden="false"/>
    </xf>
    <xf numFmtId="164" fontId="5" fillId="0" borderId="76" xfId="0" applyFont="true" applyBorder="true" applyAlignment="true" applyProtection="true">
      <alignment horizontal="general" vertical="bottom" textRotation="0" wrapText="false" indent="0" shrinkToFit="false"/>
      <protection locked="true" hidden="false"/>
    </xf>
    <xf numFmtId="180" fontId="5" fillId="0" borderId="17" xfId="0" applyFont="true" applyBorder="true" applyAlignment="true" applyProtection="true">
      <alignment horizontal="right" vertical="bottom" textRotation="0" wrapText="false" indent="0" shrinkToFit="false"/>
      <protection locked="true" hidden="false"/>
    </xf>
    <xf numFmtId="180" fontId="0" fillId="0" borderId="4" xfId="0" applyFont="false" applyBorder="true" applyAlignment="true" applyProtection="true">
      <alignment horizontal="general" vertical="bottom" textRotation="0" wrapText="false" indent="0" shrinkToFit="false"/>
      <protection locked="true" hidden="false"/>
    </xf>
    <xf numFmtId="180" fontId="0" fillId="0" borderId="77" xfId="0" applyFont="false" applyBorder="true" applyAlignment="true" applyProtection="true">
      <alignment horizontal="general" vertical="bottom" textRotation="0" wrapText="false" indent="0" shrinkToFit="false"/>
      <protection locked="true" hidden="false"/>
    </xf>
    <xf numFmtId="164" fontId="5" fillId="0" borderId="76" xfId="0" applyFont="true" applyBorder="true" applyAlignment="true" applyProtection="true">
      <alignment horizontal="general" vertical="bottom" textRotation="0" wrapText="true" indent="0" shrinkToFit="false"/>
      <protection locked="true" hidden="false"/>
    </xf>
    <xf numFmtId="167" fontId="29" fillId="0" borderId="17" xfId="0" applyFont="tru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general" vertical="bottom" textRotation="0" wrapText="false" indent="0" shrinkToFit="false"/>
      <protection locked="true" hidden="false"/>
    </xf>
    <xf numFmtId="180" fontId="5" fillId="0" borderId="4" xfId="0" applyFont="true" applyBorder="true" applyAlignment="true" applyProtection="true">
      <alignment horizontal="general" vertical="bottom" textRotation="0" wrapText="false" indent="0" shrinkToFit="false"/>
      <protection locked="true" hidden="false"/>
    </xf>
    <xf numFmtId="164" fontId="71" fillId="0" borderId="17" xfId="0" applyFont="true" applyBorder="true" applyAlignment="true" applyProtection="true">
      <alignment horizontal="general" vertical="bottom" textRotation="0" wrapText="false" indent="0" shrinkToFit="false"/>
      <protection locked="true" hidden="false"/>
    </xf>
    <xf numFmtId="167" fontId="29" fillId="0" borderId="4" xfId="0" applyFont="true" applyBorder="true" applyAlignment="true" applyProtection="true">
      <alignment horizontal="general" vertical="bottom" textRotation="0" wrapText="false" indent="0" shrinkToFit="false"/>
      <protection locked="true" hidden="false"/>
    </xf>
    <xf numFmtId="167" fontId="29" fillId="0" borderId="77" xfId="0" applyFont="true" applyBorder="true" applyAlignment="true" applyProtection="true">
      <alignment horizontal="general" vertical="bottom" textRotation="0" wrapText="false" indent="0" shrinkToFit="false"/>
      <protection locked="true" hidden="false"/>
    </xf>
    <xf numFmtId="180" fontId="0" fillId="0" borderId="19" xfId="0" applyFont="false" applyBorder="true" applyAlignment="true" applyProtection="true">
      <alignment horizontal="general" vertical="bottom" textRotation="0" wrapText="false" indent="0" shrinkToFit="false"/>
      <protection locked="true" hidden="false"/>
    </xf>
    <xf numFmtId="180" fontId="0" fillId="0" borderId="71" xfId="0" applyFont="false" applyBorder="true" applyAlignment="true" applyProtection="true">
      <alignment horizontal="general" vertical="bottom" textRotation="0" wrapText="false" indent="0" shrinkToFit="false"/>
      <protection locked="true" hidden="false"/>
    </xf>
    <xf numFmtId="180" fontId="18" fillId="0" borderId="0" xfId="0" applyFont="true" applyBorder="false" applyAlignment="true" applyProtection="true">
      <alignment horizontal="right" vertical="bottom" textRotation="0" wrapText="false" indent="0" shrinkToFit="false"/>
      <protection locked="true" hidden="false"/>
    </xf>
    <xf numFmtId="180" fontId="18" fillId="0" borderId="0" xfId="0" applyFont="true" applyBorder="false" applyAlignment="true" applyProtection="true">
      <alignment horizontal="general" vertical="bottom" textRotation="0" wrapText="false" indent="0" shrinkToFit="false"/>
      <protection locked="true" hidden="false"/>
    </xf>
    <xf numFmtId="180" fontId="0" fillId="0" borderId="54" xfId="0" applyFont="false" applyBorder="true" applyAlignment="true" applyProtection="true">
      <alignment horizontal="general" vertical="bottom" textRotation="0" wrapText="false" indent="0" shrinkToFit="false"/>
      <protection locked="true" hidden="false"/>
    </xf>
    <xf numFmtId="180" fontId="0" fillId="0" borderId="78" xfId="0" applyFont="false" applyBorder="true" applyAlignment="true" applyProtection="true">
      <alignment horizontal="general"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true" indent="0" shrinkToFit="false"/>
      <protection locked="true" hidden="false"/>
    </xf>
    <xf numFmtId="180" fontId="18" fillId="0" borderId="17" xfId="0" applyFont="true" applyBorder="true" applyAlignment="true" applyProtection="true">
      <alignment horizontal="right" vertical="bottom" textRotation="0" wrapText="false" indent="0" shrinkToFit="false"/>
      <protection locked="true" hidden="false"/>
    </xf>
    <xf numFmtId="180" fontId="18" fillId="0" borderId="11" xfId="0" applyFont="true" applyBorder="true" applyAlignment="true" applyProtection="true">
      <alignment horizontal="general" vertical="bottom" textRotation="0" wrapText="false" indent="0" shrinkToFit="false"/>
      <protection locked="true" hidden="false"/>
    </xf>
    <xf numFmtId="167" fontId="0" fillId="0" borderId="77" xfId="0" applyFont="false" applyBorder="true" applyAlignment="true" applyProtection="true">
      <alignment horizontal="general" vertical="bottom" textRotation="0" wrapText="false" indent="0" shrinkToFit="false"/>
      <protection locked="true" hidden="false"/>
    </xf>
    <xf numFmtId="164" fontId="5" fillId="2" borderId="67" xfId="0" applyFont="true" applyBorder="true" applyAlignment="true" applyProtection="true">
      <alignment horizontal="general" vertical="bottom" textRotation="0" wrapText="false" indent="0" shrinkToFit="false"/>
      <protection locked="true" hidden="false"/>
    </xf>
    <xf numFmtId="164" fontId="71" fillId="2" borderId="43" xfId="0" applyFont="true" applyBorder="true" applyAlignment="true" applyProtection="true">
      <alignment horizontal="general" vertical="bottom" textRotation="0" wrapText="false" indent="0" shrinkToFit="false"/>
      <protection locked="true" hidden="false"/>
    </xf>
    <xf numFmtId="180" fontId="47" fillId="2" borderId="17" xfId="0" applyFont="true" applyBorder="true" applyAlignment="true" applyProtection="true">
      <alignment horizontal="right" vertical="bottom" textRotation="0" wrapText="false" indent="0" shrinkToFit="false"/>
      <protection locked="true" hidden="false"/>
    </xf>
    <xf numFmtId="180" fontId="47" fillId="2" borderId="17" xfId="0" applyFont="true" applyBorder="true" applyAlignment="true" applyProtection="true">
      <alignment horizontal="general" vertical="bottom" textRotation="0" wrapText="false" indent="0" shrinkToFit="false"/>
      <protection locked="true" hidden="false"/>
    </xf>
    <xf numFmtId="180" fontId="47" fillId="2" borderId="60" xfId="0" applyFont="true" applyBorder="true" applyAlignment="true" applyProtection="true">
      <alignment horizontal="general" vertical="bottom" textRotation="0" wrapText="false" indent="0" shrinkToFit="false"/>
      <protection locked="true" hidden="false"/>
    </xf>
    <xf numFmtId="180" fontId="71" fillId="0" borderId="0" xfId="0" applyFont="true" applyBorder="false" applyAlignment="true" applyProtection="true">
      <alignment horizontal="general" vertical="bottom" textRotation="0" wrapText="false" indent="0" shrinkToFit="false"/>
      <protection locked="true" hidden="false"/>
    </xf>
    <xf numFmtId="164" fontId="5" fillId="0" borderId="79"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7" fontId="18" fillId="0" borderId="0" xfId="0" applyFont="true" applyBorder="false" applyAlignment="true" applyProtection="true">
      <alignment horizontal="general" vertical="bottom" textRotation="0" wrapText="false" indent="0" shrinkToFit="false"/>
      <protection locked="true" hidden="false"/>
    </xf>
    <xf numFmtId="167" fontId="5" fillId="0" borderId="10" xfId="0" applyFont="true" applyBorder="true" applyAlignment="true" applyProtection="true">
      <alignment horizontal="general" vertical="bottom" textRotation="0" wrapText="false" indent="0" shrinkToFit="false"/>
      <protection locked="true" hidden="false"/>
    </xf>
    <xf numFmtId="167" fontId="0" fillId="0" borderId="80" xfId="0" applyFont="false" applyBorder="true" applyAlignment="true" applyProtection="true">
      <alignment horizontal="general" vertical="bottom" textRotation="0" wrapText="false" indent="0" shrinkToFit="false"/>
      <protection locked="true" hidden="false"/>
    </xf>
    <xf numFmtId="180" fontId="18" fillId="0" borderId="11" xfId="0" applyFont="true" applyBorder="true" applyAlignment="true" applyProtection="true">
      <alignment horizontal="right" vertical="bottom" textRotation="0" wrapText="false" indent="0" shrinkToFit="false"/>
      <protection locked="true" hidden="false"/>
    </xf>
    <xf numFmtId="180" fontId="0" fillId="0" borderId="81" xfId="0" applyFont="false" applyBorder="true" applyAlignment="true" applyProtection="true">
      <alignment horizontal="general" vertical="bottom" textRotation="0" wrapText="false" indent="0" shrinkToFit="false"/>
      <protection locked="true" hidden="false"/>
    </xf>
    <xf numFmtId="167" fontId="29" fillId="2" borderId="79" xfId="0" applyFont="true" applyBorder="true" applyAlignment="true" applyProtection="true">
      <alignment horizontal="general" vertical="bottom" textRotation="0" wrapText="false" indent="0" shrinkToFit="false"/>
      <protection locked="true" hidden="false"/>
    </xf>
    <xf numFmtId="180" fontId="29" fillId="2" borderId="10" xfId="0" applyFont="true" applyBorder="true" applyAlignment="true" applyProtection="true">
      <alignment horizontal="right" vertical="bottom" textRotation="0" wrapText="false" indent="0" shrinkToFit="false"/>
      <protection locked="true" hidden="false"/>
    </xf>
    <xf numFmtId="180" fontId="29" fillId="2" borderId="10" xfId="0" applyFont="true" applyBorder="true" applyAlignment="true" applyProtection="true">
      <alignment horizontal="general" vertical="bottom" textRotation="0" wrapText="false" indent="0" shrinkToFit="false"/>
      <protection locked="true" hidden="false"/>
    </xf>
    <xf numFmtId="180" fontId="29" fillId="2" borderId="80" xfId="0" applyFont="true" applyBorder="true" applyAlignment="true" applyProtection="true">
      <alignment horizontal="general" vertical="bottom" textRotation="0" wrapText="false" indent="0" shrinkToFit="false"/>
      <protection locked="true" hidden="false"/>
    </xf>
    <xf numFmtId="180" fontId="29" fillId="0" borderId="0" xfId="0" applyFont="true" applyBorder="false" applyAlignment="true" applyProtection="true">
      <alignment horizontal="right" vertical="bottom" textRotation="0" wrapText="false" indent="0" shrinkToFit="false"/>
      <protection locked="true" hidden="false"/>
    </xf>
    <xf numFmtId="180" fontId="29" fillId="0" borderId="54" xfId="0" applyFont="true" applyBorder="true" applyAlignment="true" applyProtection="true">
      <alignment horizontal="general" vertical="bottom" textRotation="0" wrapText="false" indent="0" shrinkToFit="false"/>
      <protection locked="true" hidden="false"/>
    </xf>
    <xf numFmtId="180" fontId="29" fillId="0" borderId="78" xfId="0" applyFont="true" applyBorder="true" applyAlignment="true" applyProtection="true">
      <alignment horizontal="general" vertical="bottom" textRotation="0" wrapText="false" indent="0" shrinkToFit="false"/>
      <protection locked="true" hidden="false"/>
    </xf>
    <xf numFmtId="180" fontId="0" fillId="0" borderId="0" xfId="0" applyFont="false" applyBorder="false" applyAlignment="true" applyProtection="true">
      <alignment horizontal="right" vertical="bottom" textRotation="0" wrapText="false" indent="0" shrinkToFit="false"/>
      <protection locked="true" hidden="false"/>
    </xf>
    <xf numFmtId="167" fontId="18" fillId="0" borderId="10" xfId="0" applyFont="true" applyBorder="true" applyAlignment="true" applyProtection="true">
      <alignment horizontal="right" vertical="bottom" textRotation="0" wrapText="false" indent="0" shrinkToFit="false"/>
      <protection locked="true" hidden="false"/>
    </xf>
    <xf numFmtId="167" fontId="18" fillId="0" borderId="10" xfId="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80" fontId="18" fillId="0" borderId="10" xfId="0" applyFont="true" applyBorder="true" applyAlignment="true" applyProtection="true">
      <alignment horizontal="right" vertical="bottom" textRotation="0" wrapText="false" indent="0" shrinkToFit="false"/>
      <protection locked="true" hidden="false"/>
    </xf>
    <xf numFmtId="180" fontId="18" fillId="0" borderId="10"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5" fillId="2" borderId="76" xfId="0" applyFont="true" applyBorder="true" applyAlignment="true" applyProtection="true">
      <alignment horizontal="general" vertical="bottom" textRotation="0" wrapText="false" indent="0" shrinkToFit="false"/>
      <protection locked="true" hidden="false"/>
    </xf>
    <xf numFmtId="164" fontId="5" fillId="2" borderId="17" xfId="0" applyFont="true" applyBorder="true" applyAlignment="true" applyProtection="true">
      <alignment horizontal="general" vertical="bottom" textRotation="0" wrapText="false" indent="0" shrinkToFit="false"/>
      <protection locked="true" hidden="false"/>
    </xf>
    <xf numFmtId="180" fontId="5" fillId="2" borderId="10" xfId="0" applyFont="true" applyBorder="true" applyAlignment="true" applyProtection="true">
      <alignment horizontal="right" vertical="bottom" textRotation="0" wrapText="false" indent="0" shrinkToFit="false"/>
      <protection locked="true" hidden="false"/>
    </xf>
    <xf numFmtId="180" fontId="5" fillId="2" borderId="10" xfId="0" applyFont="true" applyBorder="true" applyAlignment="true" applyProtection="true">
      <alignment horizontal="general" vertical="bottom" textRotation="0" wrapText="false" indent="0" shrinkToFit="false"/>
      <protection locked="true" hidden="false"/>
    </xf>
    <xf numFmtId="180" fontId="5" fillId="2" borderId="21" xfId="0" applyFont="true" applyBorder="true" applyAlignment="true" applyProtection="true">
      <alignment horizontal="general" vertical="bottom" textRotation="0" wrapText="false" indent="0" shrinkToFit="false"/>
      <protection locked="true" hidden="false"/>
    </xf>
    <xf numFmtId="180" fontId="5" fillId="2" borderId="80" xfId="0" applyFont="true" applyBorder="true" applyAlignment="true" applyProtection="true">
      <alignment horizontal="general" vertical="bottom" textRotation="0" wrapText="false" indent="0" shrinkToFit="false"/>
      <protection locked="true" hidden="false"/>
    </xf>
    <xf numFmtId="167" fontId="47" fillId="0" borderId="13" xfId="0" applyFont="true" applyBorder="true" applyAlignment="true" applyProtection="true">
      <alignment horizontal="general" vertical="bottom" textRotation="0" wrapText="false" indent="0" shrinkToFit="false"/>
      <protection locked="true" hidden="false"/>
    </xf>
    <xf numFmtId="167" fontId="0" fillId="0" borderId="78" xfId="0" applyFont="fals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right" vertical="bottom" textRotation="0" wrapText="false" indent="0" shrinkToFit="false"/>
      <protection locked="true" hidden="false"/>
    </xf>
    <xf numFmtId="167" fontId="0" fillId="0" borderId="17" xfId="0" applyFont="fals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true" applyProtection="true">
      <alignment horizontal="general" vertical="bottom" textRotation="0" wrapText="false" indent="0" shrinkToFit="false"/>
      <protection locked="true" hidden="false"/>
    </xf>
    <xf numFmtId="167" fontId="5" fillId="2" borderId="17" xfId="0" applyFont="true" applyBorder="true" applyAlignment="true" applyProtection="true">
      <alignment horizontal="right" vertical="bottom" textRotation="0" wrapText="false" indent="0" shrinkToFit="false"/>
      <protection locked="true" hidden="false"/>
    </xf>
    <xf numFmtId="167" fontId="5" fillId="2" borderId="4" xfId="0" applyFont="true" applyBorder="true" applyAlignment="true" applyProtection="true">
      <alignment horizontal="general" vertical="bottom" textRotation="0" wrapText="false" indent="0" shrinkToFit="false"/>
      <protection locked="true" hidden="false"/>
    </xf>
    <xf numFmtId="167" fontId="5" fillId="2" borderId="77" xfId="0" applyFont="true" applyBorder="true" applyAlignment="true" applyProtection="true">
      <alignment horizontal="general" vertical="bottom" textRotation="0" wrapText="false" indent="0" shrinkToFit="false"/>
      <protection locked="true" hidden="false"/>
    </xf>
    <xf numFmtId="167" fontId="5" fillId="0" borderId="17" xfId="0" applyFont="true" applyBorder="true" applyAlignment="true" applyProtection="true">
      <alignment horizontal="right" vertical="bottom" textRotation="0" wrapText="false" indent="0" shrinkToFit="false"/>
      <protection locked="true" hidden="false"/>
    </xf>
    <xf numFmtId="167" fontId="5" fillId="0" borderId="17" xfId="0" applyFont="true" applyBorder="true" applyAlignment="true" applyProtection="true">
      <alignment horizontal="general" vertical="bottom" textRotation="0" wrapText="false" indent="0" shrinkToFit="false"/>
      <protection locked="true" hidden="false"/>
    </xf>
    <xf numFmtId="167" fontId="5" fillId="0" borderId="4" xfId="0" applyFont="true" applyBorder="true" applyAlignment="true" applyProtection="true">
      <alignment horizontal="general" vertical="bottom" textRotation="0" wrapText="false" indent="0" shrinkToFit="false"/>
      <protection locked="true" hidden="false"/>
    </xf>
    <xf numFmtId="167" fontId="5" fillId="0" borderId="77" xfId="0" applyFont="true" applyBorder="true" applyAlignment="true" applyProtection="true">
      <alignment horizontal="general" vertical="bottom" textRotation="0" wrapText="false" indent="0" shrinkToFit="false"/>
      <protection locked="true" hidden="false"/>
    </xf>
    <xf numFmtId="180" fontId="0" fillId="0" borderId="10" xfId="0" applyFont="false" applyBorder="true" applyAlignment="true" applyProtection="true">
      <alignment horizontal="right" vertical="bottom" textRotation="0" wrapText="false" indent="0" shrinkToFit="false"/>
      <protection locked="true" hidden="false"/>
    </xf>
    <xf numFmtId="180" fontId="0" fillId="0" borderId="10" xfId="0" applyFont="false" applyBorder="true" applyAlignment="true" applyProtection="true">
      <alignment horizontal="general" vertical="bottom" textRotation="0" wrapText="false" indent="0" shrinkToFit="false"/>
      <protection locked="true" hidden="false"/>
    </xf>
    <xf numFmtId="180" fontId="0" fillId="0" borderId="21" xfId="0" applyFont="false" applyBorder="true" applyAlignment="true" applyProtection="true">
      <alignment horizontal="general" vertical="bottom" textRotation="0" wrapText="false" indent="0" shrinkToFit="false"/>
      <protection locked="true" hidden="false"/>
    </xf>
    <xf numFmtId="180" fontId="0" fillId="0" borderId="80" xfId="0" applyFont="false" applyBorder="true" applyAlignment="true" applyProtection="true">
      <alignment horizontal="general" vertical="bottom" textRotation="0" wrapText="false" indent="0" shrinkToFit="false"/>
      <protection locked="true" hidden="false"/>
    </xf>
    <xf numFmtId="180" fontId="5" fillId="2" borderId="17" xfId="0" applyFont="true" applyBorder="true" applyAlignment="true" applyProtection="true">
      <alignment horizontal="right" vertical="bottom" textRotation="0" wrapText="false" indent="0" shrinkToFit="false"/>
      <protection locked="true" hidden="false"/>
    </xf>
    <xf numFmtId="180" fontId="5" fillId="2" borderId="17" xfId="0" applyFont="true" applyBorder="true" applyAlignment="true" applyProtection="true">
      <alignment horizontal="general" vertical="bottom" textRotation="0" wrapText="false" indent="0" shrinkToFit="false"/>
      <protection locked="true" hidden="false"/>
    </xf>
    <xf numFmtId="180" fontId="5" fillId="2" borderId="4" xfId="0" applyFont="true" applyBorder="true" applyAlignment="true" applyProtection="true">
      <alignment horizontal="general" vertical="bottom" textRotation="0" wrapText="false" indent="0" shrinkToFit="false"/>
      <protection locked="true" hidden="false"/>
    </xf>
    <xf numFmtId="180" fontId="5" fillId="2" borderId="77" xfId="0" applyFont="true" applyBorder="true" applyAlignment="true" applyProtection="true">
      <alignment horizontal="general" vertical="bottom" textRotation="0" wrapText="false" indent="0" shrinkToFit="false"/>
      <protection locked="true" hidden="false"/>
    </xf>
    <xf numFmtId="167" fontId="47" fillId="2" borderId="79" xfId="0" applyFont="true" applyBorder="true" applyAlignment="true" applyProtection="true">
      <alignment horizontal="general" vertical="bottom" textRotation="0" wrapText="false" indent="0" shrinkToFit="false"/>
      <protection locked="true" hidden="false"/>
    </xf>
    <xf numFmtId="167" fontId="47" fillId="2" borderId="10" xfId="0" applyFont="true" applyBorder="true" applyAlignment="true" applyProtection="true">
      <alignment horizontal="general" vertical="bottom" textRotation="0" wrapText="false" indent="0" shrinkToFit="false"/>
      <protection locked="true" hidden="false"/>
    </xf>
    <xf numFmtId="180" fontId="47" fillId="2" borderId="10" xfId="0" applyFont="true" applyBorder="true" applyAlignment="true" applyProtection="true">
      <alignment horizontal="right" vertical="bottom" textRotation="0" wrapText="false" indent="0" shrinkToFit="false"/>
      <protection locked="true" hidden="false"/>
    </xf>
    <xf numFmtId="180" fontId="47" fillId="2" borderId="10" xfId="0" applyFont="true" applyBorder="true" applyAlignment="true" applyProtection="true">
      <alignment horizontal="general" vertical="bottom" textRotation="0" wrapText="false" indent="0" shrinkToFit="false"/>
      <protection locked="true" hidden="false"/>
    </xf>
    <xf numFmtId="180" fontId="47" fillId="2" borderId="21" xfId="0" applyFont="true" applyBorder="true" applyAlignment="true" applyProtection="true">
      <alignment horizontal="general" vertical="bottom" textRotation="0" wrapText="false" indent="0" shrinkToFit="false"/>
      <protection locked="true" hidden="false"/>
    </xf>
    <xf numFmtId="180" fontId="47" fillId="2" borderId="80" xfId="0" applyFont="true" applyBorder="true" applyAlignment="true" applyProtection="true">
      <alignment horizontal="general" vertical="bottom" textRotation="0" wrapText="false" indent="0" shrinkToFit="false"/>
      <protection locked="true" hidden="false"/>
    </xf>
    <xf numFmtId="180" fontId="67" fillId="0" borderId="0" xfId="0" applyFont="true" applyBorder="false" applyAlignment="true" applyProtection="true">
      <alignment horizontal="general" vertical="bottom" textRotation="0" wrapText="false" indent="0" shrinkToFit="false"/>
      <protection locked="true" hidden="false"/>
    </xf>
    <xf numFmtId="167" fontId="29" fillId="2" borderId="76" xfId="0" applyFont="true" applyBorder="true" applyAlignment="true" applyProtection="true">
      <alignment horizontal="general" vertical="bottom" textRotation="0" wrapText="false" indent="0" shrinkToFit="false"/>
      <protection locked="true" hidden="false"/>
    </xf>
    <xf numFmtId="167" fontId="29" fillId="2" borderId="17" xfId="0" applyFont="true" applyBorder="true" applyAlignment="true" applyProtection="true">
      <alignment horizontal="general" vertical="bottom" textRotation="0" wrapText="false" indent="0" shrinkToFit="false"/>
      <protection locked="true" hidden="false"/>
    </xf>
    <xf numFmtId="180" fontId="47" fillId="2" borderId="4" xfId="0" applyFont="true" applyBorder="true" applyAlignment="true" applyProtection="true">
      <alignment horizontal="general" vertical="bottom" textRotation="0" wrapText="false" indent="0" shrinkToFit="false"/>
      <protection locked="true" hidden="false"/>
    </xf>
    <xf numFmtId="180" fontId="47" fillId="2" borderId="77" xfId="0" applyFont="true" applyBorder="true" applyAlignment="true" applyProtection="true">
      <alignment horizontal="general" vertical="bottom" textRotation="0" wrapText="false" indent="0" shrinkToFit="false"/>
      <protection locked="true" hidden="false"/>
    </xf>
    <xf numFmtId="164" fontId="5" fillId="0" borderId="82" xfId="0" applyFont="true" applyBorder="true" applyAlignment="true" applyProtection="true">
      <alignment horizontal="general" vertical="bottom" textRotation="0" wrapText="false" indent="0" shrinkToFit="false"/>
      <protection locked="true" hidden="false"/>
    </xf>
    <xf numFmtId="164" fontId="5" fillId="0" borderId="79" xfId="0" applyFont="true" applyBorder="true" applyAlignment="true" applyProtection="true">
      <alignment horizontal="general" vertical="bottom" textRotation="0" wrapText="true" indent="0" shrinkToFit="false"/>
      <protection locked="true" hidden="false"/>
    </xf>
    <xf numFmtId="167" fontId="0" fillId="0" borderId="21" xfId="0" applyFont="fals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false" indent="0" shrinkToFit="false"/>
      <protection locked="true" hidden="false"/>
    </xf>
    <xf numFmtId="167" fontId="5" fillId="2" borderId="10" xfId="0" applyFont="true" applyBorder="true" applyAlignment="true" applyProtection="true">
      <alignment horizontal="right" vertical="bottom" textRotation="0" wrapText="false" indent="0" shrinkToFit="false"/>
      <protection locked="true" hidden="false"/>
    </xf>
    <xf numFmtId="167" fontId="5" fillId="2" borderId="10" xfId="0" applyFont="true" applyBorder="true" applyAlignment="true" applyProtection="true">
      <alignment horizontal="general" vertical="bottom" textRotation="0" wrapText="false" indent="0" shrinkToFit="false"/>
      <protection locked="true" hidden="false"/>
    </xf>
    <xf numFmtId="167" fontId="5" fillId="2" borderId="21" xfId="0" applyFont="true" applyBorder="true" applyAlignment="true" applyProtection="true">
      <alignment horizontal="general" vertical="bottom" textRotation="0" wrapText="false" indent="0" shrinkToFit="false"/>
      <protection locked="true" hidden="false"/>
    </xf>
    <xf numFmtId="167" fontId="5" fillId="2" borderId="80" xfId="0" applyFont="true" applyBorder="true" applyAlignment="true" applyProtection="true">
      <alignment horizontal="general" vertical="bottom" textRotation="0" wrapText="false" indent="0" shrinkToFit="false"/>
      <protection locked="true" hidden="false"/>
    </xf>
    <xf numFmtId="180" fontId="0" fillId="0" borderId="62" xfId="0" applyFont="false" applyBorder="true" applyAlignment="true" applyProtection="true">
      <alignment horizontal="general" vertical="bottom" textRotation="0" wrapText="false" indent="0" shrinkToFit="false"/>
      <protection locked="true" hidden="false"/>
    </xf>
    <xf numFmtId="167" fontId="0" fillId="0" borderId="17" xfId="0" applyFont="false" applyBorder="true" applyAlignment="true" applyProtection="true">
      <alignment horizontal="right" vertical="bottom" textRotation="0" wrapText="false" indent="0" shrinkToFit="false"/>
      <protection locked="true" hidden="false"/>
    </xf>
    <xf numFmtId="167" fontId="0" fillId="0" borderId="60" xfId="0" applyFont="false" applyBorder="true" applyAlignment="true" applyProtection="true">
      <alignment horizontal="general" vertical="bottom" textRotation="0" wrapText="false" indent="0" shrinkToFit="false"/>
      <protection locked="true" hidden="false"/>
    </xf>
    <xf numFmtId="167" fontId="0" fillId="0" borderId="62" xfId="0" applyFont="false" applyBorder="true" applyAlignment="true" applyProtection="true">
      <alignment horizontal="general" vertical="bottom" textRotation="0" wrapText="false" indent="0" shrinkToFit="false"/>
      <protection locked="true" hidden="false"/>
    </xf>
    <xf numFmtId="180" fontId="5" fillId="0" borderId="54" xfId="0" applyFont="true" applyBorder="true" applyAlignment="true" applyProtection="true">
      <alignment horizontal="general" vertical="bottom" textRotation="0" wrapText="false" indent="0" shrinkToFit="false"/>
      <protection locked="true" hidden="false"/>
    </xf>
    <xf numFmtId="180" fontId="5" fillId="0" borderId="78" xfId="0" applyFont="true" applyBorder="true" applyAlignment="true" applyProtection="true">
      <alignment horizontal="general" vertical="bottom" textRotation="0" wrapText="false" indent="0" shrinkToFit="false"/>
      <protection locked="true" hidden="false"/>
    </xf>
    <xf numFmtId="167" fontId="29" fillId="2" borderId="10" xfId="0" applyFont="true" applyBorder="true" applyAlignment="true" applyProtection="true">
      <alignment horizontal="general" vertical="bottom" textRotation="0" wrapText="false" indent="0" shrinkToFit="false"/>
      <protection locked="true" hidden="false"/>
    </xf>
    <xf numFmtId="167" fontId="29" fillId="2" borderId="63" xfId="0" applyFont="true" applyBorder="true" applyAlignment="true" applyProtection="true">
      <alignment horizontal="general" vertical="bottom" textRotation="0" wrapText="false" indent="0" shrinkToFit="false"/>
      <protection locked="true" hidden="false"/>
    </xf>
    <xf numFmtId="167" fontId="29" fillId="2" borderId="57" xfId="0" applyFont="true" applyBorder="true" applyAlignment="true" applyProtection="true">
      <alignment horizontal="general" vertical="bottom" textRotation="0" wrapText="false" indent="0" shrinkToFit="false"/>
      <protection locked="true" hidden="false"/>
    </xf>
    <xf numFmtId="180" fontId="47" fillId="2" borderId="57" xfId="0" applyFont="true" applyBorder="true" applyAlignment="true" applyProtection="true">
      <alignment horizontal="right" vertical="bottom" textRotation="0" wrapText="false" indent="0" shrinkToFit="false"/>
      <protection locked="true" hidden="false"/>
    </xf>
    <xf numFmtId="180" fontId="47" fillId="2" borderId="57" xfId="0" applyFont="true" applyBorder="true" applyAlignment="true" applyProtection="true">
      <alignment horizontal="general" vertical="bottom" textRotation="0" wrapText="false" indent="0" shrinkToFit="false"/>
      <protection locked="true" hidden="false"/>
    </xf>
    <xf numFmtId="180" fontId="47" fillId="2" borderId="57" xfId="15" applyFont="true" applyBorder="true" applyAlignment="true" applyProtection="true">
      <alignment horizontal="general" vertical="bottom" textRotation="0" wrapText="false" indent="0" shrinkToFit="false"/>
      <protection locked="true" hidden="false"/>
    </xf>
    <xf numFmtId="180" fontId="47" fillId="2" borderId="83" xfId="0" applyFont="true" applyBorder="true" applyAlignment="true" applyProtection="true">
      <alignment horizontal="general" vertical="bottom" textRotation="0" wrapText="false" indent="0" shrinkToFit="false"/>
      <protection locked="true" hidden="false"/>
    </xf>
    <xf numFmtId="180" fontId="47" fillId="2" borderId="84" xfId="0" applyFont="true" applyBorder="true" applyAlignment="true" applyProtection="true">
      <alignment horizontal="general" vertical="bottom" textRotation="0" wrapText="false" indent="0" shrinkToFit="false"/>
      <protection locked="true" hidden="false"/>
    </xf>
    <xf numFmtId="180" fontId="29" fillId="0" borderId="0" xfId="15" applyFont="true" applyBorder="true" applyAlignment="true" applyProtection="true">
      <alignment horizontal="general" vertical="bottom" textRotation="0" wrapText="false" indent="0" shrinkToFit="false"/>
      <protection locked="true" hidden="false"/>
    </xf>
    <xf numFmtId="180" fontId="78" fillId="0" borderId="0" xfId="0" applyFont="true" applyBorder="false" applyAlignment="true" applyProtection="true">
      <alignment horizontal="right" vertical="bottom" textRotation="0" wrapText="false" indent="0" shrinkToFit="false"/>
      <protection locked="true" hidden="false"/>
    </xf>
    <xf numFmtId="180" fontId="78" fillId="0" borderId="0" xfId="0" applyFont="true" applyBorder="false" applyAlignment="true" applyProtection="true">
      <alignment horizontal="general" vertical="bottom" textRotation="0" wrapText="false" indent="0" shrinkToFit="false"/>
      <protection locked="true" hidden="false"/>
    </xf>
    <xf numFmtId="180" fontId="22" fillId="4" borderId="73" xfId="0" applyFont="true" applyBorder="true" applyAlignment="true" applyProtection="true">
      <alignment horizontal="right" vertical="bottom" textRotation="0" wrapText="false" indent="0" shrinkToFit="false"/>
      <protection locked="true" hidden="false"/>
    </xf>
    <xf numFmtId="180" fontId="22" fillId="4" borderId="73" xfId="0" applyFont="true" applyBorder="true" applyAlignment="true" applyProtection="true">
      <alignment horizontal="center" vertical="bottom" textRotation="0" wrapText="false" indent="0" shrinkToFit="false"/>
      <protection locked="true" hidden="false"/>
    </xf>
    <xf numFmtId="167" fontId="22" fillId="4" borderId="72" xfId="0" applyFont="true" applyBorder="true" applyAlignment="true" applyProtection="true">
      <alignment horizontal="center" vertical="bottom" textRotation="0" wrapText="true" indent="0" shrinkToFit="false"/>
      <protection locked="true" hidden="false"/>
    </xf>
    <xf numFmtId="180" fontId="22" fillId="4" borderId="66" xfId="0" applyFont="true" applyBorder="true" applyAlignment="true" applyProtection="true">
      <alignment horizontal="center" vertical="bottom" textRotation="0" wrapText="false" indent="0" shrinkToFit="false"/>
      <protection locked="true" hidden="false"/>
    </xf>
    <xf numFmtId="180" fontId="5" fillId="0" borderId="77" xfId="0" applyFont="true" applyBorder="true" applyAlignment="true" applyProtection="true">
      <alignment horizontal="general" vertical="bottom" textRotation="0" wrapText="false" indent="0" shrinkToFit="false"/>
      <protection locked="true" hidden="false"/>
    </xf>
    <xf numFmtId="180" fontId="18" fillId="0" borderId="4" xfId="0" applyFont="true" applyBorder="true" applyAlignment="true" applyProtection="true">
      <alignment horizontal="general" vertical="bottom" textRotation="0" wrapText="false" indent="0" shrinkToFit="false"/>
      <protection locked="true" hidden="false"/>
    </xf>
    <xf numFmtId="180" fontId="18" fillId="0" borderId="77" xfId="0" applyFont="true" applyBorder="true" applyAlignment="true" applyProtection="true">
      <alignment horizontal="general" vertical="bottom" textRotation="0" wrapText="false" indent="0" shrinkToFit="false"/>
      <protection locked="true" hidden="false"/>
    </xf>
    <xf numFmtId="167" fontId="18" fillId="0" borderId="77" xfId="0" applyFont="true" applyBorder="true" applyAlignment="true" applyProtection="true">
      <alignment horizontal="general" vertical="bottom" textRotation="0" wrapText="false" indent="0" shrinkToFit="false"/>
      <protection locked="true" hidden="false"/>
    </xf>
    <xf numFmtId="164" fontId="68" fillId="0" borderId="13" xfId="0" applyFont="true" applyBorder="true" applyAlignment="true" applyProtection="true">
      <alignment horizontal="general" vertical="bottom" textRotation="0" wrapText="false" indent="0" shrinkToFit="false"/>
      <protection locked="true" hidden="false"/>
    </xf>
    <xf numFmtId="180" fontId="18" fillId="0" borderId="78" xfId="0" applyFont="true" applyBorder="true" applyAlignment="true" applyProtection="true">
      <alignment horizontal="general" vertical="bottom" textRotation="0" wrapText="false" indent="0" shrinkToFit="false"/>
      <protection locked="true" hidden="false"/>
    </xf>
    <xf numFmtId="180" fontId="18" fillId="0" borderId="80" xfId="0" applyFont="true" applyBorder="true" applyAlignment="true" applyProtection="true">
      <alignment horizontal="general" vertical="bottom" textRotation="0" wrapText="false" indent="0" shrinkToFit="false"/>
      <protection locked="true" hidden="false"/>
    </xf>
    <xf numFmtId="180" fontId="18" fillId="0" borderId="81" xfId="0" applyFont="true" applyBorder="true" applyAlignment="true" applyProtection="true">
      <alignment horizontal="general" vertical="bottom" textRotation="0" wrapText="false" indent="0" shrinkToFit="false"/>
      <protection locked="true" hidden="false"/>
    </xf>
    <xf numFmtId="180" fontId="0" fillId="0" borderId="17" xfId="0" applyFont="false" applyBorder="true" applyAlignment="true" applyProtection="true">
      <alignment horizontal="general" vertical="bottom" textRotation="0" wrapText="false" indent="0" shrinkToFit="false"/>
      <protection locked="true" hidden="false"/>
    </xf>
    <xf numFmtId="164" fontId="71" fillId="2" borderId="10" xfId="0" applyFont="true" applyBorder="true" applyAlignment="true" applyProtection="true">
      <alignment horizontal="general" vertical="bottom" textRotation="0" wrapText="false" indent="0" shrinkToFit="false"/>
      <protection locked="true" hidden="false"/>
    </xf>
    <xf numFmtId="167" fontId="5" fillId="0" borderId="80" xfId="0" applyFont="true" applyBorder="true" applyAlignment="true" applyProtection="true">
      <alignment horizontal="general" vertical="bottom" textRotation="0" wrapText="false" indent="0" shrinkToFit="false"/>
      <protection locked="true" hidden="false"/>
    </xf>
    <xf numFmtId="180" fontId="5" fillId="0" borderId="11" xfId="0" applyFont="true" applyBorder="true" applyAlignment="true" applyProtection="true">
      <alignment horizontal="right" vertical="bottom" textRotation="0" wrapText="false" indent="0" shrinkToFit="false"/>
      <protection locked="true" hidden="false"/>
    </xf>
    <xf numFmtId="180" fontId="5" fillId="0" borderId="11" xfId="0" applyFont="true" applyBorder="true" applyAlignment="true" applyProtection="true">
      <alignment horizontal="general" vertical="bottom" textRotation="0" wrapText="false" indent="0" shrinkToFit="false"/>
      <protection locked="true" hidden="false"/>
    </xf>
    <xf numFmtId="180" fontId="5" fillId="0" borderId="81" xfId="0" applyFont="true" applyBorder="true" applyAlignment="true" applyProtection="true">
      <alignment horizontal="general" vertical="bottom" textRotation="0" wrapText="false" indent="0" shrinkToFit="false"/>
      <protection locked="true" hidden="false"/>
    </xf>
    <xf numFmtId="180" fontId="47" fillId="2" borderId="62" xfId="0" applyFont="true" applyBorder="true" applyAlignment="true" applyProtection="true">
      <alignment horizontal="general" vertical="bottom" textRotation="0" wrapText="false" indent="0" shrinkToFit="false"/>
      <protection locked="true" hidden="false"/>
    </xf>
    <xf numFmtId="167" fontId="18" fillId="0" borderId="80" xfId="0" applyFont="true" applyBorder="true" applyAlignment="true" applyProtection="true">
      <alignment horizontal="general" vertical="bottom" textRotation="0" wrapText="false" indent="0" shrinkToFit="false"/>
      <protection locked="true" hidden="false"/>
    </xf>
    <xf numFmtId="167" fontId="5" fillId="0" borderId="78" xfId="0" applyFont="tru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5" fillId="2" borderId="60" xfId="0" applyFont="true" applyBorder="true" applyAlignment="true" applyProtection="true">
      <alignment horizontal="general" vertical="bottom" textRotation="0" wrapText="false" indent="0" shrinkToFit="false"/>
      <protection locked="true" hidden="false"/>
    </xf>
    <xf numFmtId="180" fontId="5" fillId="0" borderId="78" xfId="0" applyFont="true" applyBorder="true" applyAlignment="true" applyProtection="true">
      <alignment horizontal="left" vertical="bottom" textRotation="0" wrapText="false" indent="1" shrinkToFit="false"/>
      <protection locked="true" hidden="false"/>
    </xf>
    <xf numFmtId="167" fontId="18" fillId="0" borderId="60" xfId="0" applyFont="true" applyBorder="true" applyAlignment="true" applyProtection="true">
      <alignment horizontal="general" vertical="bottom" textRotation="0" wrapText="false" indent="0" shrinkToFit="false"/>
      <protection locked="true" hidden="false"/>
    </xf>
    <xf numFmtId="180" fontId="5" fillId="2" borderId="62" xfId="0" applyFont="true" applyBorder="true" applyAlignment="true" applyProtection="true">
      <alignment horizontal="general" vertical="bottom" textRotation="0" wrapText="false" indent="0" shrinkToFit="false"/>
      <protection locked="true" hidden="false"/>
    </xf>
    <xf numFmtId="164" fontId="80" fillId="0" borderId="0" xfId="0" applyFont="true" applyBorder="false" applyAlignment="true" applyProtection="true">
      <alignment horizontal="general" vertical="bottom" textRotation="0" wrapText="false" indent="0" shrinkToFit="false"/>
      <protection locked="true" hidden="false"/>
    </xf>
    <xf numFmtId="180" fontId="22" fillId="4" borderId="75" xfId="0" applyFont="true" applyBorder="true" applyAlignment="true" applyProtection="true">
      <alignment horizontal="center" vertical="bottom" textRotation="0" wrapText="false" indent="0" shrinkToFit="false"/>
      <protection locked="true" hidden="false"/>
    </xf>
    <xf numFmtId="164" fontId="18" fillId="0" borderId="79" xfId="0" applyFont="true" applyBorder="true" applyAlignment="true" applyProtection="true">
      <alignment horizontal="general" vertical="bottom" textRotation="0" wrapText="false" indent="0" shrinkToFit="false"/>
      <protection locked="true" hidden="false"/>
    </xf>
    <xf numFmtId="180" fontId="67" fillId="0" borderId="0" xfId="0" applyFont="true" applyBorder="false" applyAlignment="true" applyProtection="true">
      <alignment horizontal="right" vertical="bottom" textRotation="0" wrapText="false" indent="0" shrinkToFit="false"/>
      <protection locked="true" hidden="false"/>
    </xf>
    <xf numFmtId="180" fontId="67" fillId="0" borderId="54" xfId="0" applyFont="true" applyBorder="true" applyAlignment="true" applyProtection="true">
      <alignment horizontal="general" vertical="bottom" textRotation="0" wrapText="false" indent="0" shrinkToFit="false"/>
      <protection locked="true" hidden="false"/>
    </xf>
    <xf numFmtId="180" fontId="47" fillId="0" borderId="78"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right" vertical="bottom" textRotation="0" wrapText="false" indent="0" shrinkToFit="false"/>
      <protection locked="true" hidden="false"/>
    </xf>
    <xf numFmtId="164" fontId="18" fillId="4" borderId="0" xfId="0" applyFont="true" applyBorder="false" applyAlignment="true" applyProtection="true">
      <alignment horizontal="general" vertical="bottom" textRotation="0" wrapText="false" indent="0" shrinkToFit="false"/>
      <protection locked="true" hidden="false"/>
    </xf>
    <xf numFmtId="167" fontId="18" fillId="4" borderId="0" xfId="0" applyFont="true" applyBorder="false" applyAlignment="true" applyProtection="true">
      <alignment horizontal="general" vertical="bottom" textRotation="0" wrapText="false" indent="0" shrinkToFit="false"/>
      <protection locked="true" hidden="false"/>
    </xf>
    <xf numFmtId="167" fontId="11" fillId="4" borderId="0" xfId="0" applyFont="true" applyBorder="false" applyAlignment="true" applyProtection="true">
      <alignment horizontal="general" vertical="bottom" textRotation="0" wrapText="false" indent="0" shrinkToFit="false"/>
      <protection locked="true" hidden="false"/>
    </xf>
    <xf numFmtId="167" fontId="81" fillId="0" borderId="0" xfId="0" applyFont="true" applyBorder="false" applyAlignment="true" applyProtection="true">
      <alignment horizontal="general" vertical="bottom" textRotation="0" wrapText="false" indent="0" shrinkToFit="false"/>
      <protection locked="true" hidden="false"/>
    </xf>
    <xf numFmtId="173" fontId="71" fillId="0" borderId="0" xfId="0" applyFont="true" applyBorder="false" applyAlignment="true" applyProtection="true">
      <alignment horizontal="general" vertical="bottom" textRotation="0" wrapText="false" indent="0" shrinkToFit="false"/>
      <protection locked="true" hidden="false"/>
    </xf>
    <xf numFmtId="164" fontId="81" fillId="0" borderId="0" xfId="0" applyFont="true" applyBorder="false" applyAlignment="true" applyProtection="true">
      <alignment horizontal="general" vertical="bottom" textRotation="0" wrapText="false" indent="0" shrinkToFit="false"/>
      <protection locked="true" hidden="false"/>
    </xf>
    <xf numFmtId="173" fontId="5" fillId="0" borderId="0" xfId="0" applyFont="true" applyBorder="false" applyAlignment="true" applyProtection="true">
      <alignment horizontal="general" vertical="bottom" textRotation="0" wrapText="false" indent="0" shrinkToFit="false"/>
      <protection locked="true" hidden="false"/>
    </xf>
    <xf numFmtId="173" fontId="6" fillId="0" borderId="0" xfId="0" applyFont="true" applyBorder="false" applyAlignment="true" applyProtection="true">
      <alignment horizontal="general" vertical="bottom" textRotation="0" wrapText="false" indent="0" shrinkToFit="false"/>
      <protection locked="true" hidden="false"/>
    </xf>
    <xf numFmtId="169" fontId="82" fillId="0" borderId="0" xfId="0" applyFont="true" applyBorder="false" applyAlignment="true" applyProtection="true">
      <alignment horizontal="center"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false" indent="0" shrinkToFit="false"/>
      <protection locked="true" hidden="false"/>
    </xf>
    <xf numFmtId="180" fontId="5" fillId="2" borderId="1"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80" fontId="18" fillId="0" borderId="1" xfId="0" applyFont="true" applyBorder="true" applyAlignment="true" applyProtection="true">
      <alignment horizontal="general" vertical="bottom" textRotation="0" wrapText="false" indent="0" shrinkToFit="false"/>
      <protection locked="true" hidden="false"/>
    </xf>
    <xf numFmtId="164" fontId="18" fillId="0" borderId="37" xfId="0" applyFont="true" applyBorder="true" applyAlignment="true" applyProtection="true">
      <alignment horizontal="general" vertical="bottom" textRotation="0" wrapText="false" indent="0" shrinkToFit="false"/>
      <protection locked="true" hidden="false"/>
    </xf>
    <xf numFmtId="180" fontId="18" fillId="0" borderId="19" xfId="0" applyFont="true" applyBorder="true" applyAlignment="true" applyProtection="true">
      <alignment horizontal="general" vertical="bottom" textRotation="0" wrapText="false" indent="0" shrinkToFit="false"/>
      <protection locked="true" hidden="false"/>
    </xf>
    <xf numFmtId="180" fontId="18" fillId="0" borderId="18" xfId="0" applyFont="true" applyBorder="true" applyAlignment="true" applyProtection="true">
      <alignment horizontal="general" vertical="bottom" textRotation="0" wrapText="false" indent="0" shrinkToFit="false"/>
      <protection locked="true" hidden="false"/>
    </xf>
    <xf numFmtId="167" fontId="83" fillId="2" borderId="20" xfId="0" applyFont="true" applyBorder="true" applyAlignment="true" applyProtection="true">
      <alignment horizontal="general" vertical="bottom" textRotation="0" wrapText="false" indent="0" shrinkToFit="false"/>
      <protection locked="true" hidden="false"/>
    </xf>
    <xf numFmtId="180" fontId="29" fillId="2" borderId="54" xfId="15" applyFont="true" applyBorder="true" applyAlignment="true" applyProtection="true">
      <alignment horizontal="general" vertical="bottom" textRotation="0" wrapText="false" indent="0" shrinkToFit="false"/>
      <protection locked="true" hidden="false"/>
    </xf>
    <xf numFmtId="180" fontId="29" fillId="2" borderId="54" xfId="0" applyFont="true" applyBorder="true" applyAlignment="true" applyProtection="true">
      <alignment horizontal="general" vertical="bottom" textRotation="0" wrapText="false" indent="0" shrinkToFit="false"/>
      <protection locked="true" hidden="false"/>
    </xf>
    <xf numFmtId="180" fontId="29" fillId="2" borderId="27" xfId="0" applyFont="true" applyBorder="true" applyAlignment="true" applyProtection="true">
      <alignment horizontal="general" vertical="bottom" textRotation="0" wrapText="false" indent="0" shrinkToFit="false"/>
      <protection locked="true" hidden="false"/>
    </xf>
    <xf numFmtId="164" fontId="18" fillId="0" borderId="43" xfId="0" applyFont="true" applyBorder="true" applyAlignment="true" applyProtection="true">
      <alignment horizontal="general" vertical="bottom" textRotation="0" wrapText="false" indent="0" shrinkToFit="false"/>
      <protection locked="true" hidden="false"/>
    </xf>
    <xf numFmtId="180" fontId="18" fillId="0" borderId="21" xfId="0" applyFont="true" applyBorder="true" applyAlignment="true" applyProtection="true">
      <alignment horizontal="general" vertical="bottom" textRotation="0" wrapText="false" indent="0" shrinkToFit="false"/>
      <protection locked="true" hidden="false"/>
    </xf>
    <xf numFmtId="180" fontId="18" fillId="0" borderId="40"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80" fontId="5" fillId="0" borderId="1" xfId="0" applyFont="true" applyBorder="true" applyAlignment="true" applyProtection="true">
      <alignment horizontal="general" vertical="bottom" textRotation="0" wrapText="false" indent="0" shrinkToFit="false"/>
      <protection locked="true" hidden="false"/>
    </xf>
    <xf numFmtId="167" fontId="83" fillId="2" borderId="43" xfId="0" applyFont="true" applyBorder="true" applyAlignment="true" applyProtection="true">
      <alignment horizontal="general" vertical="bottom" textRotation="0" wrapText="false" indent="0" shrinkToFit="false"/>
      <protection locked="true" hidden="false"/>
    </xf>
    <xf numFmtId="180" fontId="29" fillId="2" borderId="21" xfId="15" applyFont="true" applyBorder="true" applyAlignment="true" applyProtection="true">
      <alignment horizontal="general" vertical="bottom" textRotation="0" wrapText="false" indent="0" shrinkToFit="false"/>
      <protection locked="true" hidden="false"/>
    </xf>
    <xf numFmtId="180" fontId="29" fillId="2" borderId="21" xfId="0" applyFont="true" applyBorder="true" applyAlignment="true" applyProtection="true">
      <alignment horizontal="general" vertical="bottom" textRotation="0" wrapText="false" indent="0" shrinkToFit="false"/>
      <protection locked="true" hidden="false"/>
    </xf>
    <xf numFmtId="180" fontId="29" fillId="2" borderId="40" xfId="0" applyFont="true" applyBorder="true" applyAlignment="true" applyProtection="true">
      <alignment horizontal="general" vertical="bottom" textRotation="0" wrapText="false" indent="0" shrinkToFit="false"/>
      <protection locked="true" hidden="false"/>
    </xf>
    <xf numFmtId="164" fontId="5" fillId="0" borderId="37" xfId="0" applyFont="true" applyBorder="true" applyAlignment="true" applyProtection="true">
      <alignment horizontal="general" vertical="bottom" textRotation="0" wrapText="false" indent="0" shrinkToFit="false"/>
      <protection locked="true" hidden="false"/>
    </xf>
    <xf numFmtId="180" fontId="18" fillId="0" borderId="19" xfId="15" applyFont="true" applyBorder="true" applyAlignment="true" applyProtection="true">
      <alignment horizontal="general" vertical="bottom" textRotation="0" wrapText="false" indent="0" shrinkToFit="false"/>
      <protection locked="true" hidden="false"/>
    </xf>
    <xf numFmtId="167" fontId="83" fillId="2" borderId="7" xfId="0" applyFont="true" applyBorder="true" applyAlignment="true" applyProtection="true">
      <alignment horizontal="general" vertical="bottom" textRotation="0" wrapText="false" indent="0" shrinkToFit="false"/>
      <protection locked="true" hidden="false"/>
    </xf>
    <xf numFmtId="180" fontId="29" fillId="2" borderId="85" xfId="15" applyFont="true" applyBorder="true" applyAlignment="true" applyProtection="true">
      <alignment horizontal="general" vertical="bottom" textRotation="0" wrapText="false" indent="0" shrinkToFit="false"/>
      <protection locked="true" hidden="false"/>
    </xf>
    <xf numFmtId="180" fontId="29" fillId="2" borderId="85" xfId="0" applyFont="true" applyBorder="true" applyAlignment="true" applyProtection="true">
      <alignment horizontal="general" vertical="bottom" textRotation="0" wrapText="false" indent="0" shrinkToFit="false"/>
      <protection locked="true" hidden="false"/>
    </xf>
    <xf numFmtId="180" fontId="29" fillId="2" borderId="86" xfId="0" applyFont="true" applyBorder="true" applyAlignment="true" applyProtection="true">
      <alignment horizontal="general" vertical="bottom" textRotation="0" wrapText="false" indent="0" shrinkToFit="false"/>
      <protection locked="true" hidden="false"/>
    </xf>
    <xf numFmtId="180" fontId="29" fillId="2" borderId="55" xfId="0" applyFont="true" applyBorder="true" applyAlignment="true" applyProtection="true">
      <alignment horizontal="general" vertical="bottom" textRotation="0" wrapText="false" indent="0" shrinkToFit="false"/>
      <protection locked="true" hidden="false"/>
    </xf>
    <xf numFmtId="164" fontId="68" fillId="0" borderId="7" xfId="0" applyFont="true" applyBorder="true" applyAlignment="true" applyProtection="true">
      <alignment horizontal="general" vertical="bottom" textRotation="0" wrapText="false" indent="0" shrinkToFit="false"/>
      <protection locked="true" hidden="false"/>
    </xf>
    <xf numFmtId="167" fontId="68" fillId="0" borderId="8" xfId="0" applyFont="true" applyBorder="true" applyAlignment="true" applyProtection="true">
      <alignment horizontal="general" vertical="bottom" textRotation="0" wrapText="false" indent="0" shrinkToFit="false"/>
      <protection locked="true" hidden="false"/>
    </xf>
    <xf numFmtId="167" fontId="68" fillId="0" borderId="55" xfId="0" applyFont="true" applyBorder="true" applyAlignment="true" applyProtection="true">
      <alignment horizontal="general" vertical="bottom"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7" fontId="68" fillId="0" borderId="0" xfId="0" applyFont="true" applyBorder="false" applyAlignment="true" applyProtection="true">
      <alignment horizontal="general" vertical="bottom" textRotation="0" wrapText="false" indent="0" shrinkToFit="false"/>
      <protection locked="true" hidden="false"/>
    </xf>
    <xf numFmtId="181" fontId="18" fillId="0" borderId="0" xfId="15"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80" fontId="5" fillId="4" borderId="17" xfId="0" applyFont="true" applyBorder="true" applyAlignment="true" applyProtection="true">
      <alignment horizontal="center" vertical="bottom" textRotation="0" wrapText="false" indent="0" shrinkToFit="false"/>
      <protection locked="true" hidden="false"/>
    </xf>
    <xf numFmtId="180" fontId="84" fillId="4" borderId="19" xfId="0" applyFont="true" applyBorder="true" applyAlignment="true" applyProtection="true">
      <alignment horizontal="center" vertical="bottom" textRotation="0" wrapText="false" indent="0" shrinkToFit="false"/>
      <protection locked="true" hidden="false"/>
    </xf>
    <xf numFmtId="180" fontId="5" fillId="4" borderId="1" xfId="0" applyFont="true" applyBorder="true" applyAlignment="true" applyProtection="true">
      <alignment horizontal="center" vertical="bottom" textRotation="0" wrapText="false" indent="0" shrinkToFit="false"/>
      <protection locked="true" hidden="false"/>
    </xf>
    <xf numFmtId="164" fontId="29" fillId="2" borderId="37" xfId="0" applyFont="true" applyBorder="true" applyAlignment="true" applyProtection="true">
      <alignment horizontal="general" vertical="bottom" textRotation="0" wrapText="false" indent="0" shrinkToFit="false"/>
      <protection locked="true" hidden="false"/>
    </xf>
    <xf numFmtId="180" fontId="29" fillId="2" borderId="11" xfId="15" applyFont="true" applyBorder="true" applyAlignment="true" applyProtection="true">
      <alignment horizontal="general" vertical="bottom" textRotation="0" wrapText="false" indent="0" shrinkToFit="false"/>
      <protection locked="true" hidden="false"/>
    </xf>
    <xf numFmtId="180" fontId="29" fillId="2" borderId="19" xfId="15" applyFont="true" applyBorder="true" applyAlignment="true" applyProtection="true">
      <alignment horizontal="general" vertical="bottom" textRotation="0" wrapText="false" indent="0" shrinkToFit="false"/>
      <protection locked="true" hidden="false"/>
    </xf>
    <xf numFmtId="180" fontId="29" fillId="2" borderId="18" xfId="15" applyFont="true" applyBorder="true" applyAlignment="true" applyProtection="true">
      <alignment horizontal="general" vertical="bottom" textRotation="0" wrapText="false" indent="0" shrinkToFit="false"/>
      <protection locked="true" hidden="false"/>
    </xf>
    <xf numFmtId="180" fontId="18" fillId="0" borderId="10" xfId="15" applyFont="true" applyBorder="true" applyAlignment="true" applyProtection="true">
      <alignment horizontal="general" vertical="bottom" textRotation="0" wrapText="false" indent="0" shrinkToFit="false"/>
      <protection locked="true" hidden="false"/>
    </xf>
    <xf numFmtId="180" fontId="18" fillId="0" borderId="17" xfId="15" applyFont="true" applyBorder="true" applyAlignment="true" applyProtection="true">
      <alignment horizontal="right" vertical="bottom" textRotation="0" wrapText="false" indent="0" shrinkToFit="false"/>
      <protection locked="true" hidden="false"/>
    </xf>
    <xf numFmtId="180" fontId="18" fillId="0" borderId="17" xfId="15" applyFont="true" applyBorder="true" applyAlignment="true" applyProtection="true">
      <alignment horizontal="general" vertical="bottom" textRotation="0" wrapText="false" indent="0" shrinkToFit="false"/>
      <protection locked="true" hidden="false"/>
    </xf>
    <xf numFmtId="167" fontId="18" fillId="0" borderId="17" xfId="15" applyFont="true" applyBorder="true" applyAlignment="true" applyProtection="true">
      <alignment horizontal="right" vertical="bottom" textRotation="0" wrapText="false" indent="0" shrinkToFit="false"/>
      <protection locked="true" hidden="false"/>
    </xf>
    <xf numFmtId="180" fontId="18" fillId="0" borderId="11" xfId="15" applyFont="true" applyBorder="true" applyAlignment="true" applyProtection="true">
      <alignment horizontal="right" vertical="bottom" textRotation="0" wrapText="false" indent="0" shrinkToFit="false"/>
      <protection locked="true" hidden="false"/>
    </xf>
    <xf numFmtId="180" fontId="18" fillId="0" borderId="11" xfId="15" applyFont="true" applyBorder="true" applyAlignment="true" applyProtection="true">
      <alignment horizontal="general" vertical="bottom" textRotation="0" wrapText="false" indent="0" shrinkToFit="false"/>
      <protection locked="true" hidden="false"/>
    </xf>
    <xf numFmtId="180" fontId="18" fillId="0" borderId="27" xfId="0" applyFont="true" applyBorder="true" applyAlignment="true" applyProtection="true">
      <alignment horizontal="general" vertical="bottom" textRotation="0" wrapText="false" indent="0" shrinkToFit="false"/>
      <protection locked="true" hidden="false"/>
    </xf>
    <xf numFmtId="164" fontId="29" fillId="2" borderId="20" xfId="0" applyFont="true" applyBorder="true" applyAlignment="true" applyProtection="true">
      <alignment horizontal="general" vertical="bottom" textRotation="0" wrapText="false" indent="0" shrinkToFit="false"/>
      <protection locked="true" hidden="false"/>
    </xf>
    <xf numFmtId="180" fontId="29" fillId="2" borderId="0" xfId="15" applyFont="true" applyBorder="true" applyAlignment="true" applyProtection="true">
      <alignment horizontal="general" vertical="bottom" textRotation="0" wrapText="false" indent="0" shrinkToFit="false"/>
      <protection locked="true" hidden="false"/>
    </xf>
    <xf numFmtId="180" fontId="29" fillId="2" borderId="27" xfId="15" applyFont="true" applyBorder="true" applyAlignment="true" applyProtection="true">
      <alignment horizontal="general" vertical="bottom" textRotation="0" wrapText="false" indent="0" shrinkToFit="false"/>
      <protection locked="true" hidden="false"/>
    </xf>
    <xf numFmtId="180" fontId="18" fillId="0" borderId="4" xfId="15" applyFont="true" applyBorder="true" applyAlignment="true" applyProtection="true">
      <alignment horizontal="general" vertical="bottom" textRotation="0" wrapText="false" indent="0" shrinkToFit="false"/>
      <protection locked="true" hidden="false"/>
    </xf>
    <xf numFmtId="180" fontId="62" fillId="0" borderId="17" xfId="15" applyFont="true" applyBorder="true" applyAlignment="true" applyProtection="true">
      <alignment horizontal="general" vertical="bottom" textRotation="0" wrapText="false" indent="0" shrinkToFit="false"/>
      <protection locked="true" hidden="false"/>
    </xf>
    <xf numFmtId="180" fontId="5" fillId="0" borderId="17" xfId="0" applyFont="true" applyBorder="true" applyAlignment="true" applyProtection="true">
      <alignment horizontal="general" vertical="bottom" textRotation="0" wrapText="false" indent="0" shrinkToFit="false"/>
      <protection locked="false" hidden="false"/>
    </xf>
    <xf numFmtId="180" fontId="18" fillId="0" borderId="11" xfId="0" applyFont="true" applyBorder="true" applyAlignment="true" applyProtection="true">
      <alignment horizontal="general" vertical="bottom" textRotation="0" wrapText="false" indent="0" shrinkToFit="false"/>
      <protection locked="false" hidden="false"/>
    </xf>
    <xf numFmtId="164" fontId="5" fillId="0" borderId="20" xfId="0" applyFont="true" applyBorder="true" applyAlignment="true" applyProtection="true">
      <alignment horizontal="general" vertical="bottom" textRotation="0" wrapText="false" indent="0" shrinkToFit="false"/>
      <protection locked="true" hidden="false"/>
    </xf>
    <xf numFmtId="180" fontId="18" fillId="0" borderId="0" xfId="15" applyFont="true" applyBorder="true" applyAlignment="true" applyProtection="true">
      <alignment horizontal="general" vertical="bottom" textRotation="0" wrapText="false" indent="0" shrinkToFit="false"/>
      <protection locked="true" hidden="false"/>
    </xf>
    <xf numFmtId="180" fontId="18" fillId="0" borderId="54" xfId="15" applyFont="true" applyBorder="true" applyAlignment="true" applyProtection="true">
      <alignment horizontal="general" vertical="bottom" textRotation="0" wrapText="false" indent="0" shrinkToFit="false"/>
      <protection locked="true" hidden="false"/>
    </xf>
    <xf numFmtId="180" fontId="18" fillId="0" borderId="27" xfId="15" applyFont="true" applyBorder="true" applyAlignment="true" applyProtection="true">
      <alignment horizontal="general" vertical="bottom" textRotation="0" wrapText="false" indent="0" shrinkToFit="false"/>
      <protection locked="true" hidden="false"/>
    </xf>
    <xf numFmtId="164" fontId="29" fillId="2" borderId="43" xfId="0" applyFont="true" applyBorder="true" applyAlignment="true" applyProtection="true">
      <alignment horizontal="general" vertical="bottom" textRotation="0" wrapText="false" indent="0" shrinkToFit="false"/>
      <protection locked="true" hidden="false"/>
    </xf>
    <xf numFmtId="180" fontId="29" fillId="2" borderId="10" xfId="15" applyFont="true" applyBorder="true" applyAlignment="true" applyProtection="true">
      <alignment horizontal="general" vertical="bottom" textRotation="0" wrapText="false" indent="0" shrinkToFit="false"/>
      <protection locked="true" hidden="false"/>
    </xf>
    <xf numFmtId="180" fontId="29" fillId="2" borderId="40" xfId="15" applyFont="true" applyBorder="true" applyAlignment="true" applyProtection="true">
      <alignment horizontal="general" vertical="bottom" textRotation="0" wrapText="false" indent="0" shrinkToFit="false"/>
      <protection locked="true" hidden="false"/>
    </xf>
    <xf numFmtId="164" fontId="85" fillId="0" borderId="0" xfId="0" applyFont="true" applyBorder="false" applyAlignment="true" applyProtection="true">
      <alignment horizontal="general" vertical="bottom" textRotation="0" wrapText="false" indent="0" shrinkToFit="false"/>
      <protection locked="true" hidden="false"/>
    </xf>
    <xf numFmtId="180" fontId="85" fillId="0" borderId="0" xfId="0" applyFont="true" applyBorder="false" applyAlignment="true" applyProtection="true">
      <alignment horizontal="general" vertical="bottom" textRotation="0" wrapText="false" indent="0" shrinkToFit="false"/>
      <protection locked="true" hidden="false"/>
    </xf>
    <xf numFmtId="167" fontId="85" fillId="0" borderId="0" xfId="0" applyFont="true" applyBorder="false" applyAlignment="true" applyProtection="true">
      <alignment horizontal="general" vertical="bottom" textRotation="0" wrapText="false" indent="0" shrinkToFit="false"/>
      <protection locked="true" hidden="false"/>
    </xf>
    <xf numFmtId="167" fontId="68" fillId="0" borderId="7" xfId="0" applyFont="true" applyBorder="true" applyAlignment="true" applyProtection="true">
      <alignment horizontal="general" vertical="bottom" textRotation="0" wrapText="false" indent="0" shrinkToFit="false"/>
      <protection locked="true" hidden="false"/>
    </xf>
    <xf numFmtId="182" fontId="18" fillId="0" borderId="0" xfId="0" applyFont="true" applyBorder="false" applyAlignment="true" applyProtection="true">
      <alignment horizontal="general" vertical="bottom" textRotation="0" wrapText="false" indent="0" shrinkToFit="false"/>
      <protection locked="true" hidden="false"/>
    </xf>
    <xf numFmtId="167" fontId="18" fillId="0" borderId="17" xfId="15" applyFont="true" applyBorder="true" applyAlignment="true" applyProtection="true">
      <alignment horizontal="general" vertical="bottom" textRotation="0" wrapText="false" indent="0" shrinkToFit="false"/>
      <protection locked="true" hidden="false"/>
    </xf>
    <xf numFmtId="178" fontId="85" fillId="0" borderId="0" xfId="0" applyFont="true" applyBorder="false" applyAlignment="true" applyProtection="true">
      <alignment horizontal="general" vertical="bottom" textRotation="0" wrapText="false" indent="0" shrinkToFit="false"/>
      <protection locked="true" hidden="false"/>
    </xf>
    <xf numFmtId="180" fontId="86" fillId="0" borderId="0" xfId="0" applyFont="true" applyBorder="false" applyAlignment="true" applyProtection="true">
      <alignment horizontal="general" vertical="bottom" textRotation="0" wrapText="false" indent="0" shrinkToFit="false"/>
      <protection locked="true" hidden="false"/>
    </xf>
    <xf numFmtId="164" fontId="87" fillId="0" borderId="0" xfId="0" applyFont="true" applyBorder="true" applyAlignment="true" applyProtection="true">
      <alignment horizontal="general" vertical="bottom" textRotation="0" wrapText="true" indent="0" shrinkToFit="false"/>
      <protection locked="true" hidden="false"/>
    </xf>
    <xf numFmtId="167" fontId="83" fillId="0" borderId="0" xfId="0" applyFont="true" applyBorder="false" applyAlignment="true" applyProtection="true">
      <alignment horizontal="center" vertical="bottom" textRotation="0" wrapText="false" indent="0" shrinkToFit="false"/>
      <protection locked="true" hidden="false"/>
    </xf>
    <xf numFmtId="167" fontId="68" fillId="0" borderId="0" xfId="0" applyFont="true" applyBorder="false" applyAlignment="true" applyProtection="true">
      <alignment horizontal="center" vertical="bottom" textRotation="0" wrapText="false" indent="0" shrinkToFit="false"/>
      <protection locked="true" hidden="false"/>
    </xf>
    <xf numFmtId="167" fontId="83" fillId="0" borderId="0" xfId="0" applyFont="true" applyBorder="false" applyAlignment="true" applyProtection="true">
      <alignment horizontal="general" vertical="bottom" textRotation="0" wrapText="false" indent="0" shrinkToFit="false"/>
      <protection locked="true" hidden="false"/>
    </xf>
    <xf numFmtId="167" fontId="83" fillId="0" borderId="0" xfId="0" applyFont="true" applyBorder="false" applyAlignment="true" applyProtection="true">
      <alignment horizontal="left" vertical="bottom" textRotation="0" wrapText="false" indent="0" shrinkToFit="false"/>
      <protection locked="true" hidden="false"/>
    </xf>
    <xf numFmtId="167" fontId="68" fillId="0" borderId="0" xfId="0" applyFont="true" applyBorder="false" applyAlignment="true" applyProtection="true">
      <alignment horizontal="left"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7" fontId="88" fillId="0" borderId="0" xfId="0" applyFont="true" applyBorder="false" applyAlignment="true" applyProtection="true">
      <alignment horizontal="general" vertical="bottom" textRotation="0" wrapText="false" indent="0" shrinkToFit="false"/>
      <protection locked="true" hidden="false"/>
    </xf>
    <xf numFmtId="167" fontId="83" fillId="0" borderId="53" xfId="0" applyFont="true" applyBorder="true" applyAlignment="true" applyProtection="true">
      <alignment horizontal="center" vertical="bottom" textRotation="0" wrapText="false" indent="0" shrinkToFit="false"/>
      <protection locked="true" hidden="false"/>
    </xf>
    <xf numFmtId="167" fontId="68" fillId="0" borderId="53" xfId="0" applyFont="true" applyBorder="true" applyAlignment="true" applyProtection="true">
      <alignment horizontal="center" vertical="bottom" textRotation="0" wrapText="false" indent="0" shrinkToFit="false"/>
      <protection locked="true" hidden="false"/>
    </xf>
    <xf numFmtId="164" fontId="68" fillId="0" borderId="46" xfId="0" applyFont="true" applyBorder="true" applyAlignment="true" applyProtection="true">
      <alignment horizontal="general" vertical="bottom" textRotation="0" wrapText="true" indent="0" shrinkToFit="false"/>
      <protection locked="true" hidden="false"/>
    </xf>
    <xf numFmtId="164" fontId="62" fillId="0" borderId="87" xfId="0" applyFont="true" applyBorder="true" applyAlignment="true" applyProtection="true">
      <alignment horizontal="general" vertical="bottom" textRotation="0" wrapText="false" indent="0" shrinkToFit="false"/>
      <protection locked="true" hidden="false"/>
    </xf>
    <xf numFmtId="164" fontId="62" fillId="0" borderId="88" xfId="0" applyFont="true" applyBorder="true" applyAlignment="true" applyProtection="true">
      <alignment horizontal="general" vertical="bottom" textRotation="0" wrapText="false" indent="0" shrinkToFit="false"/>
      <protection locked="true" hidden="false"/>
    </xf>
    <xf numFmtId="167" fontId="62" fillId="0" borderId="87" xfId="0" applyFont="true" applyBorder="true" applyAlignment="true" applyProtection="true">
      <alignment horizontal="general" vertical="bottom" textRotation="0" wrapText="false" indent="0" shrinkToFit="false"/>
      <protection locked="true" hidden="false"/>
    </xf>
    <xf numFmtId="164" fontId="62" fillId="0" borderId="89" xfId="0" applyFont="true" applyBorder="true" applyAlignment="true" applyProtection="true">
      <alignment horizontal="general" vertical="bottom" textRotation="0" wrapText="false" indent="0" shrinkToFit="false"/>
      <protection locked="true" hidden="false"/>
    </xf>
    <xf numFmtId="167" fontId="62" fillId="0" borderId="47" xfId="0" applyFont="true" applyBorder="true" applyAlignment="true" applyProtection="true">
      <alignment horizontal="general" vertical="bottom" textRotation="0" wrapText="true" indent="0" shrinkToFit="false"/>
      <protection locked="true" hidden="false"/>
    </xf>
    <xf numFmtId="180" fontId="62" fillId="0" borderId="10" xfId="0" applyFont="true" applyBorder="true" applyAlignment="true" applyProtection="true">
      <alignment horizontal="general" vertical="bottom" textRotation="0" wrapText="false" indent="0" shrinkToFit="false"/>
      <protection locked="true" hidden="false"/>
    </xf>
    <xf numFmtId="166" fontId="45" fillId="0" borderId="21" xfId="0" applyFont="true" applyBorder="true" applyAlignment="true" applyProtection="true">
      <alignment horizontal="general" vertical="bottom" textRotation="0" wrapText="false" indent="0" shrinkToFit="false"/>
      <protection locked="true" hidden="false"/>
    </xf>
    <xf numFmtId="167" fontId="62" fillId="0" borderId="10" xfId="0" applyFont="true" applyBorder="true" applyAlignment="true" applyProtection="true">
      <alignment horizontal="general" vertical="bottom" textRotation="0" wrapText="false" indent="0" shrinkToFit="false"/>
      <protection locked="true" hidden="false"/>
    </xf>
    <xf numFmtId="166" fontId="45" fillId="0" borderId="90" xfId="0" applyFont="true" applyBorder="true" applyAlignment="true" applyProtection="true">
      <alignment horizontal="general" vertical="bottom" textRotation="0" wrapText="false" indent="0" shrinkToFit="false"/>
      <protection locked="true" hidden="false"/>
    </xf>
    <xf numFmtId="166" fontId="45" fillId="0" borderId="0" xfId="0" applyFont="true" applyBorder="false" applyAlignment="true" applyProtection="true">
      <alignment horizontal="general" vertical="bottom" textRotation="0" wrapText="false" indent="0" shrinkToFit="false"/>
      <protection locked="true" hidden="false"/>
    </xf>
    <xf numFmtId="167" fontId="18" fillId="0" borderId="47" xfId="0" applyFont="true" applyBorder="true" applyAlignment="true" applyProtection="true">
      <alignment horizontal="general" vertical="bottom" textRotation="0" wrapText="true" indent="0" shrinkToFit="false"/>
      <protection locked="true" hidden="false"/>
    </xf>
    <xf numFmtId="180" fontId="62" fillId="0" borderId="17" xfId="0" applyFont="true" applyBorder="true" applyAlignment="true" applyProtection="true">
      <alignment horizontal="general" vertical="bottom" textRotation="0" wrapText="false" indent="0" shrinkToFit="false"/>
      <protection locked="true" hidden="false"/>
    </xf>
    <xf numFmtId="166" fontId="45" fillId="0" borderId="4" xfId="0" applyFont="true" applyBorder="true" applyAlignment="true" applyProtection="true">
      <alignment horizontal="general" vertical="bottom" textRotation="0" wrapText="false" indent="0" shrinkToFit="false"/>
      <protection locked="true" hidden="false"/>
    </xf>
    <xf numFmtId="167" fontId="62" fillId="0" borderId="17" xfId="0" applyFont="true" applyBorder="true" applyAlignment="true" applyProtection="true">
      <alignment horizontal="general" vertical="bottom" textRotation="0" wrapText="false" indent="0" shrinkToFit="false"/>
      <protection locked="true" hidden="false"/>
    </xf>
    <xf numFmtId="166" fontId="45" fillId="0" borderId="39" xfId="0" applyFont="true" applyBorder="true" applyAlignment="true" applyProtection="true">
      <alignment horizontal="general" vertical="bottom" textRotation="0" wrapText="false" indent="0" shrinkToFit="false"/>
      <protection locked="true" hidden="false"/>
    </xf>
    <xf numFmtId="167" fontId="83" fillId="2" borderId="47" xfId="0" applyFont="true" applyBorder="true" applyAlignment="true" applyProtection="true">
      <alignment horizontal="general" vertical="bottom" textRotation="0" wrapText="true" indent="0" shrinkToFit="false"/>
      <protection locked="true" hidden="false"/>
    </xf>
    <xf numFmtId="180" fontId="68" fillId="2" borderId="0" xfId="0" applyFont="true" applyBorder="false" applyAlignment="true" applyProtection="true">
      <alignment horizontal="general" vertical="bottom" textRotation="0" wrapText="false" indent="0" shrinkToFit="false"/>
      <protection locked="true" hidden="false"/>
    </xf>
    <xf numFmtId="166" fontId="38" fillId="2" borderId="54" xfId="0" applyFont="true" applyBorder="true" applyAlignment="true" applyProtection="true">
      <alignment horizontal="general" vertical="bottom" textRotation="0" wrapText="false" indent="0" shrinkToFit="false"/>
      <protection locked="true" hidden="false"/>
    </xf>
    <xf numFmtId="166" fontId="38" fillId="2" borderId="91" xfId="0" applyFont="true" applyBorder="true" applyAlignment="true" applyProtection="true">
      <alignment horizontal="general" vertical="bottom" textRotation="0" wrapText="false" indent="0" shrinkToFit="false"/>
      <protection locked="true" hidden="false"/>
    </xf>
    <xf numFmtId="166" fontId="38" fillId="0" borderId="0" xfId="0" applyFont="true" applyBorder="false" applyAlignment="true" applyProtection="true">
      <alignment horizontal="general" vertical="bottom" textRotation="0" wrapText="false" indent="0" shrinkToFit="false"/>
      <protection locked="true" hidden="false"/>
    </xf>
    <xf numFmtId="164" fontId="68" fillId="0" borderId="47" xfId="0" applyFont="true" applyBorder="true" applyAlignment="true" applyProtection="true">
      <alignment horizontal="general" vertical="bottom" textRotation="0" wrapText="true" indent="0" shrinkToFit="false"/>
      <protection locked="true" hidden="false"/>
    </xf>
    <xf numFmtId="164" fontId="45" fillId="0" borderId="54" xfId="0" applyFont="true" applyBorder="true" applyAlignment="true" applyProtection="true">
      <alignment horizontal="general" vertical="bottom" textRotation="0" wrapText="false" indent="0" shrinkToFit="false"/>
      <protection locked="true" hidden="false"/>
    </xf>
    <xf numFmtId="164" fontId="45" fillId="0" borderId="91" xfId="0" applyFont="true" applyBorder="true" applyAlignment="true" applyProtection="true">
      <alignment horizontal="general" vertical="bottom" textRotation="0" wrapText="false" indent="0" shrinkToFit="false"/>
      <protection locked="true" hidden="false"/>
    </xf>
    <xf numFmtId="164" fontId="45" fillId="0" borderId="0" xfId="0" applyFont="true" applyBorder="false" applyAlignment="true" applyProtection="true">
      <alignment horizontal="general" vertical="bottom" textRotation="0" wrapText="false" indent="0" shrinkToFit="false"/>
      <protection locked="true" hidden="false"/>
    </xf>
    <xf numFmtId="180" fontId="62" fillId="0" borderId="0" xfId="0" applyFont="true" applyBorder="false" applyAlignment="true" applyProtection="true">
      <alignment horizontal="general" vertical="bottom" textRotation="0" wrapText="false" indent="0" shrinkToFit="false"/>
      <protection locked="true" hidden="false"/>
    </xf>
    <xf numFmtId="166" fontId="45" fillId="0" borderId="19" xfId="0" applyFont="true" applyBorder="true" applyAlignment="true" applyProtection="true">
      <alignment horizontal="general" vertical="bottom" textRotation="0" wrapText="false" indent="0" shrinkToFit="false"/>
      <protection locked="true" hidden="false"/>
    </xf>
    <xf numFmtId="166" fontId="45" fillId="0" borderId="92" xfId="0" applyFont="true" applyBorder="true" applyAlignment="true" applyProtection="true">
      <alignment horizontal="general" vertical="bottom" textRotation="0" wrapText="false" indent="0" shrinkToFit="false"/>
      <protection locked="true" hidden="false"/>
    </xf>
    <xf numFmtId="166" fontId="45" fillId="0" borderId="54" xfId="0" applyFont="true" applyBorder="true" applyAlignment="true" applyProtection="true">
      <alignment horizontal="general" vertical="bottom" textRotation="0" wrapText="false" indent="0" shrinkToFit="false"/>
      <protection locked="true" hidden="false"/>
    </xf>
    <xf numFmtId="166" fontId="45" fillId="0" borderId="91" xfId="0" applyFont="true" applyBorder="true" applyAlignment="true" applyProtection="true">
      <alignment horizontal="general" vertical="bottom" textRotation="0" wrapText="false" indent="0" shrinkToFit="false"/>
      <protection locked="true" hidden="false"/>
    </xf>
    <xf numFmtId="167" fontId="68" fillId="2" borderId="0" xfId="0" applyFont="true" applyBorder="false" applyAlignment="true" applyProtection="true">
      <alignment horizontal="general" vertical="bottom" textRotation="0" wrapText="false" indent="0" shrinkToFit="false"/>
      <protection locked="true" hidden="false"/>
    </xf>
    <xf numFmtId="167" fontId="83" fillId="0" borderId="47" xfId="0" applyFont="true" applyBorder="true" applyAlignment="true" applyProtection="true">
      <alignment horizontal="general" vertical="bottom" textRotation="0" wrapText="true" indent="0" shrinkToFit="false"/>
      <protection locked="true" hidden="false"/>
    </xf>
    <xf numFmtId="180" fontId="68" fillId="0" borderId="0" xfId="0" applyFont="true" applyBorder="false" applyAlignment="true" applyProtection="true">
      <alignment horizontal="general" vertical="bottom" textRotation="0" wrapText="false" indent="0" shrinkToFit="false"/>
      <protection locked="true" hidden="false"/>
    </xf>
    <xf numFmtId="166" fontId="38" fillId="0" borderId="54" xfId="0" applyFont="true" applyBorder="true" applyAlignment="true" applyProtection="true">
      <alignment horizontal="general" vertical="bottom" textRotation="0" wrapText="false" indent="0" shrinkToFit="false"/>
      <protection locked="true" hidden="false"/>
    </xf>
    <xf numFmtId="166" fontId="38" fillId="0" borderId="91" xfId="0" applyFont="true" applyBorder="true" applyAlignment="true" applyProtection="true">
      <alignment horizontal="general" vertical="bottom" textRotation="0" wrapText="false" indent="0" shrinkToFit="false"/>
      <protection locked="true" hidden="false"/>
    </xf>
    <xf numFmtId="167" fontId="89" fillId="2" borderId="93" xfId="0" applyFont="true" applyBorder="true" applyAlignment="true" applyProtection="true">
      <alignment horizontal="general" vertical="bottom" textRotation="0" wrapText="true" indent="0" shrinkToFit="false"/>
      <protection locked="true" hidden="false"/>
    </xf>
    <xf numFmtId="180" fontId="89" fillId="2" borderId="53" xfId="0" applyFont="true" applyBorder="true" applyAlignment="true" applyProtection="true">
      <alignment horizontal="general" vertical="bottom" textRotation="0" wrapText="false" indent="0" shrinkToFit="false"/>
      <protection locked="true" hidden="false"/>
    </xf>
    <xf numFmtId="166" fontId="38" fillId="2" borderId="94" xfId="0" applyFont="true" applyBorder="true" applyAlignment="true" applyProtection="true">
      <alignment horizontal="general" vertical="bottom" textRotation="0" wrapText="false" indent="0" shrinkToFit="false"/>
      <protection locked="true" hidden="false"/>
    </xf>
    <xf numFmtId="167" fontId="89" fillId="2" borderId="53" xfId="0" applyFont="true" applyBorder="true" applyAlignment="true" applyProtection="true">
      <alignment horizontal="general" vertical="bottom" textRotation="0" wrapText="false" indent="0" shrinkToFit="false"/>
      <protection locked="true" hidden="false"/>
    </xf>
    <xf numFmtId="166" fontId="38" fillId="2" borderId="95" xfId="0" applyFont="true" applyBorder="tru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true" indent="0" shrinkToFit="false"/>
      <protection locked="true" hidden="false"/>
    </xf>
    <xf numFmtId="167" fontId="83" fillId="0" borderId="8" xfId="0" applyFont="true" applyBorder="true" applyAlignment="true" applyProtection="true">
      <alignment horizontal="center" vertical="bottom" textRotation="0" wrapText="false" indent="0" shrinkToFit="false"/>
      <protection locked="true" hidden="false"/>
    </xf>
    <xf numFmtId="167" fontId="68" fillId="0" borderId="8" xfId="0" applyFont="true" applyBorder="true" applyAlignment="true" applyProtection="true">
      <alignment horizontal="center" vertical="bottom" textRotation="0" wrapText="false" indent="0" shrinkToFit="false"/>
      <protection locked="true" hidden="false"/>
    </xf>
    <xf numFmtId="164" fontId="62" fillId="0" borderId="54" xfId="0" applyFont="true" applyBorder="true" applyAlignment="true" applyProtection="true">
      <alignment horizontal="general" vertical="bottom" textRotation="0" wrapText="false" indent="0" shrinkToFit="false"/>
      <protection locked="true" hidden="false"/>
    </xf>
    <xf numFmtId="164" fontId="62" fillId="0" borderId="91" xfId="0" applyFont="true" applyBorder="true" applyAlignment="true" applyProtection="true">
      <alignment horizontal="general" vertical="bottom" textRotation="0" wrapText="false" indent="0" shrinkToFit="false"/>
      <protection locked="true" hidden="false"/>
    </xf>
    <xf numFmtId="180" fontId="62" fillId="0" borderId="10" xfId="0" applyFont="true" applyBorder="true" applyAlignment="true" applyProtection="true">
      <alignment horizontal="right" vertical="bottom" textRotation="0" wrapText="false" indent="0" shrinkToFit="false"/>
      <protection locked="true" hidden="false"/>
    </xf>
    <xf numFmtId="166" fontId="38" fillId="0" borderId="21" xfId="0" applyFont="true" applyBorder="true" applyAlignment="true" applyProtection="true">
      <alignment horizontal="general" vertical="bottom" textRotation="0" wrapText="false" indent="0" shrinkToFit="false"/>
      <protection locked="true" hidden="false"/>
    </xf>
    <xf numFmtId="166" fontId="38" fillId="0" borderId="39" xfId="0" applyFont="true" applyBorder="true" applyAlignment="true" applyProtection="true">
      <alignment horizontal="general" vertical="bottom" textRotation="0" wrapText="false" indent="0" shrinkToFit="false"/>
      <protection locked="true" hidden="false"/>
    </xf>
    <xf numFmtId="180" fontId="62" fillId="0" borderId="17" xfId="0" applyFont="true" applyBorder="true" applyAlignment="true" applyProtection="true">
      <alignment horizontal="right" vertical="bottom" textRotation="0" wrapText="false" indent="0" shrinkToFit="false"/>
      <protection locked="true" hidden="false"/>
    </xf>
    <xf numFmtId="180" fontId="62" fillId="0" borderId="0" xfId="0" applyFont="true" applyBorder="false" applyAlignment="true" applyProtection="true">
      <alignment horizontal="right" vertical="bottom" textRotation="0" wrapText="false" indent="0" shrinkToFit="false"/>
      <protection locked="true" hidden="false"/>
    </xf>
    <xf numFmtId="167" fontId="68" fillId="0" borderId="47" xfId="0" applyFont="true" applyBorder="true" applyAlignment="true" applyProtection="true">
      <alignment horizontal="general" vertical="bottom" textRotation="0" wrapText="true" indent="0" shrinkToFit="false"/>
      <protection locked="true" hidden="false"/>
    </xf>
    <xf numFmtId="164" fontId="62" fillId="0" borderId="47" xfId="0" applyFont="true" applyBorder="true" applyAlignment="true" applyProtection="true">
      <alignment horizontal="general" vertical="bottom" textRotation="0" wrapText="true" indent="0" shrinkToFit="false"/>
      <protection locked="true" hidden="false"/>
    </xf>
    <xf numFmtId="180" fontId="62" fillId="0" borderId="10" xfId="0" applyFont="true" applyBorder="true" applyAlignment="true" applyProtection="true">
      <alignment horizontal="general" vertical="bottom" textRotation="0" wrapText="false" indent="0" shrinkToFit="false"/>
      <protection locked="false" hidden="false"/>
    </xf>
    <xf numFmtId="167" fontId="62" fillId="0" borderId="10" xfId="0" applyFont="true" applyBorder="true" applyAlignment="true" applyProtection="true">
      <alignment horizontal="general" vertical="bottom" textRotation="0" wrapText="false" indent="0" shrinkToFit="false"/>
      <protection locked="false" hidden="false"/>
    </xf>
    <xf numFmtId="180" fontId="62" fillId="0" borderId="10" xfId="0" applyFont="true" applyBorder="true" applyAlignment="true" applyProtection="true">
      <alignment horizontal="right" vertical="bottom" textRotation="0" wrapText="false" indent="0" shrinkToFit="false"/>
      <protection locked="false" hidden="false"/>
    </xf>
    <xf numFmtId="164" fontId="62" fillId="0" borderId="20" xfId="0" applyFont="true" applyBorder="true" applyAlignment="true" applyProtection="true">
      <alignment horizontal="general" vertical="bottom" textRotation="0" wrapText="false" indent="0" shrinkToFit="false"/>
      <protection locked="true" hidden="false"/>
    </xf>
    <xf numFmtId="166" fontId="45" fillId="0" borderId="10" xfId="0" applyFont="true" applyBorder="true" applyAlignment="true" applyProtection="true">
      <alignment horizontal="general" vertical="bottom" textRotation="0" wrapText="false" indent="0" shrinkToFit="false"/>
      <protection locked="true" hidden="false"/>
    </xf>
    <xf numFmtId="167" fontId="62" fillId="0" borderId="43" xfId="0" applyFont="true" applyBorder="true" applyAlignment="true" applyProtection="true">
      <alignment horizontal="general" vertical="bottom" textRotation="0" wrapText="false" indent="0" shrinkToFit="false"/>
      <protection locked="false" hidden="false"/>
    </xf>
    <xf numFmtId="167" fontId="62" fillId="0" borderId="17" xfId="0" applyFont="true" applyBorder="true" applyAlignment="true" applyProtection="true">
      <alignment horizontal="general" vertical="bottom" textRotation="0" wrapText="false" indent="0" shrinkToFit="false"/>
      <protection locked="false" hidden="false"/>
    </xf>
    <xf numFmtId="166" fontId="45" fillId="0" borderId="17" xfId="0" applyFont="true" applyBorder="true" applyAlignment="true" applyProtection="true">
      <alignment horizontal="general" vertical="bottom" textRotation="0" wrapText="false" indent="0" shrinkToFit="false"/>
      <protection locked="true" hidden="false"/>
    </xf>
    <xf numFmtId="167" fontId="62" fillId="0" borderId="2" xfId="0" applyFont="true" applyBorder="true" applyAlignment="true" applyProtection="true">
      <alignment horizontal="general" vertical="bottom" textRotation="0" wrapText="false" indent="0" shrinkToFit="false"/>
      <protection locked="false" hidden="false"/>
    </xf>
    <xf numFmtId="180" fontId="62" fillId="0" borderId="2" xfId="0" applyFont="true" applyBorder="true" applyAlignment="true" applyProtection="true">
      <alignment horizontal="general" vertical="bottom" textRotation="0" wrapText="false" indent="0" shrinkToFit="false"/>
      <protection locked="true" hidden="false"/>
    </xf>
    <xf numFmtId="180" fontId="62" fillId="0" borderId="20" xfId="0" applyFont="true" applyBorder="true" applyAlignment="true" applyProtection="true">
      <alignment horizontal="general" vertical="bottom" textRotation="0" wrapText="false" indent="0" shrinkToFit="false"/>
      <protection locked="true" hidden="false"/>
    </xf>
    <xf numFmtId="180" fontId="62" fillId="0" borderId="43" xfId="0" applyFont="true" applyBorder="true" applyAlignment="true" applyProtection="true">
      <alignment horizontal="general" vertical="bottom" textRotation="0" wrapText="false" indent="0" shrinkToFit="false"/>
      <protection locked="true" hidden="false"/>
    </xf>
    <xf numFmtId="183" fontId="5" fillId="0" borderId="0" xfId="0" applyFont="true" applyBorder="false" applyAlignment="true" applyProtection="true">
      <alignment horizontal="general" vertical="bottom" textRotation="0" wrapText="false" indent="0" shrinkToFit="false"/>
      <protection locked="true" hidden="false"/>
    </xf>
    <xf numFmtId="167" fontId="89" fillId="0" borderId="0" xfId="0" applyFont="true" applyBorder="false" applyAlignment="true" applyProtection="true">
      <alignment horizontal="general" vertical="bottom" textRotation="0" wrapText="false" indent="0" shrinkToFit="false"/>
      <protection locked="true" hidden="false"/>
    </xf>
    <xf numFmtId="180" fontId="89" fillId="0" borderId="0" xfId="0" applyFont="true" applyBorder="false" applyAlignment="true" applyProtection="true">
      <alignment horizontal="general" vertical="bottom" textRotation="0" wrapText="false" indent="0" shrinkToFit="false"/>
      <protection locked="true" hidden="false"/>
    </xf>
    <xf numFmtId="167" fontId="68" fillId="0" borderId="10" xfId="0" applyFont="true" applyBorder="true" applyAlignment="true" applyProtection="true">
      <alignment horizontal="general" vertical="bottom" textRotation="0" wrapText="false" indent="0" shrinkToFit="false"/>
      <protection locked="true" hidden="false"/>
    </xf>
    <xf numFmtId="166" fontId="38" fillId="0" borderId="10" xfId="0" applyFont="true" applyBorder="true" applyAlignment="true" applyProtection="true">
      <alignment horizontal="general" vertical="bottom" textRotation="0" wrapText="false" indent="0" shrinkToFit="false"/>
      <protection locked="true" hidden="false"/>
    </xf>
    <xf numFmtId="167" fontId="68" fillId="0" borderId="17" xfId="0" applyFont="true" applyBorder="true" applyAlignment="true" applyProtection="true">
      <alignment horizontal="general" vertical="bottom" textRotation="0" wrapText="false" indent="0" shrinkToFit="false"/>
      <protection locked="true" hidden="false"/>
    </xf>
    <xf numFmtId="166" fontId="38" fillId="0" borderId="17" xfId="0" applyFont="true" applyBorder="true" applyAlignment="true" applyProtection="true">
      <alignment horizontal="general" vertical="bottom" textRotation="0" wrapText="false" indent="0" shrinkToFit="false"/>
      <protection locked="true" hidden="false"/>
    </xf>
    <xf numFmtId="164" fontId="90" fillId="0" borderId="0" xfId="0" applyFont="true" applyBorder="false" applyAlignment="true" applyProtection="true">
      <alignment horizontal="general" vertical="bottom" textRotation="0" wrapText="false" indent="0" shrinkToFit="false"/>
      <protection locked="true" hidden="false"/>
    </xf>
    <xf numFmtId="167" fontId="83" fillId="0" borderId="17" xfId="0" applyFont="true" applyBorder="true" applyAlignment="true" applyProtection="true">
      <alignment horizontal="general" vertical="bottom" textRotation="0" wrapText="false" indent="0" shrinkToFit="false"/>
      <protection locked="true" hidden="false"/>
    </xf>
    <xf numFmtId="184" fontId="62" fillId="0" borderId="0" xfId="0" applyFont="true" applyBorder="false" applyAlignment="true" applyProtection="true">
      <alignment horizontal="general" vertical="bottom" textRotation="0" wrapText="false" indent="0" shrinkToFit="false"/>
      <protection locked="true" hidden="false"/>
    </xf>
    <xf numFmtId="167" fontId="90" fillId="0" borderId="0" xfId="0" applyFont="true" applyBorder="false" applyAlignment="true" applyProtection="true">
      <alignment horizontal="general" vertical="bottom" textRotation="0" wrapText="false" indent="0" shrinkToFit="false"/>
      <protection locked="true" hidden="false"/>
    </xf>
    <xf numFmtId="164" fontId="91" fillId="0" borderId="0" xfId="0" applyFont="true" applyBorder="false" applyAlignment="true" applyProtection="true">
      <alignment horizontal="general" vertical="bottom" textRotation="0" wrapText="false" indent="0" shrinkToFit="false"/>
      <protection locked="true" hidden="false"/>
    </xf>
    <xf numFmtId="184" fontId="91" fillId="0" borderId="0" xfId="0" applyFont="true" applyBorder="false" applyAlignment="true" applyProtection="true">
      <alignment horizontal="left" vertical="bottom" textRotation="0" wrapText="false" indent="0" shrinkToFit="false"/>
      <protection locked="true" hidden="false"/>
    </xf>
    <xf numFmtId="185" fontId="91" fillId="0" borderId="0" xfId="0" applyFont="true" applyBorder="false" applyAlignment="true" applyProtection="true">
      <alignment horizontal="center" vertical="bottom" textRotation="0" wrapText="false" indent="0" shrinkToFit="false"/>
      <protection locked="true" hidden="false"/>
    </xf>
    <xf numFmtId="185" fontId="91" fillId="0" borderId="0" xfId="0" applyFont="true" applyBorder="false" applyAlignment="true" applyProtection="true">
      <alignment horizontal="general" vertical="bottom" textRotation="0" wrapText="false" indent="0" shrinkToFit="false"/>
      <protection locked="true" hidden="false"/>
    </xf>
    <xf numFmtId="164" fontId="92" fillId="0" borderId="0" xfId="0" applyFont="true" applyBorder="true" applyAlignment="true" applyProtection="true">
      <alignment horizontal="general" vertical="bottom" textRotation="0" wrapText="true" indent="0" shrinkToFit="false"/>
      <protection locked="true" hidden="false"/>
    </xf>
    <xf numFmtId="164" fontId="92" fillId="0" borderId="0" xfId="0" applyFont="true" applyBorder="false" applyAlignment="true" applyProtection="true">
      <alignment horizontal="general" vertical="bottom" textRotation="0" wrapText="true" indent="0" shrinkToFit="false"/>
      <protection locked="true" hidden="false"/>
    </xf>
    <xf numFmtId="164" fontId="83" fillId="0" borderId="0" xfId="0" applyFont="true" applyBorder="true" applyAlignment="true" applyProtection="true">
      <alignment horizontal="center" vertical="bottom" textRotation="0" wrapText="false" indent="0" shrinkToFit="false"/>
      <protection locked="true" hidden="false"/>
    </xf>
    <xf numFmtId="164" fontId="93" fillId="0" borderId="10" xfId="0" applyFont="true" applyBorder="true" applyAlignment="true" applyProtection="true">
      <alignment horizontal="general" vertical="bottom" textRotation="0" wrapText="false" indent="0" shrinkToFit="false"/>
      <protection locked="true" hidden="false"/>
    </xf>
    <xf numFmtId="164" fontId="90" fillId="0" borderId="10" xfId="0" applyFont="true" applyBorder="true" applyAlignment="true" applyProtection="true">
      <alignment horizontal="general" vertical="bottom" textRotation="0" wrapText="false" indent="0" shrinkToFit="false"/>
      <protection locked="true" hidden="false"/>
    </xf>
    <xf numFmtId="164" fontId="62" fillId="0" borderId="10" xfId="0" applyFont="true" applyBorder="true" applyAlignment="true" applyProtection="true">
      <alignment horizontal="general" vertical="bottom" textRotation="0" wrapText="false" indent="0" shrinkToFit="false"/>
      <protection locked="true" hidden="false"/>
    </xf>
    <xf numFmtId="167" fontId="83" fillId="0" borderId="10" xfId="0" applyFont="true" applyBorder="true" applyAlignment="true" applyProtection="true">
      <alignment horizontal="center" vertical="bottom" textRotation="0" wrapText="false" indent="0" shrinkToFit="false"/>
      <protection locked="true" hidden="false"/>
    </xf>
    <xf numFmtId="186" fontId="62" fillId="0" borderId="0" xfId="0" applyFont="true" applyBorder="false" applyAlignment="true" applyProtection="true">
      <alignment horizontal="general" vertical="bottom" textRotation="0" wrapText="false" indent="0" shrinkToFit="false"/>
      <protection locked="true" hidden="false"/>
    </xf>
    <xf numFmtId="164" fontId="93" fillId="0" borderId="0" xfId="0" applyFont="true" applyBorder="false" applyAlignment="true" applyProtection="true">
      <alignment horizontal="general" vertical="bottom" textRotation="0" wrapText="false" indent="0" shrinkToFit="false"/>
      <protection locked="true" hidden="false"/>
    </xf>
    <xf numFmtId="164" fontId="94" fillId="0" borderId="10" xfId="0" applyFont="true" applyBorder="true" applyAlignment="true" applyProtection="true">
      <alignment horizontal="general" vertical="bottom" textRotation="0" wrapText="false" indent="0" shrinkToFit="false"/>
      <protection locked="true" hidden="false"/>
    </xf>
    <xf numFmtId="167" fontId="95" fillId="0" borderId="10" xfId="0" applyFont="true" applyBorder="true" applyAlignment="true" applyProtection="true">
      <alignment horizontal="general" vertical="bottom" textRotation="0" wrapText="false" indent="0" shrinkToFit="false"/>
      <protection locked="true" hidden="false"/>
    </xf>
    <xf numFmtId="187" fontId="94" fillId="0" borderId="10" xfId="0" applyFont="true" applyBorder="true" applyAlignment="true" applyProtection="true">
      <alignment horizontal="general" vertical="bottom" textRotation="0" wrapText="false" indent="0" shrinkToFit="false"/>
      <protection locked="true" hidden="false"/>
    </xf>
    <xf numFmtId="187" fontId="95" fillId="0" borderId="10" xfId="0" applyFont="true" applyBorder="true" applyAlignment="true" applyProtection="true">
      <alignment horizontal="general" vertical="bottom" textRotation="0" wrapText="false" indent="0" shrinkToFit="false"/>
      <protection locked="true" hidden="false"/>
    </xf>
    <xf numFmtId="167" fontId="94" fillId="0" borderId="0" xfId="0" applyFont="true" applyBorder="false" applyAlignment="true" applyProtection="true">
      <alignment horizontal="center" vertical="bottom" textRotation="0" wrapText="false" indent="0" shrinkToFit="false"/>
      <protection locked="true" hidden="false"/>
    </xf>
    <xf numFmtId="164" fontId="95" fillId="0" borderId="10" xfId="0" applyFont="true" applyBorder="true" applyAlignment="true" applyProtection="true">
      <alignment horizontal="general" vertical="bottom" textRotation="0" wrapText="false" indent="0" shrinkToFit="false"/>
      <protection locked="true" hidden="false"/>
    </xf>
    <xf numFmtId="187" fontId="94" fillId="0" borderId="10" xfId="19" applyFont="true" applyBorder="true" applyAlignment="true" applyProtection="true">
      <alignment horizontal="general" vertical="bottom" textRotation="0" wrapText="false" indent="0" shrinkToFit="false"/>
      <protection locked="true" hidden="false"/>
    </xf>
    <xf numFmtId="187" fontId="37" fillId="0" borderId="10" xfId="0" applyFont="true" applyBorder="true" applyAlignment="true" applyProtection="true">
      <alignment horizontal="center" vertical="bottom" textRotation="0" wrapText="false" indent="0" shrinkToFit="false"/>
      <protection locked="true" hidden="false"/>
    </xf>
    <xf numFmtId="164" fontId="37" fillId="0" borderId="10" xfId="0" applyFont="true" applyBorder="true" applyAlignment="true" applyProtection="true">
      <alignment horizontal="center" vertical="bottom" textRotation="0" wrapText="false" indent="0" shrinkToFit="false"/>
      <protection locked="true" hidden="false"/>
    </xf>
    <xf numFmtId="164" fontId="37" fillId="0" borderId="0" xfId="0" applyFont="true" applyBorder="false" applyAlignment="true" applyProtection="true">
      <alignment horizontal="center" vertical="bottom" textRotation="0" wrapText="false" indent="0" shrinkToFit="false"/>
      <protection locked="true" hidden="false"/>
    </xf>
    <xf numFmtId="164" fontId="94" fillId="0" borderId="17" xfId="0" applyFont="true" applyBorder="true" applyAlignment="true" applyProtection="true">
      <alignment horizontal="general" vertical="bottom" textRotation="0" wrapText="false" indent="0" shrinkToFit="false"/>
      <protection locked="true" hidden="false"/>
    </xf>
    <xf numFmtId="164" fontId="95" fillId="0" borderId="17" xfId="0" applyFont="true" applyBorder="true" applyAlignment="true" applyProtection="true">
      <alignment horizontal="general" vertical="bottom" textRotation="0" wrapText="false" indent="0" shrinkToFit="false"/>
      <protection locked="true" hidden="false"/>
    </xf>
    <xf numFmtId="187" fontId="94" fillId="0" borderId="10" xfId="19" applyFont="true" applyBorder="true" applyAlignment="true" applyProtection="true">
      <alignment horizontal="center" vertical="bottom" textRotation="0" wrapText="false" indent="0" shrinkToFit="false"/>
      <protection locked="true" hidden="false"/>
    </xf>
    <xf numFmtId="187" fontId="37" fillId="0" borderId="17" xfId="0" applyFont="true" applyBorder="true" applyAlignment="true" applyProtection="true">
      <alignment horizontal="center" vertical="bottom" textRotation="0" wrapText="false" indent="0" shrinkToFit="false"/>
      <protection locked="true" hidden="false"/>
    </xf>
    <xf numFmtId="187" fontId="94" fillId="0" borderId="17" xfId="19" applyFont="true" applyBorder="true" applyAlignment="true" applyProtection="true">
      <alignment horizontal="general" vertical="bottom" textRotation="0" wrapText="false" indent="0" shrinkToFit="false"/>
      <protection locked="true" hidden="false"/>
    </xf>
    <xf numFmtId="164" fontId="37" fillId="0" borderId="17" xfId="0" applyFont="true" applyBorder="true" applyAlignment="true" applyProtection="true">
      <alignment horizontal="center" vertical="bottom" textRotation="0" wrapText="false" indent="0" shrinkToFit="false"/>
      <protection locked="true" hidden="false"/>
    </xf>
    <xf numFmtId="187" fontId="94" fillId="0" borderId="17" xfId="0" applyFont="true" applyBorder="true" applyAlignment="true" applyProtection="true">
      <alignment horizontal="general" vertical="bottom" textRotation="0" wrapText="false" indent="0" shrinkToFit="false"/>
      <protection locked="true" hidden="false"/>
    </xf>
    <xf numFmtId="187" fontId="37" fillId="0" borderId="10" xfId="0" applyFont="true" applyBorder="true" applyAlignment="true" applyProtection="true">
      <alignment horizontal="general" vertical="bottom" textRotation="0" wrapText="false" indent="0" shrinkToFit="false"/>
      <protection locked="true" hidden="false"/>
    </xf>
    <xf numFmtId="187" fontId="37" fillId="0" borderId="0" xfId="0" applyFont="true" applyBorder="false" applyAlignment="true" applyProtection="true">
      <alignment horizontal="general" vertical="bottom" textRotation="0" wrapText="false" indent="0" shrinkToFit="false"/>
      <protection locked="true" hidden="false"/>
    </xf>
    <xf numFmtId="164" fontId="83" fillId="0" borderId="0" xfId="0" applyFont="true" applyBorder="false" applyAlignment="true" applyProtection="true">
      <alignment horizontal="general" vertical="bottom" textRotation="0" wrapText="false" indent="0" shrinkToFit="false"/>
      <protection locked="true" hidden="false"/>
    </xf>
    <xf numFmtId="187" fontId="83" fillId="0" borderId="0" xfId="0" applyFont="true" applyBorder="false" applyAlignment="true" applyProtection="true">
      <alignment horizontal="general" vertical="bottom" textRotation="0" wrapText="false" indent="0" shrinkToFit="false"/>
      <protection locked="true" hidden="false"/>
    </xf>
    <xf numFmtId="187" fontId="62" fillId="0" borderId="0" xfId="0" applyFont="true" applyBorder="false" applyAlignment="true" applyProtection="true">
      <alignment horizontal="general" vertical="bottom" textRotation="0" wrapText="false" indent="0" shrinkToFit="false"/>
      <protection locked="true" hidden="false"/>
    </xf>
    <xf numFmtId="168" fontId="62" fillId="0" borderId="0" xfId="0" applyFont="true" applyBorder="false" applyAlignment="true" applyProtection="true">
      <alignment horizontal="general" vertical="bottom" textRotation="0" wrapText="false" indent="0" shrinkToFit="false"/>
      <protection locked="true" hidden="false"/>
    </xf>
    <xf numFmtId="164" fontId="83" fillId="0" borderId="10" xfId="0" applyFont="true" applyBorder="true" applyAlignment="true" applyProtection="true">
      <alignment horizontal="general" vertical="bottom" textRotation="0" wrapText="false" indent="0" shrinkToFit="false"/>
      <protection locked="true" hidden="false"/>
    </xf>
    <xf numFmtId="187" fontId="83" fillId="0" borderId="10" xfId="0" applyFont="true" applyBorder="true" applyAlignment="true" applyProtection="true">
      <alignment horizontal="general" vertical="bottom" textRotation="0" wrapText="false" indent="0" shrinkToFit="false"/>
      <protection locked="true" hidden="false"/>
    </xf>
    <xf numFmtId="187" fontId="90" fillId="0" borderId="10" xfId="0" applyFont="true" applyBorder="true" applyAlignment="true" applyProtection="true">
      <alignment horizontal="general" vertical="bottom" textRotation="0" wrapText="false" indent="0" shrinkToFit="false"/>
      <protection locked="true" hidden="false"/>
    </xf>
    <xf numFmtId="187" fontId="90" fillId="0" borderId="0" xfId="0" applyFont="true" applyBorder="false" applyAlignment="true" applyProtection="true">
      <alignment horizontal="general" vertical="bottom" textRotation="0" wrapText="false" indent="0" shrinkToFit="false"/>
      <protection locked="true" hidden="false"/>
    </xf>
    <xf numFmtId="168" fontId="83" fillId="0" borderId="10" xfId="0" applyFont="true" applyBorder="true" applyAlignment="true" applyProtection="true">
      <alignment horizontal="general" vertical="bottom" textRotation="0" wrapText="false" indent="0" shrinkToFit="false"/>
      <protection locked="true" hidden="false"/>
    </xf>
    <xf numFmtId="187" fontId="83" fillId="0" borderId="10" xfId="0" applyFont="true" applyBorder="true" applyAlignment="true" applyProtection="true">
      <alignment horizontal="center" vertical="bottom" textRotation="0" wrapText="false" indent="0" shrinkToFit="false"/>
      <protection locked="true" hidden="false"/>
    </xf>
    <xf numFmtId="164" fontId="83" fillId="0" borderId="17" xfId="0" applyFont="true" applyBorder="true" applyAlignment="true" applyProtection="true">
      <alignment horizontal="general" vertical="bottom" textRotation="0" wrapText="false" indent="0" shrinkToFit="false"/>
      <protection locked="true" hidden="false"/>
    </xf>
    <xf numFmtId="187" fontId="83" fillId="0" borderId="17" xfId="0" applyFont="true" applyBorder="true" applyAlignment="true" applyProtection="true">
      <alignment horizontal="general" vertical="bottom" textRotation="0" wrapText="false" indent="0" shrinkToFit="false"/>
      <protection locked="true" hidden="false"/>
    </xf>
    <xf numFmtId="187" fontId="90" fillId="0" borderId="17" xfId="0" applyFont="true" applyBorder="true" applyAlignment="true" applyProtection="true">
      <alignment horizontal="general" vertical="bottom" textRotation="0" wrapText="false" indent="0" shrinkToFit="false"/>
      <protection locked="true" hidden="false"/>
    </xf>
    <xf numFmtId="187" fontId="83" fillId="0" borderId="0" xfId="0" applyFont="true" applyBorder="false" applyAlignment="true" applyProtection="true">
      <alignment horizontal="center" vertical="bottom" textRotation="0" wrapText="false" indent="0" shrinkToFit="false"/>
      <protection locked="true" hidden="false"/>
    </xf>
    <xf numFmtId="164" fontId="90" fillId="0" borderId="17" xfId="0" applyFont="true" applyBorder="true" applyAlignment="true" applyProtection="true">
      <alignment horizontal="general" vertical="bottom" textRotation="0" wrapText="false" indent="0" shrinkToFit="false"/>
      <protection locked="true" hidden="false"/>
    </xf>
    <xf numFmtId="187" fontId="90" fillId="0" borderId="17" xfId="0" applyFont="true" applyBorder="true" applyAlignment="true" applyProtection="true">
      <alignment horizontal="center" vertical="bottom" textRotation="0" wrapText="false" indent="0" shrinkToFit="false"/>
      <protection locked="true" hidden="false"/>
    </xf>
    <xf numFmtId="187" fontId="90" fillId="0" borderId="0" xfId="0" applyFont="true" applyBorder="false" applyAlignment="true" applyProtection="true">
      <alignment horizontal="center" vertical="bottom" textRotation="0" wrapText="false" indent="0" shrinkToFit="false"/>
      <protection locked="true" hidden="false"/>
    </xf>
    <xf numFmtId="180" fontId="83" fillId="0" borderId="17" xfId="0" applyFont="true" applyBorder="true" applyAlignment="true" applyProtection="true">
      <alignment horizontal="general" vertical="bottom" textRotation="0" wrapText="false" indent="0" shrinkToFit="false"/>
      <protection locked="true" hidden="false"/>
    </xf>
    <xf numFmtId="187" fontId="83" fillId="0" borderId="17" xfId="0" applyFont="true" applyBorder="true" applyAlignment="true" applyProtection="true">
      <alignment horizontal="center" vertical="bottom" textRotation="0" wrapText="false" indent="0" shrinkToFit="false"/>
      <protection locked="true" hidden="false"/>
    </xf>
    <xf numFmtId="180" fontId="83" fillId="0" borderId="17" xfId="0" applyFont="true" applyBorder="true" applyAlignment="true" applyProtection="true">
      <alignment horizontal="right" vertical="bottom" textRotation="0" wrapText="false" indent="0" shrinkToFit="false"/>
      <protection locked="true" hidden="false"/>
    </xf>
    <xf numFmtId="187" fontId="62" fillId="0" borderId="0" xfId="0" applyFont="true" applyBorder="false" applyAlignment="true" applyProtection="true">
      <alignment horizontal="center" vertical="bottom" textRotation="0" wrapText="false" indent="0" shrinkToFit="false"/>
      <protection locked="true" hidden="false"/>
    </xf>
    <xf numFmtId="164" fontId="96" fillId="0" borderId="0" xfId="0" applyFont="true" applyBorder="false" applyAlignment="true" applyProtection="true">
      <alignment horizontal="general" vertical="bottom" textRotation="0" wrapText="false" indent="0" shrinkToFit="false"/>
      <protection locked="true" hidden="false"/>
    </xf>
    <xf numFmtId="173" fontId="11" fillId="0" borderId="0" xfId="0" applyFont="true" applyBorder="false" applyAlignment="true" applyProtection="true">
      <alignment horizontal="center" vertical="bottom" textRotation="0" wrapText="false" indent="0" shrinkToFit="false"/>
      <protection locked="true" hidden="false"/>
    </xf>
    <xf numFmtId="164" fontId="22" fillId="4" borderId="65" xfId="0" applyFont="true" applyBorder="true" applyAlignment="true" applyProtection="true">
      <alignment horizontal="center" vertical="center" textRotation="0" wrapText="false" indent="0" shrinkToFit="false"/>
      <protection locked="true" hidden="false"/>
    </xf>
    <xf numFmtId="173" fontId="22" fillId="4" borderId="25" xfId="0" applyFont="true" applyBorder="true" applyAlignment="true" applyProtection="true">
      <alignment horizontal="center" vertical="bottom" textRotation="0" wrapText="false" indent="0" shrinkToFit="false"/>
      <protection locked="true" hidden="false"/>
    </xf>
    <xf numFmtId="173" fontId="22" fillId="4" borderId="25" xfId="19" applyFont="true" applyBorder="true" applyAlignment="true" applyProtection="true">
      <alignment horizontal="center" vertical="center" textRotation="0" wrapText="true" indent="0" shrinkToFit="false"/>
      <protection locked="true" hidden="false"/>
    </xf>
    <xf numFmtId="167" fontId="22" fillId="4" borderId="25" xfId="0" applyFont="true" applyBorder="true" applyAlignment="true" applyProtection="true">
      <alignment horizontal="center" vertical="center" textRotation="0" wrapText="true" indent="0" shrinkToFit="false"/>
      <protection locked="true" hidden="false"/>
    </xf>
    <xf numFmtId="167" fontId="22" fillId="4" borderId="66" xfId="0" applyFont="true" applyBorder="true" applyAlignment="true" applyProtection="true">
      <alignment horizontal="center" vertical="center" textRotation="0" wrapText="true" indent="0" shrinkToFit="false"/>
      <protection locked="true" hidden="false"/>
    </xf>
    <xf numFmtId="167" fontId="22" fillId="4" borderId="1" xfId="19" applyFont="true" applyBorder="true" applyAlignment="true" applyProtection="true">
      <alignment horizontal="center" vertical="bottom" textRotation="0" wrapText="false" indent="0" shrinkToFit="false"/>
      <protection locked="true" hidden="false"/>
    </xf>
    <xf numFmtId="164" fontId="22" fillId="0" borderId="82" xfId="0" applyFont="true" applyBorder="true" applyAlignment="true" applyProtection="true">
      <alignment horizontal="left" vertical="bottom" textRotation="0" wrapText="false" indent="0" shrinkToFit="false"/>
      <protection locked="true" hidden="false"/>
    </xf>
    <xf numFmtId="164" fontId="11" fillId="0" borderId="60" xfId="0" applyFont="true" applyBorder="true" applyAlignment="true" applyProtection="true">
      <alignment horizontal="general" vertical="bottom" textRotation="0" wrapText="false" indent="0" shrinkToFit="false"/>
      <protection locked="true" hidden="false"/>
    </xf>
    <xf numFmtId="164" fontId="11" fillId="0" borderId="67" xfId="0" applyFont="true" applyBorder="true" applyAlignment="true" applyProtection="true">
      <alignment horizontal="left" vertical="bottom" textRotation="0" wrapText="false" indent="0" shrinkToFit="false"/>
      <protection locked="true" hidden="false"/>
    </xf>
    <xf numFmtId="167" fontId="11" fillId="0" borderId="1" xfId="0" applyFont="true" applyBorder="true" applyAlignment="true" applyProtection="true">
      <alignment horizontal="general" vertical="bottom" textRotation="0" wrapText="false" indent="0" shrinkToFit="false"/>
      <protection locked="false" hidden="false"/>
    </xf>
    <xf numFmtId="167" fontId="11" fillId="0" borderId="1" xfId="19" applyFont="true" applyBorder="true" applyAlignment="true" applyProtection="true">
      <alignment horizontal="right" vertical="bottom" textRotation="0" wrapText="false" indent="0" shrinkToFit="false"/>
      <protection locked="true" hidden="false"/>
    </xf>
    <xf numFmtId="173" fontId="11" fillId="0" borderId="1" xfId="19" applyFont="true" applyBorder="true" applyAlignment="true" applyProtection="true">
      <alignment horizontal="center" vertical="bottom" textRotation="0" wrapText="false" indent="0" shrinkToFit="false"/>
      <protection locked="false" hidden="false"/>
    </xf>
    <xf numFmtId="167" fontId="11" fillId="0" borderId="1" xfId="0" applyFont="true" applyBorder="true" applyAlignment="true" applyProtection="true">
      <alignment horizontal="right" vertical="bottom" textRotation="0" wrapText="false" indent="0" shrinkToFit="false"/>
      <protection locked="true" hidden="false"/>
    </xf>
    <xf numFmtId="167" fontId="11" fillId="0" borderId="60" xfId="0" applyFont="true" applyBorder="true" applyAlignment="true" applyProtection="true">
      <alignment horizontal="right" vertical="bottom" textRotation="0" wrapText="false" indent="0" shrinkToFit="false"/>
      <protection locked="true" hidden="false"/>
    </xf>
    <xf numFmtId="168" fontId="11" fillId="0" borderId="1" xfId="0" applyFont="true" applyBorder="true" applyAlignment="true" applyProtection="true">
      <alignment horizontal="general" vertical="bottom" textRotation="0" wrapText="false" indent="0" shrinkToFit="false"/>
      <protection locked="false" hidden="false"/>
    </xf>
    <xf numFmtId="164" fontId="22" fillId="2" borderId="82" xfId="0" applyFont="true" applyBorder="true" applyAlignment="true" applyProtection="true">
      <alignment horizontal="left" vertical="bottom" textRotation="0" wrapText="false" indent="0" shrinkToFit="false"/>
      <protection locked="true" hidden="false"/>
    </xf>
    <xf numFmtId="167" fontId="22" fillId="2" borderId="40" xfId="0" applyFont="true" applyBorder="true" applyAlignment="true" applyProtection="true">
      <alignment horizontal="right" vertical="bottom" textRotation="0" wrapText="false" indent="0" shrinkToFit="false"/>
      <protection locked="true" hidden="false"/>
    </xf>
    <xf numFmtId="167" fontId="11" fillId="2" borderId="40" xfId="19" applyFont="true" applyBorder="true" applyAlignment="true" applyProtection="true">
      <alignment horizontal="right" vertical="bottom" textRotation="0" wrapText="false" indent="0" shrinkToFit="false"/>
      <protection locked="true" hidden="false"/>
    </xf>
    <xf numFmtId="164" fontId="11" fillId="2" borderId="40" xfId="0" applyFont="true" applyBorder="true" applyAlignment="true" applyProtection="true">
      <alignment horizontal="general" vertical="bottom" textRotation="0" wrapText="false" indent="0" shrinkToFit="false"/>
      <protection locked="true" hidden="false"/>
    </xf>
    <xf numFmtId="167" fontId="22" fillId="2" borderId="40" xfId="0" applyFont="true" applyBorder="true" applyAlignment="true" applyProtection="true">
      <alignment horizontal="general" vertical="bottom" textRotation="0" wrapText="false" indent="0" shrinkToFit="false"/>
      <protection locked="true" hidden="false"/>
    </xf>
    <xf numFmtId="167" fontId="22" fillId="2" borderId="62" xfId="0" applyFont="true" applyBorder="true" applyAlignment="true" applyProtection="true">
      <alignment horizontal="general" vertical="bottom" textRotation="0" wrapText="false" indent="0" shrinkToFit="false"/>
      <protection locked="true" hidden="false"/>
    </xf>
    <xf numFmtId="164" fontId="22" fillId="0" borderId="67" xfId="0" applyFont="true" applyBorder="true" applyAlignment="true" applyProtection="true">
      <alignment horizontal="general" vertical="bottom" textRotation="0" wrapText="false" indent="0" shrinkToFit="false"/>
      <protection locked="true" hidden="false"/>
    </xf>
    <xf numFmtId="164" fontId="22" fillId="2" borderId="67" xfId="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true">
      <alignment horizontal="general" vertical="bottom" textRotation="0" wrapText="false" indent="0" shrinkToFit="false"/>
      <protection locked="true" hidden="false"/>
    </xf>
    <xf numFmtId="167" fontId="22" fillId="2" borderId="60" xfId="0" applyFont="true" applyBorder="true" applyAlignment="true" applyProtection="true">
      <alignment horizontal="general" vertical="bottom" textRotation="0" wrapText="false" indent="0" shrinkToFit="false"/>
      <protection locked="true" hidden="false"/>
    </xf>
    <xf numFmtId="167" fontId="29" fillId="2" borderId="49" xfId="0" applyFont="true" applyBorder="true" applyAlignment="true" applyProtection="true">
      <alignment horizontal="right" vertical="bottom" textRotation="0" wrapText="false" indent="0" shrinkToFit="false"/>
      <protection locked="true" hidden="false"/>
    </xf>
    <xf numFmtId="164" fontId="71" fillId="2" borderId="96" xfId="0" applyFont="true" applyBorder="true" applyAlignment="true" applyProtection="true">
      <alignment horizontal="general" vertical="bottom" textRotation="0" wrapText="false" indent="0" shrinkToFit="false"/>
      <protection locked="true" hidden="false"/>
    </xf>
    <xf numFmtId="168" fontId="5" fillId="0" borderId="0" xfId="0" applyFont="true" applyBorder="false" applyAlignment="true" applyProtection="true">
      <alignment horizontal="right" vertical="bottom" textRotation="0" wrapText="false" indent="0" shrinkToFit="false"/>
      <protection locked="true" hidden="false"/>
    </xf>
    <xf numFmtId="164" fontId="97"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78" fontId="0" fillId="0" borderId="0" xfId="0" applyFont="false" applyBorder="false" applyAlignment="true" applyProtection="true">
      <alignment horizontal="general" vertical="bottom" textRotation="0" wrapText="false" indent="0" shrinkToFit="false"/>
      <protection locked="true" hidden="false"/>
    </xf>
    <xf numFmtId="164" fontId="77" fillId="0" borderId="0" xfId="0" applyFont="true" applyBorder="true" applyAlignment="true" applyProtection="true">
      <alignment horizontal="center" vertical="bottom" textRotation="0" wrapText="false" indent="0" shrinkToFit="false"/>
      <protection locked="true" hidden="false"/>
    </xf>
    <xf numFmtId="164" fontId="77" fillId="0" borderId="0" xfId="0" applyFont="true" applyBorder="false" applyAlignment="true" applyProtection="true">
      <alignment horizontal="right" vertical="bottom" textRotation="0" wrapText="false" indent="0" shrinkToFit="false"/>
      <protection locked="true" hidden="false"/>
    </xf>
    <xf numFmtId="168" fontId="77" fillId="0" borderId="0" xfId="0" applyFont="true" applyBorder="false" applyAlignment="true" applyProtection="true">
      <alignment horizontal="right" vertical="bottom" textRotation="0" wrapText="false" indent="0" shrinkToFit="false"/>
      <protection locked="true" hidden="false"/>
    </xf>
    <xf numFmtId="164" fontId="77" fillId="0" borderId="58" xfId="0" applyFont="true" applyBorder="true" applyAlignment="true" applyProtection="true">
      <alignment horizontal="general" vertical="bottom" textRotation="0" wrapText="false" indent="0" shrinkToFit="false"/>
      <protection locked="true" hidden="false"/>
    </xf>
    <xf numFmtId="164" fontId="0" fillId="0" borderId="73" xfId="0" applyFont="false" applyBorder="true" applyAlignment="true" applyProtection="true">
      <alignment horizontal="general" vertical="bottom" textRotation="0" wrapText="false" indent="0" shrinkToFit="false"/>
      <protection locked="true" hidden="false"/>
    </xf>
    <xf numFmtId="167" fontId="5" fillId="0" borderId="26" xfId="0" applyFont="true" applyBorder="true" applyAlignment="true" applyProtection="true">
      <alignment horizontal="general" vertical="bottom" textRotation="0" wrapText="false" indent="0" shrinkToFit="false"/>
      <protection locked="true" hidden="false"/>
    </xf>
    <xf numFmtId="164" fontId="5" fillId="0" borderId="26" xfId="0" applyFont="true" applyBorder="true" applyAlignment="true" applyProtection="true">
      <alignment horizontal="general" vertical="bottom" textRotation="0" wrapText="false" indent="0" shrinkToFit="false"/>
      <protection locked="true" hidden="false"/>
    </xf>
    <xf numFmtId="164" fontId="5" fillId="0" borderId="75" xfId="0" applyFont="true" applyBorder="true" applyAlignment="true" applyProtection="true">
      <alignment horizontal="general" vertical="bottom" textRotation="0" wrapText="false" indent="0" shrinkToFit="false"/>
      <protection locked="true" hidden="false"/>
    </xf>
    <xf numFmtId="164" fontId="0" fillId="0" borderId="97" xfId="0" applyFont="false" applyBorder="true" applyAlignment="true" applyProtection="true">
      <alignment horizontal="general" vertical="bottom" textRotation="0" wrapText="false" indent="0" shrinkToFit="false"/>
      <protection locked="true" hidden="false"/>
    </xf>
    <xf numFmtId="164" fontId="77" fillId="0" borderId="79" xfId="0" applyFont="true" applyBorder="true" applyAlignment="true" applyProtection="true">
      <alignment horizontal="general" vertical="bottom" textRotation="0" wrapText="false" indent="0" shrinkToFit="false"/>
      <protection locked="true" hidden="false"/>
    </xf>
    <xf numFmtId="164" fontId="77" fillId="0" borderId="76" xfId="0" applyFont="true" applyBorder="true" applyAlignment="true" applyProtection="true">
      <alignment horizontal="general" vertical="bottom" textRotation="0" wrapText="false" indent="0" shrinkToFit="false"/>
      <protection locked="true" hidden="false"/>
    </xf>
    <xf numFmtId="164" fontId="77" fillId="0" borderId="98" xfId="0" applyFont="true" applyBorder="true" applyAlignment="true" applyProtection="true">
      <alignment horizontal="general" vertical="bottom" textRotation="0" wrapText="false" indent="0" shrinkToFit="false"/>
      <protection locked="true" hidden="false"/>
    </xf>
    <xf numFmtId="164" fontId="0" fillId="0" borderId="57" xfId="0" applyFont="false" applyBorder="true" applyAlignment="true" applyProtection="true">
      <alignment horizontal="general" vertical="bottom" textRotation="0" wrapText="false" indent="0" shrinkToFit="false"/>
      <protection locked="true" hidden="false"/>
    </xf>
    <xf numFmtId="167" fontId="5" fillId="0" borderId="99" xfId="0" applyFont="true" applyBorder="true" applyAlignment="true" applyProtection="true">
      <alignment horizontal="general" vertical="bottom" textRotation="0" wrapText="false" indent="0" shrinkToFit="false"/>
      <protection locked="true" hidden="false"/>
    </xf>
    <xf numFmtId="167" fontId="5" fillId="0" borderId="100" xfId="0" applyFont="true" applyBorder="true" applyAlignment="tru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general" vertical="bottom" textRotation="0" wrapText="false" indent="0" shrinkToFit="false"/>
      <protection locked="true" hidden="false"/>
    </xf>
    <xf numFmtId="164" fontId="77" fillId="0" borderId="101" xfId="0" applyFont="true" applyBorder="true" applyAlignment="true" applyProtection="true">
      <alignment horizontal="left" vertical="bottom" textRotation="0" wrapText="false" indent="0" shrinkToFit="false"/>
      <protection locked="true" hidden="false"/>
    </xf>
    <xf numFmtId="164" fontId="77" fillId="0" borderId="97" xfId="0" applyFont="true" applyBorder="true" applyAlignment="true" applyProtection="true">
      <alignment horizontal="center" vertical="bottom" textRotation="0" wrapText="false" indent="0" shrinkToFit="false"/>
      <protection locked="true" hidden="false"/>
    </xf>
    <xf numFmtId="164" fontId="98" fillId="0" borderId="101" xfId="0" applyFont="true" applyBorder="true" applyAlignment="true" applyProtection="true">
      <alignment horizontal="left" vertical="bottom" textRotation="0" wrapText="false" indent="0" shrinkToFit="false"/>
      <protection locked="true" hidden="false"/>
    </xf>
    <xf numFmtId="164" fontId="77" fillId="0" borderId="79" xfId="0" applyFont="true" applyBorder="true" applyAlignment="true" applyProtection="true">
      <alignment horizontal="left" vertical="bottom" textRotation="0" wrapText="false" indent="0" shrinkToFit="false"/>
      <protection locked="true" hidden="false"/>
    </xf>
    <xf numFmtId="164" fontId="77" fillId="0" borderId="10" xfId="0" applyFont="true" applyBorder="true" applyAlignment="true" applyProtection="true">
      <alignment horizontal="right" vertical="bottom" textRotation="0" wrapText="false" indent="0" shrinkToFit="false"/>
      <protection locked="true" hidden="false"/>
    </xf>
    <xf numFmtId="164" fontId="77" fillId="0" borderId="80" xfId="0" applyFont="true" applyBorder="true" applyAlignment="true" applyProtection="true">
      <alignment horizontal="right" vertical="bottom" textRotation="0" wrapText="false" indent="0" shrinkToFit="false"/>
      <protection locked="true" hidden="false"/>
    </xf>
    <xf numFmtId="164" fontId="98" fillId="0" borderId="79" xfId="0" applyFont="true" applyBorder="true" applyAlignment="true" applyProtection="true">
      <alignment horizontal="left" vertical="bottom" textRotation="0" wrapText="false" indent="0" shrinkToFit="false"/>
      <protection locked="true" hidden="false"/>
    </xf>
    <xf numFmtId="164" fontId="77" fillId="0" borderId="63" xfId="0" applyFont="true" applyBorder="true" applyAlignment="true" applyProtection="true">
      <alignment horizontal="general" vertical="bottom" textRotation="0" wrapText="false" indent="0" shrinkToFit="false"/>
      <protection locked="true" hidden="false"/>
    </xf>
    <xf numFmtId="167" fontId="5" fillId="0" borderId="57" xfId="0" applyFont="true" applyBorder="true" applyAlignment="true" applyProtection="true">
      <alignment horizontal="general" vertical="bottom" textRotation="0" wrapText="false" indent="0" shrinkToFit="false"/>
      <protection locked="true" hidden="false"/>
    </xf>
    <xf numFmtId="167" fontId="5" fillId="0" borderId="84" xfId="0" applyFont="true" applyBorder="true" applyAlignment="true" applyProtection="true">
      <alignment horizontal="general" vertical="bottom" textRotation="0" wrapText="false" indent="0" shrinkToFit="false"/>
      <protection locked="true" hidden="false"/>
    </xf>
    <xf numFmtId="164" fontId="0" fillId="2" borderId="102" xfId="0" applyFont="true" applyBorder="true" applyAlignment="true" applyProtection="true">
      <alignment horizontal="general" vertical="bottom" textRotation="0" wrapText="false" indent="0" shrinkToFit="false"/>
      <protection locked="true" hidden="false"/>
    </xf>
    <xf numFmtId="188" fontId="0" fillId="2" borderId="103" xfId="0" applyFont="false" applyBorder="true" applyAlignment="true" applyProtection="true">
      <alignment horizontal="general" vertical="bottom" textRotation="0" wrapText="false" indent="0" shrinkToFit="false"/>
      <protection locked="true" hidden="false"/>
    </xf>
    <xf numFmtId="178" fontId="0" fillId="2" borderId="104" xfId="0" applyFont="false" applyBorder="true" applyAlignment="true" applyProtection="true">
      <alignment horizontal="general" vertical="bottom" textRotation="0" wrapText="false" indent="0" shrinkToFit="false"/>
      <protection locked="true" hidden="false"/>
    </xf>
    <xf numFmtId="164" fontId="54" fillId="0"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8" fontId="5" fillId="0" borderId="3" xfId="0" applyFont="true" applyBorder="true" applyAlignment="true" applyProtection="true">
      <alignment horizontal="center" vertical="center" textRotation="0" wrapText="true" indent="0" shrinkToFit="false"/>
      <protection locked="true" hidden="false"/>
    </xf>
    <xf numFmtId="171" fontId="0" fillId="4" borderId="105" xfId="0" applyFont="fals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center" vertical="bottom" textRotation="0" wrapText="tru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5" fillId="4" borderId="38" xfId="0" applyFont="true" applyBorder="true" applyAlignment="true" applyProtection="true">
      <alignment horizontal="general" vertical="bottom" textRotation="0" wrapText="false" indent="0" shrinkToFit="false"/>
      <protection locked="true" hidden="false"/>
    </xf>
    <xf numFmtId="164" fontId="84" fillId="4" borderId="105" xfId="0" applyFont="true" applyBorder="true" applyAlignment="true" applyProtection="true">
      <alignment horizontal="center" vertical="center" textRotation="0" wrapText="false" indent="0" shrinkToFit="false"/>
      <protection locked="true" hidden="false"/>
    </xf>
    <xf numFmtId="164" fontId="84" fillId="4" borderId="18" xfId="0" applyFont="true" applyBorder="true" applyAlignment="true" applyProtection="true">
      <alignment horizontal="center" vertical="center" textRotation="0" wrapText="false" indent="0" shrinkToFit="false"/>
      <protection locked="true" hidden="false"/>
    </xf>
    <xf numFmtId="164" fontId="84" fillId="4" borderId="38" xfId="0" applyFont="true" applyBorder="true" applyAlignment="true" applyProtection="true">
      <alignment horizontal="general" vertical="bottom" textRotation="0" wrapText="false" indent="0" shrinkToFit="false"/>
      <protection locked="true" hidden="false"/>
    </xf>
    <xf numFmtId="164" fontId="5" fillId="4" borderId="18" xfId="0" applyFont="true" applyBorder="true" applyAlignment="true" applyProtection="true">
      <alignment horizontal="center" vertical="bottom" textRotation="0" wrapText="true" indent="0" shrinkToFit="false"/>
      <protection locked="true" hidden="false"/>
    </xf>
    <xf numFmtId="164" fontId="5" fillId="4" borderId="37" xfId="0" applyFont="true" applyBorder="true" applyAlignment="true" applyProtection="true">
      <alignment horizontal="general" vertical="bottom" textRotation="0" wrapText="false" indent="0" shrinkToFit="false"/>
      <protection locked="true" hidden="false"/>
    </xf>
    <xf numFmtId="167" fontId="84" fillId="4" borderId="37" xfId="0" applyFont="true" applyBorder="true" applyAlignment="true" applyProtection="true">
      <alignment horizontal="center" vertical="bottom" textRotation="0" wrapText="false" indent="0" shrinkToFit="false"/>
      <protection locked="true" hidden="false"/>
    </xf>
    <xf numFmtId="164" fontId="84" fillId="4" borderId="37" xfId="0" applyFont="true" applyBorder="true" applyAlignment="true" applyProtection="true">
      <alignment horizontal="general" vertical="bottom" textRotation="0" wrapText="false" indent="0" shrinkToFit="false"/>
      <protection locked="true" hidden="false"/>
    </xf>
    <xf numFmtId="167" fontId="84" fillId="4" borderId="38" xfId="0" applyFont="true" applyBorder="true" applyAlignment="true" applyProtection="true">
      <alignment horizontal="center" vertical="bottom" textRotation="0" wrapText="false" indent="0" shrinkToFit="false"/>
      <protection locked="true" hidden="false"/>
    </xf>
    <xf numFmtId="164" fontId="84" fillId="4" borderId="38" xfId="0" applyFont="true" applyBorder="true" applyAlignment="true" applyProtection="true">
      <alignment horizontal="center" vertical="bottom" textRotation="0" wrapText="false" indent="0" shrinkToFit="false"/>
      <protection locked="true" hidden="false"/>
    </xf>
    <xf numFmtId="171" fontId="5" fillId="4" borderId="106" xfId="0" applyFont="true" applyBorder="true" applyAlignment="true" applyProtection="true">
      <alignment horizontal="center" vertical="bottom" textRotation="0" wrapText="false" indent="0" shrinkToFit="false"/>
      <protection locked="true" hidden="false"/>
    </xf>
    <xf numFmtId="164" fontId="5" fillId="4" borderId="54" xfId="0" applyFont="true" applyBorder="true" applyAlignment="true" applyProtection="true">
      <alignment horizontal="general" vertical="bottom" textRotation="0" wrapText="false" indent="0" shrinkToFit="false"/>
      <protection locked="true" hidden="false"/>
    </xf>
    <xf numFmtId="164" fontId="5" fillId="4" borderId="107" xfId="0" applyFont="true" applyBorder="true" applyAlignment="true" applyProtection="true">
      <alignment horizontal="general" vertical="bottom" textRotation="0" wrapText="false" indent="0" shrinkToFit="false"/>
      <protection locked="true" hidden="false"/>
    </xf>
    <xf numFmtId="164" fontId="84" fillId="4" borderId="31" xfId="0" applyFont="true" applyBorder="true" applyAlignment="true" applyProtection="true">
      <alignment horizontal="center" vertical="center" textRotation="0" wrapText="false" indent="0" shrinkToFit="false"/>
      <protection locked="true" hidden="false"/>
    </xf>
    <xf numFmtId="164" fontId="84" fillId="4" borderId="40" xfId="0" applyFont="true" applyBorder="true" applyAlignment="true" applyProtection="true">
      <alignment horizontal="center" vertical="center" textRotation="0" wrapText="false" indent="0" shrinkToFit="false"/>
      <protection locked="true" hidden="false"/>
    </xf>
    <xf numFmtId="164" fontId="84" fillId="4" borderId="107" xfId="0" applyFont="true" applyBorder="true" applyAlignment="true" applyProtection="true">
      <alignment horizontal="general" vertical="bottom" textRotation="0" wrapText="false" indent="0" shrinkToFit="false"/>
      <protection locked="true" hidden="false"/>
    </xf>
    <xf numFmtId="164" fontId="5" fillId="4" borderId="40" xfId="0" applyFont="true" applyBorder="true" applyAlignment="true" applyProtection="true">
      <alignment horizontal="center" vertical="bottom" textRotation="0" wrapText="true" indent="0" shrinkToFit="false"/>
      <protection locked="true" hidden="false"/>
    </xf>
    <xf numFmtId="164" fontId="5" fillId="4" borderId="20" xfId="0" applyFont="true" applyBorder="true" applyAlignment="true" applyProtection="true">
      <alignment horizontal="general" vertical="bottom" textRotation="0" wrapText="false" indent="0" shrinkToFit="false"/>
      <protection locked="true" hidden="false"/>
    </xf>
    <xf numFmtId="167" fontId="84" fillId="4" borderId="43" xfId="0" applyFont="true" applyBorder="true" applyAlignment="true" applyProtection="true">
      <alignment horizontal="center" vertical="bottom" textRotation="0" wrapText="false" indent="0" shrinkToFit="false"/>
      <protection locked="true" hidden="false"/>
    </xf>
    <xf numFmtId="164" fontId="84" fillId="4" borderId="20" xfId="0" applyFont="true" applyBorder="true" applyAlignment="true" applyProtection="true">
      <alignment horizontal="general" vertical="bottom" textRotation="0" wrapText="false" indent="0" shrinkToFit="false"/>
      <protection locked="true" hidden="false"/>
    </xf>
    <xf numFmtId="167" fontId="84" fillId="4" borderId="108" xfId="0" applyFont="true" applyBorder="true" applyAlignment="true" applyProtection="true">
      <alignment horizontal="center" vertical="bottom" textRotation="0" wrapText="false" indent="0" shrinkToFit="false"/>
      <protection locked="true" hidden="false"/>
    </xf>
    <xf numFmtId="164" fontId="84" fillId="4" borderId="108" xfId="0" applyFont="true" applyBorder="true" applyAlignment="true" applyProtection="true">
      <alignment horizontal="center" vertical="bottom" textRotation="0" wrapText="false" indent="0" shrinkToFit="false"/>
      <protection locked="true" hidden="false"/>
    </xf>
    <xf numFmtId="189" fontId="0" fillId="0" borderId="0" xfId="0" applyFont="false" applyBorder="false" applyAlignment="true" applyProtection="true">
      <alignment horizontal="general" vertical="bottom" textRotation="0" wrapText="false" indent="0" shrinkToFit="false"/>
      <protection locked="true" hidden="false"/>
    </xf>
    <xf numFmtId="171" fontId="0" fillId="0" borderId="33" xfId="0"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general" vertical="bottom" textRotation="0" wrapText="false" indent="0" shrinkToFit="false"/>
      <protection locked="true" hidden="false"/>
    </xf>
    <xf numFmtId="167" fontId="0" fillId="0" borderId="32" xfId="0" applyFont="false" applyBorder="true" applyAlignment="true" applyProtection="true">
      <alignment horizontal="general" vertical="bottom" textRotation="0" wrapText="false" indent="0" shrinkToFit="false"/>
      <protection locked="true" hidden="false"/>
    </xf>
    <xf numFmtId="167" fontId="0" fillId="0" borderId="33" xfId="0" applyFont="fals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true" applyProtection="true">
      <alignment horizontal="general" vertical="bottom" textRotation="0" wrapText="false" indent="0" shrinkToFit="false"/>
      <protection locked="true" hidden="false"/>
    </xf>
    <xf numFmtId="167" fontId="18" fillId="0" borderId="32" xfId="0" applyFont="true" applyBorder="true" applyAlignment="true" applyProtection="true">
      <alignment horizontal="general" vertical="bottom" textRotation="0" wrapText="false" indent="0" shrinkToFit="false"/>
      <protection locked="true" hidden="false"/>
    </xf>
    <xf numFmtId="171" fontId="5" fillId="2" borderId="33" xfId="0" applyFont="true" applyBorder="true" applyAlignment="true" applyProtection="true">
      <alignment horizontal="general" vertical="bottom" textRotation="0" wrapText="false" indent="0" shrinkToFit="false"/>
      <protection locked="true" hidden="false"/>
    </xf>
    <xf numFmtId="167" fontId="5" fillId="2" borderId="1" xfId="0" applyFont="true" applyBorder="true" applyAlignment="true" applyProtection="true">
      <alignment horizontal="general" vertical="bottom" textRotation="0" wrapText="false" indent="0" shrinkToFit="false"/>
      <protection locked="true" hidden="false"/>
    </xf>
    <xf numFmtId="167" fontId="5" fillId="2" borderId="32" xfId="0" applyFont="true" applyBorder="true" applyAlignment="true" applyProtection="true">
      <alignment horizontal="general" vertical="bottom" textRotation="0" wrapText="false" indent="0" shrinkToFit="false"/>
      <protection locked="true" hidden="false"/>
    </xf>
    <xf numFmtId="167" fontId="5" fillId="2" borderId="33" xfId="0" applyFont="true" applyBorder="true" applyAlignment="true" applyProtection="true">
      <alignment horizontal="general" vertical="bottom" textRotation="0" wrapText="false" indent="0" shrinkToFit="false"/>
      <protection locked="true" hidden="false"/>
    </xf>
    <xf numFmtId="167" fontId="5" fillId="2" borderId="2" xfId="0" applyFont="true" applyBorder="true" applyAlignment="true" applyProtection="true">
      <alignment horizontal="general" vertical="bottom" textRotation="0" wrapText="false" indent="0" shrinkToFit="false"/>
      <protection locked="true" hidden="false"/>
    </xf>
    <xf numFmtId="171" fontId="5" fillId="2" borderId="34" xfId="0" applyFont="true" applyBorder="true" applyAlignment="true" applyProtection="true">
      <alignment horizontal="general" vertical="bottom" textRotation="0" wrapText="false" indent="0" shrinkToFit="false"/>
      <protection locked="true" hidden="false"/>
    </xf>
    <xf numFmtId="167" fontId="5" fillId="2" borderId="35" xfId="0" applyFont="true" applyBorder="true" applyAlignment="true" applyProtection="true">
      <alignment horizontal="general" vertical="bottom" textRotation="0" wrapText="false" indent="0" shrinkToFit="false"/>
      <protection locked="true" hidden="false"/>
    </xf>
    <xf numFmtId="167" fontId="5" fillId="2" borderId="36" xfId="0" applyFont="true" applyBorder="true" applyAlignment="true" applyProtection="true">
      <alignment horizontal="general" vertical="bottom" textRotation="0" wrapText="false" indent="0" shrinkToFit="false"/>
      <protection locked="true" hidden="false"/>
    </xf>
    <xf numFmtId="167" fontId="5" fillId="2" borderId="109" xfId="0" applyFont="true" applyBorder="true" applyAlignment="true" applyProtection="true">
      <alignment horizontal="general" vertical="bottom" textRotation="0" wrapText="false" indent="0" shrinkToFit="false"/>
      <protection locked="true" hidden="false"/>
    </xf>
    <xf numFmtId="167" fontId="5" fillId="2" borderId="34" xfId="0" applyFont="true" applyBorder="true" applyAlignment="true" applyProtection="tru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8" fontId="29" fillId="0" borderId="0" xfId="0" applyFont="true" applyBorder="false" applyAlignment="true" applyProtection="true">
      <alignment horizontal="general" vertical="bottom" textRotation="0" wrapText="false" indent="0" shrinkToFit="false"/>
      <protection locked="true" hidden="false"/>
    </xf>
    <xf numFmtId="164" fontId="5" fillId="4" borderId="46" xfId="0" applyFont="true" applyBorder="true" applyAlignment="true" applyProtection="true">
      <alignment horizontal="general" vertical="bottom" textRotation="0" wrapText="false" indent="0" shrinkToFit="false"/>
      <protection locked="true" hidden="false"/>
    </xf>
    <xf numFmtId="164" fontId="0" fillId="4" borderId="87" xfId="0" applyFont="false" applyBorder="true" applyAlignment="true" applyProtection="true">
      <alignment horizontal="general" vertical="bottom" textRotation="0" wrapText="false" indent="0" shrinkToFit="false"/>
      <protection locked="true" hidden="false"/>
    </xf>
    <xf numFmtId="164" fontId="0" fillId="4" borderId="89" xfId="0" applyFont="false" applyBorder="true" applyAlignment="true" applyProtection="true">
      <alignment horizontal="general" vertical="bottom" textRotation="0" wrapText="false" indent="0" shrinkToFit="false"/>
      <protection locked="true" hidden="false"/>
    </xf>
    <xf numFmtId="164" fontId="0" fillId="0" borderId="47" xfId="0" applyFont="true" applyBorder="true" applyAlignment="true" applyProtection="true">
      <alignment horizontal="general" vertical="bottom" textRotation="0" wrapText="false" indent="0" shrinkToFit="false"/>
      <protection locked="true" hidden="false"/>
    </xf>
    <xf numFmtId="167" fontId="0" fillId="0" borderId="91" xfId="0" applyFont="false" applyBorder="true" applyAlignment="true" applyProtection="true">
      <alignment horizontal="general" vertical="bottom" textRotation="0" wrapText="false" indent="0" shrinkToFit="false"/>
      <protection locked="true" hidden="false"/>
    </xf>
    <xf numFmtId="168" fontId="0" fillId="0" borderId="91" xfId="0" applyFont="false" applyBorder="true" applyAlignment="true" applyProtection="true">
      <alignment horizontal="general" vertical="bottom" textRotation="0" wrapText="false" indent="0" shrinkToFit="false"/>
      <protection locked="true" hidden="false"/>
    </xf>
    <xf numFmtId="174" fontId="0" fillId="0" borderId="91" xfId="0" applyFont="false" applyBorder="true" applyAlignment="true" applyProtection="true">
      <alignment horizontal="general" vertical="bottom" textRotation="0" wrapText="false" indent="0" shrinkToFit="false"/>
      <protection locked="true" hidden="false"/>
    </xf>
    <xf numFmtId="171" fontId="0" fillId="0" borderId="91" xfId="0" applyFont="false" applyBorder="true" applyAlignment="true" applyProtection="true">
      <alignment horizontal="general" vertical="bottom" textRotation="0" wrapText="false" indent="0" shrinkToFit="false"/>
      <protection locked="true" hidden="false"/>
    </xf>
    <xf numFmtId="172" fontId="0" fillId="0" borderId="91" xfId="0" applyFont="false" applyBorder="true" applyAlignment="true" applyProtection="true">
      <alignment horizontal="general" vertical="bottom" textRotation="0" wrapText="false" indent="0" shrinkToFit="false"/>
      <protection locked="true" hidden="false"/>
    </xf>
    <xf numFmtId="168" fontId="5" fillId="0" borderId="0" xfId="0" applyFont="true" applyBorder="false" applyAlignment="true" applyProtection="true">
      <alignment horizontal="general" vertical="bottom" textRotation="0" wrapText="false" indent="0" shrinkToFit="false"/>
      <protection locked="true" hidden="false"/>
    </xf>
    <xf numFmtId="164" fontId="18" fillId="0" borderId="47" xfId="0" applyFont="true" applyBorder="true" applyAlignment="true" applyProtection="true">
      <alignment horizontal="general" vertical="bottom" textRotation="0" wrapText="true" indent="0" shrinkToFit="false"/>
      <protection locked="true" hidden="false"/>
    </xf>
    <xf numFmtId="189" fontId="0" fillId="0" borderId="91" xfId="0" applyFont="false" applyBorder="true" applyAlignment="true" applyProtection="true">
      <alignment horizontal="general" vertical="bottom" textRotation="0" wrapText="false" indent="0" shrinkToFit="false"/>
      <protection locked="true" hidden="false"/>
    </xf>
    <xf numFmtId="164" fontId="99" fillId="0" borderId="0" xfId="0" applyFont="true" applyBorder="false" applyAlignment="true" applyProtection="true">
      <alignment horizontal="general" vertical="bottom" textRotation="0" wrapText="false" indent="0" shrinkToFit="false"/>
      <protection locked="true" hidden="false"/>
    </xf>
    <xf numFmtId="164" fontId="0" fillId="2" borderId="47"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8" fontId="5" fillId="2" borderId="91" xfId="0" applyFont="true" applyBorder="true" applyAlignment="true" applyProtection="true">
      <alignment horizontal="general" vertical="bottom" textRotation="0" wrapText="false" indent="0" shrinkToFit="false"/>
      <protection locked="true" hidden="false"/>
    </xf>
    <xf numFmtId="164" fontId="5" fillId="2" borderId="47" xfId="0" applyFont="true" applyBorder="true" applyAlignment="true" applyProtection="true">
      <alignment horizontal="general" vertical="bottom" textRotation="0" wrapText="false" indent="0" shrinkToFit="false"/>
      <protection locked="true" hidden="false"/>
    </xf>
    <xf numFmtId="164" fontId="0" fillId="0" borderId="93" xfId="0" applyFont="true" applyBorder="true" applyAlignment="true" applyProtection="true">
      <alignment horizontal="general" vertical="bottom" textRotation="0" wrapText="false" indent="0" shrinkToFit="false"/>
      <protection locked="true" hidden="false"/>
    </xf>
    <xf numFmtId="168" fontId="0" fillId="0" borderId="95" xfId="0" applyFont="false" applyBorder="true" applyAlignment="true" applyProtection="true">
      <alignment horizontal="general" vertical="bottom" textRotation="0" wrapText="false" indent="0" shrinkToFit="false"/>
      <protection locked="true" hidden="false"/>
    </xf>
    <xf numFmtId="164" fontId="5" fillId="12" borderId="93" xfId="0" applyFont="true" applyBorder="true" applyAlignment="true" applyProtection="true">
      <alignment horizontal="general" vertical="bottom" textRotation="0" wrapText="false" indent="0" shrinkToFit="false"/>
      <protection locked="true" hidden="false"/>
    </xf>
    <xf numFmtId="164" fontId="0" fillId="12" borderId="53" xfId="0" applyFont="false" applyBorder="true" applyAlignment="true" applyProtection="true">
      <alignment horizontal="general" vertical="bottom" textRotation="0" wrapText="false" indent="0" shrinkToFit="false"/>
      <protection locked="true" hidden="false"/>
    </xf>
    <xf numFmtId="168" fontId="5" fillId="12" borderId="95" xfId="0" applyFont="true" applyBorder="true" applyAlignment="true" applyProtection="true">
      <alignment horizontal="general" vertical="bottom" textRotation="0" wrapText="false" indent="0" shrinkToFit="false"/>
      <protection locked="true" hidden="false"/>
    </xf>
    <xf numFmtId="164" fontId="84" fillId="4" borderId="49" xfId="0" applyFont="true" applyBorder="true" applyAlignment="true" applyProtection="true">
      <alignment horizontal="center" vertical="center" textRotation="0" wrapText="true" indent="0" shrinkToFit="false"/>
      <protection locked="true" hidden="false"/>
    </xf>
    <xf numFmtId="168" fontId="84" fillId="4" borderId="49" xfId="0" applyFont="true" applyBorder="true" applyAlignment="true" applyProtection="true">
      <alignment horizontal="center" vertical="center" textRotation="0" wrapText="true" indent="0" shrinkToFit="false"/>
      <protection locked="true" hidden="false"/>
    </xf>
    <xf numFmtId="168" fontId="84" fillId="4" borderId="42" xfId="0" applyFont="true" applyBorder="true" applyAlignment="true" applyProtection="true">
      <alignment horizontal="center" vertical="center" textRotation="0" wrapText="true" indent="0" shrinkToFit="false"/>
      <protection locked="true" hidden="false"/>
    </xf>
    <xf numFmtId="167" fontId="84" fillId="4" borderId="49" xfId="0" applyFont="true" applyBorder="true" applyAlignment="true" applyProtection="true">
      <alignment horizontal="center" vertical="center" textRotation="0" wrapText="true" indent="0" shrinkToFit="false"/>
      <protection locked="true" hidden="false"/>
    </xf>
    <xf numFmtId="164" fontId="84" fillId="4" borderId="41" xfId="0" applyFont="true" applyBorder="true" applyAlignment="true" applyProtection="true">
      <alignment horizontal="center" vertical="center" textRotation="0" wrapText="true" indent="0" shrinkToFit="false"/>
      <protection locked="true" hidden="false"/>
    </xf>
    <xf numFmtId="164" fontId="0" fillId="0" borderId="65" xfId="0" applyFont="false" applyBorder="true" applyAlignment="true" applyProtection="true">
      <alignment horizontal="general" vertical="bottom" textRotation="0" wrapText="false" indent="0" shrinkToFit="false"/>
      <protection locked="true" hidden="false"/>
    </xf>
    <xf numFmtId="171" fontId="18" fillId="0" borderId="25" xfId="0" applyFont="true" applyBorder="true" applyAlignment="true" applyProtection="true">
      <alignment horizontal="general" vertical="bottom" textRotation="0" wrapText="false" indent="0" shrinkToFit="false"/>
      <protection locked="true" hidden="false"/>
    </xf>
    <xf numFmtId="167" fontId="18" fillId="0" borderId="25" xfId="0" applyFont="true" applyBorder="true" applyAlignment="true" applyProtection="true">
      <alignment horizontal="general" vertical="bottom" textRotation="0" wrapText="false" indent="0" shrinkToFit="false"/>
      <protection locked="true" hidden="false"/>
    </xf>
    <xf numFmtId="167" fontId="18" fillId="0" borderId="66" xfId="0" applyFont="true" applyBorder="true" applyAlignment="true" applyProtection="true">
      <alignment horizontal="general" vertical="bottom" textRotation="0" wrapText="false" indent="0" shrinkToFit="false"/>
      <protection locked="true" hidden="false"/>
    </xf>
    <xf numFmtId="164" fontId="18" fillId="0" borderId="65" xfId="0" applyFont="true" applyBorder="true" applyAlignment="true" applyProtection="true">
      <alignment horizontal="general" vertical="bottom" textRotation="0" wrapText="false" indent="0" shrinkToFit="false"/>
      <protection locked="true" hidden="false"/>
    </xf>
    <xf numFmtId="178" fontId="18" fillId="0" borderId="1" xfId="0" applyFont="true" applyBorder="true" applyAlignment="true" applyProtection="true">
      <alignment horizontal="general" vertical="bottom" textRotation="0" wrapText="false" indent="0" shrinkToFit="false"/>
      <protection locked="true" hidden="false"/>
    </xf>
    <xf numFmtId="178" fontId="18" fillId="0" borderId="25" xfId="0" applyFont="true" applyBorder="true" applyAlignment="true" applyProtection="true">
      <alignment horizontal="general" vertical="bottom" textRotation="0" wrapText="false" indent="0" shrinkToFit="false"/>
      <protection locked="true" hidden="false"/>
    </xf>
    <xf numFmtId="164" fontId="0" fillId="0" borderId="67" xfId="0" applyFont="false" applyBorder="true" applyAlignment="true" applyProtection="true">
      <alignment horizontal="general" vertical="bottom" textRotation="0" wrapText="false" indent="0" shrinkToFit="false"/>
      <protection locked="true" hidden="false"/>
    </xf>
    <xf numFmtId="171" fontId="18" fillId="0" borderId="1" xfId="0" applyFont="true" applyBorder="true" applyAlignment="true" applyProtection="true">
      <alignment horizontal="general" vertical="bottom" textRotation="0" wrapText="false" indent="0" shrinkToFit="false"/>
      <protection locked="true" hidden="false"/>
    </xf>
    <xf numFmtId="167" fontId="18" fillId="0" borderId="1" xfId="0" applyFont="true" applyBorder="true" applyAlignment="true" applyProtection="true">
      <alignment horizontal="general" vertical="bottom" textRotation="0" wrapText="false" indent="0" shrinkToFit="false"/>
      <protection locked="true" hidden="false"/>
    </xf>
    <xf numFmtId="172" fontId="18" fillId="0" borderId="67" xfId="0" applyFont="true" applyBorder="true" applyAlignment="true" applyProtection="true">
      <alignment horizontal="general" vertical="bottom" textRotation="0" wrapText="false" indent="0" shrinkToFit="false"/>
      <protection locked="true" hidden="false"/>
    </xf>
    <xf numFmtId="164" fontId="0" fillId="0" borderId="68" xfId="0" applyFont="false" applyBorder="true" applyAlignment="true" applyProtection="true">
      <alignment horizontal="general" vertical="bottom" textRotation="0" wrapText="false" indent="0" shrinkToFit="false"/>
      <protection locked="true" hidden="false"/>
    </xf>
    <xf numFmtId="171" fontId="18" fillId="0" borderId="24" xfId="0" applyFont="true" applyBorder="true" applyAlignment="true" applyProtection="true">
      <alignment horizontal="general" vertical="bottom" textRotation="0" wrapText="false" indent="0" shrinkToFit="false"/>
      <protection locked="true" hidden="false"/>
    </xf>
    <xf numFmtId="167" fontId="18" fillId="0" borderId="24" xfId="0" applyFont="true" applyBorder="true" applyAlignment="true" applyProtection="true">
      <alignment horizontal="general" vertical="bottom" textRotation="0" wrapText="false" indent="0" shrinkToFit="false"/>
      <protection locked="true" hidden="false"/>
    </xf>
    <xf numFmtId="167" fontId="18" fillId="0" borderId="69" xfId="0" applyFont="true" applyBorder="true" applyAlignment="true" applyProtection="true">
      <alignment horizontal="general" vertical="bottom" textRotation="0" wrapText="false" indent="0" shrinkToFit="false"/>
      <protection locked="true" hidden="false"/>
    </xf>
    <xf numFmtId="172" fontId="18" fillId="0" borderId="68" xfId="0" applyFont="true" applyBorder="true" applyAlignment="true" applyProtection="true">
      <alignment horizontal="general" vertical="bottom" textRotation="0" wrapText="false" indent="0" shrinkToFit="false"/>
      <protection locked="true" hidden="false"/>
    </xf>
    <xf numFmtId="178" fontId="18" fillId="0" borderId="0" xfId="0" applyFont="true" applyBorder="false" applyAlignment="true" applyProtection="true">
      <alignment horizontal="general" vertical="bottom" textRotation="0" wrapText="false" indent="0" shrinkToFit="false"/>
      <protection locked="true" hidden="false"/>
    </xf>
    <xf numFmtId="171" fontId="18" fillId="0" borderId="0" xfId="0" applyFont="true" applyBorder="false" applyAlignment="true" applyProtection="true">
      <alignment horizontal="general" vertical="bottom" textRotation="0" wrapText="false" indent="0" shrinkToFit="false"/>
      <protection locked="true" hidden="false"/>
    </xf>
    <xf numFmtId="171" fontId="0" fillId="0" borderId="73" xfId="0" applyFont="false" applyBorder="true" applyAlignment="true" applyProtection="true">
      <alignment horizontal="general" vertical="bottom" textRotation="0" wrapText="false" indent="0" shrinkToFit="false"/>
      <protection locked="true" hidden="false"/>
    </xf>
    <xf numFmtId="167" fontId="5" fillId="0" borderId="73" xfId="0" applyFont="true" applyBorder="true" applyAlignment="true" applyProtection="true">
      <alignment horizontal="general" vertical="bottom" textRotation="0" wrapText="false" indent="0" shrinkToFit="false"/>
      <protection locked="true" hidden="false"/>
    </xf>
    <xf numFmtId="164" fontId="5" fillId="0" borderId="73" xfId="0" applyFont="true" applyBorder="true" applyAlignment="true" applyProtection="true">
      <alignment horizontal="general" vertical="bottom" textRotation="0" wrapText="false" indent="0" shrinkToFit="false"/>
      <protection locked="true" hidden="false"/>
    </xf>
    <xf numFmtId="171" fontId="0" fillId="0" borderId="17" xfId="0" applyFont="false" applyBorder="true" applyAlignment="true" applyProtection="true">
      <alignment horizontal="general" vertical="bottom" textRotation="0" wrapText="false" indent="0" shrinkToFit="false"/>
      <protection locked="true" hidden="false"/>
    </xf>
    <xf numFmtId="164" fontId="5" fillId="0" borderId="98" xfId="0" applyFont="true" applyBorder="true" applyAlignment="true" applyProtection="true">
      <alignment horizontal="general" vertical="bottom" textRotation="0" wrapText="false" indent="0" shrinkToFit="false"/>
      <protection locked="true" hidden="false"/>
    </xf>
    <xf numFmtId="171" fontId="0" fillId="0" borderId="99" xfId="0" applyFont="false" applyBorder="true" applyAlignment="true" applyProtection="true">
      <alignment horizontal="general" vertical="bottom" textRotation="0" wrapText="false" indent="0" shrinkToFit="false"/>
      <protection locked="true" hidden="false"/>
    </xf>
    <xf numFmtId="164" fontId="54" fillId="0" borderId="6" xfId="0" applyFont="true" applyBorder="true" applyAlignment="true" applyProtection="true">
      <alignment horizontal="center" vertical="center" textRotation="0" wrapText="true" indent="0" shrinkToFit="false"/>
      <protection locked="true" hidden="false"/>
    </xf>
    <xf numFmtId="164" fontId="84" fillId="0" borderId="6" xfId="0" applyFont="true" applyBorder="true" applyAlignment="true" applyProtection="true">
      <alignment horizontal="center" vertical="center" textRotation="0" wrapText="false" indent="0" shrinkToFit="false"/>
      <protection locked="true" hidden="false"/>
    </xf>
    <xf numFmtId="172" fontId="84" fillId="0" borderId="110" xfId="0" applyFont="true" applyBorder="true" applyAlignment="true" applyProtection="true">
      <alignment horizontal="center" vertical="center" textRotation="0" wrapText="false" indent="0" shrinkToFit="false"/>
      <protection locked="true" hidden="false"/>
    </xf>
    <xf numFmtId="164" fontId="84" fillId="4" borderId="106" xfId="0" applyFont="true" applyBorder="true" applyAlignment="true" applyProtection="true">
      <alignment horizontal="center" vertical="center" textRotation="0" wrapText="false" indent="0" shrinkToFit="false"/>
      <protection locked="true" hidden="false"/>
    </xf>
    <xf numFmtId="168" fontId="0" fillId="0" borderId="50" xfId="0" applyFont="false" applyBorder="true" applyAlignment="true" applyProtection="true">
      <alignment horizontal="general" vertical="bottom" textRotation="0" wrapText="false" indent="0" shrinkToFit="false"/>
      <protection locked="true" hidden="false"/>
    </xf>
    <xf numFmtId="167" fontId="0" fillId="0" borderId="51" xfId="0" applyFont="false" applyBorder="true" applyAlignment="true" applyProtection="true">
      <alignment horizontal="general" vertical="bottom" textRotation="0" wrapText="false" indent="0" shrinkToFit="false"/>
      <protection locked="true" hidden="false"/>
    </xf>
    <xf numFmtId="167" fontId="0" fillId="0" borderId="111" xfId="0" applyFont="false" applyBorder="true" applyAlignment="true" applyProtection="true">
      <alignment horizontal="general" vertical="bottom" textRotation="0" wrapText="false" indent="0" shrinkToFit="false"/>
      <protection locked="true" hidden="false"/>
    </xf>
    <xf numFmtId="167" fontId="0" fillId="0" borderId="112"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72" fontId="0" fillId="0" borderId="33" xfId="0" applyFont="false" applyBorder="true" applyAlignment="true" applyProtection="true">
      <alignment horizontal="general" vertical="bottom" textRotation="0" wrapText="false" indent="0" shrinkToFit="false"/>
      <protection locked="true" hidden="false"/>
    </xf>
    <xf numFmtId="172" fontId="0" fillId="0" borderId="50" xfId="0" applyFont="false" applyBorder="true" applyAlignment="true" applyProtection="true">
      <alignment horizontal="general" vertical="bottom" textRotation="0" wrapText="false" indent="0" shrinkToFit="false"/>
      <protection locked="true" hidden="false"/>
    </xf>
    <xf numFmtId="172" fontId="5" fillId="2" borderId="1" xfId="0" applyFont="true" applyBorder="true" applyAlignment="true" applyProtection="true">
      <alignment horizontal="general" vertical="bottom" textRotation="0" wrapText="false" indent="0" shrinkToFit="false"/>
      <protection locked="true" hidden="false"/>
    </xf>
    <xf numFmtId="172" fontId="5" fillId="2" borderId="33" xfId="0" applyFont="true" applyBorder="true" applyAlignment="true" applyProtection="true">
      <alignment horizontal="general" vertical="bottom" textRotation="0" wrapText="false" indent="0" shrinkToFit="false"/>
      <protection locked="true" hidden="false"/>
    </xf>
    <xf numFmtId="172" fontId="5" fillId="2" borderId="35" xfId="0" applyFont="true" applyBorder="true" applyAlignment="true" applyProtection="true">
      <alignment horizontal="general" vertical="bottom" textRotation="0" wrapText="false" indent="0" shrinkToFit="false"/>
      <protection locked="true" hidden="false"/>
    </xf>
    <xf numFmtId="172" fontId="5" fillId="2" borderId="34" xfId="0" applyFont="true" applyBorder="true" applyAlignment="true" applyProtection="true">
      <alignment horizontal="general" vertical="bottom" textRotation="0" wrapText="false" indent="0" shrinkToFit="false"/>
      <protection locked="true" hidden="false"/>
    </xf>
    <xf numFmtId="164" fontId="100" fillId="0" borderId="0" xfId="0" applyFont="true" applyBorder="false" applyAlignment="true" applyProtection="true">
      <alignment horizontal="general" vertical="bottom" textRotation="0" wrapText="false" indent="0" shrinkToFit="false"/>
      <protection locked="true" hidden="false"/>
    </xf>
    <xf numFmtId="168" fontId="100" fillId="0" borderId="0" xfId="0" applyFont="true" applyBorder="false" applyAlignment="true" applyProtection="true">
      <alignment horizontal="general" vertical="bottom" textRotation="0" wrapText="false" indent="0" shrinkToFit="false"/>
      <protection locked="true" hidden="false"/>
    </xf>
    <xf numFmtId="178" fontId="18" fillId="0" borderId="24" xfId="0" applyFont="true" applyBorder="true" applyAlignment="true" applyProtection="true">
      <alignment horizontal="general" vertical="bottom" textRotation="0" wrapText="false" indent="0" shrinkToFit="false"/>
      <protection locked="true" hidden="false"/>
    </xf>
    <xf numFmtId="169" fontId="18" fillId="0" borderId="0" xfId="0" applyFont="true" applyBorder="fals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4" borderId="17" xfId="0" applyFont="true" applyBorder="true" applyAlignment="true" applyProtection="true">
      <alignment horizontal="general" vertical="bottom" textRotation="0" wrapText="tru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72" fontId="5" fillId="4" borderId="4" xfId="0" applyFont="true" applyBorder="true" applyAlignment="true" applyProtection="true">
      <alignment horizontal="general" vertical="bottom" textRotation="0" wrapText="true" indent="0" shrinkToFit="false"/>
      <protection locked="true" hidden="false"/>
    </xf>
    <xf numFmtId="172" fontId="5" fillId="4" borderId="2" xfId="0" applyFont="true" applyBorder="true" applyAlignment="true" applyProtection="true">
      <alignment horizontal="general" vertical="bottom" textRotation="0" wrapText="true" indent="0" shrinkToFit="false"/>
      <protection locked="true" hidden="false"/>
    </xf>
    <xf numFmtId="164" fontId="0" fillId="0" borderId="113"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7" fontId="0" fillId="0" borderId="113" xfId="0" applyFont="false" applyBorder="true" applyAlignment="true" applyProtection="true">
      <alignment horizontal="general" vertical="bottom" textRotation="0" wrapText="false" indent="0" shrinkToFit="false"/>
      <protection locked="true" hidden="false"/>
    </xf>
    <xf numFmtId="190" fontId="0" fillId="0" borderId="4" xfId="0" applyFont="false" applyBorder="true" applyAlignment="true" applyProtection="true">
      <alignment horizontal="general" vertical="bottom" textRotation="0" wrapText="false" indent="0" shrinkToFit="false"/>
      <protection locked="true" hidden="false"/>
    </xf>
    <xf numFmtId="179" fontId="0" fillId="0" borderId="4" xfId="0" applyFont="false" applyBorder="true" applyAlignment="true" applyProtection="true">
      <alignment horizontal="right" vertical="bottom" textRotation="0" wrapText="false" indent="0" shrinkToFit="false"/>
      <protection locked="true" hidden="false"/>
    </xf>
    <xf numFmtId="179" fontId="0" fillId="0" borderId="1" xfId="0" applyFont="false" applyBorder="true" applyAlignment="true" applyProtection="true">
      <alignment horizontal="right" vertical="bottom" textRotation="0" wrapText="false" indent="0" shrinkToFit="false"/>
      <protection locked="true" hidden="false"/>
    </xf>
    <xf numFmtId="179" fontId="0" fillId="0" borderId="4" xfId="0" applyFont="false" applyBorder="true" applyAlignment="true" applyProtection="true">
      <alignment horizontal="general" vertical="bottom" textRotation="0" wrapText="false" indent="0" shrinkToFit="false"/>
      <protection locked="true" hidden="false"/>
    </xf>
    <xf numFmtId="179" fontId="0" fillId="0" borderId="1" xfId="0" applyFont="false" applyBorder="true" applyAlignment="true" applyProtection="true">
      <alignment horizontal="general" vertical="bottom" textRotation="0" wrapText="false" indent="0" shrinkToFit="false"/>
      <protection locked="true" hidden="false"/>
    </xf>
    <xf numFmtId="179" fontId="0" fillId="0" borderId="17" xfId="0" applyFont="false" applyBorder="true" applyAlignment="true" applyProtection="true">
      <alignment horizontal="general" vertical="bottom" textRotation="0" wrapText="false" indent="0" shrinkToFit="false"/>
      <protection locked="true" hidden="false"/>
    </xf>
    <xf numFmtId="170" fontId="0" fillId="0" borderId="113" xfId="0" applyFont="false" applyBorder="true" applyAlignment="true" applyProtection="true">
      <alignment horizontal="general" vertical="bottom" textRotation="0" wrapText="false" indent="0" shrinkToFit="false"/>
      <protection locked="true" hidden="false"/>
    </xf>
    <xf numFmtId="178" fontId="18" fillId="0" borderId="4" xfId="0" applyFont="true" applyBorder="true" applyAlignment="true" applyProtection="true">
      <alignment horizontal="general" vertical="bottom" textRotation="0" wrapText="false" indent="0" shrinkToFit="false"/>
      <protection locked="true" hidden="false"/>
    </xf>
    <xf numFmtId="167" fontId="18" fillId="0" borderId="4" xfId="0" applyFont="true" applyBorder="true" applyAlignment="true" applyProtection="true">
      <alignment horizontal="general" vertical="bottom" textRotation="0" wrapText="false" indent="0" shrinkToFit="false"/>
      <protection locked="true" hidden="false"/>
    </xf>
    <xf numFmtId="167" fontId="18" fillId="0" borderId="113" xfId="0" applyFont="true" applyBorder="true" applyAlignment="true" applyProtection="true">
      <alignment horizontal="general" vertical="bottom" textRotation="0" wrapText="false" indent="0" shrinkToFit="false"/>
      <protection locked="true" hidden="false"/>
    </xf>
    <xf numFmtId="170" fontId="0" fillId="0" borderId="4" xfId="0" applyFont="false" applyBorder="true" applyAlignment="true" applyProtection="true">
      <alignment horizontal="general" vertical="bottom" textRotation="0" wrapText="false" indent="0" shrinkToFit="false"/>
      <protection locked="true" hidden="false"/>
    </xf>
    <xf numFmtId="170" fontId="0" fillId="0" borderId="1" xfId="0" applyFont="false" applyBorder="true" applyAlignment="true" applyProtection="true">
      <alignment horizontal="general" vertical="bottom" textRotation="0" wrapText="false" indent="0" shrinkToFit="false"/>
      <protection locked="true" hidden="false"/>
    </xf>
    <xf numFmtId="170" fontId="0" fillId="0" borderId="2" xfId="0" applyFont="false" applyBorder="true" applyAlignment="true" applyProtection="true">
      <alignment horizontal="general" vertical="bottom" textRotation="0" wrapText="false" indent="0" shrinkToFit="false"/>
      <protection locked="true" hidden="false"/>
    </xf>
    <xf numFmtId="167" fontId="5" fillId="0" borderId="1" xfId="0" applyFont="true" applyBorder="tru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general" vertical="bottom" textRotation="0" wrapText="false" indent="0" shrinkToFit="false"/>
      <protection locked="true" hidden="false"/>
    </xf>
    <xf numFmtId="167" fontId="18" fillId="0" borderId="114" xfId="0" applyFont="true" applyBorder="true" applyAlignment="true" applyProtection="true">
      <alignment horizontal="general" vertical="bottom" textRotation="0" wrapText="false" indent="0" shrinkToFit="false"/>
      <protection locked="true" hidden="false"/>
    </xf>
    <xf numFmtId="167" fontId="0" fillId="0" borderId="115" xfId="0" applyFont="false" applyBorder="true" applyAlignment="true" applyProtection="true">
      <alignment horizontal="general" vertical="bottom" textRotation="0" wrapText="false" indent="0" shrinkToFit="false"/>
      <protection locked="true" hidden="false"/>
    </xf>
    <xf numFmtId="167" fontId="18" fillId="0" borderId="115" xfId="0" applyFont="true" applyBorder="true" applyAlignment="true" applyProtection="true">
      <alignment horizontal="general" vertical="bottom" textRotation="0" wrapText="false" indent="0" shrinkToFit="false"/>
      <protection locked="true" hidden="false"/>
    </xf>
    <xf numFmtId="171" fontId="5" fillId="4" borderId="1" xfId="0" applyFont="true" applyBorder="true" applyAlignment="true" applyProtection="true">
      <alignment horizontal="center" vertical="bottom" textRotation="0" wrapText="false" indent="0" shrinkToFit="false"/>
      <protection locked="true" hidden="false"/>
    </xf>
    <xf numFmtId="171" fontId="0" fillId="0" borderId="1" xfId="0" applyFont="false" applyBorder="true" applyAlignment="true" applyProtection="true">
      <alignment horizontal="general" vertical="bottom" textRotation="0" wrapText="false" indent="0" shrinkToFit="false"/>
      <protection locked="true" hidden="false"/>
    </xf>
    <xf numFmtId="167" fontId="0" fillId="0" borderId="3" xfId="0" applyFont="false" applyBorder="true" applyAlignment="true" applyProtection="true">
      <alignment horizontal="general" vertical="bottom" textRotation="0" wrapText="false" indent="0" shrinkToFit="false"/>
      <protection locked="true" hidden="false"/>
    </xf>
    <xf numFmtId="171" fontId="0" fillId="4" borderId="1" xfId="0" applyFont="false" applyBorder="true" applyAlignment="true" applyProtection="true">
      <alignment horizontal="general" vertical="bottom" textRotation="0" wrapText="false" indent="0" shrinkToFit="false"/>
      <protection locked="true" hidden="false"/>
    </xf>
    <xf numFmtId="167" fontId="18" fillId="4" borderId="1" xfId="0" applyFont="true" applyBorder="true" applyAlignment="true" applyProtection="true">
      <alignment horizontal="general" vertical="bottom" textRotation="0" wrapText="false" indent="0" shrinkToFit="false"/>
      <protection locked="true" hidden="false"/>
    </xf>
    <xf numFmtId="167" fontId="0" fillId="4" borderId="113" xfId="0" applyFont="false" applyBorder="true" applyAlignment="true" applyProtection="true">
      <alignment horizontal="general" vertical="bottom" textRotation="0" wrapText="false" indent="0" shrinkToFit="false"/>
      <protection locked="true" hidden="false"/>
    </xf>
    <xf numFmtId="167" fontId="0" fillId="4" borderId="115"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71" fontId="5" fillId="4" borderId="1" xfId="0" applyFont="true" applyBorder="true" applyAlignment="true" applyProtection="true">
      <alignment horizontal="general" vertical="bottom" textRotation="0" wrapText="false" indent="0" shrinkToFit="false"/>
      <protection locked="true" hidden="false"/>
    </xf>
    <xf numFmtId="172" fontId="0" fillId="4" borderId="1" xfId="0" applyFont="false" applyBorder="true" applyAlignment="true" applyProtection="true">
      <alignment horizontal="general" vertical="bottom" textRotation="0" wrapText="false" indent="0" shrinkToFit="false"/>
      <protection locked="true" hidden="false"/>
    </xf>
    <xf numFmtId="167" fontId="5" fillId="4" borderId="113" xfId="0" applyFont="true" applyBorder="true" applyAlignment="true" applyProtection="true">
      <alignment horizontal="general" vertical="bottom" textRotation="0" wrapText="false" indent="0" shrinkToFit="false"/>
      <protection locked="true" hidden="false"/>
    </xf>
    <xf numFmtId="172" fontId="5" fillId="4" borderId="4" xfId="0" applyFont="true" applyBorder="true" applyAlignment="true" applyProtection="true">
      <alignment horizontal="general" vertical="bottom" textRotation="0" wrapText="false" indent="0" shrinkToFit="false"/>
      <protection locked="true" hidden="false"/>
    </xf>
    <xf numFmtId="167" fontId="0" fillId="4" borderId="1" xfId="0" applyFont="false" applyBorder="true" applyAlignment="true" applyProtection="true">
      <alignment horizontal="general" vertical="bottom" textRotation="0" wrapText="false" indent="0" shrinkToFit="false"/>
      <protection locked="true" hidden="false"/>
    </xf>
    <xf numFmtId="167" fontId="5" fillId="4" borderId="1" xfId="0" applyFont="true" applyBorder="true" applyAlignment="true" applyProtection="true">
      <alignment horizontal="general" vertical="bottom" textRotation="0" wrapText="false" indent="0" shrinkToFit="false"/>
      <protection locked="true" hidden="false"/>
    </xf>
    <xf numFmtId="167" fontId="0" fillId="0" borderId="116" xfId="0" applyFont="false" applyBorder="true" applyAlignment="true" applyProtection="true">
      <alignment horizontal="general" vertical="bottom" textRotation="0" wrapText="false" indent="0" shrinkToFit="false"/>
      <protection locked="true" hidden="false"/>
    </xf>
    <xf numFmtId="164" fontId="84" fillId="4" borderId="1" xfId="0" applyFont="true" applyBorder="true" applyAlignment="true" applyProtection="true">
      <alignment horizontal="center" vertical="center" textRotation="0" wrapText="true" indent="0" shrinkToFit="false"/>
      <protection locked="true" hidden="false"/>
    </xf>
    <xf numFmtId="164" fontId="101" fillId="0" borderId="0" xfId="0" applyFont="true" applyBorder="false" applyAlignment="true" applyProtection="true">
      <alignment horizontal="general" vertical="bottom" textRotation="0" wrapText="false" indent="0" shrinkToFit="false"/>
      <protection locked="true" hidden="false"/>
    </xf>
    <xf numFmtId="173" fontId="29" fillId="0" borderId="0" xfId="0" applyFont="true" applyBorder="false" applyAlignment="true" applyProtection="true">
      <alignment horizontal="center" vertical="bottom" textRotation="0" wrapText="false" indent="0" shrinkToFit="false"/>
      <protection locked="true" hidden="false"/>
    </xf>
    <xf numFmtId="167" fontId="29" fillId="0" borderId="0" xfId="0" applyFont="true" applyBorder="false" applyAlignment="true" applyProtection="true">
      <alignment horizontal="center" vertical="bottom" textRotation="0" wrapText="false" indent="0" shrinkToFit="false"/>
      <protection locked="true" hidden="false"/>
    </xf>
    <xf numFmtId="164" fontId="29" fillId="4" borderId="101" xfId="0" applyFont="true" applyBorder="true" applyAlignment="true" applyProtection="true">
      <alignment horizontal="center" vertical="center" textRotation="0" wrapText="false" indent="0" shrinkToFit="false"/>
      <protection locked="true" hidden="false"/>
    </xf>
    <xf numFmtId="164" fontId="29" fillId="4" borderId="26" xfId="0" applyFont="true" applyBorder="true" applyAlignment="true" applyProtection="true">
      <alignment horizontal="right" vertical="center" textRotation="0" wrapText="true" indent="0" shrinkToFit="false"/>
      <protection locked="true" hidden="false"/>
    </xf>
    <xf numFmtId="167" fontId="29" fillId="4" borderId="26" xfId="0" applyFont="true" applyBorder="true" applyAlignment="true" applyProtection="true">
      <alignment horizontal="right" vertical="center" textRotation="0" wrapText="false" indent="0" shrinkToFit="false"/>
      <protection locked="true" hidden="false"/>
    </xf>
    <xf numFmtId="167" fontId="29" fillId="4" borderId="97" xfId="0" applyFont="true" applyBorder="true" applyAlignment="true" applyProtection="true">
      <alignment horizontal="right" vertical="center" textRotation="0" wrapText="false" indent="0" shrinkToFit="false"/>
      <protection locked="true" hidden="false"/>
    </xf>
    <xf numFmtId="164" fontId="29" fillId="0" borderId="0" xfId="0" applyFont="true" applyBorder="false" applyAlignment="true" applyProtection="true">
      <alignment horizontal="center" vertical="bottom" textRotation="0" wrapText="false" indent="0" shrinkToFit="false"/>
      <protection locked="true" hidden="false"/>
    </xf>
    <xf numFmtId="164" fontId="54" fillId="0" borderId="13" xfId="0" applyFont="true" applyBorder="true" applyAlignment="true" applyProtection="true">
      <alignment horizontal="general" vertical="bottom" textRotation="0" wrapText="false" indent="0" shrinkToFit="false"/>
      <protection locked="true" hidden="false"/>
    </xf>
    <xf numFmtId="164" fontId="18" fillId="0" borderId="78" xfId="0" applyFont="true" applyBorder="true" applyAlignment="true" applyProtection="true">
      <alignment horizontal="general" vertical="bottom" textRotation="0" wrapText="false" indent="0" shrinkToFit="false"/>
      <protection locked="true" hidden="false"/>
    </xf>
    <xf numFmtId="164" fontId="29" fillId="0" borderId="79" xfId="0" applyFont="true" applyBorder="true" applyAlignment="true" applyProtection="true">
      <alignment horizontal="left" vertical="bottom" textRotation="0" wrapText="false" indent="0" shrinkToFit="false"/>
      <protection locked="true" hidden="false"/>
    </xf>
    <xf numFmtId="180" fontId="29" fillId="0" borderId="10" xfId="0" applyFont="true" applyBorder="true" applyAlignment="true" applyProtection="true">
      <alignment horizontal="general" vertical="bottom" textRotation="0" wrapText="false" indent="0" shrinkToFit="false"/>
      <protection locked="true" hidden="false"/>
    </xf>
    <xf numFmtId="180" fontId="29" fillId="0" borderId="80" xfId="0" applyFont="true" applyBorder="true" applyAlignment="true" applyProtection="true">
      <alignment horizontal="general" vertical="bottom" textRotation="0" wrapText="false" indent="0" shrinkToFit="false"/>
      <protection locked="true" hidden="false"/>
    </xf>
    <xf numFmtId="164" fontId="18" fillId="0" borderId="76" xfId="0" applyFont="true" applyBorder="true" applyAlignment="true" applyProtection="true">
      <alignment horizontal="general" vertical="bottom" textRotation="0" wrapText="false" indent="0" shrinkToFit="false"/>
      <protection locked="true" hidden="false"/>
    </xf>
    <xf numFmtId="164" fontId="29" fillId="0" borderId="76" xfId="0" applyFont="true" applyBorder="true" applyAlignment="true" applyProtection="true">
      <alignment horizontal="general" vertical="bottom" textRotation="0" wrapText="false" indent="0" shrinkToFit="false"/>
      <protection locked="true" hidden="false"/>
    </xf>
    <xf numFmtId="180" fontId="29" fillId="0" borderId="17" xfId="0" applyFont="true" applyBorder="true" applyAlignment="true" applyProtection="true">
      <alignment horizontal="general" vertical="bottom" textRotation="0" wrapText="false" indent="0" shrinkToFit="false"/>
      <protection locked="true" hidden="false"/>
    </xf>
    <xf numFmtId="180" fontId="29" fillId="0" borderId="77" xfId="0" applyFont="true" applyBorder="true" applyAlignment="true" applyProtection="true">
      <alignment horizontal="general" vertical="bottom" textRotation="0" wrapText="false" indent="0" shrinkToFit="false"/>
      <protection locked="true" hidden="false"/>
    </xf>
    <xf numFmtId="164" fontId="54" fillId="2" borderId="76" xfId="0" applyFont="true" applyBorder="true" applyAlignment="true" applyProtection="true">
      <alignment horizontal="general" vertical="bottom" textRotation="0" wrapText="false" indent="0" shrinkToFit="false"/>
      <protection locked="true" hidden="false"/>
    </xf>
    <xf numFmtId="180" fontId="54" fillId="2" borderId="17" xfId="0" applyFont="true" applyBorder="true" applyAlignment="true" applyProtection="true">
      <alignment horizontal="general" vertical="bottom" textRotation="0" wrapText="false" indent="0" shrinkToFit="false"/>
      <protection locked="true" hidden="false"/>
    </xf>
    <xf numFmtId="180" fontId="54" fillId="2" borderId="77" xfId="0" applyFont="true" applyBorder="true" applyAlignment="true" applyProtection="true">
      <alignment horizontal="general" vertical="bottom" textRotation="0" wrapText="false" indent="0" shrinkToFit="false"/>
      <protection locked="true" hidden="false"/>
    </xf>
    <xf numFmtId="164" fontId="54" fillId="0" borderId="0" xfId="0" applyFont="true" applyBorder="false" applyAlignment="true" applyProtection="true">
      <alignment horizontal="general" vertical="bottom" textRotation="0" wrapText="false" indent="0" shrinkToFit="false"/>
      <protection locked="true" hidden="false"/>
    </xf>
    <xf numFmtId="180" fontId="6" fillId="0" borderId="0" xfId="0" applyFont="true" applyBorder="false" applyAlignment="true" applyProtection="true">
      <alignment horizontal="general" vertical="bottom" textRotation="0" wrapText="false" indent="0" shrinkToFit="false"/>
      <protection locked="true" hidden="false"/>
    </xf>
    <xf numFmtId="180" fontId="6" fillId="0" borderId="78" xfId="0" applyFont="true" applyBorder="true" applyAlignment="true" applyProtection="true">
      <alignment horizontal="general" vertical="bottom" textRotation="0" wrapText="false" indent="0" shrinkToFit="false"/>
      <protection locked="true" hidden="false"/>
    </xf>
    <xf numFmtId="164" fontId="29" fillId="0" borderId="79" xfId="0" applyFont="true" applyBorder="true" applyAlignment="true" applyProtection="true">
      <alignment horizontal="general" vertical="bottom" textRotation="0" wrapText="false" indent="0" shrinkToFit="false"/>
      <protection locked="true" hidden="false"/>
    </xf>
    <xf numFmtId="180" fontId="29" fillId="0" borderId="10" xfId="22" applyFont="true" applyBorder="true" applyAlignment="true" applyProtection="true">
      <alignment horizontal="general" vertical="bottom" textRotation="0" wrapText="false" indent="0" shrinkToFit="false"/>
      <protection locked="true" hidden="false"/>
    </xf>
    <xf numFmtId="180" fontId="29" fillId="0" borderId="80" xfId="22" applyFont="true" applyBorder="true" applyAlignment="true" applyProtection="true">
      <alignment horizontal="general" vertical="bottom" textRotation="0" wrapText="false" indent="0" shrinkToFit="false"/>
      <protection locked="true" hidden="false"/>
    </xf>
    <xf numFmtId="180" fontId="29" fillId="0" borderId="17" xfId="22" applyFont="true" applyBorder="true" applyAlignment="true" applyProtection="true">
      <alignment horizontal="general" vertical="bottom" textRotation="0" wrapText="false" indent="0" shrinkToFit="false"/>
      <protection locked="true" hidden="false"/>
    </xf>
    <xf numFmtId="180" fontId="29" fillId="0" borderId="77" xfId="22" applyFont="true" applyBorder="true" applyAlignment="true" applyProtection="true">
      <alignment horizontal="general" vertical="bottom" textRotation="0" wrapText="false" indent="0" shrinkToFit="false"/>
      <protection locked="true" hidden="false"/>
    </xf>
    <xf numFmtId="164" fontId="54" fillId="0" borderId="117" xfId="0" applyFont="true" applyBorder="true" applyAlignment="true" applyProtection="true">
      <alignment horizontal="general" vertical="bottom" textRotation="0" wrapText="false" indent="0" shrinkToFit="false"/>
      <protection locked="true" hidden="false"/>
    </xf>
    <xf numFmtId="180" fontId="54" fillId="0" borderId="118" xfId="0" applyFont="true" applyBorder="true" applyAlignment="true" applyProtection="true">
      <alignment horizontal="general" vertical="bottom" textRotation="0" wrapText="false" indent="0" shrinkToFit="false"/>
      <protection locked="true" hidden="false"/>
    </xf>
    <xf numFmtId="180" fontId="54" fillId="0" borderId="119" xfId="0" applyFont="true" applyBorder="true" applyAlignment="true" applyProtection="true">
      <alignment horizontal="general" vertical="bottom" textRotation="0" wrapText="false" indent="0" shrinkToFit="false"/>
      <protection locked="true" hidden="false"/>
    </xf>
    <xf numFmtId="164" fontId="54" fillId="2" borderId="63" xfId="0" applyFont="true" applyBorder="true" applyAlignment="true" applyProtection="true">
      <alignment horizontal="general" vertical="bottom" textRotation="0" wrapText="false" indent="0" shrinkToFit="false"/>
      <protection locked="true" hidden="false"/>
    </xf>
    <xf numFmtId="180" fontId="54" fillId="2" borderId="57" xfId="0" applyFont="true" applyBorder="true" applyAlignment="true" applyProtection="true">
      <alignment horizontal="general" vertical="bottom" textRotation="0" wrapText="false" indent="0" shrinkToFit="false"/>
      <protection locked="true" hidden="false"/>
    </xf>
    <xf numFmtId="180" fontId="54" fillId="2" borderId="84" xfId="0" applyFont="true" applyBorder="true" applyAlignment="true" applyProtection="true">
      <alignment horizontal="general" vertical="bottom" textRotation="0" wrapText="false" indent="0" shrinkToFit="false"/>
      <protection locked="true" hidden="false"/>
    </xf>
    <xf numFmtId="164" fontId="102" fillId="0" borderId="0" xfId="0" applyFont="true" applyBorder="false" applyAlignment="true" applyProtection="true">
      <alignment horizontal="general" vertical="bottom" textRotation="0" wrapText="false" indent="0" shrinkToFit="false"/>
      <protection locked="true" hidden="false"/>
    </xf>
    <xf numFmtId="164" fontId="29" fillId="0" borderId="57" xfId="0" applyFont="true" applyBorder="true" applyAlignment="true" applyProtection="true">
      <alignment horizontal="center" vertical="bottom" textRotation="0" wrapText="false" indent="0" shrinkToFit="false"/>
      <protection locked="true" hidden="false"/>
    </xf>
    <xf numFmtId="164" fontId="29" fillId="4" borderId="101" xfId="0" applyFont="true" applyBorder="true" applyAlignment="true" applyProtection="true">
      <alignment horizontal="general" vertical="bottom" textRotation="0" wrapText="false" indent="0" shrinkToFit="false"/>
      <protection locked="true" hidden="false"/>
    </xf>
    <xf numFmtId="164" fontId="22" fillId="4" borderId="120" xfId="0" applyFont="true" applyBorder="true" applyAlignment="true" applyProtection="true">
      <alignment horizontal="center" vertical="bottom" textRotation="0" wrapText="true" indent="0" shrinkToFit="false"/>
      <protection locked="true" hidden="false"/>
    </xf>
    <xf numFmtId="164" fontId="22" fillId="4" borderId="121" xfId="0" applyFont="true" applyBorder="true" applyAlignment="true" applyProtection="true">
      <alignment horizontal="center" vertical="bottom" textRotation="0" wrapText="true" indent="0" shrinkToFit="false"/>
      <protection locked="true" hidden="false"/>
    </xf>
    <xf numFmtId="164" fontId="22" fillId="4" borderId="122" xfId="0" applyFont="true" applyBorder="true" applyAlignment="true" applyProtection="true">
      <alignment horizontal="center" vertical="bottom" textRotation="0" wrapText="true" indent="0" shrinkToFit="false"/>
      <protection locked="true" hidden="false"/>
    </xf>
    <xf numFmtId="167" fontId="5" fillId="0" borderId="101" xfId="0" applyFont="true" applyBorder="true" applyAlignment="true" applyProtection="true">
      <alignment horizontal="general" vertical="bottom" textRotation="0" wrapText="false" indent="0" shrinkToFit="false"/>
      <protection locked="true" hidden="false"/>
    </xf>
    <xf numFmtId="164" fontId="11" fillId="0" borderId="26" xfId="0" applyFont="true" applyBorder="true" applyAlignment="true" applyProtection="true">
      <alignment horizontal="general" vertical="bottom" textRotation="0" wrapText="false" indent="0" shrinkToFit="false"/>
      <protection locked="true" hidden="false"/>
    </xf>
    <xf numFmtId="167" fontId="11" fillId="0" borderId="120" xfId="0" applyFont="true" applyBorder="true" applyAlignment="true" applyProtection="true">
      <alignment horizontal="general" vertical="bottom" textRotation="0" wrapText="false" indent="0" shrinkToFit="false"/>
      <protection locked="false" hidden="false"/>
    </xf>
    <xf numFmtId="167" fontId="11" fillId="0" borderId="97" xfId="0" applyFont="true" applyBorder="true" applyAlignment="true" applyProtection="true">
      <alignment horizontal="general" vertical="bottom" textRotation="0" wrapText="false" indent="0" shrinkToFit="false"/>
      <protection locked="false" hidden="false"/>
    </xf>
    <xf numFmtId="164" fontId="5" fillId="0" borderId="123" xfId="0" applyFont="true" applyBorder="true" applyAlignment="true" applyProtection="true">
      <alignment horizontal="general" vertical="bottom" textRotation="0" wrapText="false" indent="0" shrinkToFit="false"/>
      <protection locked="true" hidden="false"/>
    </xf>
    <xf numFmtId="164" fontId="11" fillId="0" borderId="53" xfId="0" applyFont="true" applyBorder="true" applyAlignment="true" applyProtection="true">
      <alignment horizontal="general" vertical="bottom" textRotation="0" wrapText="false" indent="0" shrinkToFit="false"/>
      <protection locked="true" hidden="false"/>
    </xf>
    <xf numFmtId="167" fontId="22" fillId="0" borderId="124" xfId="0" applyFont="true" applyBorder="true" applyAlignment="true" applyProtection="true">
      <alignment horizontal="general" vertical="bottom" textRotation="0" wrapText="false" indent="0" shrinkToFit="false"/>
      <protection locked="true" hidden="false"/>
    </xf>
    <xf numFmtId="167" fontId="22" fillId="0" borderId="125" xfId="0" applyFont="true" applyBorder="true" applyAlignment="true" applyProtection="true">
      <alignment horizontal="general" vertical="bottom" textRotation="0" wrapText="false" indent="0" shrinkToFit="false"/>
      <protection locked="true" hidden="false"/>
    </xf>
    <xf numFmtId="167" fontId="5" fillId="0" borderId="126" xfId="0" applyFont="true" applyBorder="true" applyAlignment="true" applyProtection="true">
      <alignment horizontal="general" vertical="bottom" textRotation="0" wrapText="false" indent="0" shrinkToFit="false"/>
      <protection locked="true" hidden="false"/>
    </xf>
    <xf numFmtId="167" fontId="11" fillId="0" borderId="127" xfId="0" applyFont="true" applyBorder="true" applyAlignment="true" applyProtection="true">
      <alignment horizontal="general" vertical="bottom" textRotation="0" wrapText="false" indent="0" shrinkToFit="false"/>
      <protection locked="false" hidden="false"/>
    </xf>
    <xf numFmtId="167" fontId="11" fillId="0" borderId="81" xfId="0" applyFont="true" applyBorder="true" applyAlignment="true" applyProtection="true">
      <alignment horizontal="general" vertical="bottom" textRotation="0" wrapText="false" indent="0" shrinkToFit="false"/>
      <protection locked="false" hidden="false"/>
    </xf>
    <xf numFmtId="164" fontId="47" fillId="0" borderId="128" xfId="0" applyFont="true" applyBorder="true" applyAlignment="true" applyProtection="true">
      <alignment horizontal="general" vertical="bottom" textRotation="0" wrapText="false" indent="0" shrinkToFit="false"/>
      <protection locked="true" hidden="false"/>
    </xf>
    <xf numFmtId="164" fontId="11" fillId="0" borderId="8" xfId="0" applyFont="true" applyBorder="true" applyAlignment="true" applyProtection="true">
      <alignment horizontal="general" vertical="bottom" textRotation="0" wrapText="false" indent="0" shrinkToFit="false"/>
      <protection locked="true" hidden="false"/>
    </xf>
    <xf numFmtId="167" fontId="5" fillId="0" borderId="129" xfId="0" applyFont="true" applyBorder="true" applyAlignment="true" applyProtection="true">
      <alignment horizontal="general" vertical="bottom" textRotation="0" wrapText="false" indent="0" shrinkToFit="false"/>
      <protection locked="true" hidden="false"/>
    </xf>
    <xf numFmtId="167" fontId="5" fillId="0" borderId="130" xfId="0" applyFont="true" applyBorder="true" applyAlignment="true" applyProtection="true">
      <alignment horizontal="general" vertical="bottom" textRotation="0" wrapText="false" indent="0" shrinkToFit="false"/>
      <protection locked="true" hidden="false"/>
    </xf>
    <xf numFmtId="164" fontId="29" fillId="2" borderId="63" xfId="0" applyFont="true" applyBorder="true" applyAlignment="true" applyProtection="true">
      <alignment horizontal="general" vertical="bottom" textRotation="0" wrapText="false" indent="0" shrinkToFit="false"/>
      <protection locked="true" hidden="false"/>
    </xf>
    <xf numFmtId="164" fontId="22" fillId="2" borderId="131" xfId="0" applyFont="true" applyBorder="true" applyAlignment="true" applyProtection="true">
      <alignment horizontal="general" vertical="bottom" textRotation="0" wrapText="false" indent="0" shrinkToFit="false"/>
      <protection locked="true" hidden="false"/>
    </xf>
    <xf numFmtId="167" fontId="47" fillId="2" borderId="132" xfId="0" applyFont="true" applyBorder="true" applyAlignment="true" applyProtection="true">
      <alignment horizontal="general" vertical="bottom" textRotation="0" wrapText="false" indent="0" shrinkToFit="false"/>
      <protection locked="true" hidden="false"/>
    </xf>
    <xf numFmtId="167" fontId="47" fillId="2" borderId="133" xfId="0" applyFont="true" applyBorder="true" applyAlignment="true" applyProtection="true">
      <alignment horizontal="general" vertical="bottom" textRotation="0" wrapText="false" indent="0" shrinkToFit="false"/>
      <protection locked="true" hidden="false"/>
    </xf>
    <xf numFmtId="164" fontId="29" fillId="4" borderId="134" xfId="0" applyFont="true" applyBorder="true" applyAlignment="true" applyProtection="true">
      <alignment horizontal="general" vertical="bottom" textRotation="0" wrapText="false" indent="0" shrinkToFit="false"/>
      <protection locked="true" hidden="false"/>
    </xf>
    <xf numFmtId="164" fontId="22" fillId="4" borderId="25" xfId="0" applyFont="true" applyBorder="true" applyAlignment="true" applyProtection="true">
      <alignment horizontal="general" vertical="bottom" textRotation="0" wrapText="false" indent="0" shrinkToFit="false"/>
      <protection locked="true" hidden="false"/>
    </xf>
    <xf numFmtId="164" fontId="22" fillId="4" borderId="25" xfId="0" applyFont="true" applyBorder="true" applyAlignment="true" applyProtection="true">
      <alignment horizontal="center" vertical="bottom" textRotation="0" wrapText="false" indent="0" shrinkToFit="false"/>
      <protection locked="true" hidden="false"/>
    </xf>
    <xf numFmtId="167" fontId="22" fillId="4" borderId="25" xfId="0" applyFont="true" applyBorder="true" applyAlignment="true" applyProtection="true">
      <alignment horizontal="center" vertical="bottom" textRotation="0" wrapText="false" indent="0" shrinkToFit="false"/>
      <protection locked="true" hidden="false"/>
    </xf>
    <xf numFmtId="164" fontId="22" fillId="4" borderId="135" xfId="0" applyFont="true" applyBorder="true" applyAlignment="true" applyProtection="true">
      <alignment horizontal="center" vertical="bottom" textRotation="0" wrapText="false" indent="0" shrinkToFit="false"/>
      <protection locked="true" hidden="false"/>
    </xf>
    <xf numFmtId="167" fontId="22" fillId="4" borderId="136" xfId="0" applyFont="true" applyBorder="true" applyAlignment="true" applyProtection="true">
      <alignment horizontal="center"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7" fontId="11" fillId="0" borderId="18" xfId="0" applyFont="true" applyBorder="true" applyAlignment="true" applyProtection="true">
      <alignment horizontal="general" vertical="bottom" textRotation="0" wrapText="false" indent="0" shrinkToFit="false"/>
      <protection locked="false" hidden="false"/>
    </xf>
    <xf numFmtId="167" fontId="11" fillId="0" borderId="137" xfId="0" applyFont="true" applyBorder="true" applyAlignment="true" applyProtection="true">
      <alignment horizontal="general" vertical="bottom" textRotation="0" wrapText="false" indent="0" shrinkToFit="false"/>
      <protection locked="true" hidden="false"/>
    </xf>
    <xf numFmtId="164" fontId="5" fillId="0" borderId="138" xfId="0" applyFont="true" applyBorder="true" applyAlignment="true" applyProtection="true">
      <alignment horizontal="general" vertical="bottom" textRotation="0" wrapText="false" indent="0" shrinkToFit="false"/>
      <protection locked="true" hidden="false"/>
    </xf>
    <xf numFmtId="164" fontId="11" fillId="0" borderId="94" xfId="0" applyFont="true" applyBorder="true" applyAlignment="true" applyProtection="true">
      <alignment horizontal="general" vertical="bottom" textRotation="0" wrapText="false" indent="0" shrinkToFit="false"/>
      <protection locked="true" hidden="false"/>
    </xf>
    <xf numFmtId="167" fontId="22" fillId="0" borderId="139" xfId="0" applyFont="true" applyBorder="true" applyAlignment="true" applyProtection="true">
      <alignment horizontal="general" vertical="bottom" textRotation="0" wrapText="false" indent="0" shrinkToFit="false"/>
      <protection locked="true" hidden="false"/>
    </xf>
    <xf numFmtId="167" fontId="22" fillId="0" borderId="140" xfId="0" applyFont="true" applyBorder="true" applyAlignment="true" applyProtection="true">
      <alignment horizontal="general" vertical="bottom" textRotation="0" wrapText="false" indent="0" shrinkToFit="false"/>
      <protection locked="true" hidden="false"/>
    </xf>
    <xf numFmtId="167" fontId="5" fillId="0" borderId="86" xfId="0" applyFont="true" applyBorder="true" applyAlignment="true" applyProtection="true">
      <alignment horizontal="general" vertical="bottom" textRotation="0" wrapText="false" indent="0" shrinkToFit="false"/>
      <protection locked="true" hidden="false"/>
    </xf>
    <xf numFmtId="167" fontId="5" fillId="0" borderId="141" xfId="0" applyFont="true" applyBorder="true" applyAlignment="true" applyProtection="true">
      <alignment horizontal="general" vertical="bottom" textRotation="0" wrapText="false" indent="0" shrinkToFit="false"/>
      <protection locked="true" hidden="false"/>
    </xf>
    <xf numFmtId="164" fontId="22" fillId="2" borderId="57" xfId="0" applyFont="true" applyBorder="true" applyAlignment="true" applyProtection="true">
      <alignment horizontal="general" vertical="bottom" textRotation="0" wrapText="false" indent="0" shrinkToFit="false"/>
      <protection locked="true" hidden="false"/>
    </xf>
    <xf numFmtId="167" fontId="47" fillId="2" borderId="142" xfId="0" applyFont="true" applyBorder="true" applyAlignment="true" applyProtection="true">
      <alignment horizontal="general" vertical="bottom" textRotation="0" wrapText="false" indent="0" shrinkToFit="false"/>
      <protection locked="true" hidden="false"/>
    </xf>
    <xf numFmtId="167" fontId="47" fillId="2" borderId="143" xfId="0" applyFont="true" applyBorder="true" applyAlignment="true" applyProtection="true">
      <alignment horizontal="general" vertical="bottom" textRotation="0" wrapText="false" indent="0" shrinkToFit="false"/>
      <protection locked="true" hidden="false"/>
    </xf>
    <xf numFmtId="164" fontId="22" fillId="4" borderId="66" xfId="0" applyFont="true" applyBorder="true" applyAlignment="true" applyProtection="true">
      <alignment horizontal="center" vertical="bottom" textRotation="0" wrapText="false" indent="0" shrinkToFit="false"/>
      <protection locked="true" hidden="false"/>
    </xf>
    <xf numFmtId="167" fontId="11" fillId="0" borderId="71" xfId="0" applyFont="true" applyBorder="true" applyAlignment="true" applyProtection="true">
      <alignment horizontal="general" vertical="bottom" textRotation="0" wrapText="false" indent="0" shrinkToFit="false"/>
      <protection locked="false" hidden="false"/>
    </xf>
    <xf numFmtId="167" fontId="11" fillId="0" borderId="81" xfId="0" applyFont="true" applyBorder="true" applyAlignment="true" applyProtection="true">
      <alignment horizontal="general" vertical="bottom" textRotation="0" wrapText="false" indent="0" shrinkToFit="false"/>
      <protection locked="true" hidden="false"/>
    </xf>
    <xf numFmtId="167" fontId="22" fillId="0" borderId="144" xfId="0" applyFont="true" applyBorder="true" applyAlignment="true" applyProtection="true">
      <alignment horizontal="general" vertical="bottom" textRotation="0" wrapText="false" indent="0" shrinkToFit="false"/>
      <protection locked="true" hidden="false"/>
    </xf>
    <xf numFmtId="167" fontId="5" fillId="0" borderId="145" xfId="0" applyFont="true" applyBorder="true" applyAlignment="true" applyProtection="true">
      <alignment horizontal="general" vertical="bottom" textRotation="0" wrapText="false" indent="0" shrinkToFit="false"/>
      <protection locked="true" hidden="false"/>
    </xf>
    <xf numFmtId="167" fontId="47" fillId="2" borderId="64" xfId="0" applyFont="true" applyBorder="true" applyAlignment="true" applyProtection="true">
      <alignment horizontal="general" vertical="bottom" textRotation="0" wrapText="false" indent="0" shrinkToFit="false"/>
      <protection locked="true" hidden="false"/>
    </xf>
    <xf numFmtId="167" fontId="47" fillId="2" borderId="84" xfId="0" applyFont="true" applyBorder="true" applyAlignment="true" applyProtection="true">
      <alignment horizontal="general" vertical="bottom" textRotation="0" wrapText="false" indent="0" shrinkToFit="false"/>
      <protection locked="true" hidden="false"/>
    </xf>
    <xf numFmtId="164" fontId="18" fillId="4" borderId="53" xfId="0" applyFont="true" applyBorder="true" applyAlignment="true" applyProtection="true">
      <alignment horizontal="general" vertical="bottom" textRotation="0" wrapText="false" indent="0" shrinkToFit="false"/>
      <protection locked="true" hidden="false"/>
    </xf>
    <xf numFmtId="164" fontId="103" fillId="0" borderId="1" xfId="0" applyFont="true" applyBorder="true" applyAlignment="true" applyProtection="true">
      <alignment horizontal="general" vertical="bottom" textRotation="0" wrapText="true" indent="0" shrinkToFit="false"/>
      <protection locked="true" hidden="false"/>
    </xf>
    <xf numFmtId="164" fontId="21" fillId="0" borderId="53" xfId="0" applyFont="true" applyBorder="true" applyAlignment="true" applyProtection="true">
      <alignment horizontal="center" vertical="bottom" textRotation="0" wrapText="false" indent="0" shrinkToFit="false"/>
      <protection locked="true" hidden="false"/>
    </xf>
    <xf numFmtId="164" fontId="29" fillId="0" borderId="0"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28" xfId="0" applyFont="true" applyBorder="true" applyAlignment="true" applyProtection="true">
      <alignment horizontal="center" vertical="bottom" textRotation="0" wrapText="true" indent="0" shrinkToFit="false"/>
      <protection locked="true" hidden="false"/>
    </xf>
    <xf numFmtId="164" fontId="5" fillId="4" borderId="29" xfId="0" applyFont="true" applyBorder="true" applyAlignment="true" applyProtection="true">
      <alignment horizontal="center" vertical="bottom" textRotation="0" wrapText="true" indent="0" shrinkToFit="false"/>
      <protection locked="true" hidden="false"/>
    </xf>
    <xf numFmtId="167" fontId="5" fillId="4" borderId="30" xfId="0" applyFont="true" applyBorder="true" applyAlignment="true" applyProtection="true">
      <alignment horizontal="center" vertical="bottom" textRotation="0" wrapText="true" indent="0" shrinkToFit="false"/>
      <protection locked="true" hidden="false"/>
    </xf>
    <xf numFmtId="167" fontId="18" fillId="0" borderId="48" xfId="0" applyFont="true" applyBorder="true" applyAlignment="true" applyProtection="true">
      <alignment horizontal="general" vertical="bottom" textRotation="0" wrapText="false" indent="0" shrinkToFit="false"/>
      <protection locked="false" hidden="false"/>
    </xf>
    <xf numFmtId="167" fontId="18" fillId="0" borderId="17" xfId="0" applyFont="true" applyBorder="true" applyAlignment="true" applyProtection="true">
      <alignment horizontal="general" vertical="bottom" textRotation="0" wrapText="false" indent="0" shrinkToFit="false"/>
      <protection locked="false" hidden="false"/>
    </xf>
    <xf numFmtId="167" fontId="5" fillId="0" borderId="39" xfId="0" applyFont="true" applyBorder="true" applyAlignment="true" applyProtection="true">
      <alignment horizontal="general" vertical="bottom" textRotation="0" wrapText="false" indent="0" shrinkToFit="false"/>
      <protection locked="true" hidden="false"/>
    </xf>
    <xf numFmtId="167" fontId="5" fillId="0" borderId="90" xfId="0" applyFont="true" applyBorder="tru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general" vertical="bottom" textRotation="0" wrapText="false" indent="0" shrinkToFit="false"/>
      <protection locked="true" hidden="false"/>
    </xf>
    <xf numFmtId="167" fontId="18" fillId="0" borderId="146" xfId="0" applyFont="true" applyBorder="true" applyAlignment="true" applyProtection="true">
      <alignment horizontal="general" vertical="bottom" textRotation="0" wrapText="false" indent="0" shrinkToFit="false"/>
      <protection locked="true" hidden="false"/>
    </xf>
    <xf numFmtId="164" fontId="5" fillId="0" borderId="146" xfId="0" applyFont="true" applyBorder="true" applyAlignment="true" applyProtection="true">
      <alignment horizontal="general" vertical="bottom" textRotation="0" wrapText="false" indent="0" shrinkToFit="false"/>
      <protection locked="true" hidden="false"/>
    </xf>
    <xf numFmtId="167" fontId="5" fillId="0" borderId="48" xfId="0" applyFont="true" applyBorder="true" applyAlignment="true" applyProtection="true">
      <alignment horizontal="general" vertical="bottom" textRotation="0" wrapText="false" indent="0" shrinkToFit="false"/>
      <protection locked="false" hidden="false"/>
    </xf>
    <xf numFmtId="167" fontId="5" fillId="0" borderId="17" xfId="0" applyFont="true" applyBorder="true" applyAlignment="true" applyProtection="true">
      <alignment horizontal="general" vertical="bottom" textRotation="0" wrapText="false" indent="0" shrinkToFit="false"/>
      <protection locked="false" hidden="false"/>
    </xf>
    <xf numFmtId="167" fontId="5" fillId="0" borderId="39" xfId="0" applyFont="true" applyBorder="true" applyAlignment="true" applyProtection="true">
      <alignment horizontal="general" vertical="bottom" textRotation="0" wrapText="false" indent="0" shrinkToFit="false"/>
      <protection locked="fals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8" fillId="0" borderId="116" xfId="0" applyFont="true" applyBorder="true" applyAlignment="true" applyProtection="true">
      <alignment horizontal="general" vertical="bottom" textRotation="0" wrapText="false" indent="0" shrinkToFit="false"/>
      <protection locked="true" hidden="false"/>
    </xf>
    <xf numFmtId="164" fontId="5" fillId="2" borderId="115" xfId="0" applyFont="true" applyBorder="true" applyAlignment="true" applyProtection="true">
      <alignment horizontal="general" vertical="bottom" textRotation="0" wrapText="false" indent="0" shrinkToFit="false"/>
      <protection locked="true" hidden="false"/>
    </xf>
    <xf numFmtId="167" fontId="5" fillId="2" borderId="147" xfId="0" applyFont="true" applyBorder="true" applyAlignment="true" applyProtection="true">
      <alignment horizontal="general" vertical="bottom" textRotation="0" wrapText="false" indent="0" shrinkToFit="false"/>
      <protection locked="true" hidden="false"/>
    </xf>
    <xf numFmtId="167" fontId="5" fillId="2" borderId="118" xfId="0" applyFont="true" applyBorder="true" applyAlignment="true" applyProtection="true">
      <alignment horizontal="general" vertical="bottom" textRotation="0" wrapText="false" indent="0" shrinkToFit="false"/>
      <protection locked="true" hidden="false"/>
    </xf>
    <xf numFmtId="167" fontId="5" fillId="2" borderId="148" xfId="0" applyFont="true" applyBorder="true" applyAlignment="true" applyProtection="true">
      <alignment horizontal="general" vertical="bottom" textRotation="0" wrapText="false" indent="0" shrinkToFit="false"/>
      <protection locked="true" hidden="false"/>
    </xf>
    <xf numFmtId="189" fontId="5" fillId="0" borderId="0" xfId="0" applyFont="true" applyBorder="fals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false" hidden="false"/>
    </xf>
    <xf numFmtId="164" fontId="5" fillId="4" borderId="2" xfId="0" applyFont="true" applyBorder="true" applyAlignment="true" applyProtection="true">
      <alignment horizontal="center" vertical="bottom" textRotation="0" wrapText="true" indent="0" shrinkToFit="false"/>
      <protection locked="true" hidden="false"/>
    </xf>
    <xf numFmtId="167" fontId="5" fillId="4" borderId="17" xfId="0" applyFont="true" applyBorder="true" applyAlignment="true" applyProtection="true">
      <alignment horizontal="center" vertical="bottom" textRotation="0" wrapText="true" indent="0" shrinkToFit="false"/>
      <protection locked="true" hidden="false"/>
    </xf>
    <xf numFmtId="167" fontId="5" fillId="4" borderId="17" xfId="0" applyFont="true" applyBorder="true" applyAlignment="true" applyProtection="true">
      <alignment horizontal="right" vertical="bottom" textRotation="0" wrapText="false" indent="0" shrinkToFit="false"/>
      <protection locked="true" hidden="false"/>
    </xf>
    <xf numFmtId="167" fontId="5" fillId="4" borderId="4" xfId="0" applyFont="true" applyBorder="true" applyAlignment="true" applyProtection="true">
      <alignment horizontal="right" vertical="bottom" textRotation="0" wrapText="false" indent="0" shrinkToFit="false"/>
      <protection locked="true" hidden="false"/>
    </xf>
    <xf numFmtId="192" fontId="18" fillId="0" borderId="37" xfId="0" applyFont="true" applyBorder="true" applyAlignment="true" applyProtection="true">
      <alignment horizontal="general" vertical="bottom" textRotation="0" wrapText="false" indent="0" shrinkToFit="false"/>
      <protection locked="false" hidden="false"/>
    </xf>
    <xf numFmtId="166" fontId="18" fillId="0" borderId="10" xfId="0" applyFont="true" applyBorder="true" applyAlignment="true" applyProtection="true">
      <alignment horizontal="general" vertical="bottom" textRotation="0" wrapText="false" indent="0" shrinkToFit="false"/>
      <protection locked="false" hidden="false"/>
    </xf>
    <xf numFmtId="167" fontId="18" fillId="0" borderId="10" xfId="0" applyFont="true" applyBorder="true" applyAlignment="true" applyProtection="true">
      <alignment horizontal="general" vertical="bottom" textRotation="0" wrapText="false" indent="0" shrinkToFit="false"/>
      <protection locked="false" hidden="false"/>
    </xf>
    <xf numFmtId="167" fontId="18" fillId="0" borderId="21" xfId="0" applyFont="true" applyBorder="true" applyAlignment="true" applyProtection="true">
      <alignment horizontal="general" vertical="bottom" textRotation="0" wrapText="false" indent="0" shrinkToFit="false"/>
      <protection locked="false" hidden="false"/>
    </xf>
    <xf numFmtId="192" fontId="18" fillId="0" borderId="20" xfId="0" applyFont="true" applyBorder="true" applyAlignment="true" applyProtection="true">
      <alignment horizontal="general" vertical="bottom" textRotation="0" wrapText="false" indent="0" shrinkToFit="false"/>
      <protection locked="false" hidden="false"/>
    </xf>
    <xf numFmtId="166" fontId="18" fillId="0" borderId="17" xfId="0" applyFont="true" applyBorder="true" applyAlignment="true" applyProtection="true">
      <alignment horizontal="general" vertical="bottom" textRotation="0" wrapText="false" indent="0" shrinkToFit="false"/>
      <protection locked="false" hidden="false"/>
    </xf>
    <xf numFmtId="167" fontId="18" fillId="0" borderId="4" xfId="0" applyFont="true" applyBorder="true" applyAlignment="true" applyProtection="true">
      <alignment horizontal="general" vertical="bottom" textRotation="0" wrapText="false" indent="0" shrinkToFit="false"/>
      <protection locked="false" hidden="false"/>
    </xf>
    <xf numFmtId="192" fontId="5" fillId="0" borderId="20" xfId="0" applyFont="true" applyBorder="true" applyAlignment="true" applyProtection="true">
      <alignment horizontal="general"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false" indent="0" shrinkToFit="false"/>
      <protection locked="false" hidden="false"/>
    </xf>
    <xf numFmtId="166" fontId="5" fillId="0" borderId="17" xfId="0" applyFont="true" applyBorder="true" applyAlignment="true" applyProtection="true">
      <alignment horizontal="general" vertical="bottom" textRotation="0" wrapText="false" indent="0" shrinkToFit="false"/>
      <protection locked="false" hidden="false"/>
    </xf>
    <xf numFmtId="167" fontId="5" fillId="0" borderId="4" xfId="0" applyFont="true" applyBorder="true" applyAlignment="true" applyProtection="true">
      <alignment horizontal="general" vertical="bottom" textRotation="0" wrapText="false" indent="0" shrinkToFit="false"/>
      <protection locked="false" hidden="false"/>
    </xf>
    <xf numFmtId="192" fontId="5" fillId="2" borderId="2" xfId="0" applyFont="true" applyBorder="true" applyAlignment="true" applyProtection="true">
      <alignment horizontal="general" vertical="bottom" textRotation="0" wrapText="false" indent="0" shrinkToFit="false"/>
      <protection locked="true" hidden="false"/>
    </xf>
    <xf numFmtId="164" fontId="5" fillId="2" borderId="17" xfId="0" applyFont="true" applyBorder="true" applyAlignment="true" applyProtection="true">
      <alignment horizontal="general" vertical="bottom" textRotation="0" wrapText="false" indent="0" shrinkToFit="false"/>
      <protection locked="false" hidden="false"/>
    </xf>
    <xf numFmtId="166" fontId="5" fillId="2" borderId="17" xfId="0" applyFont="true" applyBorder="true" applyAlignment="true" applyProtection="true">
      <alignment horizontal="general" vertical="bottom" textRotation="0" wrapText="false" indent="0" shrinkToFit="false"/>
      <protection locked="false" hidden="false"/>
    </xf>
    <xf numFmtId="167" fontId="5" fillId="2" borderId="17" xfId="0" applyFont="true" applyBorder="true" applyAlignment="true" applyProtection="true">
      <alignment horizontal="general" vertical="bottom" textRotation="0" wrapText="false" indent="0" shrinkToFit="false"/>
      <protection locked="false" hidden="false"/>
    </xf>
    <xf numFmtId="167" fontId="5" fillId="2" borderId="4" xfId="0" applyFont="true" applyBorder="true" applyAlignment="true" applyProtection="true">
      <alignment horizontal="general" vertical="bottom" textRotation="0" wrapText="false" indent="0" shrinkToFit="false"/>
      <protection locked="false" hidden="false"/>
    </xf>
    <xf numFmtId="192" fontId="5" fillId="0" borderId="11" xfId="0" applyFont="tru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true" applyProtection="true">
      <alignment horizontal="general" vertical="bottom" textRotation="0" wrapText="false" indent="0" shrinkToFit="false"/>
      <protection locked="false" hidden="false"/>
    </xf>
    <xf numFmtId="167" fontId="18" fillId="0" borderId="11" xfId="0" applyFont="true" applyBorder="true" applyAlignment="true" applyProtection="true">
      <alignment horizontal="general" vertical="bottom" textRotation="0" wrapText="false" indent="0" shrinkToFit="false"/>
      <protection locked="true" hidden="false"/>
    </xf>
    <xf numFmtId="164" fontId="18" fillId="0" borderId="11" xfId="0" applyFont="true" applyBorder="true" applyAlignment="true" applyProtection="true">
      <alignment horizontal="general" vertical="bottom" textRotation="0" wrapText="false" indent="0" shrinkToFit="false"/>
      <protection locked="false" hidden="false"/>
    </xf>
    <xf numFmtId="167" fontId="18" fillId="0" borderId="11" xfId="0" applyFont="true" applyBorder="true" applyAlignment="true" applyProtection="true">
      <alignment horizontal="general" vertical="bottom" textRotation="0" wrapText="false" indent="0" shrinkToFit="false"/>
      <protection locked="false" hidden="false"/>
    </xf>
    <xf numFmtId="164" fontId="83" fillId="2" borderId="7" xfId="0" applyFont="true" applyBorder="true" applyAlignment="true" applyProtection="true">
      <alignment horizontal="general" vertical="bottom" textRotation="0" wrapText="false" indent="0" shrinkToFit="false"/>
      <protection locked="true" hidden="false"/>
    </xf>
    <xf numFmtId="164" fontId="83" fillId="2" borderId="8" xfId="0" applyFont="true" applyBorder="true" applyAlignment="true" applyProtection="true">
      <alignment horizontal="general" vertical="bottom" textRotation="0" wrapText="false" indent="0" shrinkToFit="false"/>
      <protection locked="true" hidden="false"/>
    </xf>
    <xf numFmtId="167" fontId="29" fillId="2" borderId="8" xfId="0" applyFont="true" applyBorder="true" applyAlignment="true" applyProtection="true">
      <alignment horizontal="general" vertical="bottom" textRotation="0" wrapText="false" indent="0" shrinkToFit="false"/>
      <protection locked="false" hidden="false"/>
    </xf>
    <xf numFmtId="167" fontId="29" fillId="2" borderId="55" xfId="0" applyFont="true" applyBorder="true" applyAlignment="true" applyProtection="true">
      <alignment horizontal="general" vertical="bottom" textRotation="0" wrapText="false" indent="0" shrinkToFit="false"/>
      <protection locked="false" hidden="false"/>
    </xf>
    <xf numFmtId="164" fontId="5" fillId="4" borderId="101" xfId="0" applyFont="true" applyBorder="true" applyAlignment="true" applyProtection="true">
      <alignment horizontal="general" vertical="bottom" textRotation="0" wrapText="false" indent="0" shrinkToFit="false"/>
      <protection locked="true" hidden="false"/>
    </xf>
    <xf numFmtId="164" fontId="5" fillId="4" borderId="26" xfId="0" applyFont="true" applyBorder="true" applyAlignment="true" applyProtection="true">
      <alignment horizontal="right" vertical="bottom" textRotation="0" wrapText="false" indent="0" shrinkToFit="false"/>
      <protection locked="true" hidden="false"/>
    </xf>
    <xf numFmtId="164" fontId="5" fillId="4" borderId="97" xfId="0" applyFont="true" applyBorder="true" applyAlignment="true" applyProtection="true">
      <alignment horizontal="right" vertical="bottom" textRotation="0" wrapText="false" indent="0" shrinkToFit="false"/>
      <protection locked="true" hidden="false"/>
    </xf>
    <xf numFmtId="164" fontId="5" fillId="4" borderId="13" xfId="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righ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5" fillId="4" borderId="78" xfId="0" applyFont="true" applyBorder="true" applyAlignment="true" applyProtection="true">
      <alignment horizontal="right" vertical="bottom" textRotation="0" wrapText="false" indent="0" shrinkToFit="false"/>
      <protection locked="true" hidden="false"/>
    </xf>
    <xf numFmtId="164" fontId="18" fillId="0" borderId="126" xfId="0" applyFont="true" applyBorder="true" applyAlignment="true" applyProtection="true">
      <alignment horizontal="general" vertical="bottom" textRotation="0" wrapText="false" indent="0" shrinkToFit="false"/>
      <protection locked="true" hidden="false"/>
    </xf>
    <xf numFmtId="166" fontId="5" fillId="0" borderId="17" xfId="0" applyFont="true" applyBorder="true" applyAlignment="true" applyProtection="true">
      <alignment horizontal="general" vertical="bottom" textRotation="0" wrapText="false" indent="0" shrinkToFit="false"/>
      <protection locked="true" hidden="false"/>
    </xf>
    <xf numFmtId="166" fontId="5" fillId="0" borderId="77" xfId="19" applyFont="true" applyBorder="true" applyAlignment="true" applyProtection="true">
      <alignment horizontal="general" vertical="bottom" textRotation="0" wrapText="false" indent="0" shrinkToFit="false"/>
      <protection locked="true" hidden="false"/>
    </xf>
    <xf numFmtId="164" fontId="5" fillId="2" borderId="98" xfId="0" applyFont="true" applyBorder="true" applyAlignment="true" applyProtection="true">
      <alignment horizontal="general" vertical="bottom" textRotation="0" wrapText="false" indent="0" shrinkToFit="false"/>
      <protection locked="true" hidden="false"/>
    </xf>
    <xf numFmtId="167" fontId="18" fillId="2" borderId="99" xfId="0" applyFont="true" applyBorder="true" applyAlignment="true" applyProtection="true">
      <alignment horizontal="general" vertical="bottom" textRotation="0" wrapText="false" indent="0" shrinkToFit="false"/>
      <protection locked="true" hidden="false"/>
    </xf>
    <xf numFmtId="166" fontId="5" fillId="2" borderId="99" xfId="0" applyFont="true" applyBorder="true" applyAlignment="true" applyProtection="true">
      <alignment horizontal="general" vertical="bottom" textRotation="0" wrapText="false" indent="0" shrinkToFit="false"/>
      <protection locked="true" hidden="false"/>
    </xf>
    <xf numFmtId="166" fontId="5" fillId="2" borderId="100" xfId="0" applyFont="true" applyBorder="true" applyAlignment="true" applyProtection="true">
      <alignment horizontal="general" vertical="bottom" textRotation="0" wrapText="false" indent="0" shrinkToFit="false"/>
      <protection locked="true" hidden="false"/>
    </xf>
    <xf numFmtId="164" fontId="104" fillId="0" borderId="0" xfId="0" applyFont="true" applyBorder="false" applyAlignment="true" applyProtection="true">
      <alignment horizontal="general" vertical="bottom" textRotation="0" wrapText="false" indent="0" shrinkToFit="false"/>
      <protection locked="true" hidden="false"/>
    </xf>
    <xf numFmtId="167" fontId="104" fillId="0" borderId="0" xfId="0" applyFont="true" applyBorder="false" applyAlignment="true" applyProtection="true">
      <alignment horizontal="general" vertical="bottom" textRotation="0" wrapText="false" indent="0" shrinkToFit="false"/>
      <protection locked="true" hidden="false"/>
    </xf>
    <xf numFmtId="164" fontId="5" fillId="4" borderId="87" xfId="0" applyFont="true" applyBorder="true" applyAlignment="true" applyProtection="true">
      <alignment horizontal="general" vertical="bottom" textRotation="0" wrapText="true" indent="0" shrinkToFit="false"/>
      <protection locked="true" hidden="false"/>
    </xf>
    <xf numFmtId="167" fontId="5" fillId="4" borderId="111" xfId="0" applyFont="true" applyBorder="true" applyAlignment="true" applyProtection="true">
      <alignment horizontal="center" vertical="bottom" textRotation="0" wrapText="false" indent="0" shrinkToFit="false"/>
      <protection locked="true" hidden="false"/>
    </xf>
    <xf numFmtId="167" fontId="5" fillId="4" borderId="29" xfId="0" applyFont="true" applyBorder="true" applyAlignment="true" applyProtection="true">
      <alignment horizontal="center" vertical="bottom" textRotation="0" wrapText="false" indent="0" shrinkToFit="false"/>
      <protection locked="true" hidden="false"/>
    </xf>
    <xf numFmtId="167" fontId="5" fillId="4" borderId="149" xfId="0" applyFont="true" applyBorder="true" applyAlignment="true" applyProtection="true">
      <alignment horizontal="center" vertical="bottom" textRotation="0" wrapText="false" indent="0" shrinkToFit="false"/>
      <protection locked="true" hidden="false"/>
    </xf>
    <xf numFmtId="167" fontId="5" fillId="4" borderId="30" xfId="0" applyFont="true" applyBorder="true" applyAlignment="true" applyProtection="true">
      <alignment horizontal="general" vertical="bottom" textRotation="0" wrapText="false" indent="0" shrinkToFit="false"/>
      <protection locked="true" hidden="false"/>
    </xf>
    <xf numFmtId="164" fontId="5" fillId="0" borderId="150" xfId="0" applyFont="true" applyBorder="true" applyAlignment="true" applyProtection="true">
      <alignment horizontal="general" vertical="bottom" textRotation="0" wrapText="true" indent="0" shrinkToFit="false"/>
      <protection locked="true" hidden="false"/>
    </xf>
    <xf numFmtId="167" fontId="5" fillId="0" borderId="20" xfId="0" applyFont="true" applyBorder="true" applyAlignment="true" applyProtection="true">
      <alignment horizontal="center" vertical="bottom" textRotation="0" wrapText="false" indent="0" shrinkToFit="false"/>
      <protection locked="true" hidden="false"/>
    </xf>
    <xf numFmtId="167" fontId="5" fillId="0" borderId="0" xfId="0" applyFont="true" applyBorder="false" applyAlignment="true" applyProtection="true">
      <alignment horizontal="center" vertical="bottom" textRotation="0" wrapText="false" indent="0" shrinkToFit="false"/>
      <protection locked="true" hidden="false"/>
    </xf>
    <xf numFmtId="167" fontId="5" fillId="0" borderId="38" xfId="0" applyFont="true" applyBorder="true" applyAlignment="true" applyProtection="true">
      <alignment horizontal="general" vertical="bottom" textRotation="0" wrapText="false" indent="0" shrinkToFit="false"/>
      <protection locked="true" hidden="false"/>
    </xf>
    <xf numFmtId="164" fontId="18" fillId="0" borderId="47" xfId="0" applyFont="true" applyBorder="true" applyAlignment="true" applyProtection="true">
      <alignment horizontal="general" vertical="bottom" textRotation="0" wrapText="false" indent="0" shrinkToFit="false"/>
      <protection locked="true" hidden="false"/>
    </xf>
    <xf numFmtId="164" fontId="18" fillId="0" borderId="54" xfId="0" applyFont="true" applyBorder="true" applyAlignment="true" applyProtection="true">
      <alignment horizontal="general" vertical="bottom" textRotation="0" wrapText="false" indent="0" shrinkToFit="false"/>
      <protection locked="true" hidden="false"/>
    </xf>
    <xf numFmtId="167" fontId="5" fillId="0" borderId="108" xfId="0" applyFont="true" applyBorder="true" applyAlignment="true" applyProtection="true">
      <alignment horizontal="general" vertical="bottom" textRotation="0" wrapText="false" indent="0" shrinkToFit="false"/>
      <protection locked="true" hidden="false"/>
    </xf>
    <xf numFmtId="168" fontId="18" fillId="0" borderId="54" xfId="0" applyFont="true" applyBorder="true" applyAlignment="true" applyProtection="true">
      <alignment horizontal="general" vertical="bottom" textRotation="0" wrapText="false" indent="0" shrinkToFit="false"/>
      <protection locked="false" hidden="false"/>
    </xf>
    <xf numFmtId="167" fontId="5" fillId="0" borderId="32" xfId="0" applyFont="true" applyBorder="true" applyAlignment="true" applyProtection="true">
      <alignment horizontal="general" vertical="bottom" textRotation="0" wrapText="false" indent="0" shrinkToFit="false"/>
      <protection locked="true" hidden="false"/>
    </xf>
    <xf numFmtId="164" fontId="5" fillId="0" borderId="47" xfId="0" applyFont="true" applyBorder="true" applyAlignment="true" applyProtection="true">
      <alignment horizontal="general" vertical="bottom" textRotation="0" wrapText="false" indent="0" shrinkToFit="false"/>
      <protection locked="true" hidden="false"/>
    </xf>
    <xf numFmtId="189" fontId="5" fillId="0" borderId="54" xfId="0" applyFont="true" applyBorder="true" applyAlignment="true" applyProtection="true">
      <alignment horizontal="general" vertical="bottom" textRotation="0" wrapText="false" indent="0" shrinkToFit="false"/>
      <protection locked="true" hidden="false"/>
    </xf>
    <xf numFmtId="164" fontId="18" fillId="0" borderId="151" xfId="0" applyFont="true" applyBorder="true" applyAlignment="true" applyProtection="true">
      <alignment horizontal="general" vertical="bottom" textRotation="0" wrapText="false" indent="0" shrinkToFit="false"/>
      <protection locked="true" hidden="false"/>
    </xf>
    <xf numFmtId="167" fontId="18" fillId="0" borderId="21" xfId="0" applyFont="true" applyBorder="true" applyAlignment="true" applyProtection="true">
      <alignment horizontal="general" vertical="bottom" textRotation="0" wrapText="false" indent="0" shrinkToFit="false"/>
      <protection locked="true" hidden="false"/>
    </xf>
    <xf numFmtId="167" fontId="18" fillId="0" borderId="2" xfId="0" applyFont="true" applyBorder="true" applyAlignment="true" applyProtection="true">
      <alignment horizontal="general" vertical="bottom" textRotation="0" wrapText="false" indent="0" shrinkToFit="false"/>
      <protection locked="true" hidden="false"/>
    </xf>
    <xf numFmtId="164" fontId="5" fillId="2" borderId="48" xfId="0" applyFont="true" applyBorder="true" applyAlignment="true" applyProtection="true">
      <alignment horizontal="general" vertical="bottom" textRotation="0" wrapText="false" indent="0" shrinkToFit="false"/>
      <protection locked="true" hidden="false"/>
    </xf>
    <xf numFmtId="164" fontId="5" fillId="0" borderId="105" xfId="0" applyFont="true" applyBorder="true" applyAlignment="true" applyProtection="true">
      <alignment horizontal="general" vertical="bottom" textRotation="0" wrapText="true" indent="0" shrinkToFit="false"/>
      <protection locked="true" hidden="false"/>
    </xf>
    <xf numFmtId="167" fontId="5" fillId="0" borderId="37" xfId="0" applyFont="true" applyBorder="true" applyAlignment="true" applyProtection="true">
      <alignment horizontal="general" vertical="bottom" textRotation="0" wrapText="false" indent="0" shrinkToFit="false"/>
      <protection locked="true" hidden="false"/>
    </xf>
    <xf numFmtId="167" fontId="5" fillId="0" borderId="54" xfId="0" applyFont="true" applyBorder="true" applyAlignment="true" applyProtection="true">
      <alignment horizontal="general" vertical="bottom" textRotation="0" wrapText="false" indent="0" shrinkToFit="false"/>
      <protection locked="true" hidden="false"/>
    </xf>
    <xf numFmtId="167" fontId="5" fillId="0" borderId="91" xfId="0" applyFont="true" applyBorder="true" applyAlignment="true" applyProtection="true">
      <alignment horizontal="general" vertical="bottom" textRotation="0" wrapText="false" indent="0" shrinkToFit="false"/>
      <protection locked="true" hidden="false"/>
    </xf>
    <xf numFmtId="164" fontId="5" fillId="2" borderId="33" xfId="0" applyFont="true" applyBorder="true" applyAlignment="true" applyProtection="true">
      <alignment horizontal="general" vertical="bottom" textRotation="0" wrapText="true" indent="0" shrinkToFit="false"/>
      <protection locked="true" hidden="false"/>
    </xf>
    <xf numFmtId="164" fontId="5" fillId="0" borderId="106" xfId="0" applyFont="true" applyBorder="true" applyAlignment="true" applyProtection="true">
      <alignment horizontal="general" vertical="bottom" textRotation="0" wrapText="true" indent="0" shrinkToFit="false"/>
      <protection locked="true" hidden="false"/>
    </xf>
    <xf numFmtId="192" fontId="18" fillId="0" borderId="47" xfId="0" applyFont="true" applyBorder="true" applyAlignment="true" applyProtection="true">
      <alignment horizontal="general" vertical="bottom" textRotation="0" wrapText="false" indent="0" shrinkToFit="false"/>
      <protection locked="false" hidden="false"/>
    </xf>
    <xf numFmtId="166" fontId="18" fillId="0" borderId="54" xfId="0" applyFont="true" applyBorder="true" applyAlignment="true" applyProtection="true">
      <alignment horizontal="general" vertical="bottom" textRotation="0" wrapText="false" indent="0" shrinkToFit="false"/>
      <protection locked="false" hidden="false"/>
    </xf>
    <xf numFmtId="167" fontId="18" fillId="0" borderId="43" xfId="0" applyFont="true" applyBorder="true" applyAlignment="true" applyProtection="true">
      <alignment horizontal="general" vertical="bottom" textRotation="0" wrapText="false" indent="0" shrinkToFit="false"/>
      <protection locked="true" hidden="false"/>
    </xf>
    <xf numFmtId="192" fontId="5" fillId="0" borderId="47" xfId="0" applyFont="true" applyBorder="true" applyAlignment="true" applyProtection="true">
      <alignment horizontal="general" vertical="bottom" textRotation="0" wrapText="false" indent="0" shrinkToFit="false"/>
      <protection locked="true" hidden="false"/>
    </xf>
    <xf numFmtId="164" fontId="5" fillId="0" borderId="54" xfId="0" applyFont="true" applyBorder="true" applyAlignment="true" applyProtection="true">
      <alignment horizontal="general" vertical="bottom" textRotation="0" wrapText="false" indent="0" shrinkToFit="false"/>
      <protection locked="false" hidden="false"/>
    </xf>
    <xf numFmtId="164" fontId="18" fillId="0" borderId="21" xfId="0" applyFont="true" applyBorder="true" applyAlignment="true" applyProtection="true">
      <alignment horizontal="general" vertical="bottom" textRotation="0" wrapText="false" indent="0" shrinkToFit="false"/>
      <protection locked="false" hidden="false"/>
    </xf>
    <xf numFmtId="192" fontId="5" fillId="2" borderId="48" xfId="0" applyFont="true" applyBorder="true" applyAlignment="true" applyProtection="true">
      <alignment horizontal="general" vertical="bottom" textRotation="0" wrapText="false" indent="0" shrinkToFit="false"/>
      <protection locked="true" hidden="false"/>
    </xf>
    <xf numFmtId="192"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7" fontId="83" fillId="2" borderId="8" xfId="0" applyFont="true" applyBorder="true" applyAlignment="true" applyProtection="true">
      <alignment horizontal="general" vertical="bottom" textRotation="0" wrapText="false" indent="0" shrinkToFit="false"/>
      <protection locked="true" hidden="false"/>
    </xf>
    <xf numFmtId="167" fontId="83" fillId="2" borderId="55" xfId="0" applyFont="true" applyBorder="true" applyAlignment="true" applyProtection="true">
      <alignment horizontal="general" vertical="bottom" textRotation="0" wrapText="false" indent="0" shrinkToFit="false"/>
      <protection locked="true" hidden="false"/>
    </xf>
    <xf numFmtId="167" fontId="37" fillId="0" borderId="0" xfId="0" applyFont="true" applyBorder="false" applyAlignment="true" applyProtection="true">
      <alignment horizontal="center" vertical="bottom" textRotation="0" wrapText="false" indent="0" shrinkToFit="false"/>
      <protection locked="true" hidden="false"/>
    </xf>
    <xf numFmtId="172" fontId="37" fillId="0" borderId="0" xfId="0" applyFont="true" applyBorder="false" applyAlignment="true" applyProtection="true">
      <alignment horizontal="left" vertical="bottom" textRotation="0" wrapText="false" indent="0" shrinkToFit="false"/>
      <protection locked="true" hidden="false"/>
    </xf>
    <xf numFmtId="167" fontId="75" fillId="0" borderId="0" xfId="0" applyFont="true" applyBorder="false" applyAlignment="true" applyProtection="true">
      <alignment horizontal="general" vertical="bottom" textRotation="0" wrapText="false" indent="0" shrinkToFit="false"/>
      <protection locked="true" hidden="false"/>
    </xf>
    <xf numFmtId="167" fontId="18" fillId="0" borderId="43" xfId="0" applyFont="true" applyBorder="true" applyAlignment="true" applyProtection="true">
      <alignment horizontal="general" vertical="bottom" textRotation="0" wrapText="false" indent="0" shrinkToFit="false"/>
      <protection locked="false" hidden="false"/>
    </xf>
    <xf numFmtId="167" fontId="18" fillId="0" borderId="2" xfId="0" applyFont="true" applyBorder="true" applyAlignment="true" applyProtection="true">
      <alignment horizontal="general" vertical="bottom" textRotation="0" wrapText="false" indent="0" shrinkToFit="false"/>
      <protection locked="false" hidden="false"/>
    </xf>
    <xf numFmtId="164" fontId="33" fillId="4" borderId="53" xfId="0" applyFont="true" applyBorder="true" applyAlignment="true" applyProtection="true">
      <alignment horizontal="general" vertical="bottom" textRotation="0" wrapText="false" indent="0" shrinkToFit="false"/>
      <protection locked="true" hidden="false"/>
    </xf>
    <xf numFmtId="167" fontId="33" fillId="4" borderId="53" xfId="0" applyFont="true" applyBorder="true" applyAlignment="true" applyProtection="true">
      <alignment horizontal="general" vertical="bottom" textRotation="0" wrapText="false" indent="0" shrinkToFit="false"/>
      <protection locked="true" hidden="false"/>
    </xf>
    <xf numFmtId="164" fontId="105"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right" vertical="bottom" textRotation="0" wrapText="false" indent="0" shrinkToFit="false"/>
      <protection locked="true" hidden="false"/>
    </xf>
    <xf numFmtId="167" fontId="14" fillId="0" borderId="0" xfId="0" applyFont="true" applyBorder="false" applyAlignment="true" applyProtection="true">
      <alignment horizontal="right" vertical="bottom" textRotation="0" wrapText="true" indent="0" shrinkToFit="false"/>
      <protection locked="true" hidden="false"/>
    </xf>
    <xf numFmtId="164" fontId="29" fillId="0" borderId="7" xfId="0" applyFont="true" applyBorder="true" applyAlignment="true" applyProtection="true">
      <alignment horizontal="general" vertical="bottom" textRotation="0" wrapText="false" indent="0" shrinkToFit="false"/>
      <protection locked="true" hidden="false"/>
    </xf>
    <xf numFmtId="164" fontId="29" fillId="0" borderId="8" xfId="0" applyFont="true" applyBorder="true" applyAlignment="true" applyProtection="true">
      <alignment horizontal="general" vertical="bottom" textRotation="0" wrapText="false" indent="0" shrinkToFit="false"/>
      <protection locked="true" hidden="false"/>
    </xf>
    <xf numFmtId="167" fontId="29" fillId="0" borderId="8" xfId="0" applyFont="true" applyBorder="true" applyAlignment="true" applyProtection="true">
      <alignment horizontal="general" vertical="bottom" textRotation="0" wrapText="false" indent="0" shrinkToFit="false"/>
      <protection locked="true" hidden="false"/>
    </xf>
    <xf numFmtId="167" fontId="29" fillId="0" borderId="55"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false" indent="0" shrinkToFit="false"/>
      <protection locked="true" hidden="false"/>
    </xf>
    <xf numFmtId="173" fontId="18" fillId="0" borderId="17" xfId="0" applyFont="true" applyBorder="true" applyAlignment="true" applyProtection="true">
      <alignment horizontal="general" vertical="bottom" textRotation="0" wrapText="false" indent="0" shrinkToFit="false"/>
      <protection locked="false" hidden="false"/>
    </xf>
    <xf numFmtId="172" fontId="18" fillId="0" borderId="11" xfId="0" applyFont="true" applyBorder="true" applyAlignment="true" applyProtection="true">
      <alignment horizontal="general" vertical="bottom" textRotation="0" wrapText="false" indent="0" shrinkToFit="false"/>
      <protection locked="true" hidden="false"/>
    </xf>
    <xf numFmtId="173" fontId="18" fillId="0" borderId="11" xfId="0" applyFont="true" applyBorder="true" applyAlignment="true" applyProtection="true">
      <alignment horizontal="general" vertical="bottom" textRotation="0" wrapText="false" indent="0" shrinkToFit="false"/>
      <protection locked="false" hidden="false"/>
    </xf>
    <xf numFmtId="164" fontId="29" fillId="2" borderId="2" xfId="0" applyFont="true" applyBorder="true" applyAlignment="true" applyProtection="true">
      <alignment horizontal="general" vertical="bottom" textRotation="0" wrapText="false" indent="0" shrinkToFit="false"/>
      <protection locked="true" hidden="false"/>
    </xf>
    <xf numFmtId="173" fontId="18" fillId="2" borderId="17" xfId="0" applyFont="true" applyBorder="true" applyAlignment="true" applyProtection="true">
      <alignment horizontal="general" vertical="bottom" textRotation="0" wrapText="false" indent="0" shrinkToFit="false"/>
      <protection locked="false" hidden="false"/>
    </xf>
    <xf numFmtId="167" fontId="29" fillId="2" borderId="4" xfId="0" applyFont="true" applyBorder="true" applyAlignment="true" applyProtection="true">
      <alignment horizontal="general" vertical="bottom" textRotation="0" wrapText="false" indent="0" shrinkToFit="false"/>
      <protection locked="true" hidden="false"/>
    </xf>
    <xf numFmtId="173" fontId="18" fillId="0" borderId="0" xfId="0" applyFont="true" applyBorder="false" applyAlignment="true" applyProtection="true">
      <alignment horizontal="general" vertical="bottom" textRotation="0" wrapText="false" indent="0" shrinkToFit="false"/>
      <protection locked="true" hidden="false"/>
    </xf>
    <xf numFmtId="164" fontId="29" fillId="2" borderId="7" xfId="0" applyFont="true" applyBorder="true" applyAlignment="true" applyProtection="true">
      <alignment horizontal="general" vertical="bottom" textRotation="0" wrapText="false" indent="0" shrinkToFit="false"/>
      <protection locked="true" hidden="false"/>
    </xf>
    <xf numFmtId="164" fontId="29" fillId="2" borderId="8" xfId="0" applyFont="true" applyBorder="true" applyAlignment="true" applyProtection="true">
      <alignment horizontal="general" vertical="bottom" textRotation="0" wrapText="false" indent="0" shrinkToFit="false"/>
      <protection locked="true" hidden="false"/>
    </xf>
    <xf numFmtId="164" fontId="18" fillId="2" borderId="8" xfId="0" applyFont="true" applyBorder="true" applyAlignment="true" applyProtection="true">
      <alignment horizontal="general" vertical="bottom" textRotation="0" wrapText="false" indent="0" shrinkToFit="false"/>
      <protection locked="true" hidden="false"/>
    </xf>
    <xf numFmtId="193" fontId="29" fillId="2" borderId="8" xfId="0" applyFont="true" applyBorder="true" applyAlignment="true" applyProtection="true">
      <alignment horizontal="general" vertical="bottom" textRotation="0" wrapText="false" indent="0" shrinkToFit="false"/>
      <protection locked="true" hidden="false"/>
    </xf>
    <xf numFmtId="193" fontId="29" fillId="2" borderId="55" xfId="0" applyFont="true" applyBorder="true" applyAlignment="true" applyProtection="true">
      <alignment horizontal="general" vertical="bottom" textRotation="0" wrapText="false" indent="0" shrinkToFit="false"/>
      <protection locked="true" hidden="false"/>
    </xf>
    <xf numFmtId="193" fontId="29" fillId="0" borderId="0" xfId="0" applyFont="true" applyBorder="false" applyAlignment="true" applyProtection="true">
      <alignment horizontal="general" vertical="bottom" textRotation="0" wrapText="false" indent="0" shrinkToFit="false"/>
      <protection locked="true" hidden="false"/>
    </xf>
    <xf numFmtId="173" fontId="0" fillId="0" borderId="10" xfId="0" applyFont="false" applyBorder="true" applyAlignment="true" applyProtection="true">
      <alignment horizontal="general" vertical="bottom" textRotation="0" wrapText="false" indent="0" shrinkToFit="false"/>
      <protection locked="true" hidden="false"/>
    </xf>
    <xf numFmtId="173" fontId="0" fillId="0" borderId="17" xfId="0" applyFont="false" applyBorder="true" applyAlignment="true" applyProtection="true">
      <alignment horizontal="general" vertical="bottom" textRotation="0" wrapText="false" indent="0" shrinkToFit="false"/>
      <protection locked="true" hidden="false"/>
    </xf>
    <xf numFmtId="193" fontId="5" fillId="0" borderId="17" xfId="0" applyFont="true" applyBorder="true" applyAlignment="true" applyProtection="true">
      <alignment horizontal="general" vertical="bottom" textRotation="0" wrapText="false" indent="0" shrinkToFit="false"/>
      <protection locked="true" hidden="false"/>
    </xf>
    <xf numFmtId="193" fontId="5" fillId="0" borderId="10" xfId="0" applyFont="true" applyBorder="true" applyAlignment="true" applyProtection="true">
      <alignment horizontal="general" vertical="bottom" textRotation="0" wrapText="false" indent="0" shrinkToFit="false"/>
      <protection locked="true" hidden="false"/>
    </xf>
    <xf numFmtId="193" fontId="5" fillId="0" borderId="0" xfId="0" applyFont="true" applyBorder="false" applyAlignment="true" applyProtection="true">
      <alignment horizontal="general" vertical="bottom" textRotation="0" wrapText="false" indent="0" shrinkToFit="false"/>
      <protection locked="true" hidden="false"/>
    </xf>
    <xf numFmtId="167" fontId="47" fillId="4" borderId="0" xfId="0" applyFont="true" applyBorder="false" applyAlignment="true" applyProtection="true">
      <alignment horizontal="center" vertical="bottom" textRotation="0" wrapText="false" indent="0" shrinkToFit="false"/>
      <protection locked="true" hidden="false"/>
    </xf>
    <xf numFmtId="164" fontId="18" fillId="0" borderId="10" xfId="0" applyFont="true" applyBorder="true" applyAlignment="true" applyProtection="true">
      <alignment horizontal="right" vertical="bottom" textRotation="0" wrapText="false" indent="0" shrinkToFit="false"/>
      <protection locked="true" hidden="false"/>
    </xf>
    <xf numFmtId="173" fontId="18" fillId="0" borderId="0" xfId="0" applyFont="true" applyBorder="false" applyAlignment="true" applyProtection="true">
      <alignment horizontal="general" vertical="bottom" textRotation="0" wrapText="false" indent="0" shrinkToFit="false"/>
      <protection locked="false" hidden="false"/>
    </xf>
    <xf numFmtId="167" fontId="18" fillId="0" borderId="40" xfId="0" applyFont="true" applyBorder="true" applyAlignment="true" applyProtection="true">
      <alignment horizontal="general" vertical="bottom" textRotation="0" wrapText="false" indent="0" shrinkToFit="false"/>
      <protection locked="true" hidden="false"/>
    </xf>
    <xf numFmtId="167" fontId="0" fillId="0" borderId="43" xfId="0" applyFont="false" applyBorder="true" applyAlignment="true" applyProtection="true">
      <alignment horizontal="general" vertical="bottom" textRotation="0" wrapText="false" indent="0" shrinkToFit="false"/>
      <protection locked="true" hidden="false"/>
    </xf>
    <xf numFmtId="167" fontId="0" fillId="0" borderId="109" xfId="0" applyFont="false" applyBorder="true" applyAlignment="true" applyProtection="true">
      <alignment horizontal="general" vertical="bottom" textRotation="0" wrapText="false" indent="0" shrinkToFit="false"/>
      <protection locked="true" hidden="false"/>
    </xf>
    <xf numFmtId="173" fontId="18" fillId="2" borderId="8" xfId="0" applyFont="true" applyBorder="true" applyAlignment="true" applyProtection="true">
      <alignment horizontal="general" vertical="bottom" textRotation="0" wrapText="false" indent="0" shrinkToFit="false"/>
      <protection locked="false" hidden="false"/>
    </xf>
    <xf numFmtId="167" fontId="21" fillId="0" borderId="0" xfId="0" applyFont="true" applyBorder="false" applyAlignment="true" applyProtection="true">
      <alignment horizontal="general" vertical="bottom" textRotation="0" wrapText="false" indent="0" shrinkToFit="false"/>
      <protection locked="true" hidden="false"/>
    </xf>
    <xf numFmtId="164" fontId="5" fillId="0" borderId="87" xfId="0" applyFont="true" applyBorder="true" applyAlignment="true" applyProtection="true">
      <alignment horizontal="general" vertical="bottom" textRotation="0" wrapText="false" indent="0" shrinkToFit="false"/>
      <protection locked="true" hidden="false"/>
    </xf>
    <xf numFmtId="164" fontId="29" fillId="0" borderId="87" xfId="0" applyFont="true" applyBorder="true" applyAlignment="true" applyProtection="true">
      <alignment horizontal="general" vertical="bottom" textRotation="0" wrapText="false" indent="0" shrinkToFit="false"/>
      <protection locked="true" hidden="false"/>
    </xf>
    <xf numFmtId="167" fontId="5" fillId="0" borderId="87" xfId="0"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uro" xfId="21"/>
    <cellStyle name="*unknown*" xfId="20" builtinId="8"/>
    <cellStyle name="Excel Built-in Comma [0]" xfId="22"/>
  </cellStyles>
  <dxfs count="15">
    <dxf>
      <fill>
        <patternFill patternType="solid">
          <fgColor rgb="FFC0C0C0"/>
        </patternFill>
      </fill>
    </dxf>
    <dxf>
      <fill>
        <patternFill patternType="solid">
          <fgColor rgb="00FFFFFF"/>
        </patternFill>
      </fill>
    </dxf>
    <dxf>
      <fill>
        <patternFill patternType="solid">
          <fgColor rgb="FF000000"/>
          <bgColor rgb="FFFFFFFF"/>
        </patternFill>
      </fill>
    </dxf>
    <dxf>
      <fill>
        <patternFill patternType="solid">
          <fgColor rgb="FF800000"/>
        </patternFill>
      </fill>
    </dxf>
    <dxf>
      <fill>
        <patternFill patternType="solid">
          <fgColor rgb="FF969696"/>
        </patternFill>
      </fill>
    </dxf>
    <dxf>
      <fill>
        <patternFill patternType="solid">
          <fgColor rgb="FFFFFFCC"/>
        </patternFill>
      </fill>
    </dxf>
    <dxf>
      <fill>
        <patternFill patternType="solid">
          <fgColor rgb="FF0000FF"/>
        </patternFill>
      </fill>
    </dxf>
    <dxf>
      <fill>
        <patternFill patternType="solid">
          <fgColor rgb="FF984807"/>
        </patternFill>
      </fill>
    </dxf>
    <dxf>
      <fill>
        <patternFill patternType="solid">
          <fgColor rgb="FF993300"/>
        </patternFill>
      </fill>
    </dxf>
    <dxf>
      <fill>
        <patternFill patternType="solid">
          <fgColor rgb="FFFF0000"/>
        </patternFill>
      </fill>
    </dxf>
    <dxf>
      <fill>
        <patternFill patternType="solid">
          <fgColor rgb="FFCCFFFF"/>
        </patternFill>
      </fill>
    </dxf>
    <dxf>
      <fill>
        <patternFill patternType="solid">
          <fgColor rgb="FFFFCC99"/>
        </patternFill>
      </fill>
    </dxf>
    <dxf>
      <fill>
        <patternFill patternType="solid">
          <fgColor rgb="FFFFFFFF"/>
        </patternFill>
      </fill>
    </dxf>
    <dxf>
      <fill>
        <patternFill patternType="solid">
          <fgColor rgb="FFBFBFBF"/>
        </patternFill>
      </fill>
    </dxf>
    <dxf>
      <fill>
        <patternFill patternType="solid">
          <fgColor rgb="FFA6A6A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84807"/>
      <rgbColor rgb="FFFFFFCC"/>
      <rgbColor rgb="FFCCFFFF"/>
      <rgbColor rgb="FF660066"/>
      <rgbColor rgb="FFFF8080"/>
      <rgbColor rgb="FF0066CC"/>
      <rgbColor rgb="FFDCE6F2"/>
      <rgbColor rgb="FF000080"/>
      <rgbColor rgb="FFFF00FF"/>
      <rgbColor rgb="FFFFFF00"/>
      <rgbColor rgb="FF00FFFF"/>
      <rgbColor rgb="FF800080"/>
      <rgbColor rgb="FF800000"/>
      <rgbColor rgb="FF008080"/>
      <rgbColor rgb="FF0000FF"/>
      <rgbColor rgb="FF00CCFF"/>
      <rgbColor rgb="FFCCECFF"/>
      <rgbColor rgb="FFCCFFCC"/>
      <rgbColor rgb="FFD7E4BD"/>
      <rgbColor rgb="FF95B3D7"/>
      <rgbColor rgb="FFFF99CC"/>
      <rgbColor rgb="FFBFBFBF"/>
      <rgbColor rgb="FFFFCC99"/>
      <rgbColor rgb="FF3366FF"/>
      <rgbColor rgb="FF33CCCC"/>
      <rgbColor rgb="FF99CC00"/>
      <rgbColor rgb="FFFFCC00"/>
      <rgbColor rgb="FFFF9900"/>
      <rgbColor rgb="FFFF6600"/>
      <rgbColor rgb="FF558ED5"/>
      <rgbColor rgb="FF969696"/>
      <rgbColor rgb="FF17375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46</xdr:row>
      <xdr:rowOff>0</xdr:rowOff>
    </xdr:from>
    <xdr:to>
      <xdr:col>0</xdr:col>
      <xdr:colOff>75960</xdr:colOff>
      <xdr:row>47</xdr:row>
      <xdr:rowOff>37800</xdr:rowOff>
    </xdr:to>
    <xdr:sp>
      <xdr:nvSpPr>
        <xdr:cNvPr id="0" name="Text Box 94"/>
        <xdr:cNvSpPr/>
      </xdr:nvSpPr>
      <xdr:spPr>
        <a:xfrm>
          <a:off x="0" y="7810560"/>
          <a:ext cx="75960" cy="199800"/>
        </a:xfrm>
        <a:prstGeom prst="rect">
          <a:avLst/>
        </a:prstGeom>
        <a:noFill/>
        <a:ln w="9525">
          <a:noFill/>
        </a:ln>
        <a:effectLst>
          <a:outerShdw algn="ctr" dir="2700000" dist="35638" rotWithShape="0">
            <a:srgbClr val="000000"/>
          </a:outerShdw>
        </a:effectLst>
      </xdr:spPr>
      <xdr:style>
        <a:lnRef idx="0"/>
        <a:fillRef idx="0"/>
        <a:effectRef idx="0"/>
        <a:fontRef idx="minor"/>
      </xdr:style>
    </xdr:sp>
    <xdr:clientData/>
  </xdr:twoCellAnchor>
  <xdr:twoCellAnchor editAs="twoCell">
    <xdr:from>
      <xdr:col>7</xdr:col>
      <xdr:colOff>114480</xdr:colOff>
      <xdr:row>46</xdr:row>
      <xdr:rowOff>0</xdr:rowOff>
    </xdr:from>
    <xdr:to>
      <xdr:col>8</xdr:col>
      <xdr:colOff>733320</xdr:colOff>
      <xdr:row>48</xdr:row>
      <xdr:rowOff>161640</xdr:rowOff>
    </xdr:to>
    <xdr:sp>
      <xdr:nvSpPr>
        <xdr:cNvPr id="1" name="Text Box 109"/>
        <xdr:cNvSpPr/>
      </xdr:nvSpPr>
      <xdr:spPr>
        <a:xfrm>
          <a:off x="4030560" y="7810560"/>
          <a:ext cx="875520" cy="485280"/>
        </a:xfrm>
        <a:prstGeom prst="rect">
          <a:avLst/>
        </a:prstGeom>
        <a:noFill/>
        <a:ln w="0">
          <a:noFill/>
        </a:ln>
      </xdr:spPr>
      <xdr:style>
        <a:lnRef idx="0"/>
        <a:fillRef idx="0"/>
        <a:effectRef idx="0"/>
        <a:fontRef idx="minor"/>
      </xdr:style>
    </xdr:sp>
    <xdr:clientData/>
  </xdr:twoCellAnchor>
  <xdr:twoCellAnchor editAs="absolute">
    <xdr:from>
      <xdr:col>0</xdr:col>
      <xdr:colOff>0</xdr:colOff>
      <xdr:row>57</xdr:row>
      <xdr:rowOff>0</xdr:rowOff>
    </xdr:from>
    <xdr:to>
      <xdr:col>0</xdr:col>
      <xdr:colOff>360</xdr:colOff>
      <xdr:row>57</xdr:row>
      <xdr:rowOff>360</xdr:rowOff>
    </xdr:to>
    <xdr:sp>
      <xdr:nvSpPr>
        <xdr:cNvPr id="2" name="AutoShape 207"/>
        <xdr:cNvSpPr/>
      </xdr:nvSpPr>
      <xdr:spPr>
        <a:xfrm>
          <a:off x="0" y="9591840"/>
          <a:ext cx="360" cy="360"/>
        </a:xfrm>
        <a:prstGeom prst="roundRect">
          <a:avLst>
            <a:gd name="adj" fmla="val 16667"/>
          </a:avLst>
        </a:prstGeom>
        <a:gradFill rotWithShape="0">
          <a:gsLst>
            <a:gs pos="0">
              <a:srgbClr val="ffffff"/>
            </a:gs>
            <a:gs pos="50000">
              <a:srgbClr val="b2b2b2"/>
            </a:gs>
            <a:gs pos="100000">
              <a:srgbClr val="ffffff"/>
            </a:gs>
          </a:gsLst>
          <a:lin ang="5400000"/>
        </a:gradFill>
        <a:ln w="0">
          <a:noFill/>
        </a:ln>
      </xdr:spPr>
      <xdr:style>
        <a:lnRef idx="0"/>
        <a:fillRef idx="0"/>
        <a:effectRef idx="0"/>
        <a:fontRef idx="minor"/>
      </xdr:style>
    </xdr:sp>
    <xdr:clientData/>
  </xdr:twoCellAnchor>
  <xdr:twoCellAnchor editAs="absolute">
    <xdr:from>
      <xdr:col>0</xdr:col>
      <xdr:colOff>0</xdr:colOff>
      <xdr:row>57</xdr:row>
      <xdr:rowOff>0</xdr:rowOff>
    </xdr:from>
    <xdr:to>
      <xdr:col>0</xdr:col>
      <xdr:colOff>360</xdr:colOff>
      <xdr:row>57</xdr:row>
      <xdr:rowOff>360</xdr:rowOff>
    </xdr:to>
    <xdr:sp>
      <xdr:nvSpPr>
        <xdr:cNvPr id="3" name="AutoShape 208"/>
        <xdr:cNvSpPr/>
      </xdr:nvSpPr>
      <xdr:spPr>
        <a:xfrm>
          <a:off x="0" y="9591840"/>
          <a:ext cx="360" cy="360"/>
        </a:xfrm>
        <a:prstGeom prst="roundRect">
          <a:avLst>
            <a:gd name="adj" fmla="val 16667"/>
          </a:avLst>
        </a:prstGeom>
        <a:gradFill rotWithShape="0">
          <a:gsLst>
            <a:gs pos="0">
              <a:srgbClr val="b2b2b2"/>
            </a:gs>
            <a:gs pos="50000">
              <a:srgbClr val="ffffff"/>
            </a:gs>
            <a:gs pos="100000">
              <a:srgbClr val="b2b2b2"/>
            </a:gs>
          </a:gsLst>
          <a:lin ang="5400000"/>
        </a:gradFill>
        <a:ln w="28575">
          <a:solidFill>
            <a:srgbClr val="ffffff"/>
          </a:solidFill>
          <a:round/>
        </a:ln>
      </xdr:spPr>
      <xdr:style>
        <a:lnRef idx="0"/>
        <a:fillRef idx="0"/>
        <a:effectRef idx="0"/>
        <a:fontRef idx="minor"/>
      </xdr:style>
    </xdr:sp>
    <xdr:clientData/>
  </xdr:twoCellAnchor>
  <xdr:twoCellAnchor editAs="absolute">
    <xdr:from>
      <xdr:col>0</xdr:col>
      <xdr:colOff>0</xdr:colOff>
      <xdr:row>57</xdr:row>
      <xdr:rowOff>118800</xdr:rowOff>
    </xdr:from>
    <xdr:to>
      <xdr:col>0</xdr:col>
      <xdr:colOff>360</xdr:colOff>
      <xdr:row>57</xdr:row>
      <xdr:rowOff>119160</xdr:rowOff>
    </xdr:to>
    <xdr:sp>
      <xdr:nvSpPr>
        <xdr:cNvPr id="4" name="Text Box 209"/>
        <xdr:cNvSpPr/>
      </xdr:nvSpPr>
      <xdr:spPr>
        <a:xfrm>
          <a:off x="0" y="9710640"/>
          <a:ext cx="360" cy="360"/>
        </a:xfrm>
        <a:prstGeom prst="rect">
          <a:avLst/>
        </a:prstGeom>
        <a:noFill/>
        <a:ln w="9525">
          <a:noFill/>
        </a:ln>
        <a:effectLst>
          <a:outerShdw algn="ctr" dir="2700000" dist="35638" rotWithShape="0">
            <a:srgbClr val="000000"/>
          </a:outerShdw>
        </a:effectLst>
      </xdr:spPr>
      <xdr:style>
        <a:lnRef idx="0"/>
        <a:fillRef idx="0"/>
        <a:effectRef idx="0"/>
        <a:fontRef idx="minor"/>
      </xdr:style>
      <xdr:txBody>
        <a:bodyPr vertOverflow="clip" lIns="27360" rIns="27360" tIns="22680" bIns="0" anchor="t" upright="1">
          <a:noAutofit/>
        </a:bodyPr>
        <a:p>
          <a:pPr algn="ctr">
            <a:lnSpc>
              <a:spcPct val="100000"/>
            </a:lnSpc>
          </a:pPr>
          <a:r>
            <a:rPr b="1" lang="es-ES" sz="1000" spc="-1" strike="noStrike">
              <a:solidFill>
                <a:srgbClr val="000080"/>
              </a:solidFill>
              <a:latin typeface="Arial"/>
            </a:rPr>
            <a:t>Si los botones de enlace no funcionan, pulse aqui</a:t>
          </a:r>
          <a:endParaRPr b="0" lang="es-ES" sz="1000" spc="-1" strike="noStrike">
            <a:latin typeface="Times New Roman"/>
          </a:endParaRPr>
        </a:p>
      </xdr:txBody>
    </xdr:sp>
    <xdr:clientData/>
  </xdr:twoCellAnchor>
  <xdr:twoCellAnchor editAs="absolute">
    <xdr:from>
      <xdr:col>17</xdr:col>
      <xdr:colOff>600120</xdr:colOff>
      <xdr:row>270</xdr:row>
      <xdr:rowOff>0</xdr:rowOff>
    </xdr:from>
    <xdr:to>
      <xdr:col>18</xdr:col>
      <xdr:colOff>123480</xdr:colOff>
      <xdr:row>270</xdr:row>
      <xdr:rowOff>360</xdr:rowOff>
    </xdr:to>
    <xdr:sp>
      <xdr:nvSpPr>
        <xdr:cNvPr id="5" name="Object 277" hidden="1"/>
        <xdr:cNvSpPr/>
      </xdr:nvSpPr>
      <xdr:spPr>
        <a:xfrm>
          <a:off x="11491560" y="44081640"/>
          <a:ext cx="331200" cy="360"/>
        </a:xfrm>
        <a:prstGeom prst="rect">
          <a:avLst/>
        </a:prstGeom>
        <a:solidFill>
          <a:srgbClr val="ffffff"/>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47520</xdr:colOff>
      <xdr:row>38</xdr:row>
      <xdr:rowOff>0</xdr:rowOff>
    </xdr:from>
    <xdr:to>
      <xdr:col>8</xdr:col>
      <xdr:colOff>475920</xdr:colOff>
      <xdr:row>38</xdr:row>
      <xdr:rowOff>360</xdr:rowOff>
    </xdr:to>
    <xdr:sp>
      <xdr:nvSpPr>
        <xdr:cNvPr id="6" name="Text Box 16"/>
        <xdr:cNvSpPr/>
      </xdr:nvSpPr>
      <xdr:spPr>
        <a:xfrm>
          <a:off x="1234800" y="6362640"/>
          <a:ext cx="8136360" cy="360"/>
        </a:xfrm>
        <a:prstGeom prst="rect">
          <a:avLst/>
        </a:prstGeom>
        <a:solidFill>
          <a:srgbClr val="ffffff"/>
        </a:solidFill>
        <a:ln w="9525">
          <a:noFill/>
        </a:ln>
      </xdr:spPr>
      <xdr:style>
        <a:lnRef idx="0"/>
        <a:fillRef idx="0"/>
        <a:effectRef idx="0"/>
        <a:fontRef idx="minor"/>
      </xdr:style>
      <xdr:txBody>
        <a:bodyPr vertOverflow="clip" lIns="27360" rIns="27360" tIns="22680" bIns="0" anchor="t" upright="1">
          <a:noAutofit/>
        </a:bodyPr>
        <a:p>
          <a:pPr algn="just">
            <a:lnSpc>
              <a:spcPct val="100000"/>
            </a:lnSpc>
          </a:pPr>
          <a:r>
            <a:rPr b="0" lang="es-ES" sz="900" spc="-1" strike="noStrike">
              <a:solidFill>
                <a:srgbClr val="993300"/>
              </a:solidFill>
              <a:latin typeface="Arial"/>
            </a:rPr>
            <a:t>Defina la cantidad, o porcentaje, que desea establecer para cubrir posibles imprevistos, como pueden ser: impagos de clientes, reparaciones, responsabilidades civiles, etc.</a:t>
          </a:r>
          <a:endParaRPr b="0" lang="es-ES" sz="9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247680</xdr:colOff>
      <xdr:row>257</xdr:row>
      <xdr:rowOff>9360</xdr:rowOff>
    </xdr:from>
    <xdr:to>
      <xdr:col>16</xdr:col>
      <xdr:colOff>713880</xdr:colOff>
      <xdr:row>265</xdr:row>
      <xdr:rowOff>18360</xdr:rowOff>
    </xdr:to>
    <xdr:sp>
      <xdr:nvSpPr>
        <xdr:cNvPr id="7" name="Text Box 4"/>
        <xdr:cNvSpPr/>
      </xdr:nvSpPr>
      <xdr:spPr>
        <a:xfrm>
          <a:off x="11128320" y="42319440"/>
          <a:ext cx="3697200" cy="1370880"/>
        </a:xfrm>
        <a:prstGeom prst="rect">
          <a:avLst/>
        </a:prstGeom>
        <a:solidFill>
          <a:srgbClr val="ffffff"/>
        </a:solidFill>
        <a:ln w="9525">
          <a:noFill/>
        </a:ln>
      </xdr:spPr>
      <xdr:style>
        <a:lnRef idx="0"/>
        <a:fillRef idx="0"/>
        <a:effectRef idx="0"/>
        <a:fontRef idx="minor"/>
      </xdr:style>
      <xdr:txBody>
        <a:bodyPr vertOverflow="clip" lIns="27360" rIns="27360" tIns="23040" bIns="0" anchor="t" upright="1">
          <a:noAutofit/>
        </a:bodyPr>
        <a:p>
          <a:pPr algn="just">
            <a:lnSpc>
              <a:spcPct val="100000"/>
            </a:lnSpc>
          </a:pPr>
          <a:r>
            <a:rPr b="0" i="1" lang="es-ES" sz="1000" spc="-1" strike="noStrike">
              <a:solidFill>
                <a:srgbClr val="993300"/>
              </a:solidFill>
              <a:latin typeface="Arial"/>
            </a:rPr>
            <a:t> </a:t>
          </a:r>
          <a:endParaRPr b="0" lang="es-ES" sz="1000" spc="-1" strike="noStrike">
            <a:latin typeface="Times New Roman"/>
          </a:endParaRPr>
        </a:p>
        <a:p>
          <a:pPr algn="just">
            <a:lnSpc>
              <a:spcPct val="100000"/>
            </a:lnSpc>
          </a:pPr>
          <a:endParaRPr b="0" lang="es-ES" sz="1000" spc="-1" strike="noStrike">
            <a:latin typeface="Times New Roman"/>
          </a:endParaRPr>
        </a:p>
        <a:p>
          <a:pPr algn="just">
            <a:lnSpc>
              <a:spcPct val="100000"/>
            </a:lnSpc>
          </a:pPr>
          <a:endParaRPr b="0" lang="es-ES" sz="10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hyperlink" Target="https://sites.google.com/site/secotdelegacionmadrid/estudio-economico-financiero"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M7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G73" activeCellId="0" sqref="G73"/>
    </sheetView>
  </sheetViews>
  <sheetFormatPr defaultColWidth="8.90234375" defaultRowHeight="12.75" zeroHeight="false" outlineLevelRow="0" outlineLevelCol="0"/>
  <cols>
    <col collapsed="false" customWidth="true" hidden="false" outlineLevel="0" max="2" min="1" style="0" width="11.46"/>
    <col collapsed="false" customWidth="true" hidden="false" outlineLevel="0" max="3" min="3" style="1" width="30.88"/>
    <col collapsed="false" customWidth="true" hidden="false" outlineLevel="0" max="5" min="4" style="0" width="11.46"/>
    <col collapsed="false" customWidth="true" hidden="false" outlineLevel="0" max="6" min="6" style="0" width="13.08"/>
    <col collapsed="false" customWidth="true" hidden="false" outlineLevel="0" max="8" min="7" style="0" width="11.46"/>
    <col collapsed="false" customWidth="true" hidden="false" outlineLevel="0" max="9" min="9" style="0" width="12.95"/>
    <col collapsed="false" customWidth="true" hidden="false" outlineLevel="0" max="11" min="10" style="0" width="11.46"/>
    <col collapsed="false" customWidth="true" hidden="false" outlineLevel="0" max="12" min="12" style="0" width="13.49"/>
    <col collapsed="false" customWidth="true" hidden="false" outlineLevel="0" max="256" min="13" style="0" width="11.46"/>
  </cols>
  <sheetData>
    <row r="7" customFormat="false" ht="12.75" hidden="false" customHeight="false" outlineLevel="0" collapsed="false">
      <c r="B7" s="0" t="s">
        <v>0</v>
      </c>
    </row>
    <row r="9" customFormat="false" ht="12.75" hidden="false" customHeight="false" outlineLevel="0" collapsed="false">
      <c r="C9" s="1" t="s">
        <v>1</v>
      </c>
      <c r="D9" s="2" t="n">
        <f aca="false">'Datos generales'!D30</f>
        <v>0.15</v>
      </c>
      <c r="E9" s="2" t="n">
        <f aca="false">'Datos generales'!E30</f>
        <v>0.15</v>
      </c>
      <c r="F9" s="2" t="n">
        <f aca="false">'Datos generales'!F30</f>
        <v>0.25</v>
      </c>
    </row>
    <row r="10" customFormat="false" ht="12.75" hidden="false" customHeight="false" outlineLevel="0" collapsed="false">
      <c r="C10" s="1" t="s">
        <v>2</v>
      </c>
      <c r="D10" s="2" t="n">
        <f aca="false">'Datos generales'!G30</f>
        <v>0.18</v>
      </c>
    </row>
    <row r="13" customFormat="false" ht="12.75" hidden="false" customHeight="false" outlineLevel="0" collapsed="false">
      <c r="D13" s="3" t="s">
        <v>3</v>
      </c>
      <c r="E13" s="3" t="s">
        <v>4</v>
      </c>
      <c r="F13" s="3" t="s">
        <v>5</v>
      </c>
    </row>
    <row r="14" customFormat="false" ht="12.75" hidden="false" customHeight="false" outlineLevel="0" collapsed="false">
      <c r="C14" s="4" t="s">
        <v>6</v>
      </c>
      <c r="D14" s="5" t="n">
        <f aca="false">'CUENTA DE RESULTADOS'!D31</f>
        <v>22543.5333333333</v>
      </c>
      <c r="E14" s="5" t="n">
        <f aca="false">'CUENTA DE RESULTADOS'!E31</f>
        <v>51885.1333333334</v>
      </c>
      <c r="F14" s="5" t="n">
        <f aca="false">'CUENTA DE RESULTADOS'!F31</f>
        <v>60883.9333333333</v>
      </c>
    </row>
    <row r="15" customFormat="false" ht="35.25" hidden="false" customHeight="false" outlineLevel="0" collapsed="false">
      <c r="C15" s="4" t="s">
        <v>7</v>
      </c>
      <c r="D15" s="5" t="n">
        <f aca="false">D14*$D$9</f>
        <v>3381.53</v>
      </c>
      <c r="E15" s="5" t="n">
        <f aca="false">E14*$E$9</f>
        <v>7782.77</v>
      </c>
      <c r="F15" s="5" t="n">
        <f aca="false">F14*$F$9</f>
        <v>15220.9833333333</v>
      </c>
    </row>
    <row r="16" customFormat="false" ht="12.75" hidden="false" customHeight="false" outlineLevel="0" collapsed="false">
      <c r="C16" s="4"/>
      <c r="D16" s="5"/>
    </row>
    <row r="17" customFormat="false" ht="24" hidden="false" customHeight="false" outlineLevel="0" collapsed="false">
      <c r="C17" s="4" t="s">
        <v>8</v>
      </c>
      <c r="D17" s="6"/>
      <c r="E17" s="5" t="n">
        <f aca="false">IF(D19&lt;0,D19,0)</f>
        <v>0</v>
      </c>
      <c r="F17" s="5" t="n">
        <f aca="false">IF(E19&lt;0,E19,0)</f>
        <v>0</v>
      </c>
    </row>
    <row r="18" customFormat="false" ht="12.75" hidden="false" customHeight="false" outlineLevel="0" collapsed="false">
      <c r="C18" s="4"/>
      <c r="D18" s="5"/>
    </row>
    <row r="19" customFormat="false" ht="12.75" hidden="false" customHeight="false" outlineLevel="0" collapsed="false">
      <c r="C19" s="8" t="s">
        <v>9</v>
      </c>
      <c r="D19" s="5" t="n">
        <f aca="false">D15+D17</f>
        <v>3381.53</v>
      </c>
      <c r="E19" s="5" t="n">
        <f aca="false">E15+E17</f>
        <v>7782.77</v>
      </c>
      <c r="F19" s="5" t="n">
        <f aca="false">F15+F17</f>
        <v>15220.9833333333</v>
      </c>
    </row>
    <row r="20" customFormat="false" ht="12.75" hidden="false" customHeight="false" outlineLevel="0" collapsed="false">
      <c r="C20" s="4"/>
      <c r="D20" s="5"/>
    </row>
    <row r="21" customFormat="false" ht="12.75" hidden="false" customHeight="false" outlineLevel="0" collapsed="false">
      <c r="C21" s="4" t="s">
        <v>10</v>
      </c>
      <c r="D21" s="6"/>
      <c r="E21" s="6"/>
      <c r="F21" s="5" t="n">
        <f aca="false">IF(D15&gt;0,D15*D10,0)</f>
        <v>608.6754</v>
      </c>
    </row>
    <row r="22" customFormat="false" ht="24" hidden="false" customHeight="false" outlineLevel="0" collapsed="false">
      <c r="C22" s="4" t="s">
        <v>11</v>
      </c>
      <c r="D22" s="6"/>
      <c r="E22" s="5" t="n">
        <f aca="false">IF(D19&gt;0,D19,0)</f>
        <v>3381.53</v>
      </c>
      <c r="F22" s="5" t="n">
        <f aca="false">IF(E19&gt;0,E19,0)-E28-F21</f>
        <v>5956.7438</v>
      </c>
    </row>
    <row r="23" customFormat="false" ht="12.75" hidden="false" customHeight="false" outlineLevel="0" collapsed="false">
      <c r="C23" s="4" t="s">
        <v>12</v>
      </c>
      <c r="D23" s="6"/>
      <c r="E23" s="5" t="n">
        <f aca="false">IF(D15&gt;0,D15*D10,0)</f>
        <v>608.6754</v>
      </c>
      <c r="F23" s="5" t="n">
        <f aca="false">IF(E15&gt;0,E15*D10,0)</f>
        <v>1400.8986</v>
      </c>
    </row>
    <row r="24" customFormat="false" ht="12.75" hidden="false" customHeight="false" outlineLevel="0" collapsed="false">
      <c r="C24" s="4" t="s">
        <v>13</v>
      </c>
      <c r="D24" s="6"/>
      <c r="E24" s="5" t="n">
        <f aca="false">IF(D15&gt;0,D15*D10,0)</f>
        <v>608.6754</v>
      </c>
      <c r="F24" s="5" t="n">
        <f aca="false">IF(E15&gt;0,E15*D10,0)</f>
        <v>1400.8986</v>
      </c>
    </row>
    <row r="25" customFormat="false" ht="12.75" hidden="false" customHeight="false" outlineLevel="0" collapsed="false">
      <c r="C25" s="4"/>
      <c r="D25" s="5"/>
    </row>
    <row r="26" customFormat="false" ht="58.5" hidden="false" customHeight="false" outlineLevel="0" collapsed="false">
      <c r="C26" s="4" t="s">
        <v>14</v>
      </c>
      <c r="D26" s="5" t="n">
        <f aca="false">IF(D15&lt;0,D15*-1,0)</f>
        <v>0</v>
      </c>
      <c r="E26" s="5" t="n">
        <f aca="false">IF(E15&lt;0,E15*-1,0)</f>
        <v>0</v>
      </c>
      <c r="F26" s="5" t="n">
        <f aca="false">IF(F15&lt;0,F15*-1,0)</f>
        <v>0</v>
      </c>
    </row>
    <row r="27" customFormat="false" ht="58.5" hidden="false" customHeight="false" outlineLevel="0" collapsed="false">
      <c r="C27" s="9" t="s">
        <v>15</v>
      </c>
      <c r="D27" s="5" t="n">
        <f aca="false">D26</f>
        <v>0</v>
      </c>
      <c r="E27" s="5" t="n">
        <f aca="false">IF(D27-E15&gt;0,D27-E15,0)</f>
        <v>0</v>
      </c>
      <c r="F27" s="5" t="n">
        <f aca="false">IF(E27-F15&gt;0,E27-F15,0)</f>
        <v>0</v>
      </c>
    </row>
    <row r="28" customFormat="false" ht="46.5" hidden="false" customHeight="false" outlineLevel="0" collapsed="false">
      <c r="B28" s="0" t="s">
        <v>16</v>
      </c>
      <c r="C28" s="4" t="s">
        <v>17</v>
      </c>
      <c r="D28" s="6"/>
      <c r="E28" s="5" t="n">
        <f aca="false">SUM(E23:E24)</f>
        <v>1217.3508</v>
      </c>
      <c r="F28" s="5" t="n">
        <f aca="false">SUM(F23:F24)</f>
        <v>2801.7972</v>
      </c>
    </row>
    <row r="29" customFormat="false" ht="35.25" hidden="false" customHeight="false" outlineLevel="0" collapsed="false">
      <c r="B29" s="0" t="s">
        <v>18</v>
      </c>
      <c r="C29" s="4" t="s">
        <v>19</v>
      </c>
      <c r="D29" s="5" t="n">
        <f aca="false">IF(D19&gt;0,D19,0)</f>
        <v>3381.53</v>
      </c>
      <c r="E29" s="5" t="n">
        <f aca="false">IF(E19&gt;0,E19,0)</f>
        <v>7782.77</v>
      </c>
      <c r="F29" s="5" t="n">
        <f aca="false">IF(F19&gt;0,F19,0)</f>
        <v>15220.9833333333</v>
      </c>
    </row>
    <row r="32" customFormat="false" ht="12.75" hidden="false" customHeight="false" outlineLevel="0" collapsed="false">
      <c r="B32" s="0" t="s">
        <v>20</v>
      </c>
    </row>
    <row r="34" customFormat="false" ht="12.75" hidden="false" customHeight="false" outlineLevel="0" collapsed="false">
      <c r="D34" s="10" t="s">
        <v>21</v>
      </c>
      <c r="E34" s="10"/>
      <c r="F34" s="10"/>
      <c r="G34" s="10" t="s">
        <v>4</v>
      </c>
      <c r="H34" s="10"/>
      <c r="I34" s="10"/>
      <c r="J34" s="10" t="s">
        <v>5</v>
      </c>
      <c r="K34" s="10"/>
      <c r="L34" s="10"/>
    </row>
    <row r="35" customFormat="false" ht="12.75" hidden="false" customHeight="false" outlineLevel="0" collapsed="false">
      <c r="C35" s="1" t="s">
        <v>1</v>
      </c>
      <c r="D35" s="11" t="n">
        <f aca="false">'Datos generales'!E36</f>
        <v>0</v>
      </c>
      <c r="E35" s="12"/>
      <c r="F35" s="12"/>
      <c r="G35" s="11" t="n">
        <f aca="false">'Datos generales'!G36</f>
        <v>0</v>
      </c>
      <c r="H35" s="12"/>
      <c r="I35" s="12"/>
      <c r="J35" s="11" t="n">
        <f aca="false">'Datos generales'!I36</f>
        <v>0</v>
      </c>
      <c r="K35" s="12"/>
      <c r="L35" s="12"/>
    </row>
    <row r="36" customFormat="false" ht="12.75" hidden="false" customHeight="false" outlineLevel="0" collapsed="false">
      <c r="C36" s="1" t="s">
        <v>22</v>
      </c>
      <c r="D36" s="11" t="n">
        <f aca="false">IF(D35=0,0,'Datos generales'!J36)</f>
        <v>0</v>
      </c>
      <c r="E36" s="12"/>
      <c r="F36" s="12"/>
      <c r="G36" s="11" t="n">
        <f aca="false">IF(G35=0,0,'Datos generales'!J36)</f>
        <v>0</v>
      </c>
      <c r="H36" s="12"/>
      <c r="I36" s="12"/>
      <c r="J36" s="11" t="n">
        <f aca="false">IF(J35=0,0,'Datos generales'!J36)</f>
        <v>0</v>
      </c>
      <c r="K36" s="12"/>
      <c r="L36" s="12"/>
    </row>
    <row r="38" customFormat="false" ht="21" hidden="false" customHeight="true" outlineLevel="0" collapsed="false">
      <c r="D38" s="13" t="s">
        <v>6</v>
      </c>
      <c r="E38" s="13" t="s">
        <v>23</v>
      </c>
      <c r="F38" s="13" t="s">
        <v>24</v>
      </c>
      <c r="G38" s="13" t="s">
        <v>6</v>
      </c>
      <c r="H38" s="13" t="s">
        <v>25</v>
      </c>
      <c r="I38" s="13" t="s">
        <v>24</v>
      </c>
      <c r="J38" s="13" t="s">
        <v>6</v>
      </c>
      <c r="K38" s="13" t="s">
        <v>25</v>
      </c>
      <c r="L38" s="13" t="s">
        <v>24</v>
      </c>
    </row>
    <row r="39" customFormat="false" ht="12.75" hidden="false" customHeight="false" outlineLevel="0" collapsed="false">
      <c r="C39" s="1" t="s">
        <v>26</v>
      </c>
      <c r="D39" s="14" t="n">
        <f aca="false">SUM('CUENTA DE RESULTADOS'!D127:G127)</f>
        <v>-6195.36666666667</v>
      </c>
      <c r="E39" s="14" t="n">
        <v>0</v>
      </c>
      <c r="F39" s="14" t="n">
        <f aca="false">IF(D39*D36&lt;0,0,D39*D36)</f>
        <v>-0</v>
      </c>
      <c r="G39" s="14" t="n">
        <f aca="false">SUM('CUENTA DE RESULTADOS'!D205:F205)</f>
        <v>12915.0333333333</v>
      </c>
      <c r="H39" s="14" t="n">
        <v>0</v>
      </c>
      <c r="I39" s="14" t="n">
        <f aca="false">IF(G39*G36&lt;0,0,G39*G36)</f>
        <v>0</v>
      </c>
      <c r="J39" s="14" t="n">
        <f aca="false">SUM('CUENTA DE RESULTADOS'!D283:F283)</f>
        <v>15220.9833333333</v>
      </c>
      <c r="K39" s="14" t="n">
        <v>0</v>
      </c>
      <c r="L39" s="14" t="n">
        <f aca="false">IF(J39*J36&lt;0,0,J39*J36)</f>
        <v>0</v>
      </c>
    </row>
    <row r="40" customFormat="false" ht="12.75" hidden="false" customHeight="false" outlineLevel="0" collapsed="false">
      <c r="C40" s="1" t="s">
        <v>27</v>
      </c>
      <c r="D40" s="14" t="n">
        <f aca="false">SUM('CUENTA DE RESULTADOS'!D127:J127)</f>
        <v>3459.26666666667</v>
      </c>
      <c r="E40" s="14" t="n">
        <f aca="false">F39</f>
        <v>-0</v>
      </c>
      <c r="F40" s="14" t="n">
        <f aca="false">IF((D40*D36)-E40&lt;0,0,(D40*D36)-E40)</f>
        <v>0</v>
      </c>
      <c r="G40" s="14" t="n">
        <f aca="false">SUM('CUENTA DE RESULTADOS'!D205:I205)</f>
        <v>25830.0666666667</v>
      </c>
      <c r="H40" s="14" t="n">
        <f aca="false">I39</f>
        <v>0</v>
      </c>
      <c r="I40" s="14" t="n">
        <f aca="false">IF((G40*G36)-H40&lt;0,0,(G40*G36)-H40)</f>
        <v>0</v>
      </c>
      <c r="J40" s="14" t="n">
        <f aca="false">SUM('CUENTA DE RESULTADOS'!D283:L283)</f>
        <v>45662.95</v>
      </c>
      <c r="K40" s="14" t="n">
        <f aca="false">L39</f>
        <v>0</v>
      </c>
      <c r="L40" s="14" t="n">
        <f aca="false">IF((J40*J36)-K40&lt;0,0,(J40*J36)-K40)</f>
        <v>0</v>
      </c>
    </row>
    <row r="41" customFormat="false" ht="12.75" hidden="false" customHeight="false" outlineLevel="0" collapsed="false">
      <c r="C41" s="1" t="s">
        <v>28</v>
      </c>
      <c r="D41" s="14" t="n">
        <f aca="false">SUM('CUENTA DE RESULTADOS'!D127:M127)</f>
        <v>13113.9</v>
      </c>
      <c r="E41" s="14" t="n">
        <f aca="false">E40+F40</f>
        <v>0</v>
      </c>
      <c r="F41" s="14" t="n">
        <f aca="false">IF((D41*D36)-E41&lt;0,0,(D41*D36)-E41)</f>
        <v>0</v>
      </c>
      <c r="G41" s="14" t="n">
        <f aca="false">SUM('CUENTA DE RESULTADOS'!D205:L205)</f>
        <v>38745.1</v>
      </c>
      <c r="H41" s="14" t="n">
        <f aca="false">H40+I40</f>
        <v>0</v>
      </c>
      <c r="I41" s="14" t="n">
        <f aca="false">IF((G41*G36)-H41&lt;0,0,(G41*G36)-H41)</f>
        <v>0</v>
      </c>
      <c r="J41" s="14" t="n">
        <f aca="false">SUM('CUENTA DE RESULTADOS'!D283:L283)</f>
        <v>45662.95</v>
      </c>
      <c r="K41" s="14" t="n">
        <f aca="false">K40+L40</f>
        <v>0</v>
      </c>
      <c r="L41" s="14" t="n">
        <f aca="false">IF((J41*J36)-K41&lt;0,0,(J41*J36)-K41)</f>
        <v>0</v>
      </c>
    </row>
    <row r="42" customFormat="false" ht="12.75" hidden="false" customHeight="false" outlineLevel="0" collapsed="false">
      <c r="C42" s="1" t="s">
        <v>29</v>
      </c>
      <c r="D42" s="14" t="n">
        <f aca="false">SUM('CUENTA DE RESULTADOS'!D127:Q127)</f>
        <v>22543.5333333333</v>
      </c>
      <c r="E42" s="14" t="n">
        <f aca="false">E41+F41</f>
        <v>0</v>
      </c>
      <c r="F42" s="14" t="n">
        <f aca="false">IF((D42*D36)-E42&lt;0,0,(D42*D36)-E42)</f>
        <v>0</v>
      </c>
      <c r="G42" s="14" t="n">
        <f aca="false">SUM('CUENTA DE RESULTADOS'!D205:P205)</f>
        <v>51885.1333333334</v>
      </c>
      <c r="H42" s="14" t="n">
        <f aca="false">H41+I41</f>
        <v>0</v>
      </c>
      <c r="I42" s="14" t="n">
        <f aca="false">IF((G42*G36)-H42&lt;0,0,(G42*G36)-H42)</f>
        <v>0</v>
      </c>
      <c r="J42" s="14" t="n">
        <f aca="false">SUM('CUENTA DE RESULTADOS'!D283:P283)</f>
        <v>60883.9333333333</v>
      </c>
      <c r="K42" s="14" t="n">
        <f aca="false">K41+L41</f>
        <v>0</v>
      </c>
      <c r="L42" s="15" t="n">
        <f aca="false">IF((J42*J36)-K42&lt;0,0,(J42*J36)-K42)</f>
        <v>0</v>
      </c>
      <c r="M42" s="16"/>
    </row>
    <row r="43" customFormat="false" ht="13.5" hidden="false" customHeight="false" outlineLevel="0" collapsed="false">
      <c r="D43" s="16"/>
      <c r="E43" s="16"/>
      <c r="F43" s="16"/>
      <c r="G43" s="16"/>
      <c r="H43" s="16"/>
      <c r="I43" s="16"/>
      <c r="J43" s="16"/>
      <c r="K43" s="16"/>
    </row>
    <row r="44" customFormat="false" ht="25.5" hidden="false" customHeight="true" outlineLevel="0" collapsed="false">
      <c r="C44" s="1" t="s">
        <v>30</v>
      </c>
      <c r="D44" s="14" t="n">
        <f aca="false">D42</f>
        <v>22543.5333333333</v>
      </c>
      <c r="E44" s="17" t="n">
        <f aca="false">E42+F42</f>
        <v>0</v>
      </c>
      <c r="F44" s="18" t="n">
        <f aca="false">(D44*D35)-E44</f>
        <v>0</v>
      </c>
      <c r="G44" s="19" t="n">
        <f aca="false">G42</f>
        <v>51885.1333333334</v>
      </c>
      <c r="H44" s="17" t="n">
        <f aca="false">H42+I42</f>
        <v>0</v>
      </c>
      <c r="I44" s="18" t="n">
        <f aca="false">(G44*G35)-H44</f>
        <v>0</v>
      </c>
      <c r="J44" s="19" t="n">
        <f aca="false">J42</f>
        <v>60883.9333333333</v>
      </c>
      <c r="K44" s="14" t="n">
        <f aca="false">K42+L42</f>
        <v>0</v>
      </c>
      <c r="L44" s="15" t="n">
        <f aca="false">(J44*J35)-K44</f>
        <v>0</v>
      </c>
    </row>
    <row r="45" customFormat="false" ht="13.5" hidden="false" customHeight="false" outlineLevel="0" collapsed="false">
      <c r="F45" s="20" t="s">
        <v>31</v>
      </c>
      <c r="I45" s="20" t="s">
        <v>31</v>
      </c>
    </row>
    <row r="47" customFormat="false" ht="12.75" hidden="false" customHeight="false" outlineLevel="0" collapsed="false">
      <c r="B47" s="0" t="s">
        <v>32</v>
      </c>
    </row>
    <row r="49" customFormat="false" ht="12.75" hidden="false" customHeight="false" outlineLevel="0" collapsed="false">
      <c r="F49" s="21" t="s">
        <v>21</v>
      </c>
      <c r="I49" s="21" t="s">
        <v>33</v>
      </c>
      <c r="L49" s="21" t="s">
        <v>34</v>
      </c>
    </row>
    <row r="50" customFormat="false" ht="12.75" hidden="false" customHeight="false" outlineLevel="0" collapsed="false">
      <c r="C50" s="1" t="s">
        <v>35</v>
      </c>
      <c r="F50" s="14" t="n">
        <f aca="false">IF(D35=0,'Datos generales'!D36,0)</f>
        <v>0</v>
      </c>
      <c r="I50" s="14" t="n">
        <f aca="false">IF(G35=0,'Datos generales'!F36,0)</f>
        <v>0</v>
      </c>
      <c r="L50" s="14" t="n">
        <f aca="false">IF(J35=0,'Datos generales'!H36,0)</f>
        <v>0</v>
      </c>
    </row>
    <row r="52" customFormat="false" ht="12.75" hidden="false" customHeight="false" outlineLevel="0" collapsed="false">
      <c r="C52" s="1" t="s">
        <v>26</v>
      </c>
      <c r="F52" s="14" t="n">
        <f aca="false">IF('Datos generales'!$O$10&gt;4,0,F50/4)</f>
        <v>0</v>
      </c>
      <c r="I52" s="14" t="n">
        <f aca="false">I50/4</f>
        <v>0</v>
      </c>
      <c r="L52" s="14" t="n">
        <f aca="false">L50/4</f>
        <v>0</v>
      </c>
    </row>
    <row r="53" customFormat="false" ht="12.75" hidden="false" customHeight="false" outlineLevel="0" collapsed="false">
      <c r="C53" s="1" t="s">
        <v>27</v>
      </c>
      <c r="F53" s="14" t="n">
        <f aca="false">IF('Datos generales'!$O$10&gt;7,0,F50/4)</f>
        <v>0</v>
      </c>
      <c r="I53" s="14" t="n">
        <f aca="false">I52</f>
        <v>0</v>
      </c>
      <c r="L53" s="14" t="n">
        <f aca="false">L52</f>
        <v>0</v>
      </c>
    </row>
    <row r="54" customFormat="false" ht="12.75" hidden="false" customHeight="false" outlineLevel="0" collapsed="false">
      <c r="C54" s="1" t="s">
        <v>28</v>
      </c>
      <c r="F54" s="14" t="n">
        <f aca="false">IF('Datos generales'!$O$10&gt;10,0,F50/4)</f>
        <v>0</v>
      </c>
      <c r="I54" s="14" t="n">
        <f aca="false">I53</f>
        <v>0</v>
      </c>
      <c r="L54" s="14" t="n">
        <f aca="false">L53</f>
        <v>0</v>
      </c>
    </row>
    <row r="55" customFormat="false" ht="12.75" hidden="false" customHeight="false" outlineLevel="0" collapsed="false">
      <c r="C55" s="1" t="s">
        <v>29</v>
      </c>
      <c r="F55" s="14" t="n">
        <f aca="false">F50/4</f>
        <v>0</v>
      </c>
      <c r="I55" s="14" t="n">
        <f aca="false">I54</f>
        <v>0</v>
      </c>
      <c r="L55" s="15" t="n">
        <f aca="false">L54</f>
        <v>0</v>
      </c>
    </row>
    <row r="56" customFormat="false" ht="12.75" hidden="false" customHeight="false" outlineLevel="0" collapsed="false">
      <c r="C56" s="1" t="s">
        <v>36</v>
      </c>
      <c r="F56" s="16" t="n">
        <f aca="false">SUM(F52:F55)</f>
        <v>0</v>
      </c>
      <c r="I56" s="16" t="n">
        <f aca="false">SUM(I52:I55)</f>
        <v>0</v>
      </c>
      <c r="L56" s="22" t="n">
        <f aca="false">SUM(L52:L55)</f>
        <v>0</v>
      </c>
    </row>
    <row r="58" customFormat="false" ht="12.75" hidden="false" customHeight="false" outlineLevel="0" collapsed="false">
      <c r="B58" s="23" t="s">
        <v>37</v>
      </c>
    </row>
    <row r="60" customFormat="false" ht="13.5" hidden="false" customHeight="false" outlineLevel="0" collapsed="false">
      <c r="B60" s="0" t="s">
        <v>38</v>
      </c>
      <c r="C60" s="1" t="s">
        <v>26</v>
      </c>
      <c r="F60" s="16" t="n">
        <f aca="false">F39+F52</f>
        <v>0</v>
      </c>
      <c r="I60" s="16" t="n">
        <f aca="false">I39+F50-G62</f>
        <v>0</v>
      </c>
      <c r="L60" s="16" t="n">
        <f aca="false">L39+L52</f>
        <v>0</v>
      </c>
    </row>
    <row r="61" customFormat="false" ht="12.75" hidden="false" customHeight="false" outlineLevel="0" collapsed="false">
      <c r="C61" s="1" t="s">
        <v>27</v>
      </c>
      <c r="F61" s="16" t="n">
        <f aca="false">F40+F53</f>
        <v>0</v>
      </c>
      <c r="G61" s="24" t="s">
        <v>39</v>
      </c>
      <c r="I61" s="16" t="n">
        <f aca="false">I40+I53</f>
        <v>0</v>
      </c>
      <c r="J61" s="24" t="s">
        <v>39</v>
      </c>
      <c r="L61" s="16" t="n">
        <f aca="false">L40+L53</f>
        <v>0</v>
      </c>
      <c r="M61" s="24" t="s">
        <v>39</v>
      </c>
    </row>
    <row r="62" customFormat="false" ht="13.5" hidden="false" customHeight="false" outlineLevel="0" collapsed="false">
      <c r="C62" s="1" t="s">
        <v>28</v>
      </c>
      <c r="F62" s="16" t="n">
        <f aca="false">F41+F54</f>
        <v>0</v>
      </c>
      <c r="G62" s="25" t="n">
        <f aca="false">SUM(F60:F62)</f>
        <v>0</v>
      </c>
      <c r="I62" s="16" t="n">
        <f aca="false">I41+I54</f>
        <v>0</v>
      </c>
      <c r="J62" s="25" t="n">
        <f aca="false">SUM(I60:I62)</f>
        <v>0</v>
      </c>
      <c r="L62" s="16" t="n">
        <f aca="false">L41+L54</f>
        <v>0</v>
      </c>
      <c r="M62" s="25" t="n">
        <f aca="false">SUM(L60:L62)</f>
        <v>0</v>
      </c>
    </row>
    <row r="63" customFormat="false" ht="12.75" hidden="false" customHeight="false" outlineLevel="0" collapsed="false">
      <c r="C63" s="1" t="s">
        <v>29</v>
      </c>
      <c r="F63" s="16" t="n">
        <f aca="false">F42+F55</f>
        <v>0</v>
      </c>
      <c r="I63" s="16" t="n">
        <f aca="false">I42+I55</f>
        <v>0</v>
      </c>
      <c r="L63" s="26" t="n">
        <f aca="false">L42+L55</f>
        <v>0</v>
      </c>
    </row>
    <row r="66" customFormat="false" ht="18" hidden="false" customHeight="false" outlineLevel="0" collapsed="false">
      <c r="A66" s="27" t="s">
        <v>40</v>
      </c>
    </row>
    <row r="67" customFormat="false" ht="13.5" hidden="false" customHeight="false" outlineLevel="0" collapsed="false"/>
    <row r="68" customFormat="false" ht="14.25" hidden="false" customHeight="true" outlineLevel="0" collapsed="false">
      <c r="B68" s="0" t="s">
        <v>6</v>
      </c>
      <c r="C68" s="28" t="s">
        <v>41</v>
      </c>
      <c r="D68" s="28"/>
      <c r="E68" s="28"/>
      <c r="F68" s="29" t="n">
        <f aca="false">D15+F52+F53+F54+F55+(D44*D35)</f>
        <v>3381.53</v>
      </c>
      <c r="G68" s="30"/>
      <c r="H68" s="30"/>
      <c r="I68" s="29" t="n">
        <f aca="false">E15+I50+(G44*G35)</f>
        <v>7782.77</v>
      </c>
      <c r="J68" s="30"/>
      <c r="K68" s="30"/>
      <c r="L68" s="29" t="n">
        <f aca="false">F15+L50+(J44*J35)</f>
        <v>15220.9833333333</v>
      </c>
    </row>
    <row r="73" customFormat="false" ht="69.75" hidden="false" customHeight="false" outlineLevel="0" collapsed="false">
      <c r="B73" s="0" t="s">
        <v>42</v>
      </c>
      <c r="C73" s="1" t="s">
        <v>43</v>
      </c>
      <c r="F73" s="16" t="n">
        <f aca="false">IF(F68&lt;0,D27+(D44*D35)*-1,0)+G62+D28</f>
        <v>0</v>
      </c>
      <c r="I73" s="16" t="n">
        <f aca="false">IF(I68&lt;0,(G44*G35)*-1,0)+J62+E27+E28</f>
        <v>1217.3508</v>
      </c>
      <c r="L73" s="16" t="n">
        <f aca="false">IF(L68&lt;0,(J44*J35)*-1,0)+M62+F27+F28</f>
        <v>2801.7972</v>
      </c>
    </row>
    <row r="76" customFormat="false" ht="58.5" hidden="false" customHeight="false" outlineLevel="0" collapsed="false">
      <c r="B76" s="0" t="s">
        <v>44</v>
      </c>
      <c r="C76" s="1" t="s">
        <v>45</v>
      </c>
      <c r="F76" s="16" t="n">
        <f aca="false">IF(F68&lt;0,0,D44*D35)+F56+D29</f>
        <v>3381.53</v>
      </c>
      <c r="I76" s="16" t="n">
        <f aca="false">IF(I68&lt;0,0,G44*G35)+I56+E29</f>
        <v>7782.77</v>
      </c>
      <c r="L76" s="16" t="n">
        <f aca="false">IF(L68&lt;0,0,J44*J35)+L56+F29</f>
        <v>15220.9833333333</v>
      </c>
    </row>
  </sheetData>
  <sheetProtection sheet="true" password="cc4b"/>
  <mergeCells count="4">
    <mergeCell ref="D34:F34"/>
    <mergeCell ref="G34:I34"/>
    <mergeCell ref="J34:L34"/>
    <mergeCell ref="C68:E6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12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11.4609375" defaultRowHeight="12.75" zeroHeight="false" outlineLevelRow="0" outlineLevelCol="0"/>
  <cols>
    <col collapsed="false" customWidth="false" hidden="false" outlineLevel="0" max="1" min="1" style="353" width="11.46"/>
    <col collapsed="false" customWidth="true" hidden="false" outlineLevel="0" max="2" min="2" style="353" width="40.99"/>
    <col collapsed="false" customWidth="true" hidden="false" outlineLevel="0" max="3" min="3" style="353" width="15.64"/>
    <col collapsed="false" customWidth="true" hidden="false" outlineLevel="0" max="4" min="4" style="353" width="8.49"/>
    <col collapsed="false" customWidth="true" hidden="false" outlineLevel="0" max="5" min="5" style="353" width="15.64"/>
    <col collapsed="false" customWidth="true" hidden="false" outlineLevel="0" max="6" min="6" style="353" width="9.04"/>
    <col collapsed="false" customWidth="true" hidden="false" outlineLevel="0" max="7" min="7" style="354" width="15.64"/>
    <col collapsed="false" customWidth="true" hidden="false" outlineLevel="0" max="8" min="8" style="353" width="9.7"/>
    <col collapsed="false" customWidth="true" hidden="false" outlineLevel="0" max="9" min="9" style="353" width="15.64"/>
    <col collapsed="false" customWidth="true" hidden="false" outlineLevel="0" max="10" min="10" style="353" width="9.44"/>
    <col collapsed="false" customWidth="true" hidden="false" outlineLevel="0" max="11" min="11" style="353" width="2.69"/>
    <col collapsed="false" customWidth="true" hidden="false" outlineLevel="0" max="12" min="12" style="353" width="3.1"/>
    <col collapsed="false" customWidth="true" hidden="true" outlineLevel="0" max="13" min="13" style="353" width="10.92"/>
    <col collapsed="false" customWidth="true" hidden="true" outlineLevel="0" max="14" min="14" style="353" width="6.87"/>
    <col collapsed="false" customWidth="true" hidden="false" outlineLevel="0" max="15" min="15" style="353" width="35.06"/>
    <col collapsed="false" customWidth="false" hidden="false" outlineLevel="0" max="16384" min="16" style="353" width="11.46"/>
  </cols>
  <sheetData>
    <row r="1" customFormat="false" ht="9.75" hidden="false" customHeight="true" outlineLevel="0" collapsed="false"/>
    <row r="2" customFormat="false" ht="13.5" hidden="false" customHeight="true" outlineLevel="0" collapsed="false"/>
    <row r="3" customFormat="false" ht="87" hidden="false" customHeight="true" outlineLevel="0" collapsed="false">
      <c r="B3" s="743" t="s">
        <v>478</v>
      </c>
      <c r="C3" s="743"/>
      <c r="D3" s="743"/>
      <c r="E3" s="743"/>
      <c r="F3" s="743"/>
      <c r="G3" s="743"/>
      <c r="H3" s="743"/>
      <c r="I3" s="743"/>
      <c r="J3" s="743"/>
    </row>
    <row r="6" customFormat="false" ht="12.75" hidden="false" customHeight="false" outlineLevel="0" collapsed="false">
      <c r="F6" s="93"/>
      <c r="H6" s="48"/>
      <c r="I6" s="48"/>
      <c r="J6" s="48"/>
      <c r="K6" s="48"/>
    </row>
    <row r="7" customFormat="false" ht="20.25" hidden="false" customHeight="false" outlineLevel="0" collapsed="false">
      <c r="B7" s="300" t="str">
        <f aca="false">'Datos generales'!C6</f>
        <v>La tienda S.L</v>
      </c>
      <c r="C7" s="300"/>
      <c r="D7" s="300"/>
      <c r="E7" s="300"/>
      <c r="F7" s="300"/>
      <c r="G7" s="300"/>
      <c r="H7" s="48"/>
      <c r="I7" s="48"/>
      <c r="J7" s="48"/>
      <c r="K7" s="48"/>
    </row>
    <row r="8" customFormat="false" ht="12.75" hidden="false" customHeight="false" outlineLevel="0" collapsed="false">
      <c r="D8" s="48"/>
      <c r="E8" s="48"/>
      <c r="F8" s="48"/>
      <c r="G8" s="48"/>
      <c r="H8" s="48"/>
      <c r="I8" s="48"/>
      <c r="J8" s="48"/>
      <c r="K8" s="48"/>
    </row>
    <row r="9" customFormat="false" ht="14.25" hidden="false" customHeight="false" outlineLevel="0" collapsed="false">
      <c r="B9" s="51" t="s">
        <v>479</v>
      </c>
      <c r="C9" s="744"/>
      <c r="D9" s="745"/>
      <c r="E9" s="744"/>
      <c r="F9" s="745"/>
      <c r="G9" s="744"/>
      <c r="H9" s="704"/>
      <c r="I9" s="746"/>
      <c r="J9" s="704"/>
      <c r="K9" s="704"/>
    </row>
    <row r="10" customFormat="false" ht="14.25" hidden="false" customHeight="false" outlineLevel="0" collapsed="false">
      <c r="B10" s="703"/>
      <c r="C10" s="747"/>
      <c r="D10" s="748"/>
      <c r="E10" s="747"/>
      <c r="F10" s="748"/>
      <c r="G10" s="747"/>
      <c r="H10" s="704"/>
      <c r="I10" s="746"/>
      <c r="J10" s="704"/>
      <c r="K10" s="704"/>
    </row>
    <row r="11" customFormat="false" ht="14.25" hidden="false" customHeight="false" outlineLevel="0" collapsed="false">
      <c r="B11" s="746"/>
      <c r="C11" s="749" t="s">
        <v>419</v>
      </c>
      <c r="D11" s="749"/>
      <c r="E11" s="749" t="s">
        <v>95</v>
      </c>
      <c r="F11" s="749"/>
      <c r="G11" s="749" t="s">
        <v>96</v>
      </c>
      <c r="H11" s="749"/>
      <c r="I11" s="749" t="s">
        <v>97</v>
      </c>
      <c r="J11" s="749"/>
      <c r="K11" s="428"/>
    </row>
    <row r="12" customFormat="false" ht="18.75" hidden="false" customHeight="false" outlineLevel="0" collapsed="false">
      <c r="B12" s="750" t="s">
        <v>480</v>
      </c>
      <c r="C12" s="751" t="s">
        <v>481</v>
      </c>
      <c r="D12" s="752" t="s">
        <v>100</v>
      </c>
      <c r="E12" s="751" t="s">
        <v>481</v>
      </c>
      <c r="F12" s="752" t="s">
        <v>100</v>
      </c>
      <c r="G12" s="751" t="s">
        <v>481</v>
      </c>
      <c r="H12" s="752" t="s">
        <v>100</v>
      </c>
      <c r="I12" s="751" t="s">
        <v>481</v>
      </c>
      <c r="J12" s="752" t="s">
        <v>100</v>
      </c>
      <c r="K12" s="745"/>
    </row>
    <row r="13" customFormat="false" ht="12.75" hidden="false" customHeight="false" outlineLevel="0" collapsed="false">
      <c r="B13" s="753" t="s">
        <v>482</v>
      </c>
      <c r="C13" s="754"/>
      <c r="D13" s="755"/>
      <c r="E13" s="754"/>
      <c r="F13" s="755"/>
      <c r="G13" s="756"/>
      <c r="H13" s="755"/>
      <c r="I13" s="754"/>
      <c r="J13" s="757"/>
    </row>
    <row r="14" customFormat="false" ht="12.75" hidden="false" customHeight="false" outlineLevel="0" collapsed="false">
      <c r="B14" s="758" t="s">
        <v>483</v>
      </c>
      <c r="C14" s="759" t="n">
        <f aca="false">'PRESUPUESTO INICIAL INVER_FINAN'!F31</f>
        <v>1050</v>
      </c>
      <c r="D14" s="760" t="n">
        <f aca="false">IF(ISERROR(C14/C$31)=TRUE(),0,C14/C$31)</f>
        <v>0.00346020761245675</v>
      </c>
      <c r="E14" s="759" t="n">
        <f aca="false">'Plan de inversión'!D12-'Plan de inversión'!D13</f>
        <v>733.333333333333</v>
      </c>
      <c r="F14" s="760" t="n">
        <f aca="false">IF(ISERROR(E14/E$31)=TRUE(),0,E14/E$31)</f>
        <v>0.0020210205428011</v>
      </c>
      <c r="G14" s="761" t="n">
        <f aca="false">'Plan de inversión'!E12-'Plan de inversión'!E13</f>
        <v>416.666666666667</v>
      </c>
      <c r="H14" s="760" t="n">
        <f aca="false">IF(ISERROR(G14/G$31)=TRUE(),0,G14/G$31)</f>
        <v>0.00101745372267413</v>
      </c>
      <c r="I14" s="759" t="n">
        <f aca="false">'Plan de inversión'!F12-'Plan de inversión'!F13</f>
        <v>100</v>
      </c>
      <c r="J14" s="762" t="n">
        <f aca="false">IF(ISERROR(I14/I$31)=TRUE(),0,I14/I$31)</f>
        <v>0.000224852867526135</v>
      </c>
      <c r="K14" s="763"/>
      <c r="P14" s="353" t="s">
        <v>484</v>
      </c>
    </row>
    <row r="15" customFormat="false" ht="12.75" hidden="false" customHeight="false" outlineLevel="0" collapsed="false">
      <c r="B15" s="758" t="s">
        <v>485</v>
      </c>
      <c r="C15" s="759" t="n">
        <f aca="false">'PRESUPUESTO INICIAL INVER_FINAN'!F45</f>
        <v>260600</v>
      </c>
      <c r="D15" s="760" t="n">
        <f aca="false">IF(ISERROR(C15/C$31)=TRUE(),0,C15/C$31)</f>
        <v>0.858790575053551</v>
      </c>
      <c r="E15" s="759" t="n">
        <f aca="false">'Plan de inversión'!D10-'Plan de inversión'!D11</f>
        <v>248750</v>
      </c>
      <c r="F15" s="760" t="n">
        <f aca="false">IF(ISERROR(E15/E$31)=TRUE(),0,E15/E$31)</f>
        <v>0.685539354575147</v>
      </c>
      <c r="G15" s="761" t="n">
        <f aca="false">'Plan de inversión'!E10-'Plan de inversión'!E11</f>
        <v>236900</v>
      </c>
      <c r="H15" s="760" t="n">
        <f aca="false">IF(ISERROR(G15/G$31)=TRUE(),0,G15/G$31)</f>
        <v>0.578483488563602</v>
      </c>
      <c r="I15" s="759" t="n">
        <f aca="false">'Plan de inversión'!F10-'Plan de inversión'!F11</f>
        <v>225050</v>
      </c>
      <c r="J15" s="762" t="n">
        <f aca="false">IF(ISERROR(I15/I$31)=TRUE(),0,I15/I$31)</f>
        <v>0.506031378367565</v>
      </c>
      <c r="K15" s="763"/>
    </row>
    <row r="16" customFormat="false" ht="12.75" hidden="false" customHeight="false" outlineLevel="0" collapsed="false">
      <c r="B16" s="764" t="s">
        <v>486</v>
      </c>
      <c r="C16" s="759" t="n">
        <v>0</v>
      </c>
      <c r="D16" s="760"/>
      <c r="E16" s="759" t="n">
        <v>0</v>
      </c>
      <c r="F16" s="760"/>
      <c r="G16" s="761" t="n">
        <v>0</v>
      </c>
      <c r="H16" s="760"/>
      <c r="I16" s="759" t="n">
        <v>0</v>
      </c>
      <c r="J16" s="762"/>
      <c r="K16" s="763"/>
    </row>
    <row r="17" customFormat="false" ht="12.75" hidden="false" customHeight="false" outlineLevel="0" collapsed="false">
      <c r="B17" s="764" t="s">
        <v>487</v>
      </c>
      <c r="C17" s="759" t="n">
        <f aca="false">'PRESUPUESTO INICIAL INVER_FINAN'!F51</f>
        <v>0</v>
      </c>
      <c r="D17" s="760" t="n">
        <f aca="false">IF(ISERROR(C17/C$31)=TRUE(),0,C17/C$31)</f>
        <v>0</v>
      </c>
      <c r="E17" s="759" t="n">
        <f aca="false">'Plan de inversión'!D14</f>
        <v>0</v>
      </c>
      <c r="F17" s="760" t="n">
        <f aca="false">IF(ISERROR(E17/E$31)=TRUE(),0,E17/E$31)</f>
        <v>0</v>
      </c>
      <c r="G17" s="761" t="n">
        <f aca="false">'Plan de inversión'!E14</f>
        <v>0</v>
      </c>
      <c r="H17" s="760" t="n">
        <f aca="false">IF(ISERROR(G17/G$31)=TRUE(),0,G17/G$31)</f>
        <v>0</v>
      </c>
      <c r="I17" s="759" t="n">
        <f aca="false">'Plan de inversión'!F14</f>
        <v>0</v>
      </c>
      <c r="J17" s="762" t="n">
        <f aca="false">IF(ISERROR(I17/I$31)=TRUE(),0,I17/I$31)</f>
        <v>0</v>
      </c>
      <c r="K17" s="763"/>
    </row>
    <row r="18" customFormat="false" ht="12.75" hidden="false" customHeight="false" outlineLevel="0" collapsed="false">
      <c r="B18" s="764" t="s">
        <v>488</v>
      </c>
      <c r="C18" s="765" t="n">
        <v>0</v>
      </c>
      <c r="D18" s="766"/>
      <c r="E18" s="765" t="n">
        <v>0</v>
      </c>
      <c r="F18" s="766"/>
      <c r="G18" s="767" t="n">
        <v>0</v>
      </c>
      <c r="H18" s="766"/>
      <c r="I18" s="765" t="n">
        <v>0</v>
      </c>
      <c r="J18" s="768"/>
      <c r="K18" s="763"/>
    </row>
    <row r="19" customFormat="false" ht="12.75" hidden="false" customHeight="false" outlineLevel="0" collapsed="false">
      <c r="B19" s="758" t="s">
        <v>489</v>
      </c>
      <c r="C19" s="759" t="n">
        <v>0</v>
      </c>
      <c r="D19" s="760" t="n">
        <f aca="false">IF(ISERROR(C19/C$31)=TRUE(),0,C19/C$31)</f>
        <v>0</v>
      </c>
      <c r="E19" s="759" t="n">
        <v>0</v>
      </c>
      <c r="F19" s="760" t="n">
        <f aca="false">IF(ISERROR(E19/E$31)=TRUE(),0,E19/E$31)</f>
        <v>0</v>
      </c>
      <c r="G19" s="759" t="n">
        <v>0</v>
      </c>
      <c r="H19" s="760" t="n">
        <f aca="false">IF(ISERROR(G19/G$31)=TRUE(),0,G19/G$31)</f>
        <v>0</v>
      </c>
      <c r="I19" s="759" t="n">
        <v>0</v>
      </c>
      <c r="J19" s="762" t="n">
        <f aca="false">IF(ISERROR(I19/I$31)=TRUE(),0,I19/I$31)</f>
        <v>0</v>
      </c>
      <c r="K19" s="763"/>
    </row>
    <row r="20" customFormat="false" ht="14.25" hidden="false" customHeight="false" outlineLevel="0" collapsed="false">
      <c r="B20" s="769" t="s">
        <v>490</v>
      </c>
      <c r="C20" s="770" t="n">
        <f aca="false">SUM(C14:C19)</f>
        <v>261650</v>
      </c>
      <c r="D20" s="771" t="n">
        <f aca="false">IF(ISERROR(C20/C$31)=TRUE(),0,C20/C$31)</f>
        <v>0.862250782666008</v>
      </c>
      <c r="E20" s="770" t="n">
        <f aca="false">SUM(E14:E19)</f>
        <v>249483.333333333</v>
      </c>
      <c r="F20" s="771" t="n">
        <f aca="false">IF(ISERROR(E20/E$31)=TRUE(),0,E20/E$31)</f>
        <v>0.687560375117948</v>
      </c>
      <c r="G20" s="770" t="n">
        <f aca="false">SUM(G14:G19)</f>
        <v>237316.666666667</v>
      </c>
      <c r="H20" s="771" t="n">
        <f aca="false">IF(ISERROR(G20/G$31)=TRUE(),0,G20/G$31)</f>
        <v>0.579500942286277</v>
      </c>
      <c r="I20" s="770" t="n">
        <f aca="false">SUM(I14:I19)</f>
        <v>225150</v>
      </c>
      <c r="J20" s="772" t="n">
        <f aca="false">IF(ISERROR(I20/I$31)=TRUE(),0,I20/I$31)</f>
        <v>0.506256231235091</v>
      </c>
      <c r="K20" s="773"/>
    </row>
    <row r="21" s="353" customFormat="true" ht="21" hidden="false" customHeight="true" outlineLevel="0" collapsed="false">
      <c r="B21" s="774" t="s">
        <v>491</v>
      </c>
      <c r="D21" s="775"/>
      <c r="F21" s="775"/>
      <c r="H21" s="775"/>
      <c r="J21" s="776"/>
      <c r="K21" s="777"/>
    </row>
    <row r="22" customFormat="false" ht="12.75" hidden="false" customHeight="false" outlineLevel="0" collapsed="false">
      <c r="B22" s="758" t="s">
        <v>492</v>
      </c>
      <c r="C22" s="759" t="n">
        <f aca="false">IF('Datos generales'!D22&lt;=0,'PRESUPUESTO INICIAL INVER_FINAN'!F81+'PRESUPUESTO INICIAL INVER_FINAN'!O88,'PRESUPUESTO INICIAL INVER_FINAN'!F81)</f>
        <v>12823</v>
      </c>
      <c r="D22" s="760" t="n">
        <f aca="false">IF(ISERROR(C22/C$31)=TRUE(),0,C22/C$31)</f>
        <v>0.0422573735376504</v>
      </c>
      <c r="E22" s="759" t="n">
        <f aca="false">IF('Datos generales'!D22&lt;=0, 'Margen B'!P144, 'Margen B'!P143)</f>
        <v>12598</v>
      </c>
      <c r="F22" s="760" t="n">
        <f aca="false">IF(ISERROR(E22/E$31)=TRUE(),0,E22/E$31)</f>
        <v>0.0347192956339204</v>
      </c>
      <c r="G22" s="761" t="n">
        <f aca="false">IF('Datos generales'!D22&lt;=0, 'Margen B'!P202, 'Margen B'!P201)</f>
        <v>12823</v>
      </c>
      <c r="H22" s="760" t="n">
        <f aca="false">IF(ISERROR(G22/G$31)=TRUE(),0,G22/G$31)</f>
        <v>0.0313123418060408</v>
      </c>
      <c r="I22" s="759" t="n">
        <f aca="false">IF('Datos generales'!D22&lt;=0, 'Margen B'!P261, 'Margen B'!P260)</f>
        <v>12823</v>
      </c>
      <c r="J22" s="762" t="n">
        <f aca="false">IF(ISERROR(I22/I$31)=TRUE(),0,I22/I$31)</f>
        <v>0.0288328832028762</v>
      </c>
      <c r="K22" s="763"/>
    </row>
    <row r="23" customFormat="false" ht="12.75" hidden="false" customHeight="false" outlineLevel="0" collapsed="false">
      <c r="B23" s="758" t="s">
        <v>493</v>
      </c>
      <c r="C23" s="778"/>
      <c r="D23" s="779"/>
      <c r="E23" s="778"/>
      <c r="F23" s="779"/>
      <c r="H23" s="779"/>
      <c r="I23" s="778"/>
      <c r="J23" s="780"/>
      <c r="K23" s="763"/>
    </row>
    <row r="24" customFormat="false" ht="14.25" hidden="false" customHeight="true" outlineLevel="0" collapsed="false">
      <c r="B24" s="758" t="s">
        <v>494</v>
      </c>
      <c r="C24" s="759" t="n">
        <v>0</v>
      </c>
      <c r="D24" s="760" t="n">
        <f aca="false">IF(ISERROR(C24/C$31)=TRUE(),0,C24/C$31)</f>
        <v>0</v>
      </c>
      <c r="E24" s="759" t="n">
        <f aca="false">'Politica Cobr. Pagos'!E25</f>
        <v>0</v>
      </c>
      <c r="F24" s="760" t="n">
        <f aca="false">IF(ISERROR(E24/E$31)=TRUE(),0,E24/E$31)</f>
        <v>0</v>
      </c>
      <c r="G24" s="761" t="n">
        <f aca="false">'Politica Cobr. Pagos'!F25</f>
        <v>0</v>
      </c>
      <c r="H24" s="760" t="n">
        <f aca="false">IF(ISERROR(G24/G$31)=TRUE(),0,G24/G$31)</f>
        <v>0</v>
      </c>
      <c r="I24" s="759" t="n">
        <f aca="false">'Politica Cobr. Pagos'!G25</f>
        <v>0</v>
      </c>
      <c r="J24" s="762" t="n">
        <f aca="false">IF(ISERROR(I24/I$31)=TRUE(),0,I24/I$31)</f>
        <v>0</v>
      </c>
      <c r="K24" s="763"/>
    </row>
    <row r="25" customFormat="false" ht="12.75" hidden="false" customHeight="false" outlineLevel="0" collapsed="false">
      <c r="B25" s="758" t="s">
        <v>495</v>
      </c>
      <c r="C25" s="759" t="n">
        <f aca="false">IF('Datos generales'!D22&lt;=0,0,'PRESUPUESTO INICIAL INVER_FINAN'!O89)</f>
        <v>28666.3</v>
      </c>
      <c r="D25" s="760" t="n">
        <f aca="false">IF(ISERROR(C25/C$31)=TRUE(),0,C25/C$31)</f>
        <v>0.094467951886637</v>
      </c>
      <c r="E25" s="759" t="n">
        <f aca="false">IF(TESORERIA!D39&lt;0,-1*(TESORERIA!D39),0)+'Impuesto sociedades'!F73</f>
        <v>23802.076</v>
      </c>
      <c r="F25" s="760" t="n">
        <f aca="false">IF(ISERROR(E25/E$31)=TRUE(),0,E25/E$31)</f>
        <v>0.0655970243963361</v>
      </c>
      <c r="G25" s="761" t="n">
        <f aca="false">IF(TESORERIA!E39&lt;0,-1*(TESORERIA!E39),0)+'Impuesto sociedades'!I73</f>
        <v>18924.0508</v>
      </c>
      <c r="H25" s="760" t="n">
        <f aca="false">IF(ISERROR(G25/G$31)=TRUE(),0,G25/G$31)</f>
        <v>0.0462104302428824</v>
      </c>
      <c r="I25" s="759" t="n">
        <f aca="false">IF(TESORERIA!F39&lt;0,-1*(TESORERIA!F39),0)+'Impuesto sociedades'!L73</f>
        <v>13532.3452</v>
      </c>
      <c r="J25" s="762" t="n">
        <f aca="false">IF(ISERROR(I25/I$31)=TRUE(),0,I25/I$31)</f>
        <v>0.0304278662257352</v>
      </c>
      <c r="K25" s="763"/>
    </row>
    <row r="26" customFormat="false" ht="16.5" hidden="false" customHeight="true" outlineLevel="0" collapsed="false">
      <c r="B26" s="758" t="s">
        <v>496</v>
      </c>
      <c r="C26" s="765" t="n">
        <v>0</v>
      </c>
      <c r="D26" s="766"/>
      <c r="E26" s="765" t="n">
        <v>0</v>
      </c>
      <c r="F26" s="766"/>
      <c r="G26" s="767" t="n">
        <v>0</v>
      </c>
      <c r="H26" s="766"/>
      <c r="I26" s="765" t="n">
        <v>0</v>
      </c>
      <c r="J26" s="768"/>
      <c r="K26" s="763"/>
    </row>
    <row r="27" customFormat="false" ht="12.75" hidden="false" customHeight="false" outlineLevel="0" collapsed="false">
      <c r="B27" s="758" t="s">
        <v>497</v>
      </c>
      <c r="C27" s="765" t="n">
        <v>0</v>
      </c>
      <c r="D27" s="766"/>
      <c r="E27" s="765" t="n">
        <v>0</v>
      </c>
      <c r="F27" s="766"/>
      <c r="G27" s="767" t="n">
        <v>0</v>
      </c>
      <c r="H27" s="766"/>
      <c r="I27" s="765" t="n">
        <v>0</v>
      </c>
      <c r="J27" s="768"/>
      <c r="K27" s="763"/>
    </row>
    <row r="28" customFormat="false" ht="12.75" hidden="false" customHeight="false" outlineLevel="0" collapsed="false">
      <c r="B28" s="758" t="s">
        <v>498</v>
      </c>
      <c r="C28" s="778" t="n">
        <f aca="false">TESORERIA!C34</f>
        <v>310.700000000012</v>
      </c>
      <c r="D28" s="781" t="n">
        <f aca="false">IF(ISERROR(C28/C$31)=TRUE(),0,C28/C$31)</f>
        <v>0.0010238919097051</v>
      </c>
      <c r="E28" s="778" t="n">
        <f aca="false">TESORERIA!D35</f>
        <v>76969.574</v>
      </c>
      <c r="F28" s="781" t="n">
        <f aca="false">IF(ISERROR(E28/E$31)=TRUE(),0,E28/E$31)</f>
        <v>0.212123304851795</v>
      </c>
      <c r="G28" s="778" t="n">
        <f aca="false">TESORERIA!E35</f>
        <v>140455.317533333</v>
      </c>
      <c r="H28" s="781" t="n">
        <f aca="false">IF(ISERROR(G28/G$31)=TRUE(),0,G28/G$31)</f>
        <v>0.3429762856648</v>
      </c>
      <c r="I28" s="778" t="n">
        <f aca="false">TESORERIA!F35</f>
        <v>193229.921466667</v>
      </c>
      <c r="J28" s="782" t="n">
        <f aca="false">IF(ISERROR(I28/I$31)=TRUE(),0,I28/I$31)</f>
        <v>0.434483019336297</v>
      </c>
      <c r="K28" s="763"/>
    </row>
    <row r="29" customFormat="false" ht="14.25" hidden="false" customHeight="false" outlineLevel="0" collapsed="false">
      <c r="B29" s="769" t="s">
        <v>499</v>
      </c>
      <c r="C29" s="770" t="n">
        <f aca="false">SUM(C22:C28)</f>
        <v>41800</v>
      </c>
      <c r="D29" s="771" t="n">
        <f aca="false">IF(ISERROR(C29/C$31)=TRUE(),0,C29/C$31)</f>
        <v>0.137749217333992</v>
      </c>
      <c r="E29" s="770" t="n">
        <f aca="false">SUM(E22:E28)</f>
        <v>113369.65</v>
      </c>
      <c r="F29" s="771" t="n">
        <f aca="false">IF(ISERROR(E29/E$31)=TRUE(),0,E29/E$31)</f>
        <v>0.312439624882052</v>
      </c>
      <c r="G29" s="783" t="n">
        <f aca="false">SUM(G22:G28)</f>
        <v>172202.368333333</v>
      </c>
      <c r="H29" s="771" t="n">
        <f aca="false">IF(ISERROR(G29/G$31)=TRUE(),0,G29/G$31)</f>
        <v>0.420499057713724</v>
      </c>
      <c r="I29" s="770" t="n">
        <f aca="false">SUM(I22:I28)</f>
        <v>219585.266666667</v>
      </c>
      <c r="J29" s="772" t="n">
        <f aca="false">IF(ISERROR(I29/I$31)=TRUE(),0,I29/I$31)</f>
        <v>0.493743768764909</v>
      </c>
      <c r="K29" s="773"/>
    </row>
    <row r="30" customFormat="false" ht="12" hidden="false" customHeight="true" outlineLevel="0" collapsed="false">
      <c r="B30" s="784"/>
      <c r="C30" s="785"/>
      <c r="D30" s="786"/>
      <c r="E30" s="785"/>
      <c r="F30" s="786"/>
      <c r="G30" s="704"/>
      <c r="H30" s="786"/>
      <c r="I30" s="785"/>
      <c r="J30" s="787"/>
      <c r="K30" s="773"/>
    </row>
    <row r="31" customFormat="false" ht="18.75" hidden="false" customHeight="false" outlineLevel="0" collapsed="false">
      <c r="B31" s="788" t="s">
        <v>500</v>
      </c>
      <c r="C31" s="789" t="n">
        <f aca="false">C20+C29</f>
        <v>303450</v>
      </c>
      <c r="D31" s="790" t="n">
        <f aca="false">IF(ISERROR(C31/C$31)=TRUE(),0,C31/C$31)</f>
        <v>1</v>
      </c>
      <c r="E31" s="789" t="n">
        <f aca="false">E20+E29</f>
        <v>362852.983333333</v>
      </c>
      <c r="F31" s="790" t="n">
        <f aca="false">IF(ISERROR(E31/E$31)=TRUE(),0,E31/E$31)</f>
        <v>1</v>
      </c>
      <c r="G31" s="791" t="n">
        <f aca="false">G20+G29</f>
        <v>409519.035</v>
      </c>
      <c r="H31" s="790" t="n">
        <f aca="false">IF(ISERROR(G31/G$31)=TRUE(),0,G31/G$31)</f>
        <v>1</v>
      </c>
      <c r="I31" s="789" t="n">
        <f aca="false">I20+I29</f>
        <v>444735.266666667</v>
      </c>
      <c r="J31" s="792" t="n">
        <f aca="false">IF(ISERROR(I31/I$31)=TRUE(),0,I31/I$31)</f>
        <v>1</v>
      </c>
      <c r="K31" s="773"/>
    </row>
    <row r="32" customFormat="false" ht="36" hidden="false" customHeight="true" outlineLevel="0" collapsed="false">
      <c r="B32" s="793" t="s">
        <v>501</v>
      </c>
      <c r="C32" s="794" t="s">
        <v>481</v>
      </c>
      <c r="D32" s="795" t="s">
        <v>100</v>
      </c>
      <c r="E32" s="794" t="s">
        <v>481</v>
      </c>
      <c r="F32" s="795" t="s">
        <v>100</v>
      </c>
      <c r="G32" s="794" t="s">
        <v>481</v>
      </c>
      <c r="H32" s="795" t="s">
        <v>100</v>
      </c>
      <c r="I32" s="794" t="s">
        <v>481</v>
      </c>
      <c r="J32" s="795" t="s">
        <v>100</v>
      </c>
      <c r="K32" s="745"/>
    </row>
    <row r="33" customFormat="false" ht="12.75" hidden="false" customHeight="false" outlineLevel="0" collapsed="false">
      <c r="B33" s="753" t="s">
        <v>502</v>
      </c>
      <c r="C33" s="754"/>
      <c r="D33" s="755"/>
      <c r="E33" s="754"/>
      <c r="F33" s="755"/>
      <c r="G33" s="754"/>
      <c r="H33" s="755"/>
      <c r="I33" s="754"/>
      <c r="J33" s="757"/>
    </row>
    <row r="34" s="353" customFormat="true" ht="12.75" hidden="false" customHeight="false" outlineLevel="0" collapsed="false">
      <c r="B34" s="774" t="s">
        <v>503</v>
      </c>
      <c r="D34" s="796"/>
      <c r="F34" s="796"/>
      <c r="H34" s="796"/>
      <c r="J34" s="797"/>
    </row>
    <row r="35" customFormat="false" ht="12.75" hidden="false" customHeight="false" outlineLevel="0" collapsed="false">
      <c r="B35" s="758" t="s">
        <v>504</v>
      </c>
      <c r="C35" s="798" t="n">
        <f aca="false">'PRESUPUESTO INICIAL INVER_FINAN'!F95</f>
        <v>120000</v>
      </c>
      <c r="D35" s="760" t="n">
        <f aca="false">IF(ISERROR(C35/C$31)=TRUE(),0,C35/C$31)</f>
        <v>0.395452298566485</v>
      </c>
      <c r="E35" s="798" t="n">
        <f aca="false">C35+'Entrada Inver_Finan'!E101</f>
        <v>120000</v>
      </c>
      <c r="F35" s="760" t="n">
        <f aca="false">IF(ISERROR(E35/E$31)=TRUE(),0,E35/E$31)</f>
        <v>0.330712452458363</v>
      </c>
      <c r="G35" s="798" t="n">
        <f aca="false">E35+'Entrada Inver_Finan'!F101</f>
        <v>120000</v>
      </c>
      <c r="H35" s="760" t="n">
        <f aca="false">IF(ISERROR(G35/G$31)=TRUE(),0,G35/G$31)</f>
        <v>0.293026672130149</v>
      </c>
      <c r="I35" s="798" t="n">
        <f aca="false">G35+'Entrada Inver_Finan'!G101</f>
        <v>120000</v>
      </c>
      <c r="J35" s="762" t="n">
        <f aca="false">IF(ISERROR(I35/I$31)=TRUE(),0,I35/I$31)</f>
        <v>0.269823441031361</v>
      </c>
      <c r="K35" s="763"/>
      <c r="O35" s="778"/>
    </row>
    <row r="36" customFormat="false" ht="12.75" hidden="false" customHeight="false" outlineLevel="0" collapsed="false">
      <c r="B36" s="758" t="s">
        <v>505</v>
      </c>
      <c r="C36" s="798" t="n">
        <f aca="false">'Entrada Inver_Finan'!D66*-1</f>
        <v>-700</v>
      </c>
      <c r="D36" s="760" t="n">
        <f aca="false">IF(ISERROR(C36/C$31)=TRUE(),0,C36/C$31)</f>
        <v>-0.00230680507497117</v>
      </c>
      <c r="E36" s="798" t="n">
        <f aca="false">C36</f>
        <v>-700</v>
      </c>
      <c r="F36" s="760" t="n">
        <f aca="false">IF(ISERROR(E36/E$31)=TRUE(),0,E36/E$31)</f>
        <v>-0.00192915597267378</v>
      </c>
      <c r="G36" s="798" t="n">
        <f aca="false">E36+'CUENTA DE RESULTADOS'!D39</f>
        <v>8881.00166666667</v>
      </c>
      <c r="H36" s="760" t="n">
        <f aca="false">IF(ISERROR(G36/G$31)=TRUE(),0,G36/G$31)</f>
        <v>0.0216864196963803</v>
      </c>
      <c r="I36" s="798" t="n">
        <f aca="false">G36+'CUENTA DE RESULTADOS'!E39</f>
        <v>30932.1833333333</v>
      </c>
      <c r="J36" s="762" t="n">
        <f aca="false">IF(ISERROR(I36/I$31)=TRUE(),0,I36/I$31)</f>
        <v>0.069551901213441</v>
      </c>
      <c r="K36" s="763"/>
    </row>
    <row r="37" customFormat="false" ht="12.75" hidden="false" customHeight="false" outlineLevel="0" collapsed="false">
      <c r="B37" s="764" t="s">
        <v>506</v>
      </c>
      <c r="C37" s="798" t="n">
        <v>0</v>
      </c>
      <c r="D37" s="760"/>
      <c r="E37" s="798" t="n">
        <v>0</v>
      </c>
      <c r="F37" s="760"/>
      <c r="G37" s="798" t="n">
        <v>0</v>
      </c>
      <c r="H37" s="760"/>
      <c r="I37" s="798" t="n">
        <v>0</v>
      </c>
      <c r="J37" s="762"/>
      <c r="K37" s="763"/>
    </row>
    <row r="38" customFormat="false" ht="12.75" hidden="false" customHeight="false" outlineLevel="0" collapsed="false">
      <c r="B38" s="764" t="s">
        <v>507</v>
      </c>
      <c r="C38" s="798" t="n">
        <v>0</v>
      </c>
      <c r="D38" s="799"/>
      <c r="E38" s="798" t="n">
        <v>0</v>
      </c>
      <c r="F38" s="799"/>
      <c r="G38" s="798" t="n">
        <v>0</v>
      </c>
      <c r="H38" s="799"/>
      <c r="I38" s="798" t="n">
        <v>0</v>
      </c>
      <c r="J38" s="800"/>
      <c r="K38" s="773"/>
    </row>
    <row r="39" customFormat="false" ht="12.75" hidden="false" customHeight="false" outlineLevel="0" collapsed="false">
      <c r="B39" s="758" t="s">
        <v>508</v>
      </c>
      <c r="C39" s="801" t="n">
        <f aca="false">'CUENTA DE RESULTADOS'!D127</f>
        <v>-15850</v>
      </c>
      <c r="D39" s="766" t="n">
        <f aca="false">IF(ISERROR(C39/C$31)=TRUE(),0,C39/C$31)</f>
        <v>-0.05223265776899</v>
      </c>
      <c r="E39" s="801" t="n">
        <f aca="false">'CUENTA DE RESULTADOS'!D35</f>
        <v>19162.0033333333</v>
      </c>
      <c r="F39" s="766" t="n">
        <f aca="false">IF(ISERROR(E39/E$31)=TRUE(),0,E39/E$31)</f>
        <v>0.0528092759698499</v>
      </c>
      <c r="G39" s="801" t="n">
        <f aca="false">'CUENTA DE RESULTADOS'!E35</f>
        <v>44102.3633333334</v>
      </c>
      <c r="H39" s="766" t="n">
        <f aca="false">IF(ISERROR(G39/G$31)=TRUE(),0,G39/G$31)</f>
        <v>0.107693073005345</v>
      </c>
      <c r="I39" s="801" t="n">
        <f aca="false">'CUENTA DE RESULTADOS'!F35</f>
        <v>45662.95</v>
      </c>
      <c r="J39" s="768" t="n">
        <f aca="false">IF(ISERROR(I39/I$31)=TRUE(),0,I39/I$31)</f>
        <v>0.102674452472025</v>
      </c>
      <c r="K39" s="763"/>
    </row>
    <row r="40" customFormat="false" ht="12.75" hidden="false" customHeight="false" outlineLevel="0" collapsed="false">
      <c r="B40" s="758"/>
      <c r="C40" s="802"/>
      <c r="D40" s="781"/>
      <c r="E40" s="802"/>
      <c r="F40" s="781"/>
      <c r="G40" s="802"/>
      <c r="H40" s="781"/>
      <c r="I40" s="802"/>
      <c r="J40" s="782"/>
      <c r="K40" s="763"/>
    </row>
    <row r="41" customFormat="false" ht="24" hidden="false" customHeight="false" outlineLevel="0" collapsed="false">
      <c r="B41" s="803" t="s">
        <v>509</v>
      </c>
      <c r="C41" s="798" t="n">
        <f aca="false">'PRESUPUESTO INICIAL INVER_FINAN'!F96+'PRESUPUESTO INICIAL INVER_FINAN'!F97</f>
        <v>0</v>
      </c>
      <c r="D41" s="760" t="n">
        <f aca="false">IF(ISERROR(C41/C$31)=TRUE(),0,C41/C$31)</f>
        <v>0</v>
      </c>
      <c r="E41" s="798"/>
      <c r="F41" s="760"/>
      <c r="G41" s="798"/>
      <c r="H41" s="760"/>
      <c r="I41" s="798"/>
      <c r="J41" s="762"/>
      <c r="K41" s="763"/>
    </row>
    <row r="42" customFormat="false" ht="14.25" hidden="false" customHeight="false" outlineLevel="0" collapsed="false">
      <c r="B42" s="769" t="s">
        <v>510</v>
      </c>
      <c r="C42" s="770" t="n">
        <f aca="false">SUM(C35:C41)</f>
        <v>103450</v>
      </c>
      <c r="D42" s="771" t="n">
        <f aca="false">IF(ISERROR(C42/C$31)=TRUE(),0,C42/C$31)</f>
        <v>0.340912835722524</v>
      </c>
      <c r="E42" s="770" t="n">
        <f aca="false">SUM(E35:E41)</f>
        <v>138462.003333333</v>
      </c>
      <c r="F42" s="771" t="n">
        <f aca="false">IF(ISERROR(E42/E$31)=TRUE(),0,E42/E$31)</f>
        <v>0.381592572455539</v>
      </c>
      <c r="G42" s="770" t="n">
        <f aca="false">SUM(G35:G41)</f>
        <v>172983.365</v>
      </c>
      <c r="H42" s="771" t="n">
        <f aca="false">IF(ISERROR(G42/G$31)=TRUE(),0,G42/G$31)</f>
        <v>0.422406164831874</v>
      </c>
      <c r="I42" s="770" t="n">
        <f aca="false">SUM(I35:I41)</f>
        <v>196595.133333333</v>
      </c>
      <c r="J42" s="772" t="n">
        <f aca="false">IF(ISERROR(I42/I$31)=TRUE(),0,I42/I$31)</f>
        <v>0.442049794716827</v>
      </c>
      <c r="K42" s="773"/>
    </row>
    <row r="43" s="353" customFormat="true" ht="19.5" hidden="false" customHeight="true" outlineLevel="0" collapsed="false">
      <c r="B43" s="774" t="s">
        <v>511</v>
      </c>
      <c r="D43" s="796"/>
      <c r="F43" s="796"/>
      <c r="H43" s="796"/>
      <c r="J43" s="797"/>
    </row>
    <row r="44" s="353" customFormat="true" ht="13.5" hidden="false" customHeight="true" outlineLevel="0" collapsed="false">
      <c r="B44" s="804" t="s">
        <v>512</v>
      </c>
      <c r="D44" s="796"/>
      <c r="F44" s="796"/>
      <c r="H44" s="796"/>
      <c r="J44" s="797"/>
    </row>
    <row r="45" customFormat="false" ht="12.75" hidden="false" customHeight="false" outlineLevel="0" collapsed="false">
      <c r="B45" s="758" t="s">
        <v>513</v>
      </c>
      <c r="C45" s="759" t="n">
        <f aca="false">'Préstamos LP'!D11-'Préstamos LP'!C19</f>
        <v>165000</v>
      </c>
      <c r="D45" s="760" t="n">
        <f aca="false">IF(ISERROR(C45/C$31)=TRUE(),0,C45/C$31)</f>
        <v>0.543746910528917</v>
      </c>
      <c r="E45" s="805" t="n">
        <f aca="false">SUM('Préstamos LP'!D11:D12)-'Préstamos LP'!F12-SUM('Préstamos LP'!D19:D20)</f>
        <v>165000</v>
      </c>
      <c r="F45" s="760" t="n">
        <f aca="false">IF(ISERROR(E45/E$31)=TRUE(),0,E45/E$31)</f>
        <v>0.454729622130248</v>
      </c>
      <c r="G45" s="806" t="n">
        <f aca="false">SUM('Préstamos LP'!D11:D13)-SUM('Préstamos LP'!F12:F13)-SUM('Préstamos LP'!E19:E21)</f>
        <v>165000</v>
      </c>
      <c r="H45" s="760" t="n">
        <f aca="false">IF(ISERROR(G45/G$31)=TRUE(),0,G45/G$31)</f>
        <v>0.402911674178955</v>
      </c>
      <c r="I45" s="759" t="n">
        <f aca="false">SUM('Préstamos LP'!D11:D14)-SUM('Préstamos LP'!F11:F14)-SUM('Préstamos LP'!F19:F22)</f>
        <v>165000</v>
      </c>
      <c r="J45" s="762" t="n">
        <f aca="false">IF(ISERROR(I45/I$31)=TRUE(),0,I45/I$31)</f>
        <v>0.371007231418122</v>
      </c>
      <c r="K45" s="763"/>
    </row>
    <row r="46" customFormat="false" ht="12.75" hidden="false" customHeight="false" outlineLevel="0" collapsed="false">
      <c r="B46" s="758" t="s">
        <v>514</v>
      </c>
      <c r="C46" s="759" t="n">
        <f aca="false">'Préstamos LP'!J11-'Préstamos LP'!I19</f>
        <v>35000</v>
      </c>
      <c r="D46" s="760" t="n">
        <f aca="false">IF(ISERROR(C46/C$31)=TRUE(),0,C46/C$31)</f>
        <v>0.115340253748558</v>
      </c>
      <c r="E46" s="805" t="n">
        <f aca="false">SUM('Préstamos LP'!J11:J12)-'Préstamos LP'!L12-SUM('Préstamos LP'!J19:J20)</f>
        <v>35000</v>
      </c>
      <c r="F46" s="760" t="n">
        <f aca="false">IF(ISERROR(E46/E$31)=TRUE(),0,E46/E$31)</f>
        <v>0.0964577986336891</v>
      </c>
      <c r="G46" s="807" t="n">
        <f aca="false">SUM('Préstamos LP'!J11:J13)-SUM('Préstamos LP'!L12:L13)-SUM('Préstamos LP'!K19:K21)</f>
        <v>35000</v>
      </c>
      <c r="H46" s="760" t="n">
        <f aca="false">IF(ISERROR(G46/G$31)=TRUE(),0,G46/G$31)</f>
        <v>0.0854661127046268</v>
      </c>
      <c r="I46" s="805" t="n">
        <f aca="false">SUM('Préstamos LP'!J11:J14)-SUM('Préstamos LP'!L12:L14)-SUM('Préstamos LP'!L19:L22)</f>
        <v>35000</v>
      </c>
      <c r="J46" s="762" t="n">
        <f aca="false">IF(ISERROR(I46/I$31)=TRUE(),0,I46/I$31)</f>
        <v>0.078698503634147</v>
      </c>
      <c r="K46" s="763"/>
    </row>
    <row r="47" customFormat="false" ht="12.75" hidden="false" customHeight="false" outlineLevel="0" collapsed="false">
      <c r="B47" s="758" t="s">
        <v>515</v>
      </c>
      <c r="C47" s="778" t="n">
        <f aca="false">IF('Otra financiación'!D21=0,0,'Otra financiación'!D21-'Otra financiación'!D26)</f>
        <v>0</v>
      </c>
      <c r="D47" s="781" t="n">
        <f aca="false">IF(ISERROR(C47/C$31)=TRUE(),0,C47/C$31)</f>
        <v>0</v>
      </c>
      <c r="E47" s="778" t="n">
        <f aca="false">SUM('Otra financiación'!D21:D22)-SUM('Otra financiación'!D26:D27)</f>
        <v>0</v>
      </c>
      <c r="F47" s="781" t="n">
        <f aca="false">IF(ISERROR(E47/E$31)=TRUE(),0,E47/E$31)</f>
        <v>0</v>
      </c>
      <c r="G47" s="354" t="n">
        <f aca="false">SUM('Otra financiación'!D21:D23)-SUM('Otra financiación'!D26:D28)</f>
        <v>0</v>
      </c>
      <c r="H47" s="781" t="n">
        <f aca="false">IF(ISERROR(G47/G$31)=TRUE(),0,G47/G$31)</f>
        <v>0</v>
      </c>
      <c r="I47" s="778" t="n">
        <f aca="false">SUM('Otra financiación'!D21:D24)-SUM('Otra financiación'!D26:D29)</f>
        <v>0</v>
      </c>
      <c r="J47" s="782" t="n">
        <f aca="false">IF(ISERROR(I47/I$31)=TRUE(),0,I47/I$31)</f>
        <v>0</v>
      </c>
      <c r="K47" s="763"/>
    </row>
    <row r="48" customFormat="false" ht="16.5" hidden="false" customHeight="true" outlineLevel="0" collapsed="false">
      <c r="B48" s="758" t="s">
        <v>516</v>
      </c>
      <c r="C48" s="759" t="n">
        <f aca="false">IF('Otra financiación'!C21=0,0,'Otra financiación'!C21-'Otra financiación'!C26)</f>
        <v>0</v>
      </c>
      <c r="D48" s="760" t="n">
        <f aca="false">IF(ISERROR(C48/C$31)=TRUE(),0,C48/C$31)</f>
        <v>0</v>
      </c>
      <c r="E48" s="759" t="n">
        <f aca="false">SUM('Otra financiación'!C21:C22)-SUM('Otra financiación'!C26:C27)</f>
        <v>0</v>
      </c>
      <c r="F48" s="760" t="n">
        <f aca="false">IF(ISERROR(E48/E$31)=TRUE(),0,E48/E$31)</f>
        <v>0</v>
      </c>
      <c r="G48" s="761" t="n">
        <f aca="false">SUM('Otra financiación'!C21:C23)-SUM('Otra financiación'!C26:C28)</f>
        <v>0</v>
      </c>
      <c r="H48" s="760" t="n">
        <f aca="false">IF(ISERROR(G48/G$31)=TRUE(),0,G48/G$31)</f>
        <v>0</v>
      </c>
      <c r="I48" s="759" t="n">
        <f aca="false">SUM('Otra financiación'!C21:C24)-SUM('Otra financiación'!C26:C29)</f>
        <v>0</v>
      </c>
      <c r="J48" s="762" t="n">
        <f aca="false">IF(ISERROR(I48/I$31)=TRUE(),0,I48/I$31)</f>
        <v>0</v>
      </c>
      <c r="K48" s="763"/>
    </row>
    <row r="49" customFormat="false" ht="12.75" hidden="false" customHeight="false" outlineLevel="0" collapsed="false">
      <c r="B49" s="758" t="s">
        <v>517</v>
      </c>
      <c r="C49" s="765" t="n">
        <v>0</v>
      </c>
      <c r="D49" s="766" t="n">
        <f aca="false">IF(ISERROR(C49/C$31)=TRUE(),0,C49/C$31)</f>
        <v>0</v>
      </c>
      <c r="E49" s="765" t="n">
        <v>0</v>
      </c>
      <c r="F49" s="766" t="n">
        <f aca="false">IF(ISERROR(E49/E$31)=TRUE(),0,E49/E$31)</f>
        <v>0</v>
      </c>
      <c r="G49" s="767" t="n">
        <v>0</v>
      </c>
      <c r="H49" s="766" t="n">
        <f aca="false">IF(ISERROR(G49/G$31)=TRUE(),0,G49/G$31)</f>
        <v>0</v>
      </c>
      <c r="I49" s="765" t="n">
        <v>0</v>
      </c>
      <c r="J49" s="768" t="n">
        <f aca="false">IF(ISERROR(I49/I$31)=TRUE(),0,I49/I$31)</f>
        <v>0</v>
      </c>
      <c r="K49" s="763"/>
    </row>
    <row r="50" customFormat="false" ht="12.75" hidden="false" customHeight="false" outlineLevel="0" collapsed="false">
      <c r="B50" s="764" t="s">
        <v>518</v>
      </c>
      <c r="C50" s="765" t="n">
        <v>0</v>
      </c>
      <c r="D50" s="766"/>
      <c r="E50" s="765" t="n">
        <v>0</v>
      </c>
      <c r="F50" s="766"/>
      <c r="G50" s="767" t="n">
        <v>0</v>
      </c>
      <c r="H50" s="766"/>
      <c r="I50" s="765" t="n">
        <v>0</v>
      </c>
      <c r="J50" s="768"/>
      <c r="K50" s="763"/>
    </row>
    <row r="51" customFormat="false" ht="14.25" hidden="false" customHeight="false" outlineLevel="0" collapsed="false">
      <c r="B51" s="769" t="s">
        <v>519</v>
      </c>
      <c r="C51" s="770" t="n">
        <f aca="false">SUM(C45:C50)</f>
        <v>200000</v>
      </c>
      <c r="D51" s="771" t="n">
        <f aca="false">IF(ISERROR(C51/C$31)=TRUE(),0,C51/C$31)</f>
        <v>0.659087164277476</v>
      </c>
      <c r="E51" s="770" t="n">
        <f aca="false">SUM(E45:E50)</f>
        <v>200000</v>
      </c>
      <c r="F51" s="771" t="n">
        <f aca="false">IF(ISERROR(E51/E$31)=TRUE(),0,E51/E$31)</f>
        <v>0.551187420763938</v>
      </c>
      <c r="G51" s="770" t="n">
        <f aca="false">SUM(G45:G50)</f>
        <v>200000</v>
      </c>
      <c r="H51" s="771" t="n">
        <f aca="false">IF(ISERROR(G51/G$31)=TRUE(),0,G51/G$31)</f>
        <v>0.488377786883582</v>
      </c>
      <c r="I51" s="770" t="n">
        <f aca="false">SUM(I45:I50)</f>
        <v>200000</v>
      </c>
      <c r="J51" s="772" t="n">
        <f aca="false">IF(ISERROR(I51/I$31)=TRUE(),0,I51/I$31)</f>
        <v>0.449705735052269</v>
      </c>
      <c r="K51" s="773"/>
    </row>
    <row r="52" customFormat="false" ht="18.75" hidden="false" customHeight="true" outlineLevel="0" collapsed="false">
      <c r="B52" s="774" t="s">
        <v>520</v>
      </c>
      <c r="E52" s="808"/>
      <c r="F52" s="796"/>
      <c r="G52" s="808"/>
      <c r="H52" s="796"/>
      <c r="J52" s="797"/>
    </row>
    <row r="53" customFormat="false" ht="12" hidden="false" customHeight="true" outlineLevel="0" collapsed="false">
      <c r="B53" s="804" t="s">
        <v>521</v>
      </c>
      <c r="E53" s="808"/>
      <c r="F53" s="796"/>
      <c r="G53" s="808"/>
      <c r="H53" s="796"/>
      <c r="J53" s="797"/>
    </row>
    <row r="54" customFormat="false" ht="12.75" hidden="false" customHeight="false" outlineLevel="0" collapsed="false">
      <c r="B54" s="758" t="s">
        <v>513</v>
      </c>
      <c r="C54" s="806" t="n">
        <f aca="false">'PRESUPUESTO INICIAL INVER_FINAN'!F108+'Préstamos LP'!C19</f>
        <v>0</v>
      </c>
      <c r="D54" s="809" t="n">
        <f aca="false">IF(ISERROR(C54/C$31)=TRUE(),0,C54/C$31)</f>
        <v>0</v>
      </c>
      <c r="E54" s="810" t="n">
        <f aca="false">SUM('Préstamos CP'!D12:D13)-'Préstamos CP'!F13+SUM('Préstamos LP'!D19:D20)</f>
        <v>0</v>
      </c>
      <c r="F54" s="760" t="n">
        <f aca="false">IF(ISERROR(E54/E$31)=TRUE(),0,E54/E$31)</f>
        <v>0</v>
      </c>
      <c r="G54" s="810" t="n">
        <f aca="false">SUM('Préstamos CP'!D12:D14)-SUM('Préstamos CP'!F13:F14)+SUM('Préstamos LP'!E19:E21)</f>
        <v>0</v>
      </c>
      <c r="H54" s="760" t="n">
        <f aca="false">IF(ISERROR(G54/G$31)=TRUE(),0,G54/G$31)</f>
        <v>0</v>
      </c>
      <c r="I54" s="806" t="n">
        <f aca="false">SUM('Préstamos CP'!D12:D15)-SUM('Préstamos CP'!F12:F15)+SUM('Préstamos LP'!F19:F22)</f>
        <v>0</v>
      </c>
      <c r="J54" s="762" t="n">
        <f aca="false">IF(ISERROR(I54/I$31)=TRUE(),0,I54/I$31)</f>
        <v>0</v>
      </c>
      <c r="K54" s="763"/>
    </row>
    <row r="55" customFormat="false" ht="12.75" hidden="false" customHeight="false" outlineLevel="0" collapsed="false">
      <c r="B55" s="758" t="s">
        <v>514</v>
      </c>
      <c r="C55" s="811" t="n">
        <f aca="false">'Préstamos LP'!I19</f>
        <v>0</v>
      </c>
      <c r="D55" s="812" t="n">
        <f aca="false">IF(ISERROR(C55/C$31)=TRUE(),0,C55/C$31)</f>
        <v>0</v>
      </c>
      <c r="E55" s="813" t="n">
        <f aca="false">'Préstamos LP'!J19+'Préstamos LP'!J20</f>
        <v>0</v>
      </c>
      <c r="F55" s="766" t="n">
        <f aca="false">IF(ISERROR(E55/E$31)=TRUE(),0,E55/E$31)</f>
        <v>0</v>
      </c>
      <c r="G55" s="813" t="n">
        <f aca="false">SUM('Préstamos LP'!K19:K21)</f>
        <v>0</v>
      </c>
      <c r="H55" s="766" t="n">
        <f aca="false">IF(ISERROR(G55/G$31)=TRUE(),0,G55/G$31)</f>
        <v>0</v>
      </c>
      <c r="I55" s="811" t="n">
        <f aca="false">SUM('Préstamos LP'!L19:L22)</f>
        <v>0</v>
      </c>
      <c r="J55" s="768" t="n">
        <f aca="false">IF(ISERROR(I55/I$31)=TRUE(),0,I55/I$31)</f>
        <v>0</v>
      </c>
      <c r="K55" s="763"/>
    </row>
    <row r="56" customFormat="false" ht="12.75" hidden="false" customHeight="false" outlineLevel="0" collapsed="false">
      <c r="B56" s="758" t="s">
        <v>522</v>
      </c>
      <c r="C56" s="765" t="n">
        <f aca="false">'Otra financiación'!F13+IF('Otra financiación'!D21=0,0,'Otra financiación'!D26)</f>
        <v>0</v>
      </c>
      <c r="D56" s="812" t="n">
        <f aca="false">IF(ISERROR(C56/C$31)=TRUE(),0,C56/C$31)</f>
        <v>0</v>
      </c>
      <c r="E56" s="814" t="n">
        <f aca="false">'Otra financiación'!F13-'Otra financiación'!F26+'Otra financiación'!D27</f>
        <v>0</v>
      </c>
      <c r="F56" s="766" t="n">
        <f aca="false">IF(ISERROR(E56/E$31)=TRUE(),0,E56/E$31)</f>
        <v>0</v>
      </c>
      <c r="G56" s="814" t="n">
        <f aca="false">'Otra financiación'!D28</f>
        <v>0</v>
      </c>
      <c r="H56" s="766" t="n">
        <f aca="false">IF(ISERROR(G56/G$31)=TRUE(),0,G56/G$31)</f>
        <v>0</v>
      </c>
      <c r="I56" s="765" t="n">
        <f aca="false">'Otra financiación'!D29</f>
        <v>0</v>
      </c>
      <c r="J56" s="768" t="n">
        <f aca="false">IF(ISERROR(I56/I$31)=TRUE(),0,I56/I$31)</f>
        <v>0</v>
      </c>
      <c r="K56" s="763"/>
    </row>
    <row r="57" customFormat="false" ht="17.25" hidden="false" customHeight="true" outlineLevel="0" collapsed="false">
      <c r="B57" s="758" t="s">
        <v>516</v>
      </c>
      <c r="C57" s="765" t="n">
        <f aca="false">'Otra financiación'!E13+IF('Otra financiación'!C21=0,0,'Otra financiación'!C26)</f>
        <v>0</v>
      </c>
      <c r="D57" s="812" t="n">
        <f aca="false">IF(ISERROR(C57/C$31)=TRUE(),0,C57/C$31)</f>
        <v>0</v>
      </c>
      <c r="E57" s="814" t="n">
        <f aca="false">'Otra financiación'!E13-'Otra financiación'!E26+'Otra financiación'!C27</f>
        <v>0</v>
      </c>
      <c r="F57" s="766" t="n">
        <f aca="false">IF(ISERROR(E57/E$31)=TRUE(),0,E57/E$31)</f>
        <v>0</v>
      </c>
      <c r="G57" s="814" t="n">
        <f aca="false">'Otra financiación'!C28</f>
        <v>0</v>
      </c>
      <c r="H57" s="766" t="n">
        <f aca="false">IF(ISERROR(G57/G$31)=TRUE(),0,G57/G$31)</f>
        <v>0</v>
      </c>
      <c r="I57" s="765" t="n">
        <f aca="false">'Otra financiación'!C29</f>
        <v>0</v>
      </c>
      <c r="J57" s="768" t="n">
        <f aca="false">IF(ISERROR(I57/I$31)=TRUE(),0,I57/I$31)</f>
        <v>0</v>
      </c>
      <c r="K57" s="763"/>
    </row>
    <row r="58" customFormat="false" ht="15" hidden="false" customHeight="true" outlineLevel="0" collapsed="false">
      <c r="B58" s="758" t="s">
        <v>523</v>
      </c>
      <c r="C58" s="778"/>
      <c r="D58" s="763"/>
      <c r="E58" s="815"/>
      <c r="F58" s="781"/>
      <c r="G58" s="815"/>
      <c r="H58" s="781"/>
      <c r="I58" s="778"/>
      <c r="J58" s="782"/>
      <c r="K58" s="763"/>
    </row>
    <row r="59" customFormat="false" ht="12.75" hidden="false" customHeight="false" outlineLevel="0" collapsed="false">
      <c r="B59" s="758" t="s">
        <v>524</v>
      </c>
      <c r="C59" s="759" t="n">
        <f aca="false">'PRESUPUESTO INICIAL INVER_FINAN'!F109</f>
        <v>0</v>
      </c>
      <c r="D59" s="809" t="n">
        <f aca="false">IF(ISERROR(C59/C$31)=TRUE(),0,C59/C$31)</f>
        <v>0</v>
      </c>
      <c r="E59" s="816" t="n">
        <f aca="false">'Politica Cobr. Pagos'!E46</f>
        <v>21009.45</v>
      </c>
      <c r="F59" s="760" t="n">
        <f aca="false">IF(ISERROR(E59/E$31)=TRUE(),0,E59/E$31)</f>
        <v>0.0579007227858445</v>
      </c>
      <c r="G59" s="816" t="n">
        <f aca="false">'Politica Cobr. Pagos'!F46</f>
        <v>28752.9</v>
      </c>
      <c r="H59" s="760" t="n">
        <f aca="false">IF(ISERROR(G59/G$31)=TRUE(),0,G59/G$31)</f>
        <v>0.0702113883424247</v>
      </c>
      <c r="I59" s="759" t="n">
        <f aca="false">'Politica Cobr. Pagos'!G46</f>
        <v>32919.15</v>
      </c>
      <c r="J59" s="762" t="n">
        <f aca="false">IF(ISERROR(I59/I$31)=TRUE(),0,I59/I$31)</f>
        <v>0.0740196527402294</v>
      </c>
      <c r="K59" s="763"/>
    </row>
    <row r="60" customFormat="false" ht="12.75" hidden="false" customHeight="false" outlineLevel="0" collapsed="false">
      <c r="B60" s="758" t="s">
        <v>525</v>
      </c>
      <c r="C60" s="759" t="n">
        <v>0</v>
      </c>
      <c r="D60" s="809" t="n">
        <f aca="false">IF(ISERROR(C60/C$31)=TRUE(),0,C60/C$31)</f>
        <v>0</v>
      </c>
      <c r="E60" s="816" t="n">
        <f aca="false">IF(TESORERIA!D39&gt;=0,TESORERIA!D39,0)+'Impuesto sociedades'!F76</f>
        <v>3381.53</v>
      </c>
      <c r="F60" s="760" t="n">
        <f aca="false">IF(ISERROR(E60/E$31)=TRUE(),0,E60/E$31)</f>
        <v>0.00931928399467939</v>
      </c>
      <c r="G60" s="816" t="n">
        <f aca="false">IF(TESORERIA!E39&gt;=0,TESORERIA!E39,0)+ 'Impuesto sociedades'!I76</f>
        <v>7782.77</v>
      </c>
      <c r="H60" s="760" t="n">
        <f aca="false">IF(ISERROR(G60/G$31)=TRUE(),0,G60/G$31)</f>
        <v>0.0190046599421197</v>
      </c>
      <c r="I60" s="759" t="n">
        <f aca="false">IF(TESORERIA!F39&gt;=0,TESORERIA!F39,0)+ 'Impuesto sociedades'!L76</f>
        <v>15220.9833333333</v>
      </c>
      <c r="J60" s="762" t="n">
        <f aca="false">IF(ISERROR(I60/I$31)=TRUE(),0,I60/I$31)</f>
        <v>0.034224817490675</v>
      </c>
      <c r="K60" s="763"/>
    </row>
    <row r="61" customFormat="false" ht="15.75" hidden="false" customHeight="true" outlineLevel="0" collapsed="false">
      <c r="B61" s="764" t="s">
        <v>497</v>
      </c>
      <c r="C61" s="778" t="n">
        <v>0</v>
      </c>
      <c r="D61" s="763"/>
      <c r="E61" s="815" t="n">
        <v>0</v>
      </c>
      <c r="F61" s="781"/>
      <c r="G61" s="815" t="n">
        <v>0</v>
      </c>
      <c r="H61" s="781"/>
      <c r="I61" s="778" t="n">
        <v>0</v>
      </c>
      <c r="J61" s="782"/>
      <c r="K61" s="763"/>
    </row>
    <row r="62" customFormat="false" ht="14.25" hidden="false" customHeight="false" outlineLevel="0" collapsed="false">
      <c r="B62" s="769" t="s">
        <v>526</v>
      </c>
      <c r="C62" s="770" t="n">
        <f aca="false">SUM(C53:C61)</f>
        <v>0</v>
      </c>
      <c r="D62" s="771" t="n">
        <f aca="false">IF(ISERROR(C62/C$31)=TRUE(),0,C62/C$31)</f>
        <v>0</v>
      </c>
      <c r="E62" s="770" t="n">
        <f aca="false">SUM(E53:E61)</f>
        <v>24390.98</v>
      </c>
      <c r="F62" s="771" t="n">
        <f aca="false">IF(ISERROR(E62/E$31)=TRUE(),0,E62/E$31)</f>
        <v>0.0672200067805239</v>
      </c>
      <c r="G62" s="770" t="n">
        <f aca="false">SUM(G53:G61)</f>
        <v>36535.67</v>
      </c>
      <c r="H62" s="771" t="n">
        <f aca="false">IF(ISERROR(G62/G$31)=TRUE(),0,G62/G$31)</f>
        <v>0.0892160482845443</v>
      </c>
      <c r="I62" s="770" t="n">
        <f aca="false">SUM(I53:I61)</f>
        <v>48140.1333333333</v>
      </c>
      <c r="J62" s="772" t="n">
        <f aca="false">IF(ISERROR(I62/I$31)=TRUE(),0,I62/I$31)</f>
        <v>0.108244470230904</v>
      </c>
      <c r="K62" s="773"/>
      <c r="O62" s="817"/>
    </row>
    <row r="63" customFormat="false" ht="12" hidden="false" customHeight="true" outlineLevel="0" collapsed="false">
      <c r="B63" s="803"/>
      <c r="C63" s="785"/>
      <c r="D63" s="786" t="n">
        <f aca="false">IF(ISERROR(C63/C$31)=TRUE(),0,C63/C$31)</f>
        <v>0</v>
      </c>
      <c r="E63" s="785"/>
      <c r="F63" s="786" t="n">
        <f aca="false">IF(ISERROR(E63/E$31)=TRUE(),0,E63/E$31)</f>
        <v>0</v>
      </c>
      <c r="G63" s="704"/>
      <c r="H63" s="786" t="n">
        <f aca="false">IF(ISERROR(G63/G$31)=TRUE(),0,G63/G$31)</f>
        <v>0</v>
      </c>
      <c r="I63" s="785"/>
      <c r="J63" s="787" t="n">
        <f aca="false">IF(ISERROR(I63/I$31)=TRUE(),0,I63/I$31)</f>
        <v>0</v>
      </c>
      <c r="K63" s="773"/>
    </row>
    <row r="64" customFormat="false" ht="18.75" hidden="false" customHeight="false" outlineLevel="0" collapsed="false">
      <c r="B64" s="788" t="s">
        <v>527</v>
      </c>
      <c r="C64" s="789" t="n">
        <f aca="false">C42+C51+C62</f>
        <v>303450</v>
      </c>
      <c r="D64" s="790" t="n">
        <f aca="false">IF(ISERROR(C64/C$31)=TRUE(),0,C64/C$31)</f>
        <v>1</v>
      </c>
      <c r="E64" s="789" t="n">
        <f aca="false">E42+E51+E62</f>
        <v>362852.983333333</v>
      </c>
      <c r="F64" s="790" t="n">
        <f aca="false">IF(ISERROR(E64/E$31)=TRUE(),0,E64/E$31)</f>
        <v>1</v>
      </c>
      <c r="G64" s="791" t="n">
        <f aca="false">G42+G51+G62</f>
        <v>409519.035</v>
      </c>
      <c r="H64" s="790" t="n">
        <f aca="false">IF(ISERROR(G64/G$31)=TRUE(),0,G64/G$31)</f>
        <v>1</v>
      </c>
      <c r="I64" s="789" t="n">
        <f aca="false">I42+I51+I62</f>
        <v>444735.266666667</v>
      </c>
      <c r="J64" s="792" t="n">
        <f aca="false">IF(ISERROR(I64/I$31)=TRUE(),0,I64/I$31)</f>
        <v>1</v>
      </c>
      <c r="K64" s="773"/>
    </row>
    <row r="65" customFormat="false" ht="18" hidden="false" customHeight="false" outlineLevel="0" collapsed="false">
      <c r="B65" s="818"/>
      <c r="C65" s="819"/>
      <c r="D65" s="773"/>
      <c r="E65" s="819"/>
      <c r="F65" s="773"/>
      <c r="G65" s="818"/>
      <c r="H65" s="773"/>
      <c r="I65" s="819"/>
      <c r="J65" s="773"/>
      <c r="K65" s="773"/>
    </row>
    <row r="66" customFormat="false" ht="21" hidden="false" customHeight="true" outlineLevel="0" collapsed="false">
      <c r="B66" s="820" t="s">
        <v>528</v>
      </c>
      <c r="C66" s="479" t="n">
        <f aca="false">C42+C51</f>
        <v>303450</v>
      </c>
      <c r="D66" s="821" t="n">
        <f aca="false">IF(ISERROR(C66/C$31)=TRUE(),0,C66/C$31)</f>
        <v>1</v>
      </c>
      <c r="E66" s="479" t="n">
        <f aca="false">E42+E51</f>
        <v>338462.003333333</v>
      </c>
      <c r="F66" s="821" t="n">
        <f aca="false">IF(ISERROR(E66/E$31)=TRUE(),0,E66/E$31)</f>
        <v>0.932779993219476</v>
      </c>
      <c r="G66" s="820" t="n">
        <f aca="false">G42+G51</f>
        <v>372983.365</v>
      </c>
      <c r="H66" s="821" t="n">
        <f aca="false">IF(ISERROR(G66/G$31)=TRUE(),0,G66/G$31)</f>
        <v>0.910783951715456</v>
      </c>
      <c r="I66" s="479" t="n">
        <f aca="false">I42+I51</f>
        <v>396595.133333333</v>
      </c>
      <c r="J66" s="821" t="n">
        <f aca="false">IF(ISERROR(I66/I$31)=TRUE(),0,I66/I$31)</f>
        <v>0.891755529769095</v>
      </c>
      <c r="K66" s="773"/>
    </row>
    <row r="67" customFormat="false" ht="20.25" hidden="false" customHeight="true" outlineLevel="0" collapsed="false">
      <c r="B67" s="822" t="s">
        <v>529</v>
      </c>
      <c r="C67" s="441" t="n">
        <f aca="false">C51+C62</f>
        <v>200000</v>
      </c>
      <c r="D67" s="823" t="n">
        <f aca="false">IF(ISERROR(C67/C$31)=TRUE(),0,C67/C$31)</f>
        <v>0.659087164277476</v>
      </c>
      <c r="E67" s="441" t="n">
        <f aca="false">E51+E62</f>
        <v>224390.98</v>
      </c>
      <c r="F67" s="823" t="n">
        <f aca="false">IF(ISERROR(E67/E$31)=TRUE(),0,E67/E$31)</f>
        <v>0.618407427544461</v>
      </c>
      <c r="G67" s="822" t="n">
        <f aca="false">G51+G62</f>
        <v>236535.67</v>
      </c>
      <c r="H67" s="823" t="n">
        <f aca="false">IF(ISERROR(G67/G$31)=TRUE(),0,G67/G$31)</f>
        <v>0.577593835168126</v>
      </c>
      <c r="I67" s="441" t="n">
        <f aca="false">I51+I62</f>
        <v>248140.133333333</v>
      </c>
      <c r="J67" s="823" t="n">
        <f aca="false">IF(ISERROR(I67/I$31)=TRUE(),0,I67/I$31)</f>
        <v>0.557950205283173</v>
      </c>
      <c r="K67" s="773"/>
    </row>
    <row r="68" customFormat="false" ht="14.25" hidden="false" customHeight="false" outlineLevel="0" collapsed="false">
      <c r="A68" s="824"/>
      <c r="B68" s="825" t="s">
        <v>530</v>
      </c>
      <c r="C68" s="825" t="n">
        <f aca="false">C66-C20</f>
        <v>41800</v>
      </c>
      <c r="D68" s="823" t="n">
        <f aca="false">IF(ISERROR(C68/C$31)=TRUE(),0,C68/C$31)</f>
        <v>0.137749217333992</v>
      </c>
      <c r="E68" s="825" t="n">
        <f aca="false">E66-E20</f>
        <v>88978.67</v>
      </c>
      <c r="F68" s="823" t="n">
        <f aca="false">IF(ISERROR(E68/E$31)=TRUE(),0,E68/E$31)</f>
        <v>0.245219618101528</v>
      </c>
      <c r="G68" s="825" t="n">
        <f aca="false">G66-G20</f>
        <v>135666.698333333</v>
      </c>
      <c r="H68" s="823" t="n">
        <f aca="false">IF(ISERROR(G68/G$31)=TRUE(),0,G68/G$31)</f>
        <v>0.331283009429179</v>
      </c>
      <c r="I68" s="825" t="n">
        <f aca="false">I66-I20</f>
        <v>171445.133333333</v>
      </c>
      <c r="J68" s="823" t="n">
        <f aca="false">IF(ISERROR(I68/I$31)=TRUE(),0,I68/I$31)</f>
        <v>0.385499298534004</v>
      </c>
      <c r="K68" s="773"/>
    </row>
    <row r="69" customFormat="false" ht="14.25" hidden="false" customHeight="false" outlineLevel="0" collapsed="false">
      <c r="B69" s="54" t="s">
        <v>531</v>
      </c>
      <c r="C69" s="824"/>
      <c r="D69" s="826"/>
      <c r="E69" s="824"/>
      <c r="G69" s="827"/>
      <c r="I69" s="824"/>
      <c r="J69" s="763"/>
      <c r="K69" s="763"/>
    </row>
    <row r="70" customFormat="false" ht="16.5" hidden="false" customHeight="true" outlineLevel="0" collapsed="false">
      <c r="B70" s="777"/>
      <c r="C70" s="824"/>
      <c r="D70" s="826"/>
      <c r="E70" s="824"/>
      <c r="G70" s="827"/>
      <c r="I70" s="824"/>
    </row>
    <row r="71" s="828" customFormat="true" ht="12.75" hidden="false" customHeight="false" outlineLevel="0" collapsed="false">
      <c r="B71" s="829" t="s">
        <v>532</v>
      </c>
      <c r="C71" s="830" t="n">
        <f aca="false">ROUND(C64-C31,4)</f>
        <v>0</v>
      </c>
      <c r="D71" s="831"/>
      <c r="E71" s="830" t="n">
        <f aca="false">ROUND(E64-E31,4)</f>
        <v>0</v>
      </c>
      <c r="F71" s="830"/>
      <c r="G71" s="830" t="n">
        <f aca="false">ROUND(G64-G31,4)</f>
        <v>0</v>
      </c>
      <c r="H71" s="830"/>
      <c r="I71" s="830" t="n">
        <f aca="false">ROUND(I64-I31,4)</f>
        <v>0</v>
      </c>
    </row>
    <row r="72" customFormat="false" ht="68.25" hidden="false" customHeight="true" outlineLevel="0" collapsed="false">
      <c r="B72" s="824"/>
      <c r="C72" s="832" t="str">
        <f aca="false">IF(C71+E71+G71+I71&lt;&gt;0,"¡SE HA DETECTADO UN ERROR TECNICO QUE ORIGINA ERRORES EN LOS CALCULOS!. Por favor, guarde el  libro Excel y remítalo a JMLC@secot.org.es","")</f>
        <v/>
      </c>
      <c r="D72" s="832"/>
      <c r="E72" s="832"/>
      <c r="F72" s="832"/>
      <c r="G72" s="832"/>
      <c r="H72" s="832"/>
      <c r="I72" s="832"/>
      <c r="J72" s="832"/>
      <c r="K72" s="833"/>
      <c r="L72" s="778"/>
    </row>
    <row r="73" customFormat="false" ht="18" hidden="false" customHeight="true" outlineLevel="0" collapsed="false">
      <c r="B73" s="824"/>
      <c r="C73" s="165"/>
      <c r="M73" s="834" t="s">
        <v>533</v>
      </c>
      <c r="N73" s="834"/>
    </row>
    <row r="74" customFormat="false" ht="20.25" hidden="false" customHeight="false" outlineLevel="0" collapsed="false">
      <c r="B74" s="835" t="s">
        <v>534</v>
      </c>
      <c r="C74" s="836"/>
      <c r="D74" s="837"/>
      <c r="E74" s="838" t="s">
        <v>95</v>
      </c>
      <c r="F74" s="838"/>
      <c r="G74" s="838" t="s">
        <v>96</v>
      </c>
      <c r="H74" s="838"/>
      <c r="I74" s="838" t="s">
        <v>97</v>
      </c>
      <c r="J74" s="838"/>
      <c r="K74" s="744"/>
      <c r="M74" s="838" t="s">
        <v>535</v>
      </c>
      <c r="N74" s="838"/>
      <c r="O74" s="839"/>
    </row>
    <row r="75" customFormat="false" ht="15.75" hidden="false" customHeight="true" outlineLevel="0" collapsed="false">
      <c r="B75" s="840"/>
      <c r="C75" s="824"/>
      <c r="E75" s="744"/>
      <c r="F75" s="744"/>
      <c r="G75" s="744"/>
      <c r="H75" s="744"/>
      <c r="I75" s="744"/>
      <c r="J75" s="744"/>
      <c r="K75" s="744"/>
      <c r="O75" s="839"/>
    </row>
    <row r="76" s="824" customFormat="true" ht="14.25" hidden="true" customHeight="false" outlineLevel="0" collapsed="false">
      <c r="B76" s="841" t="s">
        <v>536</v>
      </c>
      <c r="C76" s="842"/>
      <c r="D76" s="842"/>
      <c r="E76" s="843" t="n">
        <f aca="false">E39+'AMORTIZACION CONTABLE'!H38</f>
        <v>31328.67</v>
      </c>
      <c r="F76" s="844"/>
      <c r="G76" s="843" t="n">
        <f aca="false">G39+'AMORTIZACION CONTABLE'!J38</f>
        <v>56269.03</v>
      </c>
      <c r="H76" s="844"/>
      <c r="I76" s="843" t="n">
        <f aca="false">I39+'AMORTIZACION CONTABLE'!L38</f>
        <v>57829.6166666667</v>
      </c>
      <c r="J76" s="845"/>
      <c r="K76" s="845"/>
      <c r="O76" s="839"/>
    </row>
    <row r="77" customFormat="false" ht="19.7" hidden="true" customHeight="true" outlineLevel="0" collapsed="false">
      <c r="B77" s="841" t="s">
        <v>537</v>
      </c>
      <c r="C77" s="846"/>
      <c r="D77" s="376"/>
      <c r="E77" s="847" t="n">
        <f aca="false">IF(ISERROR('CUENTA DE RESULTADOS'!R63/('CUENTA DE RESULTADOS'!R53+'CUENTA DE RESULTADOS'!R61)*100)=TRUE(),0,'CUENTA DE RESULTADOS'!R63/('CUENTA DE RESULTADOS'!R53+'CUENTA DE RESULTADOS'!R61)*100)</f>
        <v>23.5936275058797</v>
      </c>
      <c r="F77" s="848" t="s">
        <v>100</v>
      </c>
      <c r="G77" s="847" t="n">
        <f aca="false">IF(ISERROR('CUENTA DE RESULTADOS'!Q143/('CUENTA DE RESULTADOS'!Q133+'CUENTA DE RESULTADOS'!Q141)*100)=TRUE(),0,'CUENTA DE RESULTADOS'!Q143/('CUENTA DE RESULTADOS'!Q133+'CUENTA DE RESULTADOS'!Q141)*100)</f>
        <v>22.2157714476652</v>
      </c>
      <c r="H77" s="848" t="s">
        <v>100</v>
      </c>
      <c r="I77" s="847" t="n">
        <f aca="false">IF(ISERROR('CUENTA DE RESULTADOS'!Q221/('CUENTA DE RESULTADOS'!Q211+'CUENTA DE RESULTADOS'!Q219)*100)=TRUE(),0,'CUENTA DE RESULTADOS'!Q221/('CUENTA DE RESULTADOS'!Q211+'CUENTA DE RESULTADOS'!Q219)*100)</f>
        <v>22.2100404976468</v>
      </c>
      <c r="J77" s="849" t="s">
        <v>100</v>
      </c>
      <c r="K77" s="850"/>
      <c r="L77" s="824"/>
      <c r="O77" s="839"/>
    </row>
    <row r="78" customFormat="false" ht="19.7" hidden="true" customHeight="true" outlineLevel="0" collapsed="false">
      <c r="B78" s="851" t="s">
        <v>538</v>
      </c>
      <c r="C78" s="852"/>
      <c r="D78" s="381"/>
      <c r="E78" s="853" t="s">
        <v>539</v>
      </c>
      <c r="F78" s="854"/>
      <c r="G78" s="855" t="n">
        <f aca="false">IF(ISERROR((G39-E39)*100/E39)=TRUE(),0,(G39-E39)*100/E39)</f>
        <v>130.155284737974</v>
      </c>
      <c r="H78" s="854" t="s">
        <v>100</v>
      </c>
      <c r="I78" s="855" t="n">
        <f aca="false">IF(ISERROR((I39-G39)*100/G39)=TRUE(),0,(I39-G39)*100/G39)</f>
        <v>3.53855564354105</v>
      </c>
      <c r="J78" s="856" t="s">
        <v>100</v>
      </c>
      <c r="K78" s="850"/>
      <c r="L78" s="824"/>
      <c r="O78" s="839"/>
    </row>
    <row r="79" customFormat="false" ht="19.7" hidden="true" customHeight="true" outlineLevel="0" collapsed="false">
      <c r="B79" s="851" t="s">
        <v>540</v>
      </c>
      <c r="C79" s="852"/>
      <c r="D79" s="381"/>
      <c r="E79" s="857" t="n">
        <f aca="false">IF(ISERROR(E39*100/E42)=TRUE(),0,E39*100/E42)</f>
        <v>13.8391781658703</v>
      </c>
      <c r="F79" s="854" t="s">
        <v>100</v>
      </c>
      <c r="G79" s="857" t="n">
        <f aca="false">IF(ISERROR(G39*100/G42)=TRUE(),0,G39*100/G42)</f>
        <v>25.495147081532</v>
      </c>
      <c r="H79" s="854" t="s">
        <v>100</v>
      </c>
      <c r="I79" s="857" t="n">
        <f aca="false">IF(ISERROR(I39*100/I42)=TRUE(),0,I39*100/I42)</f>
        <v>23.2268974443925</v>
      </c>
      <c r="J79" s="856" t="s">
        <v>100</v>
      </c>
      <c r="K79" s="850"/>
      <c r="L79" s="824"/>
      <c r="O79" s="839"/>
    </row>
    <row r="80" customFormat="false" ht="19.7" hidden="true" customHeight="true" outlineLevel="0" collapsed="false">
      <c r="B80" s="851" t="s">
        <v>541</v>
      </c>
      <c r="C80" s="852"/>
      <c r="D80" s="381"/>
      <c r="E80" s="857" t="n">
        <f aca="false">IF(ISERROR(E39*100/E31)=TRUE(),0,E39*100/E31)</f>
        <v>5.28092759698499</v>
      </c>
      <c r="F80" s="854" t="s">
        <v>100</v>
      </c>
      <c r="G80" s="857" t="n">
        <f aca="false">IF(ISERROR(G39*100/G31)=TRUE(),0,G39*100/G31)</f>
        <v>10.7693073005345</v>
      </c>
      <c r="H80" s="854" t="s">
        <v>100</v>
      </c>
      <c r="I80" s="857" t="n">
        <f aca="false">IF(ISERROR(I39*100/I31)=TRUE(),0,I39*100/I31)</f>
        <v>10.2674452472025</v>
      </c>
      <c r="J80" s="856" t="s">
        <v>100</v>
      </c>
      <c r="K80" s="850"/>
      <c r="L80" s="824"/>
      <c r="O80" s="839"/>
    </row>
    <row r="81" customFormat="false" ht="19.7" hidden="true" customHeight="true" outlineLevel="0" collapsed="false">
      <c r="B81" s="851" t="s">
        <v>542</v>
      </c>
      <c r="C81" s="381"/>
      <c r="D81" s="381"/>
      <c r="E81" s="857" t="n">
        <f aca="false">IF(ISERROR(E68/E62)=TRUE(),0,E68/E62)</f>
        <v>3.64801537289604</v>
      </c>
      <c r="F81" s="854"/>
      <c r="G81" s="857" t="n">
        <f aca="false">IF(ISERROR(G68/G62)=TRUE(),0,G68/G62)</f>
        <v>3.71326701640707</v>
      </c>
      <c r="H81" s="854"/>
      <c r="I81" s="857" t="n">
        <f aca="false">IF(ISERROR(I68/I62)=TRUE(),0,I68/I62)</f>
        <v>3.56137637065124</v>
      </c>
      <c r="J81" s="856"/>
      <c r="K81" s="850"/>
      <c r="L81" s="824"/>
    </row>
    <row r="82" customFormat="false" ht="19.7" hidden="true" customHeight="true" outlineLevel="0" collapsed="false">
      <c r="B82" s="851" t="s">
        <v>543</v>
      </c>
      <c r="C82" s="381"/>
      <c r="D82" s="381"/>
      <c r="E82" s="857" t="n">
        <f aca="false">IF(ISERROR(E28/E62)=TRUE(),0,E28/E62)</f>
        <v>3.1556572962628</v>
      </c>
      <c r="F82" s="854"/>
      <c r="G82" s="857" t="n">
        <f aca="false">IF(ISERROR(G28/G62)=TRUE(),0,G28/G62)</f>
        <v>3.84433397644913</v>
      </c>
      <c r="H82" s="854"/>
      <c r="I82" s="857" t="n">
        <f aca="false">IF(ISERROR(I28/I62)=TRUE(),0,I28/I62)</f>
        <v>4.01390499126162</v>
      </c>
      <c r="J82" s="856"/>
      <c r="K82" s="850"/>
      <c r="L82" s="824"/>
    </row>
    <row r="83" customFormat="false" ht="19.7" hidden="true" customHeight="true" outlineLevel="0" collapsed="false">
      <c r="B83" s="851" t="s">
        <v>544</v>
      </c>
      <c r="C83" s="381"/>
      <c r="D83" s="381"/>
      <c r="E83" s="857" t="n">
        <f aca="false">IF(ISERROR((E15+E14)/(E62+E51))=TRUE(),0,(E15+E14)/(E62+E51))</f>
        <v>1.11182425128378</v>
      </c>
      <c r="F83" s="854"/>
      <c r="G83" s="857" t="n">
        <f aca="false">IF(ISERROR((G15+G14)/(G62+G51))=TRUE(),0,(G15+G14)/(G62+G51))</f>
        <v>1.00330181349251</v>
      </c>
      <c r="H83" s="854"/>
      <c r="I83" s="857" t="n">
        <f aca="false">IF(ISERROR((I15+I14)/(I62+I51))=TRUE(),0,(I15+I14)/(I62+I51))</f>
        <v>0.907350201579645</v>
      </c>
      <c r="J83" s="856"/>
      <c r="K83" s="850"/>
      <c r="L83" s="824"/>
    </row>
    <row r="84" customFormat="false" ht="19.7" hidden="true" customHeight="true" outlineLevel="0" collapsed="false">
      <c r="B84" s="851" t="s">
        <v>545</v>
      </c>
      <c r="C84" s="381"/>
      <c r="D84" s="381"/>
      <c r="E84" s="857" t="n">
        <f aca="false">IF(ISERROR('CUENTA DE RESULTADOS'!D27/('CUENTA DE RESULTADOS'!D14+'CUENTA DE RESULTADOS'!D18))=TRUE(),0,'CUENTA DE RESULTADOS'!D27/('CUENTA DE RESULTADOS'!D14+'CUENTA DE RESULTADOS'!D18))</f>
        <v>0.0699966401612723</v>
      </c>
      <c r="F84" s="854"/>
      <c r="G84" s="857" t="n">
        <f aca="false">IF(ISERROR('CUENTA DE RESULTADOS'!E27/('CUENTA DE RESULTADOS'!E14+'CUENTA DE RESULTADOS'!E18))=TRUE(),0,'CUENTA DE RESULTADOS'!E27/('CUENTA DE RESULTADOS'!E14+'CUENTA DE RESULTADOS'!E18))</f>
        <v>0</v>
      </c>
      <c r="H84" s="854"/>
      <c r="I84" s="857" t="n">
        <f aca="false">IF(ISERROR('CUENTA DE RESULTADOS'!F27/('CUENTA DE RESULTADOS'!F14+'CUENTA DE RESULTADOS'!F18))=TRUE(),0,'CUENTA DE RESULTADOS'!F27/('CUENTA DE RESULTADOS'!F14+'CUENTA DE RESULTADOS'!F18))</f>
        <v>0</v>
      </c>
      <c r="J84" s="856"/>
      <c r="K84" s="850"/>
      <c r="L84" s="824"/>
    </row>
    <row r="85" customFormat="false" ht="19.7" hidden="true" customHeight="true" outlineLevel="0" collapsed="false">
      <c r="B85" s="851" t="s">
        <v>546</v>
      </c>
      <c r="C85" s="381"/>
      <c r="D85" s="381"/>
      <c r="E85" s="857" t="n">
        <f aca="false">IF(ISERROR(('CUENTA DE RESULTADOS'!D31/'CUENTA DE RESULTADOS'!D24)*(E31/E42))=TRUE(),0,('CUENTA DE RESULTADOS'!D31/'CUENTA DE RESULTADOS'!D24)*(E31/E42))</f>
        <v>1.57357312604763</v>
      </c>
      <c r="F85" s="854"/>
      <c r="G85" s="857" t="n">
        <f aca="false">IF(ISERROR(('CUENTA DE RESULTADOS'!E31/'CUENTA DE RESULTADOS'!E24)*(G31/G42))=TRUE(),0,('CUENTA DE RESULTADOS'!E31/'CUENTA DE RESULTADOS'!E24)*(G31/G42))</f>
        <v>2.36738969091045</v>
      </c>
      <c r="H85" s="854"/>
      <c r="I85" s="857" t="n">
        <f aca="false">IF(ISERROR(('CUENTA DE RESULTADOS'!F31/'CUENTA DE RESULTADOS'!F24)*(I31/I42))=TRUE(),0,('CUENTA DE RESULTADOS'!F31/'CUENTA DE RESULTADOS'!F24)*(I31/I42))</f>
        <v>2.26218858588226</v>
      </c>
      <c r="J85" s="856"/>
      <c r="K85" s="850"/>
      <c r="L85" s="824"/>
    </row>
    <row r="86" customFormat="false" ht="19.7" hidden="true" customHeight="true" outlineLevel="0" collapsed="false">
      <c r="B86" s="851" t="s">
        <v>547</v>
      </c>
      <c r="C86" s="381"/>
      <c r="D86" s="381"/>
      <c r="E86" s="857" t="n">
        <f aca="false">IF(ISERROR((E51+E62)/E64)=TRUE(),0,(E51+E62)/E64)</f>
        <v>0.618407427544462</v>
      </c>
      <c r="F86" s="854"/>
      <c r="G86" s="857" t="n">
        <f aca="false">IF(ISERROR((G51+G62)/G64)=TRUE(),0,(G51+G62)/G64)</f>
        <v>0.577593835168126</v>
      </c>
      <c r="H86" s="854"/>
      <c r="I86" s="857" t="n">
        <f aca="false">IF(ISERROR((I51+I62)/I64)=TRUE(),0,(I51+I62)/I64)</f>
        <v>0.557950205283173</v>
      </c>
      <c r="J86" s="856"/>
      <c r="K86" s="850"/>
      <c r="L86" s="824"/>
    </row>
    <row r="87" customFormat="false" ht="19.7" hidden="true" customHeight="true" outlineLevel="0" collapsed="false">
      <c r="B87" s="851" t="s">
        <v>548</v>
      </c>
      <c r="C87" s="381"/>
      <c r="D87" s="381"/>
      <c r="E87" s="857" t="n">
        <f aca="false">IF(ISERROR(('CUENTA DE RESULTADOS'!D14+'CUENTA DE RESULTADOS'!D18)/E29)=TRUE(),0,('CUENTA DE RESULTADOS'!D14+'CUENTA DE RESULTADOS'!D18)/E29)</f>
        <v>1.89024134766227</v>
      </c>
      <c r="F87" s="854"/>
      <c r="G87" s="857" t="n">
        <f aca="false">IF(ISERROR(('CUENTA DE RESULTADOS'!E14+'CUENTA DE RESULTADOS'!E18)/G29)=TRUE(),0,('CUENTA DE RESULTADOS'!E14+'CUENTA DE RESULTADOS'!E18)/G29)</f>
        <v>1.66840910947208</v>
      </c>
      <c r="H87" s="854"/>
      <c r="I87" s="857" t="n">
        <f aca="false">IF(ISERROR(('CUENTA DE RESULTADOS'!F14+'CUENTA DE RESULTADOS'!F18)/I29)=TRUE(),0,('CUENTA DE RESULTADOS'!F14+'CUENTA DE RESULTADOS'!F18)/I29)</f>
        <v>1.49786005679191</v>
      </c>
      <c r="J87" s="856"/>
      <c r="K87" s="850"/>
      <c r="L87" s="824"/>
    </row>
    <row r="88" customFormat="false" ht="19.7" hidden="true" customHeight="true" outlineLevel="0" collapsed="false">
      <c r="B88" s="851" t="s">
        <v>549</v>
      </c>
      <c r="C88" s="381"/>
      <c r="D88" s="381"/>
      <c r="E88" s="857" t="n">
        <f aca="false">IF(E22=0,"No procede",'CUENTA DE RESULTADOS'!D17/E22)</f>
        <v>12.9791077948881</v>
      </c>
      <c r="F88" s="854"/>
      <c r="G88" s="857" t="n">
        <f aca="false">IF(G22=0,"No procede",'CUENTA DE RESULTADOS'!E17/G22)</f>
        <v>17.4278405989238</v>
      </c>
      <c r="H88" s="854"/>
      <c r="I88" s="857" t="n">
        <f aca="false">IF(I22=0,"No procede",'CUENTA DE RESULTADOS'!F17/I22)</f>
        <v>19.9530063167745</v>
      </c>
      <c r="J88" s="856"/>
      <c r="K88" s="850"/>
      <c r="L88" s="824"/>
    </row>
    <row r="89" customFormat="false" ht="19.7" hidden="true" customHeight="true" outlineLevel="0" collapsed="false">
      <c r="B89" s="851" t="s">
        <v>550</v>
      </c>
      <c r="C89" s="381"/>
      <c r="D89" s="381"/>
      <c r="E89" s="857" t="n">
        <f aca="false">IF(ISERROR(('CUENTA DE RESULTADOS'!D19+'CUENTA DE RESULTADOS'!D20+'CUENTA DE RESULTADOS'!D27)/(1-('CUENTA DE RESULTADOS'!D17/('CUENTA DE RESULTADOS'!D14+'CUENTA DE RESULTADOS'!D18))))=TRUE(),0,('CUENTA DE RESULTADOS'!D19+'CUENTA DE RESULTADOS'!D20+'CUENTA DE RESULTADOS'!D27)/(1-('CUENTA DE RESULTADOS'!D17/('CUENTA DE RESULTADOS'!D14+'CUENTA DE RESULTADOS'!D18))))</f>
        <v>66881.5245386451</v>
      </c>
      <c r="F89" s="854" t="s">
        <v>551</v>
      </c>
      <c r="G89" s="857" t="n">
        <f aca="false">IF(ISERROR(('CUENTA DE RESULTADOS'!E19+'CUENTA DE RESULTADOS'!E20+'CUENTA DE RESULTADOS'!E27)/(1-('CUENTA DE RESULTADOS'!E17/('CUENTA DE RESULTADOS'!E14+'CUENTA DE RESULTADOS'!E18))))=TRUE(),0,('CUENTA DE RESULTADOS'!E19+'CUENTA DE RESULTADOS'!E20+'CUENTA DE RESULTADOS'!E27)/(1-('CUENTA DE RESULTADOS'!E17/('CUENTA DE RESULTADOS'!E14+'CUENTA DE RESULTADOS'!E18))))</f>
        <v>0</v>
      </c>
      <c r="H89" s="854" t="s">
        <v>551</v>
      </c>
      <c r="I89" s="857" t="n">
        <f aca="false">IF(ISERROR(('CUENTA DE RESULTADOS'!F19+'CUENTA DE RESULTADOS'!F20+'CUENTA DE RESULTADOS'!F27)/(1-('CUENTA DE RESULTADOS'!F17/('CUENTA DE RESULTADOS'!F14+'CUENTA DE RESULTADOS'!F18))))=TRUE(),0,('CUENTA DE RESULTADOS'!F19+'CUENTA DE RESULTADOS'!F20+'CUENTA DE RESULTADOS'!F27)/(1-('CUENTA DE RESULTADOS'!F17/('CUENTA DE RESULTADOS'!F14+'CUENTA DE RESULTADOS'!F18))))</f>
        <v>0</v>
      </c>
      <c r="J89" s="856" t="s">
        <v>551</v>
      </c>
      <c r="K89" s="850"/>
      <c r="L89" s="824"/>
    </row>
    <row r="90" s="104" customFormat="true" ht="14.25" hidden="true" customHeight="false" outlineLevel="0" collapsed="false">
      <c r="B90" s="841" t="s">
        <v>552</v>
      </c>
      <c r="C90" s="841"/>
      <c r="D90" s="841"/>
      <c r="E90" s="843" t="n">
        <f aca="false">IF(ISERROR((E64-E42)/E31)=TRUE(),0,(E64-E42)/E31)</f>
        <v>0.618407427544461</v>
      </c>
      <c r="F90" s="858"/>
      <c r="G90" s="843" t="n">
        <f aca="false">IF(ISERROR((G64-G42)/G31)=TRUE(),0,(G64-G42)/G31)</f>
        <v>0.577593835168126</v>
      </c>
      <c r="H90" s="858"/>
      <c r="I90" s="843" t="n">
        <f aca="false">IF(ISERROR((I64-I42)/I31)=TRUE(),0,(I64-I42)/I31)</f>
        <v>0.557950205283173</v>
      </c>
      <c r="J90" s="858"/>
      <c r="K90" s="859"/>
      <c r="L90" s="824"/>
    </row>
    <row r="91" customFormat="false" ht="20.25" hidden="false" customHeight="false" outlineLevel="0" collapsed="false">
      <c r="B91" s="840" t="s">
        <v>553</v>
      </c>
      <c r="C91" s="860"/>
      <c r="D91" s="860"/>
      <c r="E91" s="861"/>
      <c r="F91" s="862"/>
      <c r="G91" s="862"/>
      <c r="H91" s="862"/>
      <c r="I91" s="862"/>
      <c r="M91" s="863"/>
    </row>
    <row r="92" s="824" customFormat="true" ht="14.25" hidden="false" customHeight="false" outlineLevel="0" collapsed="false">
      <c r="B92" s="864" t="s">
        <v>38</v>
      </c>
      <c r="C92" s="864"/>
      <c r="D92" s="864"/>
      <c r="E92" s="865" t="n">
        <f aca="false">IF(ISERROR((E29-E22)/E62)=TRUE(),0,(E29-E22)/E62)</f>
        <v>4.13151296093884</v>
      </c>
      <c r="F92" s="866"/>
      <c r="G92" s="865" t="n">
        <f aca="false">IF(ISERROR((G29-G22)/G62)=TRUE(),0,(G29-G22)/G62)</f>
        <v>4.36229493898246</v>
      </c>
      <c r="H92" s="866"/>
      <c r="I92" s="865" t="n">
        <f aca="false">IF(ISERROR((I29-I22)/I62)=TRUE(),0,(I29-I22)/I62)</f>
        <v>4.29500818443932</v>
      </c>
      <c r="J92" s="866"/>
      <c r="K92" s="867"/>
      <c r="M92" s="868" t="e">
        <f aca="false">(OFFSET(#REF!,0,#REF!+1,1,1))/100</f>
        <v>#REF!</v>
      </c>
      <c r="N92" s="869"/>
    </row>
    <row r="93" s="824" customFormat="true" ht="14.25" hidden="false" customHeight="false" outlineLevel="0" collapsed="false">
      <c r="B93" s="870" t="s">
        <v>554</v>
      </c>
      <c r="C93" s="870"/>
      <c r="D93" s="870"/>
      <c r="E93" s="871" t="n">
        <f aca="false">IF(ISERROR(E29/E62)=TRUE(),0,E29/E62)</f>
        <v>4.64801537289605</v>
      </c>
      <c r="F93" s="872"/>
      <c r="G93" s="871" t="n">
        <f aca="false">IF(ISERROR(G29/G62)=TRUE(),0,G29/G62)</f>
        <v>4.71326701640707</v>
      </c>
      <c r="H93" s="872"/>
      <c r="I93" s="871" t="n">
        <f aca="false">IF(ISERROR(I29/I62)=TRUE(),0,I29/I62)</f>
        <v>4.56137637065124</v>
      </c>
      <c r="J93" s="872"/>
      <c r="K93" s="867"/>
    </row>
    <row r="94" customFormat="false" ht="14.25" hidden="false" customHeight="false" outlineLevel="0" collapsed="false">
      <c r="B94" s="860"/>
      <c r="C94" s="860"/>
      <c r="D94" s="860"/>
      <c r="E94" s="861"/>
      <c r="F94" s="862"/>
      <c r="G94" s="861"/>
      <c r="H94" s="862"/>
      <c r="I94" s="861"/>
      <c r="J94" s="862"/>
      <c r="K94" s="862"/>
    </row>
    <row r="95" customFormat="false" ht="20.25" hidden="false" customHeight="false" outlineLevel="0" collapsed="false">
      <c r="B95" s="840" t="s">
        <v>555</v>
      </c>
      <c r="C95" s="860"/>
      <c r="D95" s="860"/>
      <c r="E95" s="861"/>
      <c r="F95" s="862"/>
      <c r="G95" s="861"/>
      <c r="H95" s="862"/>
      <c r="I95" s="861"/>
      <c r="J95" s="862"/>
      <c r="K95" s="862"/>
    </row>
    <row r="96" s="824" customFormat="true" ht="14.25" hidden="false" customHeight="false" outlineLevel="0" collapsed="false">
      <c r="B96" s="864" t="s">
        <v>556</v>
      </c>
      <c r="C96" s="836"/>
      <c r="D96" s="836"/>
      <c r="E96" s="865" t="n">
        <f aca="false">IF(ROUND(E51,0)&lt;=0,"NO PROCEDE",IF(ISERROR((E29-E62)*100/E51)=TRUE(),0,((E29-E62)*100/E51)))</f>
        <v>44.489335</v>
      </c>
      <c r="F96" s="869" t="s">
        <v>100</v>
      </c>
      <c r="G96" s="865" t="n">
        <f aca="false">IF(ROUND(G51,0)&lt;=0,"NO PROCEDE",IF(ISERROR((G29-G62)*100/G51)=TRUE(),0,((G29-G62)*100/G51)))</f>
        <v>67.8333491666667</v>
      </c>
      <c r="H96" s="869" t="s">
        <v>100</v>
      </c>
      <c r="I96" s="865" t="n">
        <f aca="false">IF(ROUND(I51,0)&lt;=0,"NO PROCEDE",IF(ISERROR((I29-I62)*100/I51)=TRUE(),0,((I29-I62)*100/I51)))</f>
        <v>85.7225666666667</v>
      </c>
      <c r="J96" s="869" t="s">
        <v>100</v>
      </c>
      <c r="K96" s="873"/>
      <c r="M96" s="865" t="e">
        <f aca="false">OFFSET(#REF!,0,#REF!+1,1,1)</f>
        <v>#REF!</v>
      </c>
      <c r="N96" s="869" t="s">
        <v>100</v>
      </c>
    </row>
    <row r="97" s="824" customFormat="true" ht="19.7" hidden="false" customHeight="true" outlineLevel="0" collapsed="false">
      <c r="B97" s="860" t="s">
        <v>552</v>
      </c>
      <c r="E97" s="871" t="n">
        <f aca="false">IF(ISERROR((E67/E42)*100)=TRUE(),0,(E67/E42)*100)</f>
        <v>162.059608122094</v>
      </c>
      <c r="F97" s="873" t="s">
        <v>100</v>
      </c>
      <c r="G97" s="871" t="n">
        <f aca="false">IF(ISERROR((G67/G42)*100)=TRUE(),0,(G67/G42)*100)</f>
        <v>136.738969091045</v>
      </c>
      <c r="H97" s="873" t="s">
        <v>100</v>
      </c>
      <c r="I97" s="861" t="n">
        <f aca="false">IF(ISERROR((I67/I42)*100)=TRUE(),0,(I67/I42)*100)</f>
        <v>126.218858588225</v>
      </c>
      <c r="J97" s="873" t="s">
        <v>100</v>
      </c>
      <c r="K97" s="873"/>
      <c r="M97" s="871" t="e">
        <f aca="false">OFFSET(#REF!,0,#REF!+1,1,1)</f>
        <v>#REF!</v>
      </c>
      <c r="N97" s="869" t="s">
        <v>100</v>
      </c>
    </row>
    <row r="98" s="824" customFormat="true" ht="19.7" hidden="false" customHeight="true" outlineLevel="0" collapsed="false">
      <c r="B98" s="870" t="s">
        <v>557</v>
      </c>
      <c r="C98" s="874"/>
      <c r="D98" s="874"/>
      <c r="E98" s="871" t="n">
        <f aca="false">IF(ISERROR(E42/(E62+E51))=TRUE(),0,E42/(E62+E51))</f>
        <v>0.617056903683621</v>
      </c>
      <c r="F98" s="875"/>
      <c r="G98" s="871" t="n">
        <f aca="false">IF(ISERROR(G42/(G62+G51))=TRUE(),0,G42/(G62+G51))</f>
        <v>0.731320417761939</v>
      </c>
      <c r="H98" s="875"/>
      <c r="I98" s="871" t="n">
        <f aca="false">IF(ISERROR(I42/(I62+I51))=TRUE(),0,I42/(I62+I51))</f>
        <v>0.7922746340643</v>
      </c>
      <c r="J98" s="875"/>
      <c r="K98" s="876"/>
    </row>
    <row r="99" s="824" customFormat="true" ht="19.7" hidden="false" customHeight="true" outlineLevel="0" collapsed="false">
      <c r="B99" s="870" t="s">
        <v>558</v>
      </c>
      <c r="C99" s="874"/>
      <c r="D99" s="874"/>
      <c r="E99" s="871" t="n">
        <f aca="false">IF(ISERROR(E31/(E51+E62))=TRUE(),0,E31/(E51+E62))</f>
        <v>1.61705690368362</v>
      </c>
      <c r="F99" s="875"/>
      <c r="G99" s="871" t="n">
        <f aca="false">IF(ISERROR(G31/(G51+G62))=TRUE(),0,G31/(G51+G62))</f>
        <v>1.73132041776194</v>
      </c>
      <c r="H99" s="875"/>
      <c r="I99" s="871" t="n">
        <f aca="false">IF(ISERROR(I31/(I51+I62))=TRUE(),0,I31/(I51+I62))</f>
        <v>1.7922746340643</v>
      </c>
      <c r="J99" s="875"/>
      <c r="K99" s="876"/>
    </row>
    <row r="100" s="824" customFormat="true" ht="14.25" hidden="false" customHeight="false" outlineLevel="0" collapsed="false">
      <c r="B100" s="870" t="s">
        <v>559</v>
      </c>
      <c r="C100" s="870"/>
      <c r="D100" s="870"/>
      <c r="E100" s="871" t="n">
        <f aca="false">IF(ISERROR(E62/(E51+E62))=TRUE(),0,E62/(E51+E62))</f>
        <v>0.108698576030106</v>
      </c>
      <c r="F100" s="872"/>
      <c r="G100" s="871" t="n">
        <f aca="false">IF(ISERROR(G62/(G51+G62))=TRUE(),0,G62/(G51+G62))</f>
        <v>0.154461565987067</v>
      </c>
      <c r="H100" s="872"/>
      <c r="I100" s="871" t="n">
        <f aca="false">IF(ISERROR(I62/(I51+I62))=TRUE(),0,I62/(I51+I62))</f>
        <v>0.194003818272578</v>
      </c>
      <c r="J100" s="872"/>
      <c r="K100" s="867"/>
    </row>
    <row r="101" s="824" customFormat="true" ht="14.25" hidden="false" customHeight="false" outlineLevel="0" collapsed="false">
      <c r="B101" s="870" t="s">
        <v>560</v>
      </c>
      <c r="C101" s="870"/>
      <c r="D101" s="870"/>
      <c r="E101" s="871" t="n">
        <f aca="false">IF(ISERROR(E76/(E45+E46+E54+E55))=TRUE(),0,E76/(E45+E46+E54+E55))</f>
        <v>0.15664335</v>
      </c>
      <c r="F101" s="872"/>
      <c r="G101" s="871" t="n">
        <f aca="false">IF(ISERROR(G76/(G45+G46+G54+G55))=TRUE(),0,G76/(G45+G46+G54+G55))</f>
        <v>0.28134515</v>
      </c>
      <c r="H101" s="872"/>
      <c r="I101" s="871" t="n">
        <f aca="false">IF(ISERROR(I76/(I45+I46+I54+I55))=TRUE(),0,I76/(I45+I46+I54+I55))</f>
        <v>0.289148083333333</v>
      </c>
      <c r="J101" s="872"/>
      <c r="K101" s="867"/>
    </row>
    <row r="102" s="824" customFormat="true" ht="14.25" hidden="false" customHeight="false" outlineLevel="0" collapsed="false">
      <c r="B102" s="870" t="s">
        <v>561</v>
      </c>
      <c r="C102" s="870"/>
      <c r="D102" s="870"/>
      <c r="E102" s="871" t="n">
        <f aca="false">IF(ISERROR(E68/E29)=TRUE(),0,E68/E29)</f>
        <v>0.784854412093536</v>
      </c>
      <c r="F102" s="872"/>
      <c r="G102" s="871" t="n">
        <f aca="false">IF(ISERROR(G68/G29)=TRUE(),0,G68/G29)</f>
        <v>0.787832941244585</v>
      </c>
      <c r="H102" s="872"/>
      <c r="I102" s="871" t="n">
        <f aca="false">IF(ISERROR(I68/I29)=TRUE(),0,I68/I29)</f>
        <v>0.780767926445581</v>
      </c>
      <c r="J102" s="872"/>
      <c r="K102" s="867"/>
    </row>
    <row r="103" s="824" customFormat="true" ht="14.25" hidden="false" customHeight="false" outlineLevel="0" collapsed="false">
      <c r="B103" s="870" t="s">
        <v>562</v>
      </c>
      <c r="C103" s="870"/>
      <c r="D103" s="870"/>
      <c r="E103" s="871" t="n">
        <f aca="false">IF(E22=0,"No procede",E22/('CUENTA DE RESULTADOS'!D17/365))</f>
        <v>28.1221179273785</v>
      </c>
      <c r="F103" s="875"/>
      <c r="G103" s="871" t="n">
        <f aca="false">IF(G22=0,"No procede",G22/('CUENTA DE RESULTADOS'!E17/365))</f>
        <v>20.9435011714842</v>
      </c>
      <c r="H103" s="875"/>
      <c r="I103" s="871" t="n">
        <f aca="false">IF(I22=0,"No procede",I22/('CUENTA DE RESULTADOS'!F17/365))</f>
        <v>18.2929827317873</v>
      </c>
      <c r="J103" s="875"/>
      <c r="K103" s="876"/>
    </row>
    <row r="104" s="824" customFormat="true" ht="14.25" hidden="false" customHeight="false" outlineLevel="0" collapsed="false">
      <c r="B104" s="870" t="s">
        <v>563</v>
      </c>
      <c r="C104" s="870"/>
      <c r="D104" s="870"/>
      <c r="E104" s="871" t="n">
        <f aca="false">IF(ISERROR(E59/E24)=TRUE(),0,E59/E24)</f>
        <v>0</v>
      </c>
      <c r="F104" s="872"/>
      <c r="G104" s="871" t="n">
        <f aca="false">IF(ISERROR(G59/G24)=TRUE(),0,G59/G24)</f>
        <v>0</v>
      </c>
      <c r="H104" s="872"/>
      <c r="I104" s="871" t="n">
        <f aca="false">IF(ISERROR(I59/I24)=TRUE(),0,I59/I24)</f>
        <v>0</v>
      </c>
      <c r="J104" s="872"/>
      <c r="K104" s="867"/>
    </row>
    <row r="105" customFormat="false" ht="14.25" hidden="false" customHeight="false" outlineLevel="0" collapsed="false">
      <c r="B105" s="860"/>
      <c r="C105" s="860"/>
      <c r="D105" s="860"/>
      <c r="E105" s="861"/>
      <c r="F105" s="862"/>
      <c r="G105" s="861"/>
      <c r="H105" s="862"/>
      <c r="I105" s="861"/>
      <c r="J105" s="862"/>
      <c r="K105" s="862"/>
    </row>
    <row r="106" customFormat="false" ht="20.25" hidden="false" customHeight="false" outlineLevel="0" collapsed="false">
      <c r="B106" s="840" t="s">
        <v>564</v>
      </c>
      <c r="C106" s="860"/>
      <c r="D106" s="860"/>
      <c r="E106" s="861"/>
      <c r="F106" s="862"/>
      <c r="G106" s="861"/>
      <c r="H106" s="862"/>
      <c r="I106" s="861"/>
      <c r="J106" s="862"/>
      <c r="K106" s="862"/>
    </row>
    <row r="107" customFormat="false" ht="14.25" hidden="false" customHeight="false" outlineLevel="0" collapsed="false">
      <c r="B107" s="870" t="s">
        <v>416</v>
      </c>
      <c r="C107" s="870"/>
      <c r="D107" s="870"/>
      <c r="E107" s="877" t="n">
        <f aca="false">IF(ISERROR(('CUENTA DE RESULTADOS'!D19+'CUENTA DE RESULTADOS'!D20+'CUENTA DE RESULTADOS'!D27)/E110*100)=TRUE(),0,('CUENTA DE RESULTADOS'!D19+'CUENTA DE RESULTADOS'!D20+'CUENTA DE RESULTADOS'!D27)/E110*100)</f>
        <v>67179.1567280193</v>
      </c>
      <c r="F107" s="878" t="s">
        <v>551</v>
      </c>
      <c r="G107" s="877" t="n">
        <f aca="false">IF(ISERROR(('CUENTA DE RESULTADOS'!E19+'CUENTA DE RESULTADOS'!E20+'CUENTA DE RESULTADOS'!E27)/G110*100)=TRUE(),0,('CUENTA DE RESULTADOS'!E19+'CUENTA DE RESULTADOS'!E20+'CUENTA DE RESULTADOS'!E27)/G110*100)</f>
        <v>0</v>
      </c>
      <c r="H107" s="878" t="s">
        <v>551</v>
      </c>
      <c r="I107" s="877" t="n">
        <f aca="false">IF(ISERROR(('CUENTA DE RESULTADOS'!F19+'CUENTA DE RESULTADOS'!F20+'CUENTA DE RESULTADOS'!F27)/I110*100)=TRUE(),0,('CUENTA DE RESULTADOS'!F19+'CUENTA DE RESULTADOS'!F20+'CUENTA DE RESULTADOS'!F27)/I110*100)</f>
        <v>0</v>
      </c>
      <c r="J107" s="878" t="s">
        <v>551</v>
      </c>
      <c r="K107" s="862"/>
    </row>
    <row r="108" s="824" customFormat="true" ht="19.7" hidden="false" customHeight="true" outlineLevel="0" collapsed="false">
      <c r="B108" s="864" t="s">
        <v>565</v>
      </c>
      <c r="C108" s="836"/>
      <c r="D108" s="836"/>
      <c r="E108" s="865" t="n">
        <f aca="false">IF(ISERROR(('CUENTA DE RESULTADOS'!D46/'CUENTA DE RESULTADOS'!D44)*100)=TRUE(),0,('CUENTA DE RESULTADOS'!D46/'CUENTA DE RESULTADOS'!D44)*100)</f>
        <v>81.2639935196436</v>
      </c>
      <c r="F108" s="869" t="s">
        <v>100</v>
      </c>
      <c r="G108" s="865" t="n">
        <f aca="false">IF(ISERROR(('CUENTA DE RESULTADOS'!E46/'CUENTA DE RESULTADOS'!E44)*100)=TRUE(),0,('CUENTA DE RESULTADOS'!E46/'CUENTA DE RESULTADOS'!E44)*100)</f>
        <v>81.5752818500135</v>
      </c>
      <c r="H108" s="869" t="s">
        <v>100</v>
      </c>
      <c r="I108" s="865" t="n">
        <f aca="false">IF(ISERROR(('CUENTA DE RESULTADOS'!F46/'CUENTA DE RESULTADOS'!F44)*100)=TRUE(),0,('CUENTA DE RESULTADOS'!F46/'CUENTA DE RESULTADOS'!F44)*100)</f>
        <v>81.6244301421293</v>
      </c>
      <c r="J108" s="869" t="s">
        <v>100</v>
      </c>
      <c r="K108" s="873"/>
      <c r="M108" s="865" t="e">
        <f aca="false">OFFSET(#REF!,0,#REF!+1,1,1)</f>
        <v>#REF!</v>
      </c>
      <c r="N108" s="869" t="s">
        <v>100</v>
      </c>
    </row>
    <row r="109" s="824" customFormat="true" ht="19.7" hidden="false" customHeight="true" outlineLevel="0" collapsed="false">
      <c r="B109" s="870" t="s">
        <v>566</v>
      </c>
      <c r="C109" s="874"/>
      <c r="D109" s="874"/>
      <c r="E109" s="871" t="n">
        <f aca="false">IF(ISERROR(('CUENTA DE RESULTADOS'!D19/'CUENTA DE RESULTADOS'!D46)*100)=TRUE(),0,('CUENTA DE RESULTADOS'!D19/'CUENTA DE RESULTADOS'!D46)*100)</f>
        <v>0</v>
      </c>
      <c r="F109" s="878" t="s">
        <v>100</v>
      </c>
      <c r="G109" s="871" t="n">
        <f aca="false">IF(ISERROR(('CUENTA DE RESULTADOS'!E19/'CUENTA DE RESULTADOS'!E46)*100)=TRUE(),0,('CUENTA DE RESULTADOS'!E19/'CUENTA DE RESULTADOS'!E46)*100)</f>
        <v>0</v>
      </c>
      <c r="H109" s="878" t="s">
        <v>100</v>
      </c>
      <c r="I109" s="871" t="n">
        <f aca="false">IF(ISERROR(('CUENTA DE RESULTADOS'!F19/'CUENTA DE RESULTADOS'!F46)*100)=TRUE(),0,('CUENTA DE RESULTADOS'!F19/'CUENTA DE RESULTADOS'!F46)*100)</f>
        <v>0</v>
      </c>
      <c r="J109" s="878" t="s">
        <v>100</v>
      </c>
      <c r="K109" s="873"/>
      <c r="M109" s="871" t="e">
        <f aca="false">OFFSET(#REF!,0,#REF!+1,1,1)</f>
        <v>#REF!</v>
      </c>
      <c r="N109" s="869" t="s">
        <v>100</v>
      </c>
    </row>
    <row r="110" s="824" customFormat="true" ht="14.25" hidden="false" customHeight="false" outlineLevel="0" collapsed="false">
      <c r="B110" s="864" t="s">
        <v>567</v>
      </c>
      <c r="C110" s="864"/>
      <c r="D110" s="864"/>
      <c r="E110" s="871" t="n">
        <f aca="false">IF(ISERROR('CUENTA DE RESULTADOS'!R63/'CUENTA DE RESULTADOS'!D14*100)=TRUE(),0,'CUENTA DE RESULTADOS'!R63/'CUENTA DE RESULTADOS'!D14*100)</f>
        <v>23.5936275058797</v>
      </c>
      <c r="F110" s="878"/>
      <c r="G110" s="871" t="n">
        <f aca="false">IF(ISERROR('CUENTA DE RESULTADOS'!Q143/'CUENTA DE RESULTADOS'!E14*100)=TRUE(),0,'CUENTA DE RESULTADOS'!Q143/'CUENTA DE RESULTADOS'!E14*100)</f>
        <v>22.2157714476652</v>
      </c>
      <c r="H110" s="878"/>
      <c r="I110" s="871" t="n">
        <f aca="false">IF(ISERROR('CUENTA DE RESULTADOS'!Q221/'CUENTA DE RESULTADOS'!F14*100)=TRUE(),0,'CUENTA DE RESULTADOS'!Q221/'CUENTA DE RESULTADOS'!F14*100)</f>
        <v>22.2100404976468</v>
      </c>
      <c r="J110" s="878"/>
      <c r="K110" s="876"/>
      <c r="M110" s="871" t="e">
        <f aca="false">(OFFSET(#REF!,0,#REF!+1,1,1))/100</f>
        <v>#REF!</v>
      </c>
      <c r="N110" s="869" t="s">
        <v>100</v>
      </c>
    </row>
    <row r="111" customFormat="false" ht="14.25" hidden="false" customHeight="false" outlineLevel="0" collapsed="false">
      <c r="B111" s="870" t="s">
        <v>568</v>
      </c>
      <c r="C111" s="870"/>
      <c r="D111" s="870"/>
      <c r="E111" s="871" t="n">
        <f aca="false">IF(ISERROR(('CUENTA DE RESULTADOS'!D19+'CUENTA DE RESULTADOS'!D20+'CUENTA DE RESULTADOS'!D27)/'CUENTA DE RESULTADOS'!D14)=TRUE(),0,('CUENTA DE RESULTADOS'!D19+'CUENTA DE RESULTADOS'!D20+'CUENTA DE RESULTADOS'!D27)/'CUENTA DE RESULTADOS'!D14)</f>
        <v>0.0739631164370777</v>
      </c>
      <c r="F111" s="861"/>
      <c r="G111" s="871" t="n">
        <f aca="false">IF(ISERROR(('CUENTA DE RESULTADOS'!E19+'CUENTA DE RESULTADOS'!E20+'CUENTA DE RESULTADOS'!E27)/'CUENTA DE RESULTADOS'!E14)=TRUE(),0,('CUENTA DE RESULTADOS'!E19+'CUENTA DE RESULTADOS'!E20+'CUENTA DE RESULTADOS'!E27)/'CUENTA DE RESULTADOS'!E14)</f>
        <v>0</v>
      </c>
      <c r="H111" s="861"/>
      <c r="I111" s="871" t="n">
        <f aca="false">IF(ISERROR(('CUENTA DE RESULTADOS'!F19+'CUENTA DE RESULTADOS'!F20+'CUENTA DE RESULTADOS'!F27)/'CUENTA DE RESULTADOS'!F14)=TRUE(),0,('CUENTA DE RESULTADOS'!F19+'CUENTA DE RESULTADOS'!F20+'CUENTA DE RESULTADOS'!F27)/'CUENTA DE RESULTADOS'!F14)</f>
        <v>0</v>
      </c>
      <c r="J111" s="861"/>
      <c r="K111" s="861"/>
    </row>
    <row r="112" customFormat="false" ht="19.7" hidden="false" customHeight="true" outlineLevel="0" collapsed="false">
      <c r="B112" s="870" t="s">
        <v>569</v>
      </c>
      <c r="C112" s="870"/>
      <c r="D112" s="870"/>
      <c r="E112" s="877" t="n">
        <f aca="false">IF(ISERROR(E24*360/('CUENTA DE RESULTADOS'!D14+'CUENTA DE RESULTADOS'!D18))=TRUE(),0,E24*360/('CUENTA DE RESULTADOS'!D14+'CUENTA DE RESULTADOS'!D18))</f>
        <v>0</v>
      </c>
      <c r="F112" s="878" t="s">
        <v>570</v>
      </c>
      <c r="G112" s="877" t="n">
        <f aca="false">IF(ISERROR(G24*360/('CUENTA DE RESULTADOS'!E14+'CUENTA DE RESULTADOS'!E18))=TRUE(),0,G24*360/('CUENTA DE RESULTADOS'!E14+'CUENTA DE RESULTADOS'!E18))</f>
        <v>0</v>
      </c>
      <c r="H112" s="878" t="s">
        <v>570</v>
      </c>
      <c r="I112" s="877" t="n">
        <f aca="false">IF(ISERROR(I24*360/('CUENTA DE RESULTADOS'!F14+'CUENTA DE RESULTADOS'!F18))=TRUE(),0,I24*360/('CUENTA DE RESULTADOS'!F14+'CUENTA DE RESULTADOS'!F18))</f>
        <v>0</v>
      </c>
      <c r="J112" s="878" t="s">
        <v>570</v>
      </c>
      <c r="K112" s="873"/>
    </row>
    <row r="113" customFormat="false" ht="19.7" hidden="false" customHeight="true" outlineLevel="0" collapsed="false">
      <c r="B113" s="870" t="s">
        <v>571</v>
      </c>
      <c r="C113" s="870"/>
      <c r="D113" s="870"/>
      <c r="E113" s="877" t="n">
        <f aca="false">IF(ISERROR(E59*360/'CUENTA DE RESULTADOS'!R57)=TRUE(),0,E59*360/'CUENTA DE RESULTADOS'!R57)</f>
        <v>49.5</v>
      </c>
      <c r="F113" s="878" t="s">
        <v>570</v>
      </c>
      <c r="G113" s="879" t="n">
        <f aca="false">IF(ISERROR(G59*360/'CUENTA DE RESULTADOS'!Q137)=TRUE(),0,G59*360/'CUENTA DE RESULTADOS'!Q137)</f>
        <v>49.5</v>
      </c>
      <c r="H113" s="878" t="s">
        <v>570</v>
      </c>
      <c r="I113" s="877" t="n">
        <f aca="false">IF(ISERROR(I59*360/'CUENTA DE RESULTADOS'!Q215)=TRUE(),0,I59*360/'CUENTA DE RESULTADOS'!Q215)</f>
        <v>49.5</v>
      </c>
      <c r="J113" s="878" t="s">
        <v>570</v>
      </c>
      <c r="K113" s="873"/>
    </row>
    <row r="114" s="353" customFormat="true" ht="14.25" hidden="false" customHeight="false" outlineLevel="0" collapsed="false">
      <c r="K114" s="873"/>
    </row>
    <row r="115" customFormat="false" ht="14.25" hidden="false" customHeight="false" outlineLevel="0" collapsed="false">
      <c r="B115" s="860"/>
      <c r="C115" s="860"/>
      <c r="D115" s="860"/>
      <c r="E115" s="861"/>
      <c r="F115" s="880"/>
      <c r="G115" s="861"/>
      <c r="H115" s="880"/>
      <c r="I115" s="861"/>
      <c r="J115" s="880"/>
      <c r="K115" s="880"/>
    </row>
    <row r="116" customFormat="false" ht="20.25" hidden="false" customHeight="false" outlineLevel="0" collapsed="false">
      <c r="B116" s="840" t="s">
        <v>572</v>
      </c>
      <c r="C116" s="860"/>
      <c r="D116" s="860"/>
      <c r="E116" s="861"/>
      <c r="F116" s="862"/>
      <c r="G116" s="861"/>
      <c r="H116" s="862"/>
      <c r="I116" s="861"/>
      <c r="J116" s="862"/>
      <c r="K116" s="862"/>
    </row>
    <row r="117" s="824" customFormat="true" ht="19.7" hidden="false" customHeight="true" outlineLevel="0" collapsed="false">
      <c r="B117" s="864" t="s">
        <v>573</v>
      </c>
      <c r="C117" s="836"/>
      <c r="D117" s="836"/>
      <c r="E117" s="865" t="n">
        <f aca="false">IF(E42&lt;0,"QUIEBRA",IF(ISERROR((('CUENTA DE RESULTADOS'!D24)/E31)*100)=TRUE(),0,(('CUENTA DE RESULTADOS'!D24)/E31)*100))</f>
        <v>10.3467616521825</v>
      </c>
      <c r="F117" s="869" t="s">
        <v>100</v>
      </c>
      <c r="G117" s="865" t="n">
        <f aca="false">IF(G42&lt;0,"QUIEBRA",IF(ISERROR((('CUENTA DE RESULTADOS'!E24)/G31)*100)=TRUE(),0,(('CUENTA DE RESULTADOS'!E24)/G31)*100))</f>
        <v>12.6697732947464</v>
      </c>
      <c r="H117" s="869" t="s">
        <v>100</v>
      </c>
      <c r="I117" s="865" t="n">
        <f aca="false">IF(I42&lt;0,"QUIEBRA",IF(ISERROR((('CUENTA DE RESULTADOS'!F24)/I31)*100)=TRUE(),0,(('CUENTA DE RESULTADOS'!F24)/I31)*100))</f>
        <v>13.68992699627</v>
      </c>
      <c r="J117" s="869" t="s">
        <v>100</v>
      </c>
      <c r="K117" s="873"/>
      <c r="M117" s="865" t="e">
        <f aca="false">OFFSET(#REF!,0,#REF!+1,1,1)</f>
        <v>#REF!</v>
      </c>
      <c r="N117" s="869" t="s">
        <v>100</v>
      </c>
    </row>
    <row r="118" s="824" customFormat="true" ht="14.25" hidden="false" customHeight="false" outlineLevel="0" collapsed="false">
      <c r="B118" s="864" t="s">
        <v>574</v>
      </c>
      <c r="C118" s="864"/>
      <c r="D118" s="864"/>
      <c r="E118" s="871" t="n">
        <f aca="false">IF(E42&lt;0,"QUIEBRA",IF(ISERROR(('CUENTA DE RESULTADOS'!D35/E42)*100)=TRUE(),0,('CUENTA DE RESULTADOS'!D35/E42)*100))</f>
        <v>13.8391781658703</v>
      </c>
      <c r="F118" s="869" t="s">
        <v>100</v>
      </c>
      <c r="G118" s="871" t="n">
        <f aca="false">IF(G42&lt;0,"QUIEBRA",IF(ISERROR(('CUENTA DE RESULTADOS'!E35/G42)*100)=TRUE(),0,('CUENTA DE RESULTADOS'!E35/G42)*100))</f>
        <v>25.495147081532</v>
      </c>
      <c r="H118" s="869" t="s">
        <v>100</v>
      </c>
      <c r="I118" s="871" t="n">
        <f aca="false">IF(I42&lt;0,"QUIEBRA",IF(ISERROR(('CUENTA DE RESULTADOS'!F35/I42)*100)=TRUE(),0,('CUENTA DE RESULTADOS'!F35/I42)*100))</f>
        <v>23.2268974443925</v>
      </c>
      <c r="J118" s="869" t="s">
        <v>575</v>
      </c>
      <c r="K118" s="873"/>
      <c r="M118" s="871" t="e">
        <f aca="false">OFFSET(#REF!,0,#REF!+1,1,1)</f>
        <v>#REF!</v>
      </c>
      <c r="N118" s="878" t="s">
        <v>100</v>
      </c>
    </row>
    <row r="119" s="824" customFormat="true" ht="14.25" hidden="false" customHeight="false" outlineLevel="0" collapsed="false">
      <c r="B119" s="864" t="s">
        <v>576</v>
      </c>
      <c r="C119" s="864"/>
      <c r="D119" s="864"/>
      <c r="E119" s="865" t="n">
        <f aca="false">IF(ISERROR(E39/E42)=TRUE(),0,E39/E42)</f>
        <v>0.138391781658703</v>
      </c>
      <c r="F119" s="865"/>
      <c r="G119" s="865" t="n">
        <f aca="false">IF(ISERROR(G39/G42)=TRUE(),0,G39/G42)</f>
        <v>0.25495147081532</v>
      </c>
      <c r="H119" s="865"/>
      <c r="I119" s="865" t="n">
        <f aca="false">IF(ISERROR(I39/I42)=TRUE(),0,I39/I42)</f>
        <v>0.232268974443925</v>
      </c>
      <c r="J119" s="865"/>
      <c r="K119" s="861"/>
    </row>
    <row r="120" s="824" customFormat="true" ht="14.25" hidden="false" customHeight="false" outlineLevel="0" collapsed="false">
      <c r="B120" s="870" t="s">
        <v>577</v>
      </c>
      <c r="C120" s="870"/>
      <c r="D120" s="870"/>
      <c r="E120" s="871" t="n">
        <f aca="false">IF(ISERROR('CUENTA DE RESULTADOS'!D14/E31)=TRUE(),0,'CUENTA DE RESULTADOS'!D14/E31)</f>
        <v>0.590586297600144</v>
      </c>
      <c r="F120" s="871"/>
      <c r="G120" s="871" t="n">
        <f aca="false">IF(ISERROR('CUENTA DE RESULTADOS'!E14/G31)=TRUE(),0,'CUENTA DE RESULTADOS'!E14/G31)</f>
        <v>0.701564458414003</v>
      </c>
      <c r="H120" s="871"/>
      <c r="I120" s="871" t="n">
        <f aca="false">IF(ISERROR('CUENTA DE RESULTADOS'!F14/I31)=TRUE(),0,'CUENTA DE RESULTADOS'!F14/I31)</f>
        <v>0.739559069522858</v>
      </c>
      <c r="J120" s="871"/>
      <c r="K120" s="861"/>
    </row>
    <row r="121" s="824" customFormat="true" ht="14.25" hidden="false" customHeight="false" outlineLevel="0" collapsed="false">
      <c r="B121" s="870" t="s">
        <v>578</v>
      </c>
      <c r="C121" s="870"/>
      <c r="D121" s="870"/>
      <c r="E121" s="871" t="n">
        <f aca="false">IF(ISERROR('CUENTA DE RESULTADOS'!D24/('CUENTA DE RESULTADOS'!D14+'CUENTA DE RESULTADOS'!D18))=TRUE(),0,'CUENTA DE RESULTADOS'!D24/('CUENTA DE RESULTADOS'!D14+'CUENTA DE RESULTADOS'!D18))*100</f>
        <v>17.5194746207738</v>
      </c>
      <c r="F121" s="875"/>
      <c r="G121" s="871" t="n">
        <f aca="false">IF(ISERROR('CUENTA DE RESULTADOS'!E24/('CUENTA DE RESULTADOS'!E14+'CUENTA DE RESULTADOS'!E18))=TRUE(),0,'CUENTA DE RESULTADOS'!E24/('CUENTA DE RESULTADOS'!E14+'CUENTA DE RESULTADOS'!E18))*100</f>
        <v>18.0593146400097</v>
      </c>
      <c r="H121" s="875"/>
      <c r="I121" s="871" t="n">
        <f aca="false">IF(ISERROR('CUENTA DE RESULTADOS'!F24/('CUENTA DE RESULTADOS'!F14+'CUENTA DE RESULTADOS'!F18))=TRUE(),0,'CUENTA DE RESULTADOS'!F24/('CUENTA DE RESULTADOS'!F14+'CUENTA DE RESULTADOS'!F18))*100</f>
        <v>18.51093112157</v>
      </c>
      <c r="J121" s="875"/>
      <c r="K121" s="876"/>
    </row>
    <row r="122" s="824" customFormat="true" ht="14.25" hidden="false" customHeight="false" outlineLevel="0" collapsed="false">
      <c r="B122" s="870" t="s">
        <v>579</v>
      </c>
      <c r="C122" s="870"/>
      <c r="D122" s="870"/>
      <c r="E122" s="871" t="n">
        <f aca="false">IF(ISERROR('CUENTA DE RESULTADOS'!D35/('CUENTA DE RESULTADOS'!D14+'CUENTA DE RESULTADOS'!D18))=TRUE(),0,'CUENTA DE RESULTADOS'!D35/('CUENTA DE RESULTADOS'!D14+'CUENTA DE RESULTADOS'!D18))*100</f>
        <v>8.94183901394955</v>
      </c>
      <c r="F122" s="871"/>
      <c r="G122" s="871" t="n">
        <f aca="false">IF(ISERROR('CUENTA DE RESULTADOS'!E35/('CUENTA DE RESULTADOS'!E14+'CUENTA DE RESULTADOS'!E18))=TRUE(),0,'CUENTA DE RESULTADOS'!E35/('CUENTA DE RESULTADOS'!E14+'CUENTA DE RESULTADOS'!E18))*100</f>
        <v>15.3504174440082</v>
      </c>
      <c r="H122" s="871"/>
      <c r="I122" s="871" t="n">
        <f aca="false">IF(ISERROR('CUENTA DE RESULTADOS'!F35/('CUENTA DE RESULTADOS'!F14+'CUENTA DE RESULTADOS'!F18))=TRUE(),0,'CUENTA DE RESULTADOS'!F35/('CUENTA DE RESULTADOS'!F14+'CUENTA DE RESULTADOS'!F18))*100</f>
        <v>13.8831983411775</v>
      </c>
      <c r="J122" s="871"/>
      <c r="K122" s="861"/>
    </row>
    <row r="126" s="353" customFormat="true" ht="12.75" hidden="false" customHeight="false" outlineLevel="0" collapsed="false"/>
    <row r="127" customFormat="false" ht="12.75" hidden="false" customHeight="false" outlineLevel="0" collapsed="false">
      <c r="E127" s="778"/>
      <c r="G127" s="778"/>
      <c r="I127" s="778"/>
    </row>
  </sheetData>
  <sheetProtection sheet="true" password="cc4b"/>
  <mergeCells count="12">
    <mergeCell ref="B3:J3"/>
    <mergeCell ref="B7:G7"/>
    <mergeCell ref="C11:D11"/>
    <mergeCell ref="E11:F11"/>
    <mergeCell ref="G11:H11"/>
    <mergeCell ref="I11:J11"/>
    <mergeCell ref="C72:J72"/>
    <mergeCell ref="M73:N73"/>
    <mergeCell ref="E74:F74"/>
    <mergeCell ref="G74:H74"/>
    <mergeCell ref="I74:J74"/>
    <mergeCell ref="M74:N74"/>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L41"/>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A3" activeCellId="0" sqref="A3"/>
    </sheetView>
  </sheetViews>
  <sheetFormatPr defaultColWidth="8.90234375" defaultRowHeight="12.75" zeroHeight="false" outlineLevelRow="0" outlineLevelCol="0"/>
  <cols>
    <col collapsed="false" customWidth="true" hidden="false" outlineLevel="0" max="1" min="1" style="0" width="7.42"/>
    <col collapsed="false" customWidth="true" hidden="false" outlineLevel="0" max="2" min="2" style="0" width="30.61"/>
    <col collapsed="false" customWidth="true" hidden="false" outlineLevel="0" max="3" min="3" style="0" width="14.83"/>
    <col collapsed="false" customWidth="true" hidden="false" outlineLevel="0" max="4" min="4" style="0" width="7.15"/>
    <col collapsed="false" customWidth="true" hidden="false" outlineLevel="0" max="5" min="5" style="0" width="7.96"/>
    <col collapsed="false" customWidth="true" hidden="false" outlineLevel="0" max="256" min="6" style="0" width="11.46"/>
  </cols>
  <sheetData>
    <row r="1" s="298" customFormat="true" ht="9.75" hidden="true" customHeight="true" outlineLevel="0" collapsed="false"/>
    <row r="2" customFormat="false" ht="12.75" hidden="false" customHeight="true" outlineLevel="0" collapsed="false"/>
    <row r="3" customFormat="false" ht="12.75" hidden="false" customHeight="false" outlineLevel="0" collapsed="false">
      <c r="B3" s="881"/>
    </row>
    <row r="4" customFormat="false" ht="20.25" hidden="false" customHeight="false" outlineLevel="0" collapsed="false">
      <c r="B4" s="301" t="str">
        <f aca="false">'Datos generales'!C6</f>
        <v>La tienda S.L</v>
      </c>
      <c r="C4" s="301"/>
    </row>
    <row r="7" customFormat="false" ht="14.25" hidden="false" customHeight="false" outlineLevel="0" collapsed="false">
      <c r="B7" s="51" t="s">
        <v>580</v>
      </c>
      <c r="C7" s="48"/>
      <c r="D7" s="178"/>
      <c r="G7" s="93"/>
    </row>
    <row r="8" customFormat="false" ht="14.25" hidden="false" customHeight="false" outlineLevel="0" collapsed="false">
      <c r="B8" s="51"/>
      <c r="C8" s="882"/>
      <c r="D8" s="178"/>
    </row>
    <row r="9" customFormat="false" ht="13.5" hidden="false" customHeight="false" outlineLevel="0" collapsed="false">
      <c r="E9" s="35"/>
      <c r="F9" s="35"/>
      <c r="G9" s="35"/>
      <c r="H9" s="35"/>
    </row>
    <row r="10" customFormat="false" ht="13.5" hidden="false" customHeight="true" outlineLevel="0" collapsed="false">
      <c r="B10" s="883" t="s">
        <v>177</v>
      </c>
      <c r="C10" s="884" t="s">
        <v>178</v>
      </c>
      <c r="D10" s="885" t="s">
        <v>581</v>
      </c>
      <c r="E10" s="885"/>
      <c r="F10" s="885" t="s">
        <v>582</v>
      </c>
      <c r="G10" s="886" t="s">
        <v>583</v>
      </c>
      <c r="H10" s="886" t="s">
        <v>584</v>
      </c>
      <c r="I10" s="885" t="s">
        <v>585</v>
      </c>
      <c r="J10" s="886" t="s">
        <v>586</v>
      </c>
      <c r="K10" s="885" t="s">
        <v>587</v>
      </c>
      <c r="L10" s="887" t="s">
        <v>588</v>
      </c>
    </row>
    <row r="11" customFormat="false" ht="24.75" hidden="false" customHeight="true" outlineLevel="0" collapsed="false">
      <c r="B11" s="883"/>
      <c r="C11" s="72" t="s">
        <v>183</v>
      </c>
      <c r="D11" s="888" t="s">
        <v>589</v>
      </c>
      <c r="E11" s="182" t="s">
        <v>100</v>
      </c>
      <c r="F11" s="885"/>
      <c r="G11" s="886"/>
      <c r="H11" s="886"/>
      <c r="I11" s="885"/>
      <c r="J11" s="886"/>
      <c r="K11" s="885"/>
      <c r="L11" s="887"/>
    </row>
    <row r="12" s="35" customFormat="true" ht="10.5" hidden="false" customHeight="false" outlineLevel="0" collapsed="false">
      <c r="B12" s="889" t="s">
        <v>590</v>
      </c>
      <c r="C12" s="282" t="str">
        <f aca="false">IF(C25=0,0,".")</f>
        <v>.</v>
      </c>
      <c r="D12" s="282"/>
      <c r="E12" s="282"/>
      <c r="F12" s="282"/>
      <c r="G12" s="282"/>
      <c r="H12" s="282"/>
      <c r="I12" s="282"/>
      <c r="J12" s="282"/>
      <c r="K12" s="282"/>
      <c r="L12" s="890"/>
    </row>
    <row r="13" s="35" customFormat="true" ht="10.5" hidden="false" customHeight="false" outlineLevel="0" collapsed="false">
      <c r="B13" s="891" t="str">
        <f aca="false">'Entrada Inver_Finan'!C28</f>
        <v>Edificios/Locales</v>
      </c>
      <c r="C13" s="892" t="n">
        <f aca="false">'Entrada Inver_Finan'!D28</f>
        <v>200000</v>
      </c>
      <c r="D13" s="893" t="n">
        <f aca="false">'Entrada Inver_Finan'!E28</f>
        <v>50</v>
      </c>
      <c r="E13" s="894" t="n">
        <f aca="false">IF(D13=0,0,1/D13)</f>
        <v>0.02</v>
      </c>
      <c r="F13" s="110" t="n">
        <f aca="false">'Entrada Inver_Finan'!F28</f>
        <v>0</v>
      </c>
      <c r="G13" s="110" t="n">
        <f aca="false">(C13+F13)*E13/12</f>
        <v>333.333333333333</v>
      </c>
      <c r="H13" s="895" t="n">
        <f aca="false">G13*(13-'Datos generales'!$O$10)</f>
        <v>4000</v>
      </c>
      <c r="I13" s="110" t="n">
        <f aca="false">'Entrada Inver_Finan'!G28</f>
        <v>0</v>
      </c>
      <c r="J13" s="895" t="n">
        <f aca="false">IF(D13&lt;=1,I13*E13+G13*('Datos generales'!$O$10-1),IF(D13&gt;=2,(C13+F13+I13)*E13))</f>
        <v>4000</v>
      </c>
      <c r="K13" s="110" t="n">
        <f aca="false">'Entrada Inver_Finan'!H28</f>
        <v>0</v>
      </c>
      <c r="L13" s="896" t="n">
        <f aca="false">IF(D13&lt;=1,K13*E13,IF(D13=2,(K13+I13)*E13,IF(D13&gt;=3,(C13+F13+I13+K13)*E13)))</f>
        <v>4000</v>
      </c>
    </row>
    <row r="14" s="35" customFormat="true" ht="10.5" hidden="false" customHeight="false" outlineLevel="0" collapsed="false">
      <c r="B14" s="891" t="str">
        <f aca="false">'Entrada Inver_Finan'!C29</f>
        <v>Instalaciones / Acondicionamiento</v>
      </c>
      <c r="C14" s="892" t="n">
        <f aca="false">'Entrada Inver_Finan'!D29</f>
        <v>20000</v>
      </c>
      <c r="D14" s="893" t="n">
        <f aca="false">'Entrada Inver_Finan'!E29</f>
        <v>10</v>
      </c>
      <c r="E14" s="894" t="n">
        <f aca="false">IF(D14=0,0,1/D14)</f>
        <v>0.1</v>
      </c>
      <c r="F14" s="110" t="n">
        <f aca="false">'Entrada Inver_Finan'!F29</f>
        <v>0</v>
      </c>
      <c r="G14" s="110" t="n">
        <f aca="false">(C14+F14)*E14/12</f>
        <v>166.666666666667</v>
      </c>
      <c r="H14" s="895" t="n">
        <f aca="false">G14*(13-'Datos generales'!$O$10)</f>
        <v>2000</v>
      </c>
      <c r="I14" s="110" t="n">
        <f aca="false">'Entrada Inver_Finan'!G29</f>
        <v>0</v>
      </c>
      <c r="J14" s="895" t="n">
        <f aca="false">IF(D14&lt;=1,I14*E14+G14*('Datos generales'!$O$10-1),IF(D14&gt;=2,(C14+F14+I14)*E14))</f>
        <v>2000</v>
      </c>
      <c r="K14" s="110" t="n">
        <f aca="false">'Entrada Inver_Finan'!H29</f>
        <v>0</v>
      </c>
      <c r="L14" s="896" t="n">
        <f aca="false">IF(D14&lt;=1,K14*E14,IF(D14=2,(K14+I14)*E14,IF(D14&gt;=3,(C14+F14+I14+K14)*E14)))</f>
        <v>2000</v>
      </c>
    </row>
    <row r="15" s="35" customFormat="true" ht="10.5" hidden="false" customHeight="false" outlineLevel="0" collapsed="false">
      <c r="B15" s="891" t="str">
        <f aca="false">'Entrada Inver_Finan'!C30</f>
        <v>Maquinaria</v>
      </c>
      <c r="C15" s="892" t="n">
        <f aca="false">'Entrada Inver_Finan'!D30</f>
        <v>0</v>
      </c>
      <c r="D15" s="893" t="n">
        <f aca="false">'Entrada Inver_Finan'!E30</f>
        <v>12</v>
      </c>
      <c r="E15" s="894" t="n">
        <f aca="false">IF(D15=0,0,1/D15)</f>
        <v>0.0833333333333333</v>
      </c>
      <c r="F15" s="110" t="n">
        <f aca="false">'Entrada Inver_Finan'!F30</f>
        <v>0</v>
      </c>
      <c r="G15" s="110" t="n">
        <f aca="false">(C15+F15)*E15/12</f>
        <v>0</v>
      </c>
      <c r="H15" s="895" t="n">
        <f aca="false">G15*(13-'Datos generales'!$O$10)</f>
        <v>0</v>
      </c>
      <c r="I15" s="110" t="n">
        <f aca="false">'Entrada Inver_Finan'!G30</f>
        <v>0</v>
      </c>
      <c r="J15" s="895" t="n">
        <f aca="false">IF(D15&lt;=1,I15*E15+G15*('Datos generales'!$O$10-1),IF(D15&gt;=2,(C15+F15+I15)*E15))</f>
        <v>0</v>
      </c>
      <c r="K15" s="110" t="n">
        <f aca="false">'Entrada Inver_Finan'!H30</f>
        <v>0</v>
      </c>
      <c r="L15" s="896" t="n">
        <f aca="false">IF(D15&lt;=1,K15*E15,IF(D15=2,(K15+I15)*E15,IF(D15&gt;=3,(C15+F15+I15+K15)*E15)))</f>
        <v>0</v>
      </c>
    </row>
    <row r="16" s="35" customFormat="true" ht="10.5" hidden="false" customHeight="false" outlineLevel="0" collapsed="false">
      <c r="B16" s="891" t="str">
        <f aca="false">'Entrada Inver_Finan'!C31</f>
        <v>Utillaje, herramientas,...</v>
      </c>
      <c r="C16" s="892" t="n">
        <f aca="false">'Entrada Inver_Finan'!D31</f>
        <v>600</v>
      </c>
      <c r="D16" s="893" t="n">
        <f aca="false">'Entrada Inver_Finan'!E31</f>
        <v>4</v>
      </c>
      <c r="E16" s="894" t="n">
        <f aca="false">IF(D16=0,0,1/D16)</f>
        <v>0.25</v>
      </c>
      <c r="F16" s="110" t="n">
        <f aca="false">'Entrada Inver_Finan'!F31</f>
        <v>0</v>
      </c>
      <c r="G16" s="110" t="n">
        <f aca="false">(C16+F16)*E16/12</f>
        <v>12.5</v>
      </c>
      <c r="H16" s="895" t="n">
        <f aca="false">G16*(13-'Datos generales'!$O$10)</f>
        <v>150</v>
      </c>
      <c r="I16" s="110" t="n">
        <f aca="false">'Entrada Inver_Finan'!G31</f>
        <v>0</v>
      </c>
      <c r="J16" s="895" t="n">
        <f aca="false">IF(D16&lt;=1,I16*E16+G16*('Datos generales'!$O$10-1),IF(D16&gt;=2,(C16+F16+I16)*E16))</f>
        <v>150</v>
      </c>
      <c r="K16" s="110" t="n">
        <f aca="false">'Entrada Inver_Finan'!H31</f>
        <v>0</v>
      </c>
      <c r="L16" s="896" t="n">
        <f aca="false">IF(D16&lt;=1,K16*E16,IF(D16=2,(K16+I16)*E16,IF(D16&gt;=3,(C16+F16+I16+K16)*E16)))</f>
        <v>150</v>
      </c>
    </row>
    <row r="17" s="35" customFormat="true" ht="10.5" hidden="false" customHeight="false" outlineLevel="0" collapsed="false">
      <c r="B17" s="891" t="str">
        <f aca="false">'Entrada Inver_Finan'!C32</f>
        <v>Mobiliario</v>
      </c>
      <c r="C17" s="892" t="n">
        <f aca="false">'Entrada Inver_Finan'!D32</f>
        <v>3000</v>
      </c>
      <c r="D17" s="893" t="n">
        <f aca="false">'Entrada Inver_Finan'!E32</f>
        <v>10</v>
      </c>
      <c r="E17" s="894" t="n">
        <f aca="false">IF(D17=0,0,1/D17)</f>
        <v>0.1</v>
      </c>
      <c r="F17" s="110" t="n">
        <f aca="false">'Entrada Inver_Finan'!F32</f>
        <v>0</v>
      </c>
      <c r="G17" s="110" t="n">
        <f aca="false">(C17+F17)*E17/12</f>
        <v>25</v>
      </c>
      <c r="H17" s="895" t="n">
        <f aca="false">G17*(13-'Datos generales'!$O$10)</f>
        <v>300</v>
      </c>
      <c r="I17" s="110" t="n">
        <f aca="false">'Entrada Inver_Finan'!G32</f>
        <v>0</v>
      </c>
      <c r="J17" s="895" t="n">
        <f aca="false">IF(D17&lt;=1,I17*E17+G17*('Datos generales'!$O$10-1),IF(D17&gt;=2,(C17+F17+I17)*E17))</f>
        <v>300</v>
      </c>
      <c r="K17" s="110" t="n">
        <f aca="false">'Entrada Inver_Finan'!H32</f>
        <v>0</v>
      </c>
      <c r="L17" s="896" t="n">
        <f aca="false">IF(D17&lt;=1,K17*E17,IF(D17=2,(K17+I17)*E17,IF(D17&gt;=3,(C17+F17+I17+K17)*E17)))</f>
        <v>300</v>
      </c>
    </row>
    <row r="18" s="35" customFormat="true" ht="10.5" hidden="false" customHeight="false" outlineLevel="0" collapsed="false">
      <c r="B18" s="891" t="str">
        <f aca="false">'Entrada Inver_Finan'!C33</f>
        <v>Elementos de transporte</v>
      </c>
      <c r="C18" s="892" t="n">
        <f aca="false">'Entrada Inver_Finan'!D33</f>
        <v>35000</v>
      </c>
      <c r="D18" s="893" t="n">
        <f aca="false">'Entrada Inver_Finan'!E33</f>
        <v>7</v>
      </c>
      <c r="E18" s="894" t="n">
        <f aca="false">IF(D18=0,0,1/D18)</f>
        <v>0.142857142857143</v>
      </c>
      <c r="F18" s="110" t="n">
        <f aca="false">'Entrada Inver_Finan'!F33</f>
        <v>0</v>
      </c>
      <c r="G18" s="110" t="n">
        <f aca="false">(C18+F18)*E18/12</f>
        <v>416.666666666667</v>
      </c>
      <c r="H18" s="895" t="n">
        <f aca="false">G18*(13-'Datos generales'!$O$10)</f>
        <v>5000</v>
      </c>
      <c r="I18" s="110" t="n">
        <f aca="false">'Entrada Inver_Finan'!G33</f>
        <v>0</v>
      </c>
      <c r="J18" s="895" t="n">
        <f aca="false">IF(D18&lt;=1,I18*E18+G18*('Datos generales'!$O$10-1),IF(D18&gt;=2,(C18+F18+I18)*E18))</f>
        <v>5000</v>
      </c>
      <c r="K18" s="110" t="n">
        <f aca="false">'Entrada Inver_Finan'!H33</f>
        <v>0</v>
      </c>
      <c r="L18" s="896" t="n">
        <f aca="false">IF(D18&lt;=1,K18*E18,IF(D18=2,(K18+I18)*E18,IF(D18&gt;=3,(C18+F18+I18+K18)*E18)))</f>
        <v>5000</v>
      </c>
    </row>
    <row r="19" s="35" customFormat="true" ht="10.5" hidden="false" customHeight="false" outlineLevel="0" collapsed="false">
      <c r="B19" s="891" t="str">
        <f aca="false">'Entrada Inver_Finan'!C34</f>
        <v>Equipos informáticos</v>
      </c>
      <c r="C19" s="892" t="n">
        <f aca="false">'Entrada Inver_Finan'!D34</f>
        <v>2000</v>
      </c>
      <c r="D19" s="893" t="n">
        <f aca="false">'Entrada Inver_Finan'!E34</f>
        <v>5</v>
      </c>
      <c r="E19" s="894" t="n">
        <f aca="false">IF(D19=0,0,1/D19)</f>
        <v>0.2</v>
      </c>
      <c r="F19" s="110" t="n">
        <f aca="false">'Entrada Inver_Finan'!F34</f>
        <v>0</v>
      </c>
      <c r="G19" s="110" t="n">
        <f aca="false">(C19+F19)*E19/12</f>
        <v>33.3333333333333</v>
      </c>
      <c r="H19" s="895" t="n">
        <f aca="false">G19*(13-'Datos generales'!$O$10)</f>
        <v>400</v>
      </c>
      <c r="I19" s="110" t="n">
        <f aca="false">'Entrada Inver_Finan'!G34</f>
        <v>0</v>
      </c>
      <c r="J19" s="895" t="n">
        <f aca="false">IF(D19&lt;=1,I19*E19+G19*('Datos generales'!$O$10-1),IF(D19&gt;=2,(C19+F19+I19)*E19))</f>
        <v>400</v>
      </c>
      <c r="K19" s="110" t="n">
        <f aca="false">'Entrada Inver_Finan'!H34</f>
        <v>0</v>
      </c>
      <c r="L19" s="896" t="n">
        <f aca="false">IF(D19&lt;=1,K19*E19,IF(D19=2,(K19+I19)*E19,IF(D19&gt;=3,(C19+F19+I19+K19)*E19)))</f>
        <v>400</v>
      </c>
    </row>
    <row r="20" s="35" customFormat="true" ht="10.5" hidden="false" customHeight="false" outlineLevel="0" collapsed="false">
      <c r="B20" s="891" t="str">
        <f aca="false">'Entrada Inver_Finan'!C35</f>
        <v>Otro inmovilizado material</v>
      </c>
      <c r="C20" s="892" t="n">
        <f aca="false">'Entrada Inver_Finan'!D35</f>
        <v>0</v>
      </c>
      <c r="D20" s="893" t="n">
        <f aca="false">'Entrada Inver_Finan'!E35</f>
        <v>0</v>
      </c>
      <c r="E20" s="894" t="n">
        <f aca="false">IF(D20=0,0,1/D20)</f>
        <v>0</v>
      </c>
      <c r="F20" s="110" t="n">
        <f aca="false">'Entrada Inver_Finan'!F35</f>
        <v>0</v>
      </c>
      <c r="G20" s="110" t="n">
        <f aca="false">(C20+F20)*E20/12</f>
        <v>0</v>
      </c>
      <c r="H20" s="895" t="n">
        <f aca="false">G20*(13-'Datos generales'!$O$10)</f>
        <v>0</v>
      </c>
      <c r="I20" s="110" t="n">
        <f aca="false">'Entrada Inver_Finan'!G35</f>
        <v>0</v>
      </c>
      <c r="J20" s="895" t="n">
        <f aca="false">IF(D20&lt;=1,I20*E20+G20*('Datos generales'!$O$10-1),IF(D20&gt;=2,(C20+F20+I20)*E20))</f>
        <v>0</v>
      </c>
      <c r="K20" s="110" t="n">
        <f aca="false">'Entrada Inver_Finan'!H35</f>
        <v>0</v>
      </c>
      <c r="L20" s="896" t="n">
        <f aca="false">IF(D20&lt;=1,K20*E20,IF(D20=2,(K20+I20)*E20,IF(D20&gt;=3,(C20+F20+I20+K20)*E20)))</f>
        <v>0</v>
      </c>
    </row>
    <row r="21" s="35" customFormat="true" ht="10.5" hidden="false" customHeight="false" outlineLevel="0" collapsed="false">
      <c r="B21" s="891" t="n">
        <f aca="false">'Entrada Inver_Finan'!C36</f>
        <v>0</v>
      </c>
      <c r="C21" s="892" t="n">
        <f aca="false">'Entrada Inver_Finan'!D36</f>
        <v>0</v>
      </c>
      <c r="D21" s="893" t="n">
        <f aca="false">'Entrada Inver_Finan'!E36</f>
        <v>0</v>
      </c>
      <c r="E21" s="894" t="n">
        <f aca="false">IF(D21=0,0,1/D21)</f>
        <v>0</v>
      </c>
      <c r="F21" s="110" t="n">
        <f aca="false">'Entrada Inver_Finan'!F36</f>
        <v>0</v>
      </c>
      <c r="G21" s="110" t="n">
        <f aca="false">(C21+F21)*E21/12</f>
        <v>0</v>
      </c>
      <c r="H21" s="895" t="n">
        <f aca="false">G21*(13-'Datos generales'!$O$10)</f>
        <v>0</v>
      </c>
      <c r="I21" s="110" t="n">
        <f aca="false">'Entrada Inver_Finan'!G36</f>
        <v>0</v>
      </c>
      <c r="J21" s="895" t="n">
        <f aca="false">IF(D21&lt;=1,I21*E21+G21*('Datos generales'!$O$10-1),IF(D21&gt;=2,(C21+F21+I21)*E21))</f>
        <v>0</v>
      </c>
      <c r="K21" s="110" t="n">
        <f aca="false">'Entrada Inver_Finan'!H36</f>
        <v>0</v>
      </c>
      <c r="L21" s="896" t="n">
        <f aca="false">IF(D21&lt;=1,K21*E21,IF(D21=2,(K21+I21)*E21,IF(D21&gt;=3,(C21+F21+I21+K21)*E21)))</f>
        <v>0</v>
      </c>
    </row>
    <row r="22" s="35" customFormat="true" ht="10.5" hidden="false" customHeight="false" outlineLevel="0" collapsed="false">
      <c r="B22" s="891" t="n">
        <f aca="false">'Entrada Inver_Finan'!C37</f>
        <v>0</v>
      </c>
      <c r="C22" s="897" t="n">
        <f aca="false">'Entrada Inver_Finan'!D37</f>
        <v>0</v>
      </c>
      <c r="D22" s="893" t="n">
        <f aca="false">'Entrada Inver_Finan'!E37</f>
        <v>0</v>
      </c>
      <c r="E22" s="894" t="n">
        <f aca="false">IF(D22=0,0,1/D22)</f>
        <v>0</v>
      </c>
      <c r="F22" s="282" t="n">
        <f aca="false">'Entrada Inver_Finan'!F37</f>
        <v>0</v>
      </c>
      <c r="G22" s="110" t="n">
        <f aca="false">(C22+F22)*E22/12</f>
        <v>0</v>
      </c>
      <c r="H22" s="895" t="n">
        <f aca="false">G22*(13-'Datos generales'!$O$10)</f>
        <v>0</v>
      </c>
      <c r="I22" s="282" t="n">
        <f aca="false">'Entrada Inver_Finan'!G37</f>
        <v>0</v>
      </c>
      <c r="J22" s="895" t="n">
        <f aca="false">IF(D22&lt;=1,I22*E22+G22*('Datos generales'!$O$10-1),IF(D22&gt;=2,(C22+F22+I22)*E22))</f>
        <v>0</v>
      </c>
      <c r="K22" s="282" t="n">
        <f aca="false">'Entrada Inver_Finan'!H37</f>
        <v>0</v>
      </c>
      <c r="L22" s="896" t="n">
        <f aca="false">IF(D22&lt;=1,K22*E22,IF(D22=2,(K22+I22)*E22,IF(D22&gt;=3,(C22+F22+I22+K22)*E22)))</f>
        <v>0</v>
      </c>
    </row>
    <row r="23" s="35" customFormat="true" ht="10.5" hidden="false" customHeight="false" outlineLevel="0" collapsed="false">
      <c r="B23" s="891" t="str">
        <f aca="false">'Entrada Inver_Finan'!C38</f>
        <v>Edificios /Locales de segunda mano</v>
      </c>
      <c r="C23" s="897" t="n">
        <f aca="false">'Entrada Inver_Finan'!D38</f>
        <v>0</v>
      </c>
      <c r="D23" s="893" t="n">
        <f aca="false">'Entrada Inver_Finan'!E38</f>
        <v>0</v>
      </c>
      <c r="E23" s="894" t="n">
        <f aca="false">IF(D23=0,0,1/D23)</f>
        <v>0</v>
      </c>
      <c r="F23" s="282" t="n">
        <f aca="false">'Entrada Inver_Finan'!F38</f>
        <v>0</v>
      </c>
      <c r="G23" s="110" t="n">
        <f aca="false">(C23+F23)*E23/12</f>
        <v>0</v>
      </c>
      <c r="H23" s="895" t="n">
        <f aca="false">G23*(13-'Datos generales'!$O$10)</f>
        <v>0</v>
      </c>
      <c r="I23" s="282" t="n">
        <f aca="false">'Entrada Inver_Finan'!G38</f>
        <v>0</v>
      </c>
      <c r="J23" s="895" t="n">
        <f aca="false">IF(D23&lt;=1,I23*E23+G23*('Datos generales'!$O$10-1),IF(D23&gt;=2,(C23+F23+I23)*E23))</f>
        <v>0</v>
      </c>
      <c r="K23" s="282" t="n">
        <f aca="false">'Entrada Inver_Finan'!H38</f>
        <v>0</v>
      </c>
      <c r="L23" s="896" t="n">
        <f aca="false">IF(D23&lt;=1,K23*E23,IF(D23=2,(K23+I23)*E23,IF(D23&gt;=3,(C23+F23+I23+K23)*E23)))</f>
        <v>0</v>
      </c>
    </row>
    <row r="24" s="35" customFormat="true" ht="10.5" hidden="false" customHeight="false" outlineLevel="0" collapsed="false">
      <c r="B24" s="891" t="str">
        <f aca="false">'Entrada Inver_Finan'!C39</f>
        <v>Solares sin edificar</v>
      </c>
      <c r="C24" s="897" t="n">
        <f aca="false">'Entrada Inver_Finan'!D39</f>
        <v>0</v>
      </c>
      <c r="D24" s="893" t="n">
        <f aca="false">'Entrada Inver_Finan'!E39</f>
        <v>0</v>
      </c>
      <c r="E24" s="894" t="n">
        <f aca="false">IF(D24=0,0,1/D24)</f>
        <v>0</v>
      </c>
      <c r="F24" s="282" t="n">
        <f aca="false">'Entrada Inver_Finan'!F39</f>
        <v>0</v>
      </c>
      <c r="G24" s="110" t="n">
        <f aca="false">(C24+F24)*E24/12</f>
        <v>0</v>
      </c>
      <c r="H24" s="895" t="n">
        <f aca="false">G24*(13-'Datos generales'!$O$10)</f>
        <v>0</v>
      </c>
      <c r="I24" s="282" t="n">
        <f aca="false">'Entrada Inver_Finan'!G39</f>
        <v>0</v>
      </c>
      <c r="J24" s="895" t="n">
        <f aca="false">IF(D24&lt;=1,I24*E24+G24*('Datos generales'!$O$10-1),IF(D24&gt;=2,(C24+F24+I24)*E24))</f>
        <v>0</v>
      </c>
      <c r="K24" s="282" t="n">
        <f aca="false">'Entrada Inver_Finan'!H39</f>
        <v>0</v>
      </c>
      <c r="L24" s="896" t="n">
        <f aca="false">IF(D24&lt;=1,K24*E24,IF(D24=2,(K24+I24)*E24,IF(D24&gt;=3,(C24+F24+I24+K24)*E24)))</f>
        <v>0</v>
      </c>
    </row>
    <row r="25" s="35" customFormat="true" ht="10.5" hidden="false" customHeight="false" outlineLevel="0" collapsed="false">
      <c r="B25" s="898" t="s">
        <v>591</v>
      </c>
      <c r="C25" s="899" t="n">
        <f aca="false">SUM(C13:C24)</f>
        <v>260600</v>
      </c>
      <c r="D25" s="900"/>
      <c r="E25" s="901"/>
      <c r="F25" s="902" t="n">
        <f aca="false">SUM(F13:F24)</f>
        <v>0</v>
      </c>
      <c r="G25" s="902" t="n">
        <f aca="false">SUM(G13:G24)</f>
        <v>987.5</v>
      </c>
      <c r="H25" s="902" t="n">
        <f aca="false">SUM(H13:H24)</f>
        <v>11850</v>
      </c>
      <c r="I25" s="902" t="n">
        <f aca="false">SUM(I13:I24)</f>
        <v>0</v>
      </c>
      <c r="J25" s="902" t="n">
        <f aca="false">SUM(J13:J24)</f>
        <v>11850</v>
      </c>
      <c r="K25" s="902" t="n">
        <f aca="false">SUM(K13:K24)</f>
        <v>0</v>
      </c>
      <c r="L25" s="903" t="n">
        <f aca="false">SUM(L13:L24)</f>
        <v>11850</v>
      </c>
    </row>
    <row r="26" s="35" customFormat="true" ht="10.5" hidden="false" customHeight="false" outlineLevel="0" collapsed="false">
      <c r="B26" s="904" t="s">
        <v>592</v>
      </c>
      <c r="C26" s="282" t="str">
        <f aca="false">IF(C36=0,0,".")</f>
        <v>.</v>
      </c>
      <c r="D26" s="282"/>
      <c r="E26" s="282"/>
      <c r="F26" s="282"/>
      <c r="G26" s="282"/>
      <c r="H26" s="282"/>
      <c r="I26" s="282"/>
      <c r="J26" s="282"/>
      <c r="K26" s="282"/>
      <c r="L26" s="890"/>
    </row>
    <row r="27" s="35" customFormat="true" ht="10.5" hidden="false" customHeight="false" outlineLevel="0" collapsed="false">
      <c r="B27" s="891" t="str">
        <f aca="false">'Entrada Inver_Finan'!C42</f>
        <v>Aplicaciones Informáticas</v>
      </c>
      <c r="C27" s="892" t="n">
        <f aca="false">'Entrada Inver_Finan'!D42</f>
        <v>800</v>
      </c>
      <c r="D27" s="893" t="n">
        <f aca="false">'Entrada Inver_Finan'!E42</f>
        <v>3</v>
      </c>
      <c r="E27" s="894" t="n">
        <f aca="false">IF(D27=0,0,1/D27)</f>
        <v>0.333333333333333</v>
      </c>
      <c r="F27" s="110" t="n">
        <f aca="false">'Entrada Inver_Finan'!F42</f>
        <v>0</v>
      </c>
      <c r="G27" s="110" t="n">
        <f aca="false">(C27+F27)*E27/12</f>
        <v>22.2222222222222</v>
      </c>
      <c r="H27" s="895" t="n">
        <f aca="false">G27*(13-'Datos generales'!$O$10)</f>
        <v>266.666666666667</v>
      </c>
      <c r="I27" s="110" t="n">
        <f aca="false">'Entrada Inver_Finan'!G42</f>
        <v>0</v>
      </c>
      <c r="J27" s="895" t="n">
        <f aca="false">IF(D27&lt;=1,I27*E27+G27*('Datos generales'!$O$10-1),IF(D27&gt;=2,(C27+F27+I27)*E27))</f>
        <v>266.666666666667</v>
      </c>
      <c r="K27" s="110" t="n">
        <f aca="false">'Entrada Inver_Finan'!H42</f>
        <v>0</v>
      </c>
      <c r="L27" s="896" t="n">
        <f aca="false">IF(D27&lt;=1,K27*E27,IF(D27=2,(K27+I27)*E27,IF(D27&gt;=3,(C27+F27+I27+K27)*E27)))</f>
        <v>266.666666666667</v>
      </c>
    </row>
    <row r="28" s="35" customFormat="true" ht="10.5" hidden="false" customHeight="false" outlineLevel="0" collapsed="false">
      <c r="B28" s="891" t="str">
        <f aca="false">'Entrada Inver_Finan'!C43</f>
        <v>Licencias y concesiones administrativas</v>
      </c>
      <c r="C28" s="892" t="n">
        <f aca="false">'Entrada Inver_Finan'!D43</f>
        <v>250</v>
      </c>
      <c r="D28" s="893" t="n">
        <f aca="false">'Entrada Inver_Finan'!E43</f>
        <v>5</v>
      </c>
      <c r="E28" s="894" t="n">
        <f aca="false">IF(D28=0,0,1/D28)</f>
        <v>0.2</v>
      </c>
      <c r="F28" s="110" t="n">
        <f aca="false">'Entrada Inver_Finan'!F43</f>
        <v>0</v>
      </c>
      <c r="G28" s="110" t="n">
        <f aca="false">(C28+F28)*E28/12</f>
        <v>4.16666666666667</v>
      </c>
      <c r="H28" s="895" t="n">
        <f aca="false">G28*(13-'Datos generales'!$O$10)</f>
        <v>50</v>
      </c>
      <c r="I28" s="110" t="n">
        <f aca="false">'Entrada Inver_Finan'!G43</f>
        <v>0</v>
      </c>
      <c r="J28" s="895" t="n">
        <f aca="false">IF(D28&lt;=1,I28*E28+G28*('Datos generales'!$O$10-1),IF(D28&gt;=2,(C28+F28+I28)*E28))</f>
        <v>50</v>
      </c>
      <c r="K28" s="110" t="n">
        <f aca="false">'Entrada Inver_Finan'!H43</f>
        <v>0</v>
      </c>
      <c r="L28" s="896" t="n">
        <f aca="false">IF(D28&lt;=1,K28*E28,IF(D28=2,(K28+I28)*E28,IF(D28&gt;=3,(C28+F28+I28+K28)*E28)))</f>
        <v>50</v>
      </c>
    </row>
    <row r="29" s="35" customFormat="true" ht="10.5" hidden="false" customHeight="false" outlineLevel="0" collapsed="false">
      <c r="B29" s="891" t="str">
        <f aca="false">'Entrada Inver_Finan'!C44</f>
        <v>Propiedad Industrial</v>
      </c>
      <c r="C29" s="892" t="n">
        <f aca="false">'Entrada Inver_Finan'!D44</f>
        <v>0</v>
      </c>
      <c r="D29" s="893" t="n">
        <f aca="false">'Entrada Inver_Finan'!E44</f>
        <v>5</v>
      </c>
      <c r="E29" s="894" t="n">
        <f aca="false">IF(D29=0,0,1/D29)</f>
        <v>0.2</v>
      </c>
      <c r="F29" s="110" t="n">
        <f aca="false">'Entrada Inver_Finan'!F44</f>
        <v>0</v>
      </c>
      <c r="G29" s="110" t="n">
        <f aca="false">(C29+F29)*E29/12</f>
        <v>0</v>
      </c>
      <c r="H29" s="895" t="n">
        <f aca="false">G29*(13-'Datos generales'!$O$10)</f>
        <v>0</v>
      </c>
      <c r="I29" s="110" t="n">
        <f aca="false">'Entrada Inver_Finan'!G44</f>
        <v>0</v>
      </c>
      <c r="J29" s="895" t="n">
        <f aca="false">IF(D29&lt;=1,I29*E29+G29*('Datos generales'!$O$10-1),IF(D29&gt;=2,(C29+F29+I29)*E29))</f>
        <v>0</v>
      </c>
      <c r="K29" s="110" t="n">
        <f aca="false">'Entrada Inver_Finan'!H44</f>
        <v>0</v>
      </c>
      <c r="L29" s="896" t="n">
        <f aca="false">IF(D29&lt;=1,K29*E29,IF(D29=2,(K29+I29)*E29,IF(D29&gt;=3,(C29+F29+I29+K29)*E29)))</f>
        <v>0</v>
      </c>
    </row>
    <row r="30" s="35" customFormat="true" ht="10.5" hidden="false" customHeight="false" outlineLevel="0" collapsed="false">
      <c r="B30" s="891" t="str">
        <f aca="false">'Entrada Inver_Finan'!C45</f>
        <v>Investigación y desarrrollo</v>
      </c>
      <c r="C30" s="892" t="n">
        <f aca="false">'Entrada Inver_Finan'!D45</f>
        <v>0</v>
      </c>
      <c r="D30" s="893" t="n">
        <f aca="false">'Entrada Inver_Finan'!E45</f>
        <v>3</v>
      </c>
      <c r="E30" s="894" t="n">
        <f aca="false">IF(D30=0,0,1/D30)</f>
        <v>0.333333333333333</v>
      </c>
      <c r="F30" s="110" t="n">
        <f aca="false">'Entrada Inver_Finan'!F45</f>
        <v>0</v>
      </c>
      <c r="G30" s="110" t="n">
        <f aca="false">(C30+F30)*E30/12</f>
        <v>0</v>
      </c>
      <c r="H30" s="895" t="n">
        <f aca="false">G30*(13-'Datos generales'!$O$10)</f>
        <v>0</v>
      </c>
      <c r="I30" s="110" t="n">
        <f aca="false">'Entrada Inver_Finan'!G45</f>
        <v>0</v>
      </c>
      <c r="J30" s="895" t="n">
        <f aca="false">IF(D30&lt;=1,I30*E30+G30*('Datos generales'!$O$10-1),IF(D30&gt;=2,(C30+F30+I30)*E30))</f>
        <v>0</v>
      </c>
      <c r="K30" s="110" t="n">
        <f aca="false">'Entrada Inver_Finan'!H45</f>
        <v>0</v>
      </c>
      <c r="L30" s="896" t="n">
        <f aca="false">IF(D30&lt;=1,K30*E30,IF(D30=2,(K30+I30)*E30,IF(D30&gt;=3,(C30+F30+I30+K30)*E30)))</f>
        <v>0</v>
      </c>
    </row>
    <row r="31" s="35" customFormat="true" ht="10.5" hidden="false" customHeight="false" outlineLevel="0" collapsed="false">
      <c r="B31" s="891" t="str">
        <f aca="false">'Entrada Inver_Finan'!C46</f>
        <v>Otro inmovilizado intangible</v>
      </c>
      <c r="C31" s="892" t="n">
        <f aca="false">'Entrada Inver_Finan'!D46</f>
        <v>0</v>
      </c>
      <c r="D31" s="893" t="n">
        <f aca="false">'Entrada Inver_Finan'!E46</f>
        <v>0</v>
      </c>
      <c r="E31" s="894" t="n">
        <f aca="false">IF(D31=0,0,1/D31)</f>
        <v>0</v>
      </c>
      <c r="F31" s="110" t="n">
        <f aca="false">'Entrada Inver_Finan'!F46</f>
        <v>0</v>
      </c>
      <c r="G31" s="110" t="n">
        <f aca="false">(C31+F31)*E31/12</f>
        <v>0</v>
      </c>
      <c r="H31" s="895" t="n">
        <f aca="false">G31*(13-'Datos generales'!$O$10)</f>
        <v>0</v>
      </c>
      <c r="I31" s="110" t="n">
        <f aca="false">'Entrada Inver_Finan'!G46</f>
        <v>0</v>
      </c>
      <c r="J31" s="895" t="n">
        <f aca="false">IF(D31&lt;=1,I31*E31+G31*('Datos generales'!$O$10-1),IF(D31&gt;=2,(C31+F31+I31)*E31))</f>
        <v>0</v>
      </c>
      <c r="K31" s="110" t="n">
        <f aca="false">'Entrada Inver_Finan'!H46</f>
        <v>0</v>
      </c>
      <c r="L31" s="896" t="n">
        <f aca="false">IF(D31&lt;=1,K31*E31,IF(D31=2,(K31+I31)*E31,IF(D31&gt;=3,(C31+F31+I31+K31)*E31)))</f>
        <v>0</v>
      </c>
    </row>
    <row r="32" s="35" customFormat="true" ht="10.5" hidden="false" customHeight="false" outlineLevel="0" collapsed="false">
      <c r="B32" s="891" t="n">
        <f aca="false">'Entrada Inver_Finan'!C47</f>
        <v>0</v>
      </c>
      <c r="C32" s="892" t="n">
        <f aca="false">'Entrada Inver_Finan'!D47</f>
        <v>0</v>
      </c>
      <c r="D32" s="893" t="n">
        <f aca="false">'Entrada Inver_Finan'!E47</f>
        <v>0</v>
      </c>
      <c r="E32" s="894" t="n">
        <f aca="false">IF(D32=0,0,1/D32)</f>
        <v>0</v>
      </c>
      <c r="F32" s="110" t="n">
        <f aca="false">'Entrada Inver_Finan'!F47</f>
        <v>0</v>
      </c>
      <c r="G32" s="110" t="n">
        <f aca="false">(C32+F32)*E32/12</f>
        <v>0</v>
      </c>
      <c r="H32" s="895" t="n">
        <f aca="false">G32*(13-'Datos generales'!$O$10)</f>
        <v>0</v>
      </c>
      <c r="I32" s="110" t="n">
        <f aca="false">'Entrada Inver_Finan'!G47</f>
        <v>0</v>
      </c>
      <c r="J32" s="895" t="n">
        <f aca="false">IF(D32&lt;=1,I32*E32+G32*('Datos generales'!$O$10-1),IF(D32&gt;=2,(C32+F32+I32)*E32))</f>
        <v>0</v>
      </c>
      <c r="K32" s="110" t="n">
        <f aca="false">'Entrada Inver_Finan'!H47</f>
        <v>0</v>
      </c>
      <c r="L32" s="896" t="n">
        <f aca="false">IF(D32&lt;=1,K32*E32,IF(D32=2,(K32+I32)*E32,IF(D32&gt;=3,(C32+F32+I32+K32)*E32)))</f>
        <v>0</v>
      </c>
    </row>
    <row r="33" s="35" customFormat="true" ht="10.5" hidden="false" customHeight="false" outlineLevel="0" collapsed="false">
      <c r="B33" s="891" t="n">
        <f aca="false">'Entrada Inver_Finan'!C48</f>
        <v>0</v>
      </c>
      <c r="C33" s="892" t="n">
        <f aca="false">'Entrada Inver_Finan'!D48</f>
        <v>0</v>
      </c>
      <c r="D33" s="893" t="n">
        <f aca="false">'Entrada Inver_Finan'!E48</f>
        <v>0</v>
      </c>
      <c r="E33" s="894" t="n">
        <f aca="false">IF(D33=0,0,1/D33)</f>
        <v>0</v>
      </c>
      <c r="F33" s="110" t="n">
        <f aca="false">'Entrada Inver_Finan'!F48</f>
        <v>0</v>
      </c>
      <c r="G33" s="110" t="n">
        <f aca="false">(C33+F33)*E33/12</f>
        <v>0</v>
      </c>
      <c r="H33" s="895" t="n">
        <f aca="false">G33*(13-'Datos generales'!$O$10)</f>
        <v>0</v>
      </c>
      <c r="I33" s="110" t="n">
        <f aca="false">'Entrada Inver_Finan'!G48</f>
        <v>0</v>
      </c>
      <c r="J33" s="895" t="n">
        <f aca="false">IF(D33&lt;=1,I33*E33+G33*('Datos generales'!$O$10-1),IF(D33&gt;=2,(C33+F33+I33)*E33))</f>
        <v>0</v>
      </c>
      <c r="K33" s="110" t="n">
        <f aca="false">'Entrada Inver_Finan'!H48</f>
        <v>0</v>
      </c>
      <c r="L33" s="896" t="n">
        <f aca="false">IF(D33&lt;=1,K33*E33,IF(D33=2,(K33+I33)*E33,IF(D33&gt;=3,(C33+F33+I33+K33)*E33)))</f>
        <v>0</v>
      </c>
    </row>
    <row r="34" s="35" customFormat="true" ht="10.5" hidden="false" customHeight="false" outlineLevel="0" collapsed="false">
      <c r="B34" s="891" t="n">
        <f aca="false">'Entrada Inver_Finan'!C49</f>
        <v>0</v>
      </c>
      <c r="C34" s="892" t="n">
        <f aca="false">'Entrada Inver_Finan'!D49</f>
        <v>0</v>
      </c>
      <c r="D34" s="893" t="n">
        <f aca="false">'Entrada Inver_Finan'!E49</f>
        <v>0</v>
      </c>
      <c r="E34" s="894" t="n">
        <f aca="false">IF(D34=0,0,1/D34)</f>
        <v>0</v>
      </c>
      <c r="F34" s="110" t="n">
        <f aca="false">'Entrada Inver_Finan'!F49</f>
        <v>0</v>
      </c>
      <c r="G34" s="110" t="n">
        <f aca="false">(C34+F34)*E34/12</f>
        <v>0</v>
      </c>
      <c r="H34" s="895" t="n">
        <f aca="false">G34*(13-'Datos generales'!$O$10)</f>
        <v>0</v>
      </c>
      <c r="I34" s="110" t="n">
        <f aca="false">'Entrada Inver_Finan'!G49</f>
        <v>0</v>
      </c>
      <c r="J34" s="895" t="n">
        <f aca="false">IF(D34&lt;=1,I34*E34+G34*('Datos generales'!$O$10-1),IF(D34&gt;=2,(C34+F34+I34)*E34))</f>
        <v>0</v>
      </c>
      <c r="K34" s="110" t="n">
        <f aca="false">'Entrada Inver_Finan'!H49</f>
        <v>0</v>
      </c>
      <c r="L34" s="896" t="n">
        <f aca="false">IF(D34&lt;=1,K34*E34,IF(D34=2,(K34+I34)*E34,IF(D34&gt;=3,(C34+F34+I34+K34)*E34)))</f>
        <v>0</v>
      </c>
    </row>
    <row r="35" s="35" customFormat="true" ht="10.5" hidden="false" customHeight="false" outlineLevel="0" collapsed="false">
      <c r="B35" s="891" t="n">
        <f aca="false">'Entrada Inver_Finan'!C50</f>
        <v>0</v>
      </c>
      <c r="C35" s="892" t="n">
        <f aca="false">'Entrada Inver_Finan'!D50</f>
        <v>0</v>
      </c>
      <c r="D35" s="893" t="n">
        <f aca="false">'Entrada Inver_Finan'!E50</f>
        <v>0</v>
      </c>
      <c r="E35" s="894" t="n">
        <f aca="false">IF(D35=0,0,1/D35)</f>
        <v>0</v>
      </c>
      <c r="F35" s="110" t="n">
        <f aca="false">'Entrada Inver_Finan'!F50</f>
        <v>0</v>
      </c>
      <c r="G35" s="110" t="n">
        <f aca="false">(C35+F35)*E35/12</f>
        <v>0</v>
      </c>
      <c r="H35" s="895" t="n">
        <f aca="false">G35*(13-'Datos generales'!$O$10)</f>
        <v>0</v>
      </c>
      <c r="I35" s="282" t="n">
        <f aca="false">'Entrada Inver_Finan'!G50</f>
        <v>0</v>
      </c>
      <c r="J35" s="895" t="n">
        <f aca="false">IF(D35&lt;=1,I35*E35+G35*('Datos generales'!$O$10-1),IF(D35&gt;=2,(C35+F35+I35)*E35))</f>
        <v>0</v>
      </c>
      <c r="K35" s="282" t="n">
        <f aca="false">'Entrada Inver_Finan'!H50</f>
        <v>0</v>
      </c>
      <c r="L35" s="896" t="n">
        <f aca="false">IF(D35&lt;=1,K35*E35,IF(D35=2,(K35+I35)*E35,IF(D35&gt;=3,(C35+F35+I35+K35)*E35)))</f>
        <v>0</v>
      </c>
    </row>
    <row r="36" s="35" customFormat="true" ht="10.5" hidden="false" customHeight="false" outlineLevel="0" collapsed="false">
      <c r="B36" s="905" t="s">
        <v>593</v>
      </c>
      <c r="C36" s="195" t="n">
        <f aca="false">SUM(C27:C35)</f>
        <v>1050</v>
      </c>
      <c r="D36" s="194"/>
      <c r="E36" s="906"/>
      <c r="F36" s="195" t="n">
        <f aca="false">SUM(F27:F35)</f>
        <v>0</v>
      </c>
      <c r="G36" s="195" t="n">
        <f aca="false">SUM(G27:G35)</f>
        <v>26.3888888888889</v>
      </c>
      <c r="H36" s="195" t="n">
        <f aca="false">SUM(H27:H35)</f>
        <v>316.666666666667</v>
      </c>
      <c r="I36" s="195" t="n">
        <f aca="false">SUM(I27:I35)</f>
        <v>0</v>
      </c>
      <c r="J36" s="195" t="n">
        <f aca="false">SUM(J27:J35)</f>
        <v>316.666666666667</v>
      </c>
      <c r="K36" s="195" t="n">
        <f aca="false">SUM(K27:K35)</f>
        <v>0</v>
      </c>
      <c r="L36" s="907" t="n">
        <f aca="false">SUM(L27:L35)</f>
        <v>316.666666666667</v>
      </c>
    </row>
    <row r="37" s="35" customFormat="true" ht="11.25" hidden="false" customHeight="false" outlineLevel="0" collapsed="false">
      <c r="C37" s="48"/>
      <c r="F37" s="48"/>
      <c r="G37" s="48"/>
      <c r="H37" s="48"/>
      <c r="I37" s="48"/>
      <c r="J37" s="48"/>
      <c r="K37" s="48"/>
      <c r="L37" s="48"/>
    </row>
    <row r="38" customFormat="false" ht="15.75" hidden="false" customHeight="false" outlineLevel="0" collapsed="false">
      <c r="B38" s="220" t="s">
        <v>594</v>
      </c>
      <c r="C38" s="908" t="n">
        <f aca="false">C25+C36</f>
        <v>261650</v>
      </c>
      <c r="D38" s="909"/>
      <c r="E38" s="909"/>
      <c r="F38" s="908" t="n">
        <f aca="false">F25+F36</f>
        <v>0</v>
      </c>
      <c r="G38" s="908" t="n">
        <f aca="false">G25+G36</f>
        <v>1013.88888888889</v>
      </c>
      <c r="H38" s="908" t="n">
        <f aca="false">H25+H36</f>
        <v>12166.6666666667</v>
      </c>
      <c r="I38" s="908" t="n">
        <f aca="false">I25+I36</f>
        <v>0</v>
      </c>
      <c r="J38" s="908" t="n">
        <f aca="false">J25+J36</f>
        <v>12166.6666666667</v>
      </c>
      <c r="K38" s="908" t="n">
        <f aca="false">K25+K36</f>
        <v>0</v>
      </c>
      <c r="L38" s="908" t="n">
        <f aca="false">L25+L36</f>
        <v>12166.6666666667</v>
      </c>
    </row>
    <row r="39" customFormat="false" ht="13.5" hidden="false" customHeight="false" outlineLevel="0" collapsed="false">
      <c r="B39" s="207"/>
    </row>
    <row r="41" customFormat="false" ht="14.25" hidden="false" customHeight="false" outlineLevel="0" collapsed="false">
      <c r="B41" s="911"/>
    </row>
  </sheetData>
  <sheetProtection sheet="true" password="cc4b"/>
  <mergeCells count="9">
    <mergeCell ref="B10:B11"/>
    <mergeCell ref="D10:E10"/>
    <mergeCell ref="F10:F11"/>
    <mergeCell ref="G10:G11"/>
    <mergeCell ref="H10:H11"/>
    <mergeCell ref="I10:I11"/>
    <mergeCell ref="J10:J11"/>
    <mergeCell ref="K10:K11"/>
    <mergeCell ref="L10:L11"/>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BB7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90234375" defaultRowHeight="12.75" zeroHeight="false" outlineLevelRow="0" outlineLevelCol="0"/>
  <cols>
    <col collapsed="false" customWidth="true" hidden="false" outlineLevel="0" max="1" min="1" style="0" width="16.72"/>
    <col collapsed="false" customWidth="true" hidden="false" outlineLevel="0" max="2" min="2" style="912" width="14.56"/>
    <col collapsed="false" customWidth="true" hidden="false" outlineLevel="0" max="3" min="3" style="0" width="13.62"/>
    <col collapsed="false" customWidth="true" hidden="false" outlineLevel="0" max="4" min="4" style="0" width="13.88"/>
    <col collapsed="false" customWidth="true" hidden="false" outlineLevel="0" max="5" min="5" style="0" width="13.35"/>
    <col collapsed="false" customWidth="true" hidden="false" outlineLevel="0" max="6" min="6" style="0" width="15.37"/>
    <col collapsed="false" customWidth="true" hidden="false" outlineLevel="0" max="7" min="7" style="0" width="12.95"/>
    <col collapsed="false" customWidth="true" hidden="false" outlineLevel="0" max="8" min="8" style="0" width="15.51"/>
    <col collapsed="false" customWidth="true" hidden="false" outlineLevel="0" max="9" min="9" style="0" width="12.95"/>
    <col collapsed="false" customWidth="true" hidden="false" outlineLevel="0" max="10" min="10" style="0" width="12.54"/>
    <col collapsed="false" customWidth="true" hidden="false" outlineLevel="0" max="12" min="11" style="0" width="13.35"/>
    <col collapsed="false" customWidth="true" hidden="false" outlineLevel="0" max="13" min="13" style="0" width="12"/>
    <col collapsed="false" customWidth="true" hidden="false" outlineLevel="0" max="14" min="14" style="0" width="11.32"/>
    <col collapsed="false" customWidth="true" hidden="false" outlineLevel="0" max="15" min="15" style="16" width="11.59"/>
    <col collapsed="false" customWidth="true" hidden="false" outlineLevel="0" max="16" min="16" style="16" width="12"/>
    <col collapsed="false" customWidth="true" hidden="false" outlineLevel="0" max="17" min="17" style="16" width="11.59"/>
    <col collapsed="false" customWidth="true" hidden="false" outlineLevel="0" max="18" min="18" style="0" width="12.95"/>
    <col collapsed="false" customWidth="true" hidden="false" outlineLevel="0" max="19" min="19" style="0" width="11.59"/>
    <col collapsed="false" customWidth="true" hidden="false" outlineLevel="0" max="20" min="20" style="0" width="10.92"/>
    <col collapsed="false" customWidth="true" hidden="false" outlineLevel="0" max="21" min="21" style="0" width="8.09"/>
    <col collapsed="false" customWidth="true" hidden="false" outlineLevel="0" max="22" min="22" style="0" width="12.27"/>
    <col collapsed="false" customWidth="true" hidden="false" outlineLevel="0" max="23" min="23" style="549" width="11.32"/>
    <col collapsed="false" customWidth="true" hidden="false" outlineLevel="0" max="24" min="24" style="16" width="11.59"/>
    <col collapsed="false" customWidth="true" hidden="false" outlineLevel="0" max="25" min="25" style="16" width="12.95"/>
    <col collapsed="false" customWidth="true" hidden="false" outlineLevel="0" max="26" min="26" style="16" width="13.62"/>
    <col collapsed="false" customWidth="true" hidden="false" outlineLevel="0" max="27" min="27" style="0" width="12.68"/>
    <col collapsed="false" customWidth="true" hidden="false" outlineLevel="0" max="28" min="28" style="0" width="11.59"/>
    <col collapsed="false" customWidth="true" hidden="false" outlineLevel="0" max="29" min="29" style="0" width="12.27"/>
    <col collapsed="false" customWidth="true" hidden="false" outlineLevel="0" max="30" min="30" style="0" width="9.17"/>
    <col collapsed="false" customWidth="true" hidden="false" outlineLevel="0" max="31" min="31" style="0" width="11.46"/>
    <col collapsed="false" customWidth="true" hidden="false" outlineLevel="0" max="32" min="32" style="0" width="11.32"/>
    <col collapsed="false" customWidth="true" hidden="false" outlineLevel="0" max="33" min="33" style="16" width="11.59"/>
    <col collapsed="false" customWidth="true" hidden="false" outlineLevel="0" max="34" min="34" style="16" width="12.95"/>
    <col collapsed="false" customWidth="true" hidden="false" outlineLevel="0" max="35" min="35" style="16" width="14.69"/>
    <col collapsed="false" customWidth="true" hidden="false" outlineLevel="0" max="37" min="36" style="0" width="11.46"/>
    <col collapsed="false" customWidth="true" hidden="false" outlineLevel="0" max="38" min="38" style="0" width="9.31"/>
    <col collapsed="false" customWidth="true" hidden="false" outlineLevel="0" max="39" min="39" style="0" width="10.12"/>
    <col collapsed="false" customWidth="true" hidden="false" outlineLevel="0" max="46" min="40" style="0" width="11.46"/>
    <col collapsed="false" customWidth="true" hidden="false" outlineLevel="0" max="47" min="47" style="0" width="8.36"/>
    <col collapsed="false" customWidth="true" hidden="false" outlineLevel="0" max="48" min="48" style="0" width="13.08"/>
    <col collapsed="false" customWidth="true" hidden="false" outlineLevel="0" max="256" min="49" style="0" width="11.46"/>
  </cols>
  <sheetData>
    <row r="2" customFormat="false" ht="12.75" hidden="false" customHeight="false" outlineLevel="0" collapsed="false">
      <c r="B2" s="881"/>
      <c r="C2" s="881"/>
    </row>
    <row r="3" customFormat="false" ht="22.5" hidden="false" customHeight="true" outlineLevel="0" collapsed="false">
      <c r="B3" s="300" t="str">
        <f aca="false">'Datos generales'!C6</f>
        <v>La tienda S.L</v>
      </c>
      <c r="C3" s="300"/>
      <c r="D3" s="300"/>
      <c r="E3" s="300"/>
      <c r="F3" s="300"/>
      <c r="G3" s="300"/>
    </row>
    <row r="5" customFormat="false" ht="12.75" hidden="false" customHeight="false" outlineLevel="0" collapsed="false">
      <c r="C5" s="912"/>
      <c r="E5" s="23"/>
    </row>
    <row r="6" customFormat="false" ht="14.25" hidden="false" customHeight="false" outlineLevel="0" collapsed="false">
      <c r="B6" s="51" t="s">
        <v>595</v>
      </c>
      <c r="C6" s="912"/>
      <c r="D6" s="913"/>
      <c r="E6" s="23"/>
      <c r="H6" s="51" t="s">
        <v>258</v>
      </c>
    </row>
    <row r="7" customFormat="false" ht="14.25" hidden="false" customHeight="false" outlineLevel="0" collapsed="false">
      <c r="B7" s="51"/>
      <c r="C7" s="912"/>
      <c r="D7" s="913"/>
      <c r="E7" s="23"/>
    </row>
    <row r="9" customFormat="false" ht="12.75" hidden="false" customHeight="false" outlineLevel="0" collapsed="false">
      <c r="B9" s="914" t="s">
        <v>596</v>
      </c>
      <c r="D9" s="915" t="s">
        <v>597</v>
      </c>
      <c r="E9" s="916" t="s">
        <v>598</v>
      </c>
      <c r="F9" s="916" t="s">
        <v>236</v>
      </c>
      <c r="H9" s="914" t="s">
        <v>596</v>
      </c>
      <c r="J9" s="915" t="s">
        <v>599</v>
      </c>
      <c r="K9" s="916" t="s">
        <v>598</v>
      </c>
      <c r="L9" s="916" t="s">
        <v>236</v>
      </c>
      <c r="M9" s="916" t="s">
        <v>600</v>
      </c>
    </row>
    <row r="10" customFormat="false" ht="13.5" hidden="false" customHeight="false" outlineLevel="0" collapsed="false">
      <c r="B10" s="914"/>
      <c r="D10" s="915" t="s">
        <v>601</v>
      </c>
      <c r="E10" s="915" t="s">
        <v>602</v>
      </c>
      <c r="F10" s="915" t="s">
        <v>603</v>
      </c>
      <c r="H10" s="914"/>
      <c r="J10" s="915" t="s">
        <v>604</v>
      </c>
      <c r="K10" s="915" t="s">
        <v>602</v>
      </c>
      <c r="L10" s="915" t="s">
        <v>603</v>
      </c>
    </row>
    <row r="11" customFormat="false" ht="18" hidden="false" customHeight="true" outlineLevel="0" collapsed="false">
      <c r="B11" s="917" t="s">
        <v>605</v>
      </c>
      <c r="C11" s="918"/>
      <c r="D11" s="919" t="n">
        <f aca="false">C34</f>
        <v>165000</v>
      </c>
      <c r="E11" s="920"/>
      <c r="F11" s="921"/>
      <c r="H11" s="917" t="s">
        <v>606</v>
      </c>
      <c r="I11" s="918"/>
      <c r="J11" s="919" t="n">
        <f aca="false">'Entrada Inver_Finan'!D117</f>
        <v>35000</v>
      </c>
      <c r="K11" s="130"/>
      <c r="L11" s="130"/>
      <c r="M11" s="922"/>
      <c r="P11" s="93"/>
    </row>
    <row r="12" customFormat="false" ht="17.25" hidden="false" customHeight="true" outlineLevel="0" collapsed="false">
      <c r="B12" s="923" t="s">
        <v>607</v>
      </c>
      <c r="C12" s="358"/>
      <c r="D12" s="583" t="n">
        <f aca="false">SUM(C34:C46)-D11</f>
        <v>0</v>
      </c>
      <c r="E12" s="583" t="n">
        <f aca="false">SUM(E35:E46)</f>
        <v>0</v>
      </c>
      <c r="F12" s="585" t="n">
        <f aca="false">ROUND(SUM(F35:F46),5)</f>
        <v>0</v>
      </c>
      <c r="H12" s="923" t="s">
        <v>607</v>
      </c>
      <c r="I12" s="358"/>
      <c r="J12" s="583" t="n">
        <f aca="false">IF($AF$92=$D$26,$AE$89,0)+IF($AO$92=$D$26,$AN$89,0)+IF($AX$92=$D$26,$AW$89,0)-J11</f>
        <v>0</v>
      </c>
      <c r="K12" s="583" t="n">
        <f aca="false">SUM(V35:V46)</f>
        <v>0</v>
      </c>
      <c r="L12" s="583" t="n">
        <f aca="false">ROUND(SUM(W35:W46),5)</f>
        <v>0</v>
      </c>
      <c r="M12" s="585" t="n">
        <f aca="false">ROUND(SUM(X35:X46),5)</f>
        <v>0</v>
      </c>
      <c r="O12" s="93"/>
      <c r="P12" s="93"/>
    </row>
    <row r="13" customFormat="false" ht="17.25" hidden="false" customHeight="true" outlineLevel="0" collapsed="false">
      <c r="B13" s="924" t="s">
        <v>608</v>
      </c>
      <c r="C13" s="358"/>
      <c r="D13" s="583" t="n">
        <f aca="false">SUM(C47:C58)</f>
        <v>0</v>
      </c>
      <c r="E13" s="583" t="n">
        <f aca="false">SUM(E47:E58)</f>
        <v>0</v>
      </c>
      <c r="F13" s="585" t="n">
        <f aca="false">ROUND(SUM(F47:F58),5)</f>
        <v>0</v>
      </c>
      <c r="H13" s="924" t="s">
        <v>608</v>
      </c>
      <c r="I13" s="358"/>
      <c r="J13" s="583" t="n">
        <f aca="false">IF($AF$92=$D$26+1,$AE$89,0)+IF($AO$92=$D$26+1,$AN$89,0)+IF($AX$92=$D$26+1,$AW$89,0)</f>
        <v>0</v>
      </c>
      <c r="K13" s="583" t="n">
        <f aca="false">SUM(V47:V58)</f>
        <v>0</v>
      </c>
      <c r="L13" s="583" t="n">
        <f aca="false">ROUND(SUM(W47:W58),5)</f>
        <v>0</v>
      </c>
      <c r="M13" s="585" t="n">
        <f aca="false">ROUND(SUM(X47:X58),5)</f>
        <v>0</v>
      </c>
      <c r="O13" s="93"/>
      <c r="P13" s="93"/>
    </row>
    <row r="14" customFormat="false" ht="17.25" hidden="false" customHeight="true" outlineLevel="0" collapsed="false">
      <c r="B14" s="924" t="s">
        <v>609</v>
      </c>
      <c r="C14" s="358"/>
      <c r="D14" s="583" t="n">
        <f aca="false">SUM(C59:C70)</f>
        <v>0</v>
      </c>
      <c r="E14" s="583" t="n">
        <f aca="false">SUM(E59:E70)</f>
        <v>0</v>
      </c>
      <c r="F14" s="585" t="n">
        <f aca="false">ROUND(SUM(F59:F70),5)</f>
        <v>0</v>
      </c>
      <c r="H14" s="924" t="s">
        <v>609</v>
      </c>
      <c r="I14" s="358"/>
      <c r="J14" s="583" t="n">
        <f aca="false">IF($AF$92=$D$26+2,$AE$89,0)+IF($AO$92=$D$26+2,$AN$89,0)+IF($AX$92=$D$26+2,$AW$89,0)</f>
        <v>0</v>
      </c>
      <c r="K14" s="583" t="n">
        <f aca="false">SUM(V59:V70)</f>
        <v>0</v>
      </c>
      <c r="L14" s="583" t="n">
        <f aca="false">ROUND(SUM(W59:W70),5)</f>
        <v>0</v>
      </c>
      <c r="M14" s="585" t="n">
        <f aca="false">ROUND(SUM(X59:X70),5)</f>
        <v>0</v>
      </c>
      <c r="N14" s="451"/>
      <c r="O14" s="549"/>
      <c r="P14" s="549"/>
      <c r="Q14" s="451"/>
      <c r="S14" s="451"/>
      <c r="T14" s="451"/>
      <c r="U14" s="451"/>
      <c r="V14" s="549"/>
      <c r="X14" s="451"/>
      <c r="Y14" s="451"/>
      <c r="Z14" s="451"/>
      <c r="AB14" s="451"/>
      <c r="AC14" s="451"/>
      <c r="AD14" s="451"/>
      <c r="AE14" s="549"/>
      <c r="AF14" s="451"/>
      <c r="AG14" s="451"/>
      <c r="AH14" s="451"/>
      <c r="AI14" s="451"/>
    </row>
    <row r="15" customFormat="false" ht="17.25" hidden="false" customHeight="true" outlineLevel="0" collapsed="false">
      <c r="B15" s="925" t="s">
        <v>610</v>
      </c>
      <c r="C15" s="926"/>
      <c r="D15" s="927" t="n">
        <f aca="false">SUM(C71:C82)</f>
        <v>0</v>
      </c>
      <c r="E15" s="927" t="n">
        <f aca="false">SUM(E71:E82)</f>
        <v>0</v>
      </c>
      <c r="F15" s="928" t="n">
        <f aca="false">ROUND(SUM(F71:F82),5)</f>
        <v>0</v>
      </c>
      <c r="H15" s="925" t="s">
        <v>610</v>
      </c>
      <c r="I15" s="926"/>
      <c r="J15" s="927" t="n">
        <f aca="false">IF($AF$92=$D$26+3,$AE$89,0)+IF($AO$92=$D$26+3,$AN$89,0)+IF($AX$92=$D$26+3,$AW$89,0)</f>
        <v>0</v>
      </c>
      <c r="K15" s="927" t="n">
        <f aca="false">SUM(V71:V82)</f>
        <v>0</v>
      </c>
      <c r="L15" s="927" t="n">
        <f aca="false">SUM(W71:W82)</f>
        <v>0</v>
      </c>
      <c r="M15" s="928" t="n">
        <f aca="false">ROUND(SUM(X71:X82),5)</f>
        <v>0</v>
      </c>
      <c r="N15" s="451"/>
      <c r="O15" s="549"/>
      <c r="P15" s="549"/>
      <c r="Q15" s="451"/>
      <c r="S15" s="451"/>
      <c r="T15" s="451"/>
      <c r="U15" s="451"/>
      <c r="V15" s="549"/>
      <c r="X15" s="451"/>
      <c r="Y15" s="451"/>
      <c r="Z15" s="451"/>
      <c r="AB15" s="451"/>
      <c r="AC15" s="451"/>
      <c r="AD15" s="451"/>
      <c r="AE15" s="549"/>
      <c r="AF15" s="451"/>
      <c r="AG15" s="451"/>
      <c r="AH15" s="451"/>
      <c r="AI15" s="451"/>
    </row>
    <row r="16" customFormat="false" ht="14.25" hidden="false" customHeight="false" outlineLevel="0" collapsed="false">
      <c r="J16" s="451"/>
      <c r="K16" s="451"/>
      <c r="L16" s="451"/>
      <c r="M16" s="451"/>
      <c r="N16" s="451"/>
      <c r="O16" s="549"/>
      <c r="P16" s="549"/>
      <c r="Q16" s="929"/>
      <c r="S16" s="451"/>
      <c r="T16" s="451"/>
      <c r="U16" s="451"/>
      <c r="V16" s="451"/>
      <c r="X16" s="929"/>
      <c r="Y16" s="929"/>
      <c r="Z16" s="929"/>
      <c r="AB16" s="451"/>
      <c r="AC16" s="451"/>
      <c r="AD16" s="451"/>
      <c r="AE16" s="451"/>
      <c r="AF16" s="451"/>
      <c r="AG16" s="929"/>
      <c r="AH16" s="929"/>
      <c r="AI16" s="929"/>
    </row>
    <row r="17" customFormat="false" ht="13.5" hidden="false" customHeight="false" outlineLevel="0" collapsed="false">
      <c r="B17" s="930" t="s">
        <v>597</v>
      </c>
      <c r="C17" s="931" t="s">
        <v>611</v>
      </c>
      <c r="D17" s="931"/>
      <c r="E17" s="931"/>
      <c r="F17" s="931"/>
      <c r="H17" s="932" t="s">
        <v>335</v>
      </c>
      <c r="I17" s="931" t="s">
        <v>611</v>
      </c>
      <c r="J17" s="931"/>
      <c r="K17" s="931"/>
      <c r="L17" s="931"/>
      <c r="M17" s="451"/>
      <c r="N17" s="451"/>
      <c r="O17" s="929"/>
      <c r="P17" s="549"/>
      <c r="Q17" s="929"/>
      <c r="S17" s="451"/>
      <c r="T17" s="451"/>
      <c r="U17" s="451"/>
      <c r="V17" s="451"/>
      <c r="X17" s="929"/>
      <c r="Y17" s="929"/>
      <c r="Z17" s="929"/>
      <c r="AB17" s="451"/>
      <c r="AC17" s="451"/>
      <c r="AD17" s="451"/>
      <c r="AE17" s="451"/>
      <c r="AF17" s="451"/>
      <c r="AG17" s="929"/>
      <c r="AH17" s="929"/>
      <c r="AI17" s="929"/>
    </row>
    <row r="18" customFormat="false" ht="12.75" hidden="false" customHeight="false" outlineLevel="0" collapsed="false">
      <c r="B18" s="933" t="s">
        <v>612</v>
      </c>
      <c r="C18" s="934" t="s">
        <v>380</v>
      </c>
      <c r="D18" s="934" t="s">
        <v>381</v>
      </c>
      <c r="E18" s="934" t="s">
        <v>382</v>
      </c>
      <c r="F18" s="935" t="s">
        <v>613</v>
      </c>
      <c r="H18" s="936" t="s">
        <v>614</v>
      </c>
      <c r="I18" s="934" t="s">
        <v>380</v>
      </c>
      <c r="J18" s="934" t="s">
        <v>381</v>
      </c>
      <c r="K18" s="934" t="s">
        <v>382</v>
      </c>
      <c r="L18" s="935" t="s">
        <v>613</v>
      </c>
      <c r="M18" s="451"/>
      <c r="N18" s="451"/>
      <c r="O18" s="929"/>
      <c r="P18" s="929"/>
      <c r="Q18" s="929"/>
      <c r="S18" s="451"/>
      <c r="T18" s="451"/>
      <c r="U18" s="451"/>
      <c r="V18" s="451"/>
      <c r="X18" s="929"/>
      <c r="Y18" s="929"/>
      <c r="Z18" s="929"/>
      <c r="AB18" s="451"/>
      <c r="AC18" s="451"/>
      <c r="AD18" s="451"/>
      <c r="AE18" s="451"/>
      <c r="AF18" s="451"/>
      <c r="AG18" s="929"/>
      <c r="AH18" s="929"/>
      <c r="AI18" s="929"/>
    </row>
    <row r="19" customFormat="false" ht="12.75" hidden="false" customHeight="false" outlineLevel="0" collapsed="false">
      <c r="B19" s="924" t="s">
        <v>615</v>
      </c>
      <c r="C19" s="583" t="n">
        <f aca="false">IF($D$91=$C$26,SUM(J35:J46),0)+IF($M$91=$C$26,SUM(N35:N46),0)+IF($V$91=$C$26,SUM(R35:R46),0)</f>
        <v>0</v>
      </c>
      <c r="D19" s="583" t="n">
        <f aca="false">IF($D$91=$C$26,SUM(J47:J58),0)+IF($M$91=$C$26,SUM(N47:N58),0)+IF($V$91=$C$26,SUM(R47:R58),0)</f>
        <v>0</v>
      </c>
      <c r="E19" s="583" t="n">
        <f aca="false">IF($D$91=$C$26,SUM(J59:J70),0)+IF($M$91=$C$26,SUM(N59:N70),0)+IF($V$91=$C$26,SUM(R59:R70),0)</f>
        <v>0</v>
      </c>
      <c r="F19" s="585" t="n">
        <f aca="false">IF($D$91=$C$26,SUM(J71:J82),0)+IF($M$91=$C$26,SUM(N71:N82),0)+IF($V$91=$C$26,SUM(R71:R82),0)</f>
        <v>0</v>
      </c>
      <c r="H19" s="923" t="s">
        <v>615</v>
      </c>
      <c r="I19" s="550" t="n">
        <f aca="false">IF($AE$92=$C$26,SUM($AA35:$AA46),0)+IF($AN$92=$C$26,SUM($AE35:$AE46),0)+IF($AW$92=$C$26,SUM($AI35:$AI46),0)</f>
        <v>0</v>
      </c>
      <c r="J19" s="583" t="n">
        <f aca="false">IF($AE$92=$C$26,SUM($AA47:$AA58),0)+IF($AN$92=$C$26,SUM($AE47:$AE58),0)+IF($AW$92=$C$26,SUM($AI47:$AI58),0)</f>
        <v>0</v>
      </c>
      <c r="K19" s="583" t="n">
        <f aca="false">IF($AE$92=$C$26,SUM(AA59:AA70),0)+IF($AN$92=$C$26,SUM(AE59:AE70),0)+IF($AW$92=$C$26,SUM(AI59:AI70),0)</f>
        <v>0</v>
      </c>
      <c r="L19" s="585" t="n">
        <f aca="false">IF($AE$92=$C$26,SUM(AA71:AA82),0)+IF($AN$92=$C$26,SUM(AE71:AE82),0)+IF($AW$92=$C$26,SUM(AI71:AI82),0)</f>
        <v>0</v>
      </c>
      <c r="M19" s="451"/>
      <c r="N19" s="451"/>
      <c r="O19" s="549"/>
      <c r="P19" s="549"/>
      <c r="Q19" s="549"/>
      <c r="T19" s="451"/>
      <c r="U19" s="451"/>
      <c r="V19" s="451"/>
      <c r="X19" s="929"/>
      <c r="Y19" s="929"/>
      <c r="Z19" s="929"/>
      <c r="AB19" s="451"/>
      <c r="AC19" s="451"/>
      <c r="AD19" s="451"/>
      <c r="AE19" s="451"/>
      <c r="AF19" s="451"/>
      <c r="AG19" s="929"/>
      <c r="AH19" s="929"/>
      <c r="AI19" s="929"/>
    </row>
    <row r="20" customFormat="false" ht="12.75" hidden="false" customHeight="false" outlineLevel="0" collapsed="false">
      <c r="B20" s="924" t="s">
        <v>607</v>
      </c>
      <c r="C20" s="583" t="n">
        <f aca="false">IF(AND($C$26&lt;&gt;$D$91,$D$26=$E$91),SUM($J35:$J46),0)+IF(AND($C$26&lt;&gt;$M$91,$D$26=$N$91),SUM($N35:$N46),0)+IF(AND($C$26&lt;&gt;$V$91,$D$26=$W$91),SUM($R35:$R46),0)</f>
        <v>0</v>
      </c>
      <c r="D20" s="583" t="n">
        <f aca="false">IF(AND($C$26&lt;&gt;$D$91,$D$26=$E$91),SUM($J47:$J58),0)+IF(AND($C$26&lt;&gt;$M$91,$D$26=$N$91),SUM($N47:$N58),0)+IF(AND($C$26&lt;&gt;$V$91,$D$26=$W$91),SUM($R47:$R58),0)</f>
        <v>0</v>
      </c>
      <c r="E20" s="583" t="n">
        <f aca="false">IF(AND($C$26&lt;&gt;$D$91,$D$26=$E$91),SUM($J59:$J70),0)+IF(AND($C$26&lt;&gt;$M$91,$D$26=$N$91),SUM($N59:$N70),0)+IF(AND($C$26&lt;&gt;$V$91,$D$26=$W$91),SUM($R59:$R70),0)</f>
        <v>0</v>
      </c>
      <c r="F20" s="585" t="n">
        <f aca="false">IF(AND($C$26&lt;&gt;$D$91,$D$26=$E$91),SUM($J71:$J82),0)+IF(AND($C$26&lt;&gt;$M$91,$D$26=$N$91),SUM($N71:$N82),0)+IF(AND($C$26&lt;&gt;$V$91,$D$26=$W$91),SUM($R71:$R82),0)</f>
        <v>0</v>
      </c>
      <c r="H20" s="924" t="s">
        <v>607</v>
      </c>
      <c r="I20" s="583" t="n">
        <f aca="false">IF(AND($C$26&lt;&gt;$AE$92,$D$26=$AF$92),SUM($AA35:$AA46),0)+IF(AND($C$26&lt;&gt;$AN$92,$D$26=$AO$92),SUM($AE35:$AE46),0)+IF(AND($C$26&lt;&gt;$AW$92,$D$26=$AX$92),SUM($AI35:$AI46),0)</f>
        <v>0</v>
      </c>
      <c r="J20" s="583" t="n">
        <f aca="false">IF(AND($C$26&lt;&gt;$AE$92,$D$26=$AF$92),SUM($AA47:$AA58),0)+IF(AND($C$26&lt;&gt;$AN$92,$D$26=$AO$92),SUM($AE47:$AE58),0)+IF(AND($C$26&lt;&gt;$AW$92,$D$26=$AX$92),SUM($AI47:$AI58),0)</f>
        <v>0</v>
      </c>
      <c r="K20" s="583" t="n">
        <f aca="false">IF(AND($C$26&lt;&gt;$AE$92,$D$26=$AF$92),SUM($AA59:$AA70),0)+IF(AND($C$26&lt;&gt;$AN$92,$D$26=$AO$92),SUM($AE59:$AE70),0)+IF(AND($C$26&lt;&gt;$AW$92,$D$26=$AX$92),SUM($AI59:$AI70),0)</f>
        <v>0</v>
      </c>
      <c r="L20" s="585" t="n">
        <f aca="false">IF(AND($C$26&lt;&gt;$AE$92,$D$26=$AF$92),SUM($AA71:$AA82),0)+IF(AND($C$26&lt;&gt;$AN$92,$D$26=$AO$92),SUM($AE71:$AE82),0)+IF(AND($C$26&lt;&gt;$AW$92,$D$26=$AX$92),SUM($AI71:$AI82),0)</f>
        <v>0</v>
      </c>
      <c r="M20" s="451"/>
      <c r="N20" s="451"/>
      <c r="O20" s="549"/>
      <c r="P20" s="549"/>
      <c r="Q20" s="549"/>
      <c r="S20" s="451"/>
      <c r="T20" s="451"/>
      <c r="U20" s="451"/>
      <c r="V20" s="451"/>
      <c r="X20" s="929"/>
      <c r="Y20" s="929"/>
      <c r="Z20" s="929"/>
      <c r="AB20" s="451"/>
      <c r="AC20" s="451"/>
      <c r="AD20" s="451"/>
      <c r="AF20" s="451"/>
      <c r="AG20" s="929"/>
      <c r="AH20" s="929"/>
      <c r="AI20" s="929"/>
    </row>
    <row r="21" customFormat="false" ht="12.75" hidden="false" customHeight="false" outlineLevel="0" collapsed="false">
      <c r="B21" s="924" t="s">
        <v>608</v>
      </c>
      <c r="C21" s="469"/>
      <c r="D21" s="583" t="n">
        <f aca="false">IF($E$91=$D$26+1,SUM($F47:$F58),0)+IF($N$91=$D$26+1,SUM($N47:$N58),0)+IF($W$91=$D$26+1,SUM($R47:$R58),0)</f>
        <v>0</v>
      </c>
      <c r="E21" s="583" t="n">
        <f aca="false">IF($E$91=$D$26+1,SUM($F59:$F70),0)+IF($N$91=$D$26+1,SUM($N59:$N70),0)+IF($W$91=$D$26+1,SUM($R59:$R70),0)</f>
        <v>0</v>
      </c>
      <c r="F21" s="585" t="n">
        <f aca="false">IF($E$91=$D$26+1,SUM($F71:$F82),0)+IF($N$91=$D$26+1,SUM($N71:$N82),0)+IF($W$91=$D$26+1,SUM($R71:$R82),0)</f>
        <v>0</v>
      </c>
      <c r="H21" s="924" t="s">
        <v>608</v>
      </c>
      <c r="I21" s="469"/>
      <c r="J21" s="583" t="n">
        <f aca="false">IF($AF$92=$D$26+1,SUM($AA47:$AA58),0)+IF($AO$92=$D$26+1,SUM($AE47:$AE58),0)+IF($AX$92=$D$26+1,SUM($AI47:$AI58),0)</f>
        <v>0</v>
      </c>
      <c r="K21" s="583" t="n">
        <f aca="false">IF($AF$92=$D$26+1,SUM($AA59:$AA70),0)+IF($AO$92=$D$26+1,SUM($AE59:$AE70),0)+IF($AX$92=$D$26+1,SUM($AI59:$AI70),0)</f>
        <v>0</v>
      </c>
      <c r="L21" s="585" t="n">
        <f aca="false">IF($AF$92=$D$26+1,SUM($AA71:$AA82),0)+IF($AO$92=$D$26+1,SUM($AE71:$AE82),0)+IF($AX$92=$D$26+1,SUM($AI71:$AI82),0)</f>
        <v>0</v>
      </c>
      <c r="M21" s="451"/>
      <c r="N21" s="451"/>
      <c r="O21" s="549"/>
      <c r="P21" s="549"/>
      <c r="Q21" s="549"/>
      <c r="S21" s="451"/>
      <c r="T21" s="451"/>
      <c r="U21" s="451"/>
      <c r="V21" s="451"/>
      <c r="X21" s="929"/>
      <c r="Y21" s="929"/>
      <c r="Z21" s="929"/>
      <c r="AB21" s="451"/>
      <c r="AC21" s="451"/>
      <c r="AD21" s="451"/>
      <c r="AF21" s="451"/>
      <c r="AG21" s="929"/>
      <c r="AH21" s="929"/>
      <c r="AI21" s="929"/>
    </row>
    <row r="22" customFormat="false" ht="13.5" hidden="false" customHeight="false" outlineLevel="0" collapsed="false">
      <c r="B22" s="937" t="s">
        <v>609</v>
      </c>
      <c r="C22" s="485"/>
      <c r="D22" s="485"/>
      <c r="E22" s="938" t="n">
        <f aca="false">IF($E$91=$D$26+2,SUM($J59:$J70),0)+IF($N$91=$D$26+2,SUM($N59:$N70),0)+IF($W$91=$D$26+2,SUM($R59:$R70),0)</f>
        <v>0</v>
      </c>
      <c r="F22" s="939" t="n">
        <f aca="false">IF($E$91=$D$26+2,SUM($J71:$J82),0)+IF($N$91=$D$26+2,SUM($N71:$N82),0)+IF($W$91=$D$26+2,SUM($R71:$R82),0)</f>
        <v>0</v>
      </c>
      <c r="G22" s="93"/>
      <c r="H22" s="937" t="s">
        <v>609</v>
      </c>
      <c r="I22" s="485"/>
      <c r="J22" s="485"/>
      <c r="K22" s="938" t="n">
        <f aca="false">IF($AF$92=$D$26+2,SUM($AA59:$AA70),0)+IF($AO$92=$D$26+2,SUM($AE59:$AE70),0)+IF($AX$92=$D$26+2,SUM($AI59:$AI70),0)</f>
        <v>0</v>
      </c>
      <c r="L22" s="939" t="n">
        <f aca="false">IF($AF$92=$D$26+2,SUM($AA71:$AA82),0)+IF($AO$92=$D$26+2,SUM($AE71:$AE82),0)+IF($AX$92=$D$26+2,SUM($AI71:$AI82),0)</f>
        <v>0</v>
      </c>
      <c r="M22" s="451"/>
      <c r="N22" s="93"/>
      <c r="O22" s="549"/>
      <c r="P22" s="549"/>
      <c r="Q22" s="549"/>
      <c r="S22" s="451"/>
      <c r="T22" s="451"/>
      <c r="U22" s="451"/>
      <c r="V22" s="451"/>
      <c r="X22" s="929"/>
      <c r="Y22" s="929"/>
      <c r="Z22" s="929"/>
      <c r="AB22" s="451"/>
      <c r="AC22" s="451"/>
      <c r="AD22" s="451"/>
      <c r="AF22" s="451"/>
      <c r="AG22" s="929"/>
      <c r="AH22" s="929"/>
      <c r="AI22" s="929"/>
    </row>
    <row r="23" customFormat="false" ht="13.5" hidden="false" customHeight="false" outlineLevel="0" collapsed="false">
      <c r="C23" s="93"/>
      <c r="D23" s="93"/>
      <c r="E23" s="93"/>
      <c r="F23" s="93"/>
      <c r="G23" s="93"/>
      <c r="H23" s="93"/>
      <c r="J23" s="451"/>
      <c r="K23" s="93"/>
      <c r="L23" s="549"/>
      <c r="M23" s="451"/>
      <c r="N23" s="93"/>
      <c r="O23" s="929"/>
      <c r="P23" s="929"/>
      <c r="Q23" s="929"/>
      <c r="S23" s="451"/>
      <c r="T23" s="451"/>
      <c r="U23" s="451"/>
      <c r="V23" s="451"/>
      <c r="X23" s="929"/>
      <c r="Y23" s="929"/>
      <c r="Z23" s="929"/>
      <c r="AB23" s="451"/>
      <c r="AC23" s="451"/>
      <c r="AD23" s="451"/>
      <c r="AF23" s="451"/>
      <c r="AG23" s="929"/>
      <c r="AH23" s="929"/>
      <c r="AI23" s="929"/>
    </row>
    <row r="24" customFormat="false" ht="12.75" hidden="false" customHeight="false" outlineLevel="0" collapsed="false">
      <c r="G24" s="93"/>
      <c r="H24" s="93"/>
      <c r="J24" s="451"/>
      <c r="K24" s="93"/>
      <c r="L24" s="451"/>
      <c r="M24" s="451"/>
      <c r="N24" s="93"/>
      <c r="O24" s="929"/>
      <c r="P24" s="929"/>
      <c r="Q24" s="929"/>
      <c r="S24" s="451"/>
      <c r="T24" s="451"/>
      <c r="U24" s="451"/>
      <c r="V24" s="451"/>
      <c r="X24" s="929"/>
      <c r="Y24" s="929"/>
      <c r="Z24" s="929"/>
      <c r="AB24" s="451"/>
      <c r="AC24" s="451"/>
      <c r="AD24" s="451"/>
      <c r="AE24" s="451"/>
      <c r="AF24" s="451"/>
      <c r="AG24" s="929"/>
      <c r="AH24" s="929"/>
      <c r="AI24" s="929"/>
    </row>
    <row r="25" customFormat="false" ht="12.75" hidden="false" customHeight="false" outlineLevel="0" collapsed="false">
      <c r="J25" s="451"/>
      <c r="K25" s="451"/>
      <c r="L25" s="451"/>
      <c r="M25" s="451"/>
      <c r="N25" s="451"/>
      <c r="O25" s="929"/>
      <c r="P25" s="929"/>
      <c r="Q25" s="929"/>
      <c r="S25" s="451"/>
      <c r="T25" s="451"/>
      <c r="U25" s="451"/>
      <c r="V25" s="451"/>
      <c r="X25" s="929"/>
      <c r="Y25" s="929"/>
      <c r="Z25" s="929"/>
      <c r="AB25" s="451"/>
      <c r="AC25" s="451"/>
      <c r="AD25" s="451"/>
      <c r="AE25" s="451"/>
      <c r="AF25" s="451"/>
      <c r="AG25" s="929"/>
      <c r="AH25" s="929"/>
      <c r="AI25" s="929"/>
    </row>
    <row r="26" customFormat="false" ht="13.5" hidden="false" customHeight="false" outlineLevel="0" collapsed="false">
      <c r="B26" s="940" t="s">
        <v>616</v>
      </c>
      <c r="C26" s="941" t="n">
        <f aca="false">'Datos generales'!D10</f>
        <v>44927</v>
      </c>
      <c r="D26" s="942" t="n">
        <f aca="false">YEAR(C26)</f>
        <v>2023</v>
      </c>
      <c r="J26" s="451"/>
      <c r="K26" s="451"/>
      <c r="L26" s="451"/>
      <c r="M26" s="451"/>
      <c r="N26" s="451"/>
      <c r="O26" s="929"/>
      <c r="P26" s="929"/>
      <c r="Q26" s="929"/>
      <c r="S26" s="451"/>
      <c r="T26" s="451"/>
      <c r="U26" s="451"/>
      <c r="V26" s="451"/>
      <c r="X26" s="929"/>
      <c r="Y26" s="929"/>
      <c r="Z26" s="929"/>
      <c r="AB26" s="451"/>
      <c r="AC26" s="451"/>
      <c r="AD26" s="451"/>
      <c r="AE26" s="451"/>
      <c r="AF26" s="451"/>
      <c r="AG26" s="929"/>
      <c r="AH26" s="929"/>
      <c r="AI26" s="929"/>
    </row>
    <row r="27" customFormat="false" ht="13.5" hidden="false" customHeight="false" outlineLevel="0" collapsed="false">
      <c r="C27" s="912"/>
      <c r="D27" s="913"/>
      <c r="J27" s="451"/>
      <c r="K27" s="451"/>
      <c r="L27" s="451"/>
      <c r="M27" s="451"/>
      <c r="N27" s="451"/>
      <c r="O27" s="929"/>
      <c r="P27" s="929"/>
      <c r="Q27" s="929"/>
      <c r="S27" s="451"/>
      <c r="T27" s="451"/>
      <c r="U27" s="451"/>
      <c r="V27" s="451"/>
      <c r="X27" s="929"/>
      <c r="Y27" s="929"/>
      <c r="Z27" s="929"/>
      <c r="AB27" s="451"/>
      <c r="AC27" s="451"/>
      <c r="AD27" s="451"/>
      <c r="AE27" s="451"/>
      <c r="AF27" s="451"/>
      <c r="AG27" s="929"/>
      <c r="AH27" s="929"/>
      <c r="AI27" s="929"/>
    </row>
    <row r="28" customFormat="false" ht="12.75" hidden="false" customHeight="false" outlineLevel="0" collapsed="false">
      <c r="C28" s="912"/>
      <c r="D28" s="913"/>
      <c r="J28" s="451"/>
      <c r="K28" s="451"/>
      <c r="L28" s="451"/>
      <c r="M28" s="451"/>
      <c r="N28" s="451"/>
      <c r="O28" s="929"/>
      <c r="P28" s="929"/>
      <c r="Q28" s="929"/>
      <c r="S28" s="451"/>
      <c r="T28" s="451"/>
      <c r="U28" s="451"/>
      <c r="V28" s="451"/>
      <c r="X28" s="929"/>
      <c r="Y28" s="929"/>
      <c r="Z28" s="929"/>
      <c r="AB28" s="451"/>
      <c r="AC28" s="451"/>
      <c r="AD28" s="451"/>
      <c r="AE28" s="451"/>
      <c r="AF28" s="451"/>
      <c r="AG28" s="929"/>
      <c r="AH28" s="929"/>
      <c r="AI28" s="929"/>
    </row>
    <row r="29" customFormat="false" ht="15" hidden="true" customHeight="false" outlineLevel="0" collapsed="false">
      <c r="B29" s="51" t="s">
        <v>617</v>
      </c>
      <c r="J29" s="451"/>
      <c r="K29" s="451"/>
      <c r="L29" s="451"/>
      <c r="M29" s="451"/>
      <c r="N29" s="451"/>
      <c r="O29" s="929"/>
      <c r="T29" s="51" t="s">
        <v>618</v>
      </c>
      <c r="AB29" s="93"/>
      <c r="AC29" s="451"/>
      <c r="AD29" s="451"/>
      <c r="AE29" s="451"/>
      <c r="AF29" s="451"/>
      <c r="AG29" s="451"/>
      <c r="AH29" s="451"/>
      <c r="AI29" s="451"/>
    </row>
    <row r="30" customFormat="false" ht="18" hidden="true" customHeight="true" outlineLevel="0" collapsed="false">
      <c r="B30" s="943" t="s">
        <v>619</v>
      </c>
      <c r="C30" s="943"/>
      <c r="D30" s="943"/>
      <c r="E30" s="943"/>
      <c r="F30" s="943"/>
      <c r="G30" s="944" t="str">
        <f aca="false">B88</f>
        <v>Préstamo de...( Entidad financiera A)</v>
      </c>
      <c r="H30" s="944"/>
      <c r="I30" s="944"/>
      <c r="J30" s="944"/>
      <c r="K30" s="944" t="str">
        <f aca="false">K88</f>
        <v>Préstamo de...( Entidad financiera B)</v>
      </c>
      <c r="L30" s="944"/>
      <c r="M30" s="944"/>
      <c r="N30" s="944"/>
      <c r="O30" s="945" t="n">
        <f aca="false">T88</f>
        <v>0</v>
      </c>
      <c r="P30" s="945"/>
      <c r="Q30" s="945"/>
      <c r="R30" s="945"/>
      <c r="T30" s="943" t="s">
        <v>619</v>
      </c>
      <c r="U30" s="943"/>
      <c r="V30" s="943"/>
      <c r="W30" s="943"/>
      <c r="X30" s="943"/>
      <c r="Y30" s="945" t="str">
        <f aca="false">AC87</f>
        <v>Leasing Maquinaria</v>
      </c>
      <c r="Z30" s="945"/>
      <c r="AA30" s="945"/>
      <c r="AB30" s="945"/>
      <c r="AC30" s="945" t="str">
        <f aca="false">AL87</f>
        <v>Leasing Transporte</v>
      </c>
      <c r="AD30" s="945"/>
      <c r="AE30" s="945"/>
      <c r="AF30" s="945"/>
      <c r="AG30" s="945" t="n">
        <f aca="false">AU87</f>
        <v>0</v>
      </c>
      <c r="AH30" s="945"/>
      <c r="AI30" s="945"/>
      <c r="AJ30" s="945"/>
    </row>
    <row r="31" customFormat="false" ht="12.75" hidden="true" customHeight="true" outlineLevel="0" collapsed="false">
      <c r="B31" s="943"/>
      <c r="C31" s="943"/>
      <c r="D31" s="943"/>
      <c r="E31" s="943"/>
      <c r="F31" s="943"/>
      <c r="G31" s="944"/>
      <c r="H31" s="944"/>
      <c r="I31" s="944"/>
      <c r="J31" s="944"/>
      <c r="K31" s="944"/>
      <c r="L31" s="944"/>
      <c r="M31" s="944"/>
      <c r="N31" s="944"/>
      <c r="O31" s="945"/>
      <c r="P31" s="945"/>
      <c r="Q31" s="945"/>
      <c r="R31" s="945"/>
      <c r="T31" s="943"/>
      <c r="U31" s="943"/>
      <c r="V31" s="943"/>
      <c r="W31" s="943"/>
      <c r="X31" s="943"/>
      <c r="Y31" s="945"/>
      <c r="Z31" s="945"/>
      <c r="AA31" s="945"/>
      <c r="AB31" s="945"/>
      <c r="AC31" s="945"/>
      <c r="AD31" s="945"/>
      <c r="AE31" s="945"/>
      <c r="AF31" s="945"/>
      <c r="AG31" s="945"/>
      <c r="AH31" s="945"/>
      <c r="AI31" s="945"/>
    </row>
    <row r="32" customFormat="false" ht="12.75" hidden="true" customHeight="true" outlineLevel="0" collapsed="false">
      <c r="B32" s="946"/>
      <c r="C32" s="947" t="s">
        <v>620</v>
      </c>
      <c r="D32" s="947" t="s">
        <v>212</v>
      </c>
      <c r="E32" s="948" t="s">
        <v>621</v>
      </c>
      <c r="F32" s="949" t="s">
        <v>236</v>
      </c>
      <c r="G32" s="950" t="s">
        <v>622</v>
      </c>
      <c r="H32" s="947" t="s">
        <v>212</v>
      </c>
      <c r="I32" s="951" t="s">
        <v>621</v>
      </c>
      <c r="J32" s="952" t="s">
        <v>623</v>
      </c>
      <c r="K32" s="950" t="s">
        <v>622</v>
      </c>
      <c r="L32" s="947" t="s">
        <v>212</v>
      </c>
      <c r="M32" s="951" t="s">
        <v>621</v>
      </c>
      <c r="N32" s="952" t="s">
        <v>623</v>
      </c>
      <c r="O32" s="950" t="s">
        <v>622</v>
      </c>
      <c r="P32" s="947" t="s">
        <v>212</v>
      </c>
      <c r="Q32" s="951" t="s">
        <v>621</v>
      </c>
      <c r="R32" s="952" t="s">
        <v>623</v>
      </c>
      <c r="T32" s="946"/>
      <c r="U32" s="953" t="s">
        <v>620</v>
      </c>
      <c r="V32" s="948" t="s">
        <v>621</v>
      </c>
      <c r="W32" s="954" t="s">
        <v>236</v>
      </c>
      <c r="X32" s="955" t="s">
        <v>624</v>
      </c>
      <c r="Y32" s="950" t="s">
        <v>622</v>
      </c>
      <c r="Z32" s="951" t="s">
        <v>621</v>
      </c>
      <c r="AA32" s="956" t="s">
        <v>623</v>
      </c>
      <c r="AB32" s="957" t="s">
        <v>624</v>
      </c>
      <c r="AC32" s="950" t="s">
        <v>622</v>
      </c>
      <c r="AD32" s="951" t="s">
        <v>621</v>
      </c>
      <c r="AE32" s="956" t="s">
        <v>623</v>
      </c>
      <c r="AF32" s="958" t="s">
        <v>624</v>
      </c>
      <c r="AG32" s="950" t="s">
        <v>622</v>
      </c>
      <c r="AH32" s="951" t="s">
        <v>621</v>
      </c>
      <c r="AI32" s="956" t="s">
        <v>623</v>
      </c>
      <c r="AJ32" s="958" t="s">
        <v>624</v>
      </c>
    </row>
    <row r="33" customFormat="false" ht="12.75" hidden="true" customHeight="true" outlineLevel="0" collapsed="false">
      <c r="A33" s="23"/>
      <c r="B33" s="959" t="s">
        <v>159</v>
      </c>
      <c r="C33" s="947"/>
      <c r="D33" s="947" t="s">
        <v>625</v>
      </c>
      <c r="E33" s="960" t="s">
        <v>626</v>
      </c>
      <c r="F33" s="961" t="s">
        <v>603</v>
      </c>
      <c r="G33" s="962"/>
      <c r="H33" s="947" t="s">
        <v>625</v>
      </c>
      <c r="I33" s="963"/>
      <c r="J33" s="964" t="s">
        <v>603</v>
      </c>
      <c r="K33" s="962"/>
      <c r="L33" s="947" t="s">
        <v>625</v>
      </c>
      <c r="M33" s="963"/>
      <c r="N33" s="964" t="s">
        <v>603</v>
      </c>
      <c r="O33" s="962"/>
      <c r="P33" s="947" t="s">
        <v>625</v>
      </c>
      <c r="Q33" s="963"/>
      <c r="R33" s="964" t="s">
        <v>603</v>
      </c>
      <c r="T33" s="959" t="s">
        <v>159</v>
      </c>
      <c r="U33" s="965"/>
      <c r="V33" s="960" t="s">
        <v>626</v>
      </c>
      <c r="W33" s="966" t="s">
        <v>603</v>
      </c>
      <c r="X33" s="967"/>
      <c r="Y33" s="962"/>
      <c r="Z33" s="963"/>
      <c r="AA33" s="968" t="s">
        <v>603</v>
      </c>
      <c r="AB33" s="969"/>
      <c r="AC33" s="962"/>
      <c r="AD33" s="963"/>
      <c r="AE33" s="968" t="s">
        <v>603</v>
      </c>
      <c r="AF33" s="970"/>
      <c r="AG33" s="962"/>
      <c r="AH33" s="963"/>
      <c r="AI33" s="968" t="s">
        <v>603</v>
      </c>
      <c r="AJ33" s="970"/>
    </row>
    <row r="34" customFormat="false" ht="12.75" hidden="true" customHeight="false" outlineLevel="0" collapsed="false">
      <c r="A34" s="971"/>
      <c r="B34" s="972" t="s">
        <v>627</v>
      </c>
      <c r="C34" s="973" t="n">
        <f aca="false">G34+K34+O34</f>
        <v>165000</v>
      </c>
      <c r="D34" s="973" t="n">
        <f aca="false">H34+L34+P34</f>
        <v>15000</v>
      </c>
      <c r="E34" s="973"/>
      <c r="F34" s="974"/>
      <c r="G34" s="975" t="n">
        <f aca="false">IF('Entrada Inver_Finan'!H109&lt;=C26,D90,0)</f>
        <v>150000</v>
      </c>
      <c r="H34" s="973" t="n">
        <f aca="false">IF('Entrada Inver_Finan'!H109&lt;=C26,D102,0)</f>
        <v>15000</v>
      </c>
      <c r="I34" s="973"/>
      <c r="J34" s="974"/>
      <c r="K34" s="975" t="n">
        <f aca="false">IF('Entrada Inver_Finan'!H110&lt;=C26,M90,0)</f>
        <v>15000</v>
      </c>
      <c r="L34" s="973" t="n">
        <f aca="false">IF('Entrada Inver_Finan'!H110&lt;=C26,M102,0)</f>
        <v>0</v>
      </c>
      <c r="M34" s="973"/>
      <c r="N34" s="974"/>
      <c r="O34" s="975" t="n">
        <f aca="false">IF('Entrada Inver_Finan'!H111&lt;=C26,V90,0)</f>
        <v>0</v>
      </c>
      <c r="P34" s="973" t="n">
        <f aca="false">IF('Entrada Inver_Finan'!H111&lt;=C26,V102,0)</f>
        <v>0</v>
      </c>
      <c r="Q34" s="973"/>
      <c r="R34" s="974"/>
      <c r="T34" s="972"/>
      <c r="U34" s="973"/>
      <c r="V34" s="973"/>
      <c r="W34" s="974"/>
      <c r="X34" s="976"/>
      <c r="Y34" s="975"/>
      <c r="Z34" s="973"/>
      <c r="AA34" s="976"/>
      <c r="AB34" s="977"/>
      <c r="AC34" s="975"/>
      <c r="AD34" s="973"/>
      <c r="AE34" s="976"/>
      <c r="AF34" s="977"/>
      <c r="AG34" s="975"/>
      <c r="AH34" s="973"/>
      <c r="AI34" s="976"/>
    </row>
    <row r="35" customFormat="false" ht="12.75" hidden="true" customHeight="false" outlineLevel="0" collapsed="false">
      <c r="A35" s="971"/>
      <c r="B35" s="972" t="n">
        <f aca="false">DATE(D26,1,1)</f>
        <v>44927</v>
      </c>
      <c r="C35" s="973" t="n">
        <f aca="false">G35+K35+O35</f>
        <v>0</v>
      </c>
      <c r="D35" s="973" t="n">
        <f aca="false">H35+L35+P35</f>
        <v>0</v>
      </c>
      <c r="E35" s="973" t="n">
        <f aca="false">I35+M35+Q35</f>
        <v>0</v>
      </c>
      <c r="F35" s="974" t="n">
        <f aca="false">J35+N35+R35</f>
        <v>0</v>
      </c>
      <c r="G35" s="973" t="n">
        <f aca="false">IF(AND(DATE(YEAR($B35),MONTH($B35),DAY(1))=DATE(YEAR($D$91),MONTH($D$91),DAY(1)),$G$34=0),$D$90,0)</f>
        <v>0</v>
      </c>
      <c r="H35" s="973" t="n">
        <f aca="false">IF(AND(B35=$D$91,$H$34=0),$D$102,0)</f>
        <v>0</v>
      </c>
      <c r="I35" s="973" t="n">
        <f aca="false">IF(ISERROR(VLOOKUP($B35,$C$110:$F$157,3,FALSE()))=TRUE(),0,VLOOKUP($B35,$C$110:$F$157,3,FALSE()))</f>
        <v>0</v>
      </c>
      <c r="J35" s="974" t="n">
        <f aca="false">IF(ISERROR(VLOOKUP($B35,$C$110:$F$157,4,FALSE()))=TRUE(),0,VLOOKUP($B35,$C$110:$F$157,4,FALSE()))</f>
        <v>0</v>
      </c>
      <c r="K35" s="973" t="n">
        <f aca="false">IF(AND(DATE(YEAR($B35),MONTH($B35),DAY(1))=DATE(YEAR($M$91),MONTH($M$91),DAY(1)),$K$34=0),$M$90,0)</f>
        <v>0</v>
      </c>
      <c r="L35" s="973" t="n">
        <f aca="false">IF(AND(B35=$M$91,$L$34=0),$M$102,0)</f>
        <v>0</v>
      </c>
      <c r="M35" s="973" t="n">
        <f aca="false">IF(ISERROR(VLOOKUP($B35,$L$110:$O$157,3,FALSE()))=TRUE(),0,VLOOKUP($B35,$L$110:$O$157,3,FALSE()))</f>
        <v>0</v>
      </c>
      <c r="N35" s="974" t="n">
        <f aca="false">IF(ISERROR(VLOOKUP($B35,$L$110:$O$157,4,FALSE()))=TRUE(),0,VLOOKUP($B35,$L$110:$O$157,4,FALSE()))</f>
        <v>0</v>
      </c>
      <c r="O35" s="973" t="n">
        <f aca="false">IF(AND(DATE(YEAR($B35),MONTH($B35),DAY(1))=DATE(YEAR($V$91),MONTH($V$91),DAY(1)),$O$34=0),$V$90,0)</f>
        <v>0</v>
      </c>
      <c r="P35" s="973" t="n">
        <f aca="false">IF(AND(B35=$V$91,$P$34=0),$V$102,0)</f>
        <v>0</v>
      </c>
      <c r="Q35" s="973" t="n">
        <f aca="false">IF(ISERROR(VLOOKUP($B35,$U$110:$X$157,3,FALSE()))=TRUE(),0,VLOOKUP($B35,$U$110:$X$157,3,FALSE()))</f>
        <v>0</v>
      </c>
      <c r="R35" s="974" t="n">
        <f aca="false">IF(ISERROR(VLOOKUP($B35,$U$110:$X$157,4,FALSE()))=TRUE(),0,VLOOKUP($B35,$U$110:$X$157,4,FALSE()))</f>
        <v>0</v>
      </c>
      <c r="T35" s="972" t="n">
        <f aca="false">DATE(D26,1,1)</f>
        <v>44927</v>
      </c>
      <c r="U35" s="973" t="n">
        <f aca="false">Y35+AC35+AG35</f>
        <v>35000</v>
      </c>
      <c r="V35" s="973" t="n">
        <f aca="false">Z35+AD35+AH35</f>
        <v>0</v>
      </c>
      <c r="W35" s="974" t="n">
        <f aca="false">AA35+AE35+AI35</f>
        <v>0</v>
      </c>
      <c r="X35" s="976" t="n">
        <f aca="false">AB35+AF35+AJ35</f>
        <v>0</v>
      </c>
      <c r="Y35" s="975" t="n">
        <f aca="false">IF(DATE(YEAR($B35),MONTH($B35),DAY(1))=DATE(YEAR($AE$92),MONTH($AE$92),DAY(1)),$AE$91,0)</f>
        <v>0</v>
      </c>
      <c r="Z35" s="973" t="n">
        <f aca="false">IF(ISERROR(VLOOKUP($T35,$AD$110:$AG$157,3,FALSE()))=TRUE(),0,VLOOKUP($T35,$AD$110:$AG$157,3,FALSE()))</f>
        <v>0</v>
      </c>
      <c r="AA35" s="976" t="n">
        <f aca="false">IF(ISERROR(VLOOKUP($T35,$AD$110:$AG$157,4,FALSE()))=TRUE(),0,VLOOKUP($T35,$AD$110:$AG$157,4,FALSE()))</f>
        <v>0</v>
      </c>
      <c r="AB35" s="977" t="n">
        <f aca="false">(Z35+AA35)*'Datos generales'!$D$16</f>
        <v>0</v>
      </c>
      <c r="AC35" s="975" t="n">
        <f aca="false">IF(DATE(YEAR($B35),MONTH($B35),DAY(1))=DATE(YEAR($AN$92),MONTH($AN$92),DAY(1)),$AN$91,0)</f>
        <v>35000</v>
      </c>
      <c r="AD35" s="973" t="n">
        <f aca="false">IF(ISERROR(VLOOKUP($T35,$AM$110:$AO$157,3,FALSE()))=TRUE(),0,VLOOKUP($T35,$AM$110:$AO$157,3,FALSE()))</f>
        <v>0</v>
      </c>
      <c r="AE35" s="976" t="n">
        <f aca="false">IF(ISERROR(VLOOKUP($T35,$AM$110:$AP$157,4,FALSE()))=TRUE(),0,VLOOKUP($T35,$AM$110:$AP$157,4,FALSE()))</f>
        <v>0</v>
      </c>
      <c r="AF35" s="977" t="n">
        <f aca="false">(AD35+AE35)*'Datos generales'!$D$16</f>
        <v>0</v>
      </c>
      <c r="AG35" s="975" t="n">
        <f aca="false">IF(DATE(YEAR($B35),MONTH($B35),DAY(1))=DATE(YEAR($AW$92),MONTH($AW$92),DAY(1)),$AW$91,0)</f>
        <v>0</v>
      </c>
      <c r="AH35" s="973" t="n">
        <f aca="false">IF(ISERROR(VLOOKUP($T35,$AV$110:$AX$157,3,FALSE()))=TRUE(),0,VLOOKUP($T35,$AV$110:$AX$157,3,FALSE()))</f>
        <v>0</v>
      </c>
      <c r="AI35" s="976" t="n">
        <f aca="false">IF(ISERROR(VLOOKUP($T35,$AV$110:$AY$157,4,FALSE()))=TRUE(),0,VLOOKUP($T35,$AV$110:$AY$157,4,FALSE()))</f>
        <v>0</v>
      </c>
      <c r="AJ35" s="977" t="n">
        <f aca="false">(AH35+AI35)*'Datos generales'!$D$16</f>
        <v>0</v>
      </c>
    </row>
    <row r="36" customFormat="false" ht="12.75" hidden="true" customHeight="false" outlineLevel="0" collapsed="false">
      <c r="A36" s="971"/>
      <c r="B36" s="972" t="n">
        <f aca="false">DATE(YEAR(B35),MONTH(B35)+1,DAY(B35))</f>
        <v>44958</v>
      </c>
      <c r="C36" s="973" t="n">
        <f aca="false">G36+K36+O36</f>
        <v>0</v>
      </c>
      <c r="D36" s="973" t="n">
        <f aca="false">H36+L36+P36</f>
        <v>0</v>
      </c>
      <c r="E36" s="973" t="n">
        <f aca="false">I36+M36+Q36</f>
        <v>0</v>
      </c>
      <c r="F36" s="974" t="n">
        <f aca="false">J36+N36+R36</f>
        <v>0</v>
      </c>
      <c r="G36" s="973" t="n">
        <f aca="false">IF(AND(DATE(YEAR($B36),MONTH($B36),DAY(1))=DATE(YEAR($D$91),MONTH($D$91),DAY(1)),$G$34=0),$D$90,0)</f>
        <v>0</v>
      </c>
      <c r="H36" s="973" t="n">
        <f aca="false">IF(AND(B36=$D$91,$H$34=0),$D$102,0)</f>
        <v>0</v>
      </c>
      <c r="I36" s="973" t="n">
        <f aca="false">IF(ISERROR(VLOOKUP($B36,$C$110:$F$157,3,FALSE()))=TRUE(),0,VLOOKUP($B36,$C$110:$F$157,3,FALSE()))</f>
        <v>0</v>
      </c>
      <c r="J36" s="974" t="n">
        <f aca="false">IF(ISERROR(VLOOKUP($B36,$C$110:$F$157,4,FALSE()))=TRUE(),0,VLOOKUP($B36,$C$110:$F$157,4,FALSE()))</f>
        <v>0</v>
      </c>
      <c r="K36" s="973" t="n">
        <f aca="false">IF(AND(DATE(YEAR($B36),MONTH($B36),DAY(1))=DATE(YEAR($M$91),MONTH($M$91),DAY(1)),$K$34=0),$M$90,0)</f>
        <v>0</v>
      </c>
      <c r="L36" s="973" t="n">
        <f aca="false">IF(AND(B36=$M$91,$L$34=0),$M$102,0)</f>
        <v>0</v>
      </c>
      <c r="M36" s="973" t="n">
        <f aca="false">IF(ISERROR(VLOOKUP($B36,$L$110:$O$157,3,FALSE()))=TRUE(),0,VLOOKUP($B36,$L$110:$O$157,3,FALSE()))</f>
        <v>0</v>
      </c>
      <c r="N36" s="974" t="n">
        <f aca="false">IF(ISERROR(VLOOKUP($B36,$L$110:$O$157,4,FALSE()))=TRUE(),0,VLOOKUP($B36,$L$110:$O$157,4,FALSE()))</f>
        <v>0</v>
      </c>
      <c r="O36" s="973" t="n">
        <f aca="false">IF(AND(DATE(YEAR($B36),MONTH($B36),DAY(1))=DATE(YEAR($V$91),MONTH($V$91),DAY(1)),$O$34=0),$V$90,0)</f>
        <v>0</v>
      </c>
      <c r="P36" s="973" t="n">
        <f aca="false">IF(AND(B36=$V$91,$P$34=0),$V$102,0)</f>
        <v>0</v>
      </c>
      <c r="Q36" s="973" t="n">
        <f aca="false">IF(ISERROR(VLOOKUP($B36,$U$110:$X$157,3,FALSE()))=TRUE(),0,VLOOKUP($B36,$U$110:$X$157,3,FALSE()))</f>
        <v>0</v>
      </c>
      <c r="R36" s="974" t="n">
        <f aca="false">IF(ISERROR(VLOOKUP($B36,$U$110:$X$157,4,FALSE()))=TRUE(),0,VLOOKUP($B36,$U$110:$X$157,4,FALSE()))</f>
        <v>0</v>
      </c>
      <c r="T36" s="972" t="n">
        <f aca="false">DATE(YEAR(T35),MONTH(T35)+1,DAY(T35))</f>
        <v>44958</v>
      </c>
      <c r="U36" s="973" t="n">
        <f aca="false">Y36+AC36+AG36</f>
        <v>0</v>
      </c>
      <c r="V36" s="973" t="n">
        <f aca="false">Z36+AD36+AH36</f>
        <v>0</v>
      </c>
      <c r="W36" s="974" t="n">
        <f aca="false">AA36+AE36+AI36</f>
        <v>0</v>
      </c>
      <c r="X36" s="976" t="n">
        <f aca="false">AB36+AF36+AJ36</f>
        <v>0</v>
      </c>
      <c r="Y36" s="975" t="n">
        <f aca="false">IF(DATE(YEAR($B36),MONTH($B36),DAY(1))=DATE(YEAR($AE$92),MONTH($AE$92),DAY(1)),$AE$91,0)</f>
        <v>0</v>
      </c>
      <c r="Z36" s="973" t="n">
        <f aca="false">IF(ISERROR(VLOOKUP($T36,$AD$110:$AG$157,3,FALSE()))=TRUE(),0,VLOOKUP($T36,$AD$110:$AG$157,3,FALSE()))</f>
        <v>0</v>
      </c>
      <c r="AA36" s="976" t="n">
        <f aca="false">IF(ISERROR(VLOOKUP($T36,$AD$110:$AG$157,4,FALSE()))=TRUE(),0,VLOOKUP($T36,$AD$110:$AG$157,4,FALSE()))</f>
        <v>0</v>
      </c>
      <c r="AB36" s="977" t="n">
        <f aca="false">(Z36+AA36)*'Datos generales'!$D$16</f>
        <v>0</v>
      </c>
      <c r="AC36" s="975" t="n">
        <f aca="false">IF(DATE(YEAR($B36),MONTH($B36),DAY(1))=DATE(YEAR($AN$92),MONTH($AN$92),DAY(1)),$AN$91,0)</f>
        <v>0</v>
      </c>
      <c r="AD36" s="973" t="n">
        <f aca="false">IF(ISERROR(VLOOKUP($T36,$AM$110:$AO$157,3,FALSE()))=TRUE(),0,VLOOKUP($T36,$AM$110:$AO$157,3,FALSE()))</f>
        <v>0</v>
      </c>
      <c r="AE36" s="976" t="n">
        <f aca="false">IF(ISERROR(VLOOKUP($T36,$AM$110:$AP$157,4,FALSE()))=TRUE(),0,VLOOKUP($T36,$AM$110:$AP$157,4,FALSE()))</f>
        <v>0</v>
      </c>
      <c r="AF36" s="977" t="n">
        <f aca="false">(AD36+AE36)*'Datos generales'!$D$16</f>
        <v>0</v>
      </c>
      <c r="AG36" s="975" t="n">
        <f aca="false">IF(DATE(YEAR($B36),MONTH($B36),DAY(1))=DATE(YEAR($AW$92),MONTH($AW$92),DAY(1)),$AW$91,0)</f>
        <v>0</v>
      </c>
      <c r="AH36" s="973" t="n">
        <f aca="false">IF(ISERROR(VLOOKUP($T36,$AV$110:$AX$157,3,FALSE()))=TRUE(),0,VLOOKUP($T36,$AV$110:$AX$157,3,FALSE()))</f>
        <v>0</v>
      </c>
      <c r="AI36" s="976" t="n">
        <f aca="false">IF(ISERROR(VLOOKUP($T36,$AV$110:$AY$157,4,FALSE()))=TRUE(),0,VLOOKUP($T36,$AV$110:$AY$157,4,FALSE()))</f>
        <v>0</v>
      </c>
      <c r="AJ36" s="977" t="n">
        <f aca="false">(AH36+AI36)*'Datos generales'!$D$16</f>
        <v>0</v>
      </c>
    </row>
    <row r="37" customFormat="false" ht="12.75" hidden="true" customHeight="false" outlineLevel="0" collapsed="false">
      <c r="A37" s="971"/>
      <c r="B37" s="972" t="n">
        <f aca="false">DATE(YEAR(B36),MONTH(B36)+1,DAY(B36))</f>
        <v>44986</v>
      </c>
      <c r="C37" s="973" t="n">
        <f aca="false">G37+K37+O37</f>
        <v>0</v>
      </c>
      <c r="D37" s="973" t="n">
        <f aca="false">H37+L37+P37</f>
        <v>0</v>
      </c>
      <c r="E37" s="973" t="n">
        <f aca="false">I37+M37+Q37</f>
        <v>0</v>
      </c>
      <c r="F37" s="974" t="n">
        <f aca="false">J37+N37+R37</f>
        <v>0</v>
      </c>
      <c r="G37" s="973" t="n">
        <f aca="false">IF(AND(DATE(YEAR($B37),MONTH($B37),DAY(1))=DATE(YEAR($D$91),MONTH($D$91),DAY(1)),$G$34=0),$D$90,0)</f>
        <v>0</v>
      </c>
      <c r="H37" s="973" t="n">
        <f aca="false">IF(AND(B37=$D$91,$H$34=0),$D$102,0)</f>
        <v>0</v>
      </c>
      <c r="I37" s="973" t="n">
        <f aca="false">IF(ISERROR(VLOOKUP($B37,$C$110:$F$157,3,FALSE()))=TRUE(),0,VLOOKUP($B37,$C$110:$F$157,3,FALSE()))</f>
        <v>0</v>
      </c>
      <c r="J37" s="974" t="n">
        <f aca="false">IF(ISERROR(VLOOKUP($B37,$C$110:$F$157,4,FALSE()))=TRUE(),0,VLOOKUP($B37,$C$110:$F$157,4,FALSE()))</f>
        <v>0</v>
      </c>
      <c r="K37" s="973" t="n">
        <f aca="false">IF(AND(DATE(YEAR($B37),MONTH($B37),DAY(1))=DATE(YEAR($M$91),MONTH($M$91),DAY(1)),$K$34=0),$M$90,0)</f>
        <v>0</v>
      </c>
      <c r="L37" s="973" t="n">
        <f aca="false">IF(AND(B37=$M$91,$L$34=0),$M$102,0)</f>
        <v>0</v>
      </c>
      <c r="M37" s="973" t="n">
        <f aca="false">IF(ISERROR(VLOOKUP($B37,$L$110:$O$157,3,FALSE()))=TRUE(),0,VLOOKUP($B37,$L$110:$O$157,3,FALSE()))</f>
        <v>0</v>
      </c>
      <c r="N37" s="974" t="n">
        <f aca="false">IF(ISERROR(VLOOKUP($B37,$L$110:$O$157,4,FALSE()))=TRUE(),0,VLOOKUP($B37,$L$110:$O$157,4,FALSE()))</f>
        <v>0</v>
      </c>
      <c r="O37" s="973" t="n">
        <f aca="false">IF(AND(DATE(YEAR($B37),MONTH($B37),DAY(1))=DATE(YEAR($V$91),MONTH($V$91),DAY(1)),$O$34=0),$V$90,0)</f>
        <v>0</v>
      </c>
      <c r="P37" s="973" t="n">
        <f aca="false">IF(AND(B37=$V$91,$P$34=0),$V$102,0)</f>
        <v>0</v>
      </c>
      <c r="Q37" s="973" t="n">
        <f aca="false">IF(ISERROR(VLOOKUP($B37,$U$110:$X$157,3,FALSE()))=TRUE(),0,VLOOKUP($B37,$U$110:$X$157,3,FALSE()))</f>
        <v>0</v>
      </c>
      <c r="R37" s="974" t="n">
        <f aca="false">IF(ISERROR(VLOOKUP($B37,$U$110:$X$157,4,FALSE()))=TRUE(),0,VLOOKUP($B37,$U$110:$X$157,4,FALSE()))</f>
        <v>0</v>
      </c>
      <c r="T37" s="972" t="n">
        <f aca="false">DATE(YEAR(T36),MONTH(T36)+1,DAY(T36))</f>
        <v>44986</v>
      </c>
      <c r="U37" s="973" t="n">
        <f aca="false">Y37+AC37+AG37</f>
        <v>0</v>
      </c>
      <c r="V37" s="973" t="n">
        <f aca="false">Z37+AD37+AH37</f>
        <v>0</v>
      </c>
      <c r="W37" s="974" t="n">
        <f aca="false">AA37+AE37+AI37</f>
        <v>0</v>
      </c>
      <c r="X37" s="976" t="n">
        <f aca="false">AB37+AF37+AJ37</f>
        <v>0</v>
      </c>
      <c r="Y37" s="975" t="n">
        <f aca="false">IF(DATE(YEAR($B37),MONTH($B37),DAY(1))=DATE(YEAR($AE$92),MONTH($AE$92),DAY(1)),$AE$91,0)</f>
        <v>0</v>
      </c>
      <c r="Z37" s="973" t="n">
        <f aca="false">IF(ISERROR(VLOOKUP($T37,$AD$110:$AG$157,3,FALSE()))=TRUE(),0,VLOOKUP($T37,$AD$110:$AG$157,3,FALSE()))</f>
        <v>0</v>
      </c>
      <c r="AA37" s="976" t="n">
        <f aca="false">IF(ISERROR(VLOOKUP($T37,$AD$110:$AG$157,4,FALSE()))=TRUE(),0,VLOOKUP($T37,$AD$110:$AG$157,4,FALSE()))</f>
        <v>0</v>
      </c>
      <c r="AB37" s="977" t="n">
        <f aca="false">(Z37+AA37)*'Datos generales'!$D$16</f>
        <v>0</v>
      </c>
      <c r="AC37" s="975" t="n">
        <f aca="false">IF(DATE(YEAR($B37),MONTH($B37),DAY(1))=DATE(YEAR($AN$92),MONTH($AN$92),DAY(1)),$AN$91,0)</f>
        <v>0</v>
      </c>
      <c r="AD37" s="973" t="n">
        <f aca="false">IF(ISERROR(VLOOKUP($T37,$AM$110:$AO$157,3,FALSE()))=TRUE(),0,VLOOKUP($T37,$AM$110:$AO$157,3,FALSE()))</f>
        <v>0</v>
      </c>
      <c r="AE37" s="976" t="n">
        <f aca="false">IF(ISERROR(VLOOKUP($T37,$AM$110:$AP$157,4,FALSE()))=TRUE(),0,VLOOKUP($T37,$AM$110:$AP$157,4,FALSE()))</f>
        <v>0</v>
      </c>
      <c r="AF37" s="977" t="n">
        <f aca="false">(AD37+AE37)*'Datos generales'!$D$16</f>
        <v>0</v>
      </c>
      <c r="AG37" s="975" t="n">
        <f aca="false">IF(DATE(YEAR($B37),MONTH($B37),DAY(1))=DATE(YEAR($AW$92),MONTH($AW$92),DAY(1)),$AW$91,0)</f>
        <v>0</v>
      </c>
      <c r="AH37" s="973" t="n">
        <f aca="false">IF(ISERROR(VLOOKUP($T37,$AV$110:$AX$157,3,FALSE()))=TRUE(),0,VLOOKUP($T37,$AV$110:$AX$157,3,FALSE()))</f>
        <v>0</v>
      </c>
      <c r="AI37" s="976" t="n">
        <f aca="false">IF(ISERROR(VLOOKUP($T37,$AV$110:$AY$157,4,FALSE()))=TRUE(),0,VLOOKUP($T37,$AV$110:$AY$157,4,FALSE()))</f>
        <v>0</v>
      </c>
      <c r="AJ37" s="977" t="n">
        <f aca="false">(AH37+AI37)*'Datos generales'!$D$16</f>
        <v>0</v>
      </c>
    </row>
    <row r="38" customFormat="false" ht="12.75" hidden="true" customHeight="false" outlineLevel="0" collapsed="false">
      <c r="A38" s="971"/>
      <c r="B38" s="972" t="n">
        <f aca="false">DATE(YEAR(B37),MONTH(B37)+1,DAY(B37))</f>
        <v>45017</v>
      </c>
      <c r="C38" s="973" t="n">
        <f aca="false">G38+K38+O38</f>
        <v>0</v>
      </c>
      <c r="D38" s="973" t="n">
        <f aca="false">H38+L38+P38</f>
        <v>0</v>
      </c>
      <c r="E38" s="973" t="n">
        <f aca="false">I38+M38+Q38</f>
        <v>0</v>
      </c>
      <c r="F38" s="974" t="n">
        <f aca="false">J38+N38+R38</f>
        <v>0</v>
      </c>
      <c r="G38" s="973" t="n">
        <f aca="false">IF(AND(DATE(YEAR($B38),MONTH($B38),DAY(1))=DATE(YEAR($D$91),MONTH($D$91),DAY(1)),$G$34=0),$D$90,0)</f>
        <v>0</v>
      </c>
      <c r="H38" s="973" t="n">
        <f aca="false">IF(AND(B38=$D$91,$H$34=0),$D$102,0)</f>
        <v>0</v>
      </c>
      <c r="I38" s="973" t="n">
        <f aca="false">IF(ISERROR(VLOOKUP($B38,$C$110:$F$157,3,FALSE()))=TRUE(),0,VLOOKUP($B38,$C$110:$F$157,3,FALSE()))</f>
        <v>0</v>
      </c>
      <c r="J38" s="974" t="n">
        <f aca="false">IF(ISERROR(VLOOKUP($B38,$C$110:$F$157,4,FALSE()))=TRUE(),0,VLOOKUP($B38,$C$110:$F$157,4,FALSE()))</f>
        <v>0</v>
      </c>
      <c r="K38" s="973" t="n">
        <f aca="false">IF(AND(DATE(YEAR($B38),MONTH($B38),DAY(1))=DATE(YEAR($M$91),MONTH($M$91),DAY(1)),$K$34=0),$M$90,0)</f>
        <v>0</v>
      </c>
      <c r="L38" s="973" t="n">
        <f aca="false">IF(AND(B38=$M$91,$L$34=0),$M$102,0)</f>
        <v>0</v>
      </c>
      <c r="M38" s="973" t="n">
        <f aca="false">IF(ISERROR(VLOOKUP($B38,$L$110:$O$157,3,FALSE()))=TRUE(),0,VLOOKUP($B38,$L$110:$O$157,3,FALSE()))</f>
        <v>0</v>
      </c>
      <c r="N38" s="974" t="n">
        <f aca="false">IF(ISERROR(VLOOKUP($B38,$L$110:$O$157,4,FALSE()))=TRUE(),0,VLOOKUP($B38,$L$110:$O$157,4,FALSE()))</f>
        <v>0</v>
      </c>
      <c r="O38" s="973" t="n">
        <f aca="false">IF(AND(DATE(YEAR($B38),MONTH($B38),DAY(1))=DATE(YEAR($V$91),MONTH($V$91),DAY(1)),$O$34=0),$V$90,0)</f>
        <v>0</v>
      </c>
      <c r="P38" s="973" t="n">
        <f aca="false">IF(AND(B38=$V$91,$P$34=0),$V$102,0)</f>
        <v>0</v>
      </c>
      <c r="Q38" s="973" t="n">
        <f aca="false">IF(ISERROR(VLOOKUP($B38,$U$110:$X$157,3,FALSE()))=TRUE(),0,VLOOKUP($B38,$U$110:$X$157,3,FALSE()))</f>
        <v>0</v>
      </c>
      <c r="R38" s="974" t="n">
        <f aca="false">IF(ISERROR(VLOOKUP($B38,$U$110:$X$157,4,FALSE()))=TRUE(),0,VLOOKUP($B38,$U$110:$X$157,4,FALSE()))</f>
        <v>0</v>
      </c>
      <c r="T38" s="972" t="n">
        <f aca="false">DATE(YEAR(T37),MONTH(T37)+1,DAY(T37))</f>
        <v>45017</v>
      </c>
      <c r="U38" s="973" t="n">
        <f aca="false">Y38+AC38+AG38</f>
        <v>0</v>
      </c>
      <c r="V38" s="973" t="n">
        <f aca="false">Z38+AD38+AH38</f>
        <v>0</v>
      </c>
      <c r="W38" s="974" t="n">
        <f aca="false">AA38+AE38+AI38</f>
        <v>0</v>
      </c>
      <c r="X38" s="976" t="n">
        <f aca="false">AB38+AF38+AJ38</f>
        <v>0</v>
      </c>
      <c r="Y38" s="975" t="n">
        <f aca="false">IF(DATE(YEAR($B38),MONTH($B38),DAY(1))=DATE(YEAR($AE$92),MONTH($AE$92),DAY(1)),$AE$91,0)</f>
        <v>0</v>
      </c>
      <c r="Z38" s="973" t="n">
        <f aca="false">IF(ISERROR(VLOOKUP($T38,$AD$110:$AG$157,3,FALSE()))=TRUE(),0,VLOOKUP($T38,$AD$110:$AG$157,3,FALSE()))</f>
        <v>0</v>
      </c>
      <c r="AA38" s="976" t="n">
        <f aca="false">IF(ISERROR(VLOOKUP($T38,$AD$110:$AG$157,4,FALSE()))=TRUE(),0,VLOOKUP($T38,$AD$110:$AG$157,4,FALSE()))</f>
        <v>0</v>
      </c>
      <c r="AB38" s="977" t="n">
        <f aca="false">(Z38+AA38)*'Datos generales'!$D$16</f>
        <v>0</v>
      </c>
      <c r="AC38" s="975" t="n">
        <f aca="false">IF(DATE(YEAR($B38),MONTH($B38),DAY(1))=DATE(YEAR($AN$92),MONTH($AN$92),DAY(1)),$AN$91,0)</f>
        <v>0</v>
      </c>
      <c r="AD38" s="973" t="n">
        <f aca="false">IF(ISERROR(VLOOKUP($T38,$AM$110:$AO$157,3,FALSE()))=TRUE(),0,VLOOKUP($T38,$AM$110:$AO$157,3,FALSE()))</f>
        <v>0</v>
      </c>
      <c r="AE38" s="976" t="n">
        <f aca="false">IF(ISERROR(VLOOKUP($T38,$AM$110:$AP$157,4,FALSE()))=TRUE(),0,VLOOKUP($T38,$AM$110:$AP$157,4,FALSE()))</f>
        <v>0</v>
      </c>
      <c r="AF38" s="977" t="n">
        <f aca="false">(AD38+AE38)*'Datos generales'!$D$16</f>
        <v>0</v>
      </c>
      <c r="AG38" s="975" t="n">
        <f aca="false">IF(DATE(YEAR($B38),MONTH($B38),DAY(1))=DATE(YEAR($AW$92),MONTH($AW$92),DAY(1)),$AW$91,0)</f>
        <v>0</v>
      </c>
      <c r="AH38" s="973" t="n">
        <f aca="false">IF(ISERROR(VLOOKUP($T38,$AV$110:$AX$157,3,FALSE()))=TRUE(),0,VLOOKUP($T38,$AV$110:$AX$157,3,FALSE()))</f>
        <v>0</v>
      </c>
      <c r="AI38" s="976" t="n">
        <f aca="false">IF(ISERROR(VLOOKUP($T38,$AV$110:$AY$157,4,FALSE()))=TRUE(),0,VLOOKUP($T38,$AV$110:$AY$157,4,FALSE()))</f>
        <v>0</v>
      </c>
      <c r="AJ38" s="977" t="n">
        <f aca="false">(AH38+AI38)*'Datos generales'!$D$16</f>
        <v>0</v>
      </c>
    </row>
    <row r="39" customFormat="false" ht="12.75" hidden="true" customHeight="false" outlineLevel="0" collapsed="false">
      <c r="A39" s="971"/>
      <c r="B39" s="972" t="n">
        <f aca="false">DATE(YEAR(B38),MONTH(B38)+1,DAY(B38))</f>
        <v>45047</v>
      </c>
      <c r="C39" s="973" t="n">
        <f aca="false">G39+K39+O39</f>
        <v>0</v>
      </c>
      <c r="D39" s="973" t="n">
        <f aca="false">H39+L39+P39</f>
        <v>0</v>
      </c>
      <c r="E39" s="973" t="n">
        <f aca="false">I39+M39+Q39</f>
        <v>0</v>
      </c>
      <c r="F39" s="974" t="n">
        <f aca="false">J39+N39+R39</f>
        <v>0</v>
      </c>
      <c r="G39" s="973" t="n">
        <f aca="false">IF(AND(DATE(YEAR($B39),MONTH($B39),DAY(1))=DATE(YEAR($D$91),MONTH($D$91),DAY(1)),$G$34=0),$D$90,0)</f>
        <v>0</v>
      </c>
      <c r="H39" s="973" t="n">
        <f aca="false">IF(AND(B39=$D$91,$H$34=0),$D$102,0)</f>
        <v>0</v>
      </c>
      <c r="I39" s="973" t="n">
        <f aca="false">IF(ISERROR(VLOOKUP($B39,$C$110:$F$157,3,FALSE()))=TRUE(),0,VLOOKUP($B39,$C$110:$F$157,3,FALSE()))</f>
        <v>0</v>
      </c>
      <c r="J39" s="974" t="n">
        <f aca="false">IF(ISERROR(VLOOKUP($B39,$C$110:$F$157,4,FALSE()))=TRUE(),0,VLOOKUP($B39,$C$110:$F$157,4,FALSE()))</f>
        <v>0</v>
      </c>
      <c r="K39" s="973" t="n">
        <f aca="false">IF(AND(DATE(YEAR($B39),MONTH($B39),DAY(1))=DATE(YEAR($M$91),MONTH($M$91),DAY(1)),$K$34=0),$M$90,0)</f>
        <v>0</v>
      </c>
      <c r="L39" s="973" t="n">
        <f aca="false">IF(AND(B39=$M$91,$L$34=0),$M$102,0)</f>
        <v>0</v>
      </c>
      <c r="M39" s="973" t="n">
        <f aca="false">IF(ISERROR(VLOOKUP($B39,$L$110:$O$157,3,FALSE()))=TRUE(),0,VLOOKUP($B39,$L$110:$O$157,3,FALSE()))</f>
        <v>0</v>
      </c>
      <c r="N39" s="974" t="n">
        <f aca="false">IF(ISERROR(VLOOKUP($B39,$L$110:$O$157,4,FALSE()))=TRUE(),0,VLOOKUP($B39,$L$110:$O$157,4,FALSE()))</f>
        <v>0</v>
      </c>
      <c r="O39" s="973" t="n">
        <f aca="false">IF(AND(DATE(YEAR($B39),MONTH($B39),DAY(1))=DATE(YEAR($V$91),MONTH($V$91),DAY(1)),$O$34=0),$V$90,0)</f>
        <v>0</v>
      </c>
      <c r="P39" s="973" t="n">
        <f aca="false">IF(AND(B39=$V$91,$P$34=0),$V$102,0)</f>
        <v>0</v>
      </c>
      <c r="Q39" s="973" t="n">
        <f aca="false">IF(ISERROR(VLOOKUP($B39,$U$110:$X$157,3,FALSE()))=TRUE(),0,VLOOKUP($B39,$U$110:$X$157,3,FALSE()))</f>
        <v>0</v>
      </c>
      <c r="R39" s="974" t="n">
        <f aca="false">IF(ISERROR(VLOOKUP($B39,$U$110:$X$157,4,FALSE()))=TRUE(),0,VLOOKUP($B39,$U$110:$X$157,4,FALSE()))</f>
        <v>0</v>
      </c>
      <c r="T39" s="972" t="n">
        <f aca="false">DATE(YEAR(T38),MONTH(T38)+1,DAY(T38))</f>
        <v>45047</v>
      </c>
      <c r="U39" s="973" t="n">
        <f aca="false">Y39+AC39+AG39</f>
        <v>0</v>
      </c>
      <c r="V39" s="973" t="n">
        <f aca="false">Z39+AD39+AH39</f>
        <v>0</v>
      </c>
      <c r="W39" s="974" t="n">
        <f aca="false">AA39+AE39+AI39</f>
        <v>0</v>
      </c>
      <c r="X39" s="976" t="n">
        <f aca="false">AB39+AF39+AJ39</f>
        <v>0</v>
      </c>
      <c r="Y39" s="975" t="n">
        <f aca="false">IF(DATE(YEAR($B39),MONTH($B39),DAY(1))=DATE(YEAR($AE$92),MONTH($AE$92),DAY(1)),$AE$91,0)</f>
        <v>0</v>
      </c>
      <c r="Z39" s="973" t="n">
        <f aca="false">IF(ISERROR(VLOOKUP($T39,$AD$110:$AG$157,3,FALSE()))=TRUE(),0,VLOOKUP($T39,$AD$110:$AG$157,3,FALSE()))</f>
        <v>0</v>
      </c>
      <c r="AA39" s="976" t="n">
        <f aca="false">IF(ISERROR(VLOOKUP($T39,$AD$110:$AG$157,4,FALSE()))=TRUE(),0,VLOOKUP($T39,$AD$110:$AG$157,4,FALSE()))</f>
        <v>0</v>
      </c>
      <c r="AB39" s="977" t="n">
        <f aca="false">(Z39+AA39)*'Datos generales'!$D$16</f>
        <v>0</v>
      </c>
      <c r="AC39" s="975" t="n">
        <f aca="false">IF(DATE(YEAR($B39),MONTH($B39),DAY(1))=DATE(YEAR($AN$92),MONTH($AN$92),DAY(1)),$AN$91,0)</f>
        <v>0</v>
      </c>
      <c r="AD39" s="973" t="n">
        <f aca="false">IF(ISERROR(VLOOKUP($T39,$AM$110:$AO$157,3,FALSE()))=TRUE(),0,VLOOKUP($T39,$AM$110:$AO$157,3,FALSE()))</f>
        <v>0</v>
      </c>
      <c r="AE39" s="976" t="n">
        <f aca="false">IF(ISERROR(VLOOKUP($T39,$AM$110:$AP$157,4,FALSE()))=TRUE(),0,VLOOKUP($T39,$AM$110:$AP$157,4,FALSE()))</f>
        <v>0</v>
      </c>
      <c r="AF39" s="977" t="n">
        <f aca="false">(AD39+AE39)*'Datos generales'!$D$16</f>
        <v>0</v>
      </c>
      <c r="AG39" s="975" t="n">
        <f aca="false">IF(DATE(YEAR($B39),MONTH($B39),DAY(1))=DATE(YEAR($AW$92),MONTH($AW$92),DAY(1)),$AW$91,0)</f>
        <v>0</v>
      </c>
      <c r="AH39" s="973" t="n">
        <f aca="false">IF(ISERROR(VLOOKUP($T39,$AV$110:$AX$157,3,FALSE()))=TRUE(),0,VLOOKUP($T39,$AV$110:$AX$157,3,FALSE()))</f>
        <v>0</v>
      </c>
      <c r="AI39" s="976" t="n">
        <f aca="false">IF(ISERROR(VLOOKUP($T39,$AV$110:$AY$157,4,FALSE()))=TRUE(),0,VLOOKUP($T39,$AV$110:$AY$157,4,FALSE()))</f>
        <v>0</v>
      </c>
      <c r="AJ39" s="977" t="n">
        <f aca="false">(AH39+AI39)*'Datos generales'!$D$16</f>
        <v>0</v>
      </c>
    </row>
    <row r="40" customFormat="false" ht="12.75" hidden="true" customHeight="false" outlineLevel="0" collapsed="false">
      <c r="A40" s="971"/>
      <c r="B40" s="972" t="n">
        <f aca="false">DATE(YEAR(B39),MONTH(B39)+1,DAY(B39))</f>
        <v>45078</v>
      </c>
      <c r="C40" s="973" t="n">
        <f aca="false">G40+K40+O40</f>
        <v>0</v>
      </c>
      <c r="D40" s="973" t="n">
        <f aca="false">H40+L40+P40</f>
        <v>0</v>
      </c>
      <c r="E40" s="973" t="n">
        <f aca="false">I40+M40+Q40</f>
        <v>0</v>
      </c>
      <c r="F40" s="974" t="n">
        <f aca="false">J40+N40+R40</f>
        <v>0</v>
      </c>
      <c r="G40" s="973" t="n">
        <f aca="false">IF(AND(DATE(YEAR($B40),MONTH($B40),DAY(1))=DATE(YEAR($D$91),MONTH($D$91),DAY(1)),$G$34=0),$D$90,0)</f>
        <v>0</v>
      </c>
      <c r="H40" s="973" t="n">
        <f aca="false">IF(AND(B40=$D$91,$H$34=0),$D$102,0)</f>
        <v>0</v>
      </c>
      <c r="I40" s="973" t="n">
        <f aca="false">IF(ISERROR(VLOOKUP($B40,$C$110:$F$157,3,FALSE()))=TRUE(),0,VLOOKUP($B40,$C$110:$F$157,3,FALSE()))</f>
        <v>0</v>
      </c>
      <c r="J40" s="974" t="n">
        <f aca="false">IF(ISERROR(VLOOKUP($B40,$C$110:$F$157,4,FALSE()))=TRUE(),0,VLOOKUP($B40,$C$110:$F$157,4,FALSE()))</f>
        <v>0</v>
      </c>
      <c r="K40" s="973" t="n">
        <f aca="false">IF(AND(DATE(YEAR($B40),MONTH($B40),DAY(1))=DATE(YEAR($M$91),MONTH($M$91),DAY(1)),$K$34=0),$M$90,0)</f>
        <v>0</v>
      </c>
      <c r="L40" s="973" t="n">
        <f aca="false">IF(AND(B40=$M$91,$L$34=0),$M$102,0)</f>
        <v>0</v>
      </c>
      <c r="M40" s="973" t="n">
        <f aca="false">IF(ISERROR(VLOOKUP($B40,$L$110:$O$157,3,FALSE()))=TRUE(),0,VLOOKUP($B40,$L$110:$O$157,3,FALSE()))</f>
        <v>0</v>
      </c>
      <c r="N40" s="974" t="n">
        <f aca="false">IF(ISERROR(VLOOKUP($B40,$L$110:$O$157,4,FALSE()))=TRUE(),0,VLOOKUP($B40,$L$110:$O$157,4,FALSE()))</f>
        <v>0</v>
      </c>
      <c r="O40" s="973" t="n">
        <f aca="false">IF(AND(DATE(YEAR($B40),MONTH($B40),DAY(1))=DATE(YEAR($V$91),MONTH($V$91),DAY(1)),$O$34=0),$V$90,0)</f>
        <v>0</v>
      </c>
      <c r="P40" s="973" t="n">
        <f aca="false">IF(AND(B40=$V$91,$P$34=0),$V$102,0)</f>
        <v>0</v>
      </c>
      <c r="Q40" s="973" t="n">
        <f aca="false">IF(ISERROR(VLOOKUP($B40,$U$110:$X$157,3,FALSE()))=TRUE(),0,VLOOKUP($B40,$U$110:$X$157,3,FALSE()))</f>
        <v>0</v>
      </c>
      <c r="R40" s="974" t="n">
        <f aca="false">IF(ISERROR(VLOOKUP($B40,$U$110:$X$157,4,FALSE()))=TRUE(),0,VLOOKUP($B40,$U$110:$X$157,4,FALSE()))</f>
        <v>0</v>
      </c>
      <c r="T40" s="972" t="n">
        <f aca="false">DATE(YEAR(T39),MONTH(T39)+1,DAY(T39))</f>
        <v>45078</v>
      </c>
      <c r="U40" s="973" t="n">
        <f aca="false">Y40+AC40+AG40</f>
        <v>0</v>
      </c>
      <c r="V40" s="973" t="n">
        <f aca="false">Z40+AD40+AH40</f>
        <v>0</v>
      </c>
      <c r="W40" s="974" t="n">
        <f aca="false">AA40+AE40+AI40</f>
        <v>0</v>
      </c>
      <c r="X40" s="976" t="n">
        <f aca="false">AB40+AF40+AJ40</f>
        <v>0</v>
      </c>
      <c r="Y40" s="975" t="n">
        <f aca="false">IF(DATE(YEAR($B40),MONTH($B40),DAY(1))=DATE(YEAR($AE$92),MONTH($AE$92),DAY(1)),$AE$91,0)</f>
        <v>0</v>
      </c>
      <c r="Z40" s="973" t="n">
        <f aca="false">IF(ISERROR(VLOOKUP($T40,$AD$110:$AG$157,3,FALSE()))=TRUE(),0,VLOOKUP($T40,$AD$110:$AG$157,3,FALSE()))</f>
        <v>0</v>
      </c>
      <c r="AA40" s="976" t="n">
        <f aca="false">IF(ISERROR(VLOOKUP($T40,$AD$110:$AG$157,4,FALSE()))=TRUE(),0,VLOOKUP($T40,$AD$110:$AG$157,4,FALSE()))</f>
        <v>0</v>
      </c>
      <c r="AB40" s="977" t="n">
        <f aca="false">(Z40+AA40)*'Datos generales'!$D$16</f>
        <v>0</v>
      </c>
      <c r="AC40" s="975" t="n">
        <f aca="false">IF(DATE(YEAR($B40),MONTH($B40),DAY(1))=DATE(YEAR($AN$92),MONTH($AN$92),DAY(1)),$AN$91,0)</f>
        <v>0</v>
      </c>
      <c r="AD40" s="973" t="n">
        <f aca="false">IF(ISERROR(VLOOKUP($T40,$AM$110:$AO$157,3,FALSE()))=TRUE(),0,VLOOKUP($T40,$AM$110:$AO$157,3,FALSE()))</f>
        <v>0</v>
      </c>
      <c r="AE40" s="976" t="n">
        <f aca="false">IF(ISERROR(VLOOKUP($T40,$AM$110:$AP$157,4,FALSE()))=TRUE(),0,VLOOKUP($T40,$AM$110:$AP$157,4,FALSE()))</f>
        <v>0</v>
      </c>
      <c r="AF40" s="977" t="n">
        <f aca="false">(AD40+AE40)*'Datos generales'!$D$16</f>
        <v>0</v>
      </c>
      <c r="AG40" s="975" t="n">
        <f aca="false">IF(DATE(YEAR($B40),MONTH($B40),DAY(1))=DATE(YEAR($AW$92),MONTH($AW$92),DAY(1)),$AW$91,0)</f>
        <v>0</v>
      </c>
      <c r="AH40" s="973" t="n">
        <f aca="false">IF(ISERROR(VLOOKUP($T40,$AV$110:$AX$157,3,FALSE()))=TRUE(),0,VLOOKUP($T40,$AV$110:$AX$157,3,FALSE()))</f>
        <v>0</v>
      </c>
      <c r="AI40" s="976" t="n">
        <f aca="false">IF(ISERROR(VLOOKUP($T40,$AV$110:$AY$157,4,FALSE()))=TRUE(),0,VLOOKUP($T40,$AV$110:$AY$157,4,FALSE()))</f>
        <v>0</v>
      </c>
      <c r="AJ40" s="977" t="n">
        <f aca="false">(AH40+AI40)*'Datos generales'!$D$16</f>
        <v>0</v>
      </c>
    </row>
    <row r="41" customFormat="false" ht="12.75" hidden="true" customHeight="false" outlineLevel="0" collapsed="false">
      <c r="A41" s="971"/>
      <c r="B41" s="972" t="n">
        <f aca="false">DATE(YEAR(B40),MONTH(B40)+1,DAY(B40))</f>
        <v>45108</v>
      </c>
      <c r="C41" s="973" t="n">
        <f aca="false">G41+K41+O41</f>
        <v>0</v>
      </c>
      <c r="D41" s="973" t="n">
        <f aca="false">H41+L41+P41</f>
        <v>0</v>
      </c>
      <c r="E41" s="973" t="n">
        <f aca="false">I41+M41+Q41</f>
        <v>0</v>
      </c>
      <c r="F41" s="974" t="n">
        <f aca="false">J41+N41+R41</f>
        <v>0</v>
      </c>
      <c r="G41" s="973" t="n">
        <f aca="false">IF(AND(DATE(YEAR($B41),MONTH($B41),DAY(1))=DATE(YEAR($D$91),MONTH($D$91),DAY(1)),$G$34=0),$D$90,0)</f>
        <v>0</v>
      </c>
      <c r="H41" s="973" t="n">
        <f aca="false">IF(AND(B41=$D$91,$H$34=0),$D$102,0)</f>
        <v>0</v>
      </c>
      <c r="I41" s="973" t="n">
        <f aca="false">IF(ISERROR(VLOOKUP($B41,$C$110:$F$157,3,FALSE()))=TRUE(),0,VLOOKUP($B41,$C$110:$F$157,3,FALSE()))</f>
        <v>0</v>
      </c>
      <c r="J41" s="974" t="n">
        <f aca="false">IF(ISERROR(VLOOKUP($B41,$C$110:$F$157,4,FALSE()))=TRUE(),0,VLOOKUP($B41,$C$110:$F$157,4,FALSE()))</f>
        <v>0</v>
      </c>
      <c r="K41" s="973" t="n">
        <f aca="false">IF(AND(DATE(YEAR($B41),MONTH($B41),DAY(1))=DATE(YEAR($M$91),MONTH($M$91),DAY(1)),$K$34=0),$M$90,0)</f>
        <v>0</v>
      </c>
      <c r="L41" s="973" t="n">
        <f aca="false">IF(AND(B41=$M$91,$L$34=0),$M$102,0)</f>
        <v>0</v>
      </c>
      <c r="M41" s="973" t="n">
        <f aca="false">IF(ISERROR(VLOOKUP($B41,$L$110:$O$157,3,FALSE()))=TRUE(),0,VLOOKUP($B41,$L$110:$O$157,3,FALSE()))</f>
        <v>0</v>
      </c>
      <c r="N41" s="974" t="n">
        <f aca="false">IF(ISERROR(VLOOKUP($B41,$L$110:$O$157,4,FALSE()))=TRUE(),0,VLOOKUP($B41,$L$110:$O$157,4,FALSE()))</f>
        <v>0</v>
      </c>
      <c r="O41" s="973" t="n">
        <f aca="false">IF(AND(DATE(YEAR($B41),MONTH($B41),DAY(1))=DATE(YEAR($V$91),MONTH($V$91),DAY(1)),$O$34=0),$V$90,0)</f>
        <v>0</v>
      </c>
      <c r="P41" s="973" t="n">
        <f aca="false">IF(AND(B41=$V$91,$P$34=0),$V$102,0)</f>
        <v>0</v>
      </c>
      <c r="Q41" s="973" t="n">
        <f aca="false">IF(ISERROR(VLOOKUP($B41,$U$110:$X$157,3,FALSE()))=TRUE(),0,VLOOKUP($B41,$U$110:$X$157,3,FALSE()))</f>
        <v>0</v>
      </c>
      <c r="R41" s="974" t="n">
        <f aca="false">IF(ISERROR(VLOOKUP($B41,$U$110:$X$157,4,FALSE()))=TRUE(),0,VLOOKUP($B41,$U$110:$X$157,4,FALSE()))</f>
        <v>0</v>
      </c>
      <c r="T41" s="972" t="n">
        <f aca="false">DATE(YEAR(T40),MONTH(T40)+1,DAY(T40))</f>
        <v>45108</v>
      </c>
      <c r="U41" s="973" t="n">
        <f aca="false">Y41+AC41+AG41</f>
        <v>0</v>
      </c>
      <c r="V41" s="973" t="n">
        <f aca="false">Z41+AD41+AH41</f>
        <v>0</v>
      </c>
      <c r="W41" s="974" t="n">
        <f aca="false">AA41+AE41+AI41</f>
        <v>0</v>
      </c>
      <c r="X41" s="976" t="n">
        <f aca="false">AB41+AF41+AJ41</f>
        <v>0</v>
      </c>
      <c r="Y41" s="975" t="n">
        <f aca="false">IF(DATE(YEAR($B41),MONTH($B41),DAY(1))=DATE(YEAR($AE$92),MONTH($AE$92),DAY(1)),$AE$91,0)</f>
        <v>0</v>
      </c>
      <c r="Z41" s="973" t="n">
        <f aca="false">IF(ISERROR(VLOOKUP($T41,$AD$110:$AG$157,3,FALSE()))=TRUE(),0,VLOOKUP($T41,$AD$110:$AG$157,3,FALSE()))</f>
        <v>0</v>
      </c>
      <c r="AA41" s="976" t="n">
        <f aca="false">IF(ISERROR(VLOOKUP($T41,$AD$110:$AG$157,4,FALSE()))=TRUE(),0,VLOOKUP($T41,$AD$110:$AG$157,4,FALSE()))</f>
        <v>0</v>
      </c>
      <c r="AB41" s="977" t="n">
        <f aca="false">(Z41+AA41)*'Datos generales'!$D$16</f>
        <v>0</v>
      </c>
      <c r="AC41" s="975" t="n">
        <f aca="false">IF(DATE(YEAR($B41),MONTH($B41),DAY(1))=DATE(YEAR($AN$92),MONTH($AN$92),DAY(1)),$AN$91,0)</f>
        <v>0</v>
      </c>
      <c r="AD41" s="973" t="n">
        <f aca="false">IF(ISERROR(VLOOKUP($T41,$AM$110:$AO$157,3,FALSE()))=TRUE(),0,VLOOKUP($T41,$AM$110:$AO$157,3,FALSE()))</f>
        <v>0</v>
      </c>
      <c r="AE41" s="976" t="n">
        <f aca="false">IF(ISERROR(VLOOKUP($T41,$AM$110:$AP$157,4,FALSE()))=TRUE(),0,VLOOKUP($T41,$AM$110:$AP$157,4,FALSE()))</f>
        <v>0</v>
      </c>
      <c r="AF41" s="977" t="n">
        <f aca="false">(AD41+AE41)*'Datos generales'!$D$16</f>
        <v>0</v>
      </c>
      <c r="AG41" s="975" t="n">
        <f aca="false">IF(DATE(YEAR($B41),MONTH($B41),DAY(1))=DATE(YEAR($AW$92),MONTH($AW$92),DAY(1)),$AW$91,0)</f>
        <v>0</v>
      </c>
      <c r="AH41" s="973" t="n">
        <f aca="false">IF(ISERROR(VLOOKUP($T41,$AV$110:$AX$157,3,FALSE()))=TRUE(),0,VLOOKUP($T41,$AV$110:$AX$157,3,FALSE()))</f>
        <v>0</v>
      </c>
      <c r="AI41" s="976" t="n">
        <f aca="false">IF(ISERROR(VLOOKUP($T41,$AV$110:$AY$157,4,FALSE()))=TRUE(),0,VLOOKUP($T41,$AV$110:$AY$157,4,FALSE()))</f>
        <v>0</v>
      </c>
      <c r="AJ41" s="977" t="n">
        <f aca="false">(AH41+AI41)*'Datos generales'!$D$16</f>
        <v>0</v>
      </c>
    </row>
    <row r="42" customFormat="false" ht="12.75" hidden="true" customHeight="false" outlineLevel="0" collapsed="false">
      <c r="A42" s="971"/>
      <c r="B42" s="972" t="n">
        <f aca="false">DATE(YEAR(B41),MONTH(B41)+1,DAY(B41))</f>
        <v>45139</v>
      </c>
      <c r="C42" s="973" t="n">
        <f aca="false">G42+K42+O42</f>
        <v>0</v>
      </c>
      <c r="D42" s="973" t="n">
        <f aca="false">H42+L42+P42</f>
        <v>0</v>
      </c>
      <c r="E42" s="973" t="n">
        <f aca="false">I42+M42+Q42</f>
        <v>0</v>
      </c>
      <c r="F42" s="974" t="n">
        <f aca="false">J42+N42+R42</f>
        <v>0</v>
      </c>
      <c r="G42" s="973" t="n">
        <f aca="false">IF(AND(DATE(YEAR($B42),MONTH($B42),DAY(1))=DATE(YEAR($D$91),MONTH($D$91),DAY(1)),$G$34=0),$D$90,0)</f>
        <v>0</v>
      </c>
      <c r="H42" s="973" t="n">
        <f aca="false">IF(AND(B42=$D$91,$H$34=0),$D$102,0)</f>
        <v>0</v>
      </c>
      <c r="I42" s="973" t="n">
        <f aca="false">IF(ISERROR(VLOOKUP($B42,$C$110:$F$157,3,FALSE()))=TRUE(),0,VLOOKUP($B42,$C$110:$F$157,3,FALSE()))</f>
        <v>0</v>
      </c>
      <c r="J42" s="974" t="n">
        <f aca="false">IF(ISERROR(VLOOKUP($B42,$C$110:$F$157,4,FALSE()))=TRUE(),0,VLOOKUP($B42,$C$110:$F$157,4,FALSE()))</f>
        <v>0</v>
      </c>
      <c r="K42" s="973" t="n">
        <f aca="false">IF(AND(DATE(YEAR($B42),MONTH($B42),DAY(1))=DATE(YEAR($M$91),MONTH($M$91),DAY(1)),$K$34=0),$M$90,0)</f>
        <v>0</v>
      </c>
      <c r="L42" s="973" t="n">
        <f aca="false">IF(AND(B42=$M$91,$L$34=0),$M$102,0)</f>
        <v>0</v>
      </c>
      <c r="M42" s="973" t="n">
        <f aca="false">IF(ISERROR(VLOOKUP($B42,$L$110:$O$157,3,FALSE()))=TRUE(),0,VLOOKUP($B42,$L$110:$O$157,3,FALSE()))</f>
        <v>0</v>
      </c>
      <c r="N42" s="974" t="n">
        <f aca="false">IF(ISERROR(VLOOKUP($B42,$L$110:$O$157,4,FALSE()))=TRUE(),0,VLOOKUP($B42,$L$110:$O$157,4,FALSE()))</f>
        <v>0</v>
      </c>
      <c r="O42" s="973" t="n">
        <f aca="false">IF(AND(DATE(YEAR($B42),MONTH($B42),DAY(1))=DATE(YEAR($V$91),MONTH($V$91),DAY(1)),$O$34=0),$V$90,0)</f>
        <v>0</v>
      </c>
      <c r="P42" s="973" t="n">
        <f aca="false">IF(AND(B42=$V$91,$P$34=0),$V$102,0)</f>
        <v>0</v>
      </c>
      <c r="Q42" s="973" t="n">
        <f aca="false">IF(ISERROR(VLOOKUP($B42,$U$110:$X$157,3,FALSE()))=TRUE(),0,VLOOKUP($B42,$U$110:$X$157,3,FALSE()))</f>
        <v>0</v>
      </c>
      <c r="R42" s="974" t="n">
        <f aca="false">IF(ISERROR(VLOOKUP($B42,$U$110:$X$157,4,FALSE()))=TRUE(),0,VLOOKUP($B42,$U$110:$X$157,4,FALSE()))</f>
        <v>0</v>
      </c>
      <c r="T42" s="972" t="n">
        <f aca="false">DATE(YEAR(T41),MONTH(T41)+1,DAY(T41))</f>
        <v>45139</v>
      </c>
      <c r="U42" s="973" t="n">
        <f aca="false">Y42+AC42+AG42</f>
        <v>0</v>
      </c>
      <c r="V42" s="973" t="n">
        <f aca="false">Z42+AD42+AH42</f>
        <v>0</v>
      </c>
      <c r="W42" s="974" t="n">
        <f aca="false">AA42+AE42+AI42</f>
        <v>0</v>
      </c>
      <c r="X42" s="976" t="n">
        <f aca="false">AB42+AF42+AJ42</f>
        <v>0</v>
      </c>
      <c r="Y42" s="975" t="n">
        <f aca="false">IF(DATE(YEAR($B42),MONTH($B42),DAY(1))=DATE(YEAR($AE$92),MONTH($AE$92),DAY(1)),$AE$91,0)</f>
        <v>0</v>
      </c>
      <c r="Z42" s="973" t="n">
        <f aca="false">IF(ISERROR(VLOOKUP($T42,$AD$110:$AG$157,3,FALSE()))=TRUE(),0,VLOOKUP($T42,$AD$110:$AG$157,3,FALSE()))</f>
        <v>0</v>
      </c>
      <c r="AA42" s="976" t="n">
        <f aca="false">IF(ISERROR(VLOOKUP($T42,$AD$110:$AG$157,4,FALSE()))=TRUE(),0,VLOOKUP($T42,$AD$110:$AG$157,4,FALSE()))</f>
        <v>0</v>
      </c>
      <c r="AB42" s="977" t="n">
        <f aca="false">(Z42+AA42)*'Datos generales'!$D$16</f>
        <v>0</v>
      </c>
      <c r="AC42" s="975" t="n">
        <f aca="false">IF(DATE(YEAR($B42),MONTH($B42),DAY(1))=DATE(YEAR($AN$92),MONTH($AN$92),DAY(1)),$AN$91,0)</f>
        <v>0</v>
      </c>
      <c r="AD42" s="973" t="n">
        <f aca="false">IF(ISERROR(VLOOKUP($T42,$AM$110:$AO$157,3,FALSE()))=TRUE(),0,VLOOKUP($T42,$AM$110:$AO$157,3,FALSE()))</f>
        <v>0</v>
      </c>
      <c r="AE42" s="976" t="n">
        <f aca="false">IF(ISERROR(VLOOKUP($T42,$AM$110:$AP$157,4,FALSE()))=TRUE(),0,VLOOKUP($T42,$AM$110:$AP$157,4,FALSE()))</f>
        <v>0</v>
      </c>
      <c r="AF42" s="977" t="n">
        <f aca="false">(AD42+AE42)*'Datos generales'!$D$16</f>
        <v>0</v>
      </c>
      <c r="AG42" s="975" t="n">
        <f aca="false">IF(DATE(YEAR($B42),MONTH($B42),DAY(1))=DATE(YEAR($AW$92),MONTH($AW$92),DAY(1)),$AW$91,0)</f>
        <v>0</v>
      </c>
      <c r="AH42" s="973" t="n">
        <f aca="false">IF(ISERROR(VLOOKUP($T42,$AV$110:$AX$157,3,FALSE()))=TRUE(),0,VLOOKUP($T42,$AV$110:$AX$157,3,FALSE()))</f>
        <v>0</v>
      </c>
      <c r="AI42" s="976" t="n">
        <f aca="false">IF(ISERROR(VLOOKUP($T42,$AV$110:$AY$157,4,FALSE()))=TRUE(),0,VLOOKUP($T42,$AV$110:$AY$157,4,FALSE()))</f>
        <v>0</v>
      </c>
      <c r="AJ42" s="977" t="n">
        <f aca="false">(AH42+AI42)*'Datos generales'!$D$16</f>
        <v>0</v>
      </c>
    </row>
    <row r="43" customFormat="false" ht="12.75" hidden="true" customHeight="false" outlineLevel="0" collapsed="false">
      <c r="A43" s="971"/>
      <c r="B43" s="972" t="n">
        <f aca="false">DATE(YEAR(B42),MONTH(B42)+1,DAY(B42))</f>
        <v>45170</v>
      </c>
      <c r="C43" s="973" t="n">
        <f aca="false">G43+K43+O43</f>
        <v>0</v>
      </c>
      <c r="D43" s="973" t="n">
        <f aca="false">H43+L43+P43</f>
        <v>0</v>
      </c>
      <c r="E43" s="973" t="n">
        <f aca="false">I43+M43+Q43</f>
        <v>0</v>
      </c>
      <c r="F43" s="974" t="n">
        <f aca="false">J43+N43+R43</f>
        <v>0</v>
      </c>
      <c r="G43" s="973" t="n">
        <f aca="false">IF(AND(DATE(YEAR($B43),MONTH($B43),DAY(1))=DATE(YEAR($D$91),MONTH($D$91),DAY(1)),$G$34=0),$D$90,0)</f>
        <v>0</v>
      </c>
      <c r="H43" s="973" t="n">
        <f aca="false">IF(AND(B43=$D$91,$H$34=0),$D$102,0)</f>
        <v>0</v>
      </c>
      <c r="I43" s="973" t="n">
        <f aca="false">IF(ISERROR(VLOOKUP($B43,$C$110:$F$157,3,FALSE()))=TRUE(),0,VLOOKUP($B43,$C$110:$F$157,3,FALSE()))</f>
        <v>0</v>
      </c>
      <c r="J43" s="974" t="n">
        <f aca="false">IF(ISERROR(VLOOKUP($B43,$C$110:$F$157,4,FALSE()))=TRUE(),0,VLOOKUP($B43,$C$110:$F$157,4,FALSE()))</f>
        <v>0</v>
      </c>
      <c r="K43" s="973" t="n">
        <f aca="false">IF(AND(DATE(YEAR($B43),MONTH($B43),DAY(1))=DATE(YEAR($M$91),MONTH($M$91),DAY(1)),$K$34=0),$M$90,0)</f>
        <v>0</v>
      </c>
      <c r="L43" s="973" t="n">
        <f aca="false">IF(AND(B43=$M$91,$L$34=0),$M$102,0)</f>
        <v>0</v>
      </c>
      <c r="M43" s="973" t="n">
        <f aca="false">IF(ISERROR(VLOOKUP($B43,$L$110:$O$157,3,FALSE()))=TRUE(),0,VLOOKUP($B43,$L$110:$O$157,3,FALSE()))</f>
        <v>0</v>
      </c>
      <c r="N43" s="974" t="n">
        <f aca="false">IF(ISERROR(VLOOKUP($B43,$L$110:$O$157,4,FALSE()))=TRUE(),0,VLOOKUP($B43,$L$110:$O$157,4,FALSE()))</f>
        <v>0</v>
      </c>
      <c r="O43" s="973" t="n">
        <f aca="false">IF(AND(DATE(YEAR($B43),MONTH($B43),DAY(1))=DATE(YEAR($V$91),MONTH($V$91),DAY(1)),$O$34=0),$V$90,0)</f>
        <v>0</v>
      </c>
      <c r="P43" s="973" t="n">
        <f aca="false">IF(AND(B43=$V$91,$P$34=0),$V$102,0)</f>
        <v>0</v>
      </c>
      <c r="Q43" s="973" t="n">
        <f aca="false">IF(ISERROR(VLOOKUP($B43,$U$110:$X$157,3,FALSE()))=TRUE(),0,VLOOKUP($B43,$U$110:$X$157,3,FALSE()))</f>
        <v>0</v>
      </c>
      <c r="R43" s="974" t="n">
        <f aca="false">IF(ISERROR(VLOOKUP($B43,$U$110:$X$157,4,FALSE()))=TRUE(),0,VLOOKUP($B43,$U$110:$X$157,4,FALSE()))</f>
        <v>0</v>
      </c>
      <c r="T43" s="972" t="n">
        <f aca="false">DATE(YEAR(T42),MONTH(T42)+1,DAY(T42))</f>
        <v>45170</v>
      </c>
      <c r="U43" s="973" t="n">
        <f aca="false">Y43+AC43+AG43</f>
        <v>0</v>
      </c>
      <c r="V43" s="973" t="n">
        <f aca="false">Z43+AD43+AH43</f>
        <v>0</v>
      </c>
      <c r="W43" s="974" t="n">
        <f aca="false">AA43+AE43+AI43</f>
        <v>0</v>
      </c>
      <c r="X43" s="976" t="n">
        <f aca="false">AB43+AF43+AJ43</f>
        <v>0</v>
      </c>
      <c r="Y43" s="975" t="n">
        <f aca="false">IF(DATE(YEAR($B43),MONTH($B43),DAY(1))=DATE(YEAR($AE$92),MONTH($AE$92),DAY(1)),$AE$91,0)</f>
        <v>0</v>
      </c>
      <c r="Z43" s="973" t="n">
        <f aca="false">IF(ISERROR(VLOOKUP($T43,$AD$110:$AG$157,3,FALSE()))=TRUE(),0,VLOOKUP($T43,$AD$110:$AG$157,3,FALSE()))</f>
        <v>0</v>
      </c>
      <c r="AA43" s="976" t="n">
        <f aca="false">IF(ISERROR(VLOOKUP($T43,$AD$110:$AG$157,4,FALSE()))=TRUE(),0,VLOOKUP($T43,$AD$110:$AG$157,4,FALSE()))</f>
        <v>0</v>
      </c>
      <c r="AB43" s="977" t="n">
        <f aca="false">(Z43+AA43)*'Datos generales'!$D$16</f>
        <v>0</v>
      </c>
      <c r="AC43" s="975" t="n">
        <f aca="false">IF(DATE(YEAR($B43),MONTH($B43),DAY(1))=DATE(YEAR($AN$92),MONTH($AN$92),DAY(1)),$AN$91,0)</f>
        <v>0</v>
      </c>
      <c r="AD43" s="973" t="n">
        <f aca="false">IF(ISERROR(VLOOKUP($T43,$AM$110:$AO$157,3,FALSE()))=TRUE(),0,VLOOKUP($T43,$AM$110:$AO$157,3,FALSE()))</f>
        <v>0</v>
      </c>
      <c r="AE43" s="976" t="n">
        <f aca="false">IF(ISERROR(VLOOKUP($T43,$AM$110:$AP$157,4,FALSE()))=TRUE(),0,VLOOKUP($T43,$AM$110:$AP$157,4,FALSE()))</f>
        <v>0</v>
      </c>
      <c r="AF43" s="977" t="n">
        <f aca="false">(AD43+AE43)*'Datos generales'!$D$16</f>
        <v>0</v>
      </c>
      <c r="AG43" s="975" t="n">
        <f aca="false">IF(DATE(YEAR($B43),MONTH($B43),DAY(1))=DATE(YEAR($AW$92),MONTH($AW$92),DAY(1)),$AW$91,0)</f>
        <v>0</v>
      </c>
      <c r="AH43" s="973" t="n">
        <f aca="false">IF(ISERROR(VLOOKUP($T43,$AV$110:$AX$157,3,FALSE()))=TRUE(),0,VLOOKUP($T43,$AV$110:$AX$157,3,FALSE()))</f>
        <v>0</v>
      </c>
      <c r="AI43" s="976" t="n">
        <f aca="false">IF(ISERROR(VLOOKUP($T43,$AV$110:$AY$157,4,FALSE()))=TRUE(),0,VLOOKUP($T43,$AV$110:$AY$157,4,FALSE()))</f>
        <v>0</v>
      </c>
      <c r="AJ43" s="977" t="n">
        <f aca="false">(AH43+AI43)*'Datos generales'!$D$16</f>
        <v>0</v>
      </c>
    </row>
    <row r="44" customFormat="false" ht="12.75" hidden="true" customHeight="false" outlineLevel="0" collapsed="false">
      <c r="A44" s="971"/>
      <c r="B44" s="972" t="n">
        <f aca="false">DATE(YEAR(B43),MONTH(B43)+1,DAY(B43))</f>
        <v>45200</v>
      </c>
      <c r="C44" s="973" t="n">
        <f aca="false">G44+K44+O44</f>
        <v>0</v>
      </c>
      <c r="D44" s="973" t="n">
        <f aca="false">H44+L44+P44</f>
        <v>0</v>
      </c>
      <c r="E44" s="973" t="n">
        <f aca="false">I44+M44+Q44</f>
        <v>0</v>
      </c>
      <c r="F44" s="974" t="n">
        <f aca="false">J44+N44+R44</f>
        <v>0</v>
      </c>
      <c r="G44" s="973" t="n">
        <f aca="false">IF(AND(DATE(YEAR($B44),MONTH($B44),DAY(1))=DATE(YEAR($D$91),MONTH($D$91),DAY(1)),$G$34=0),$D$90,0)</f>
        <v>0</v>
      </c>
      <c r="H44" s="973" t="n">
        <f aca="false">IF(AND(B44=$D$91,$H$34=0),$D$102,0)</f>
        <v>0</v>
      </c>
      <c r="I44" s="973" t="n">
        <f aca="false">IF(ISERROR(VLOOKUP($B44,$C$110:$F$157,3,FALSE()))=TRUE(),0,VLOOKUP($B44,$C$110:$F$157,3,FALSE()))</f>
        <v>0</v>
      </c>
      <c r="J44" s="974" t="n">
        <f aca="false">IF(ISERROR(VLOOKUP($B44,$C$110:$F$157,4,FALSE()))=TRUE(),0,VLOOKUP($B44,$C$110:$F$157,4,FALSE()))</f>
        <v>0</v>
      </c>
      <c r="K44" s="973" t="n">
        <f aca="false">IF(AND(DATE(YEAR($B44),MONTH($B44),DAY(1))=DATE(YEAR($M$91),MONTH($M$91),DAY(1)),$K$34=0),$M$90,0)</f>
        <v>0</v>
      </c>
      <c r="L44" s="973" t="n">
        <f aca="false">IF(AND(B44=$M$91,$L$34=0),$M$102,0)</f>
        <v>0</v>
      </c>
      <c r="M44" s="973" t="n">
        <f aca="false">IF(ISERROR(VLOOKUP($B44,$L$110:$O$157,3,FALSE()))=TRUE(),0,VLOOKUP($B44,$L$110:$O$157,3,FALSE()))</f>
        <v>0</v>
      </c>
      <c r="N44" s="974" t="n">
        <f aca="false">IF(ISERROR(VLOOKUP($B44,$L$110:$O$157,4,FALSE()))=TRUE(),0,VLOOKUP($B44,$L$110:$O$157,4,FALSE()))</f>
        <v>0</v>
      </c>
      <c r="O44" s="973" t="n">
        <f aca="false">IF(AND(DATE(YEAR($B44),MONTH($B44),DAY(1))=DATE(YEAR($V$91),MONTH($V$91),DAY(1)),$O$34=0),$V$90,0)</f>
        <v>0</v>
      </c>
      <c r="P44" s="973" t="n">
        <f aca="false">IF(AND(B44=$V$91,$P$34=0),$V$102,0)</f>
        <v>0</v>
      </c>
      <c r="Q44" s="973" t="n">
        <f aca="false">IF(ISERROR(VLOOKUP($B44,$U$110:$X$157,3,FALSE()))=TRUE(),0,VLOOKUP($B44,$U$110:$X$157,3,FALSE()))</f>
        <v>0</v>
      </c>
      <c r="R44" s="974" t="n">
        <f aca="false">IF(ISERROR(VLOOKUP($B44,$U$110:$X$157,4,FALSE()))=TRUE(),0,VLOOKUP($B44,$U$110:$X$157,4,FALSE()))</f>
        <v>0</v>
      </c>
      <c r="T44" s="972" t="n">
        <f aca="false">DATE(YEAR(T43),MONTH(T43)+1,DAY(T43))</f>
        <v>45200</v>
      </c>
      <c r="U44" s="973" t="n">
        <f aca="false">Y44+AC44+AG44</f>
        <v>0</v>
      </c>
      <c r="V44" s="973" t="n">
        <f aca="false">Z44+AD44+AH44</f>
        <v>0</v>
      </c>
      <c r="W44" s="974" t="n">
        <f aca="false">AA44+AE44+AI44</f>
        <v>0</v>
      </c>
      <c r="X44" s="976" t="n">
        <f aca="false">AB44+AF44+AJ44</f>
        <v>0</v>
      </c>
      <c r="Y44" s="975" t="n">
        <f aca="false">IF(DATE(YEAR($B44),MONTH($B44),DAY(1))=DATE(YEAR($AE$92),MONTH($AE$92),DAY(1)),$AE$91,0)</f>
        <v>0</v>
      </c>
      <c r="Z44" s="973" t="n">
        <f aca="false">IF(ISERROR(VLOOKUP($T44,$AD$110:$AG$157,3,FALSE()))=TRUE(),0,VLOOKUP($T44,$AD$110:$AG$157,3,FALSE()))</f>
        <v>0</v>
      </c>
      <c r="AA44" s="976" t="n">
        <f aca="false">IF(ISERROR(VLOOKUP($T44,$AD$110:$AG$157,4,FALSE()))=TRUE(),0,VLOOKUP($T44,$AD$110:$AG$157,4,FALSE()))</f>
        <v>0</v>
      </c>
      <c r="AB44" s="977" t="n">
        <f aca="false">(Z44+AA44)*'Datos generales'!$D$16</f>
        <v>0</v>
      </c>
      <c r="AC44" s="975" t="n">
        <f aca="false">IF(DATE(YEAR($B44),MONTH($B44),DAY(1))=DATE(YEAR($AN$92),MONTH($AN$92),DAY(1)),$AN$91,0)</f>
        <v>0</v>
      </c>
      <c r="AD44" s="973" t="n">
        <f aca="false">IF(ISERROR(VLOOKUP($T44,$AM$110:$AO$157,3,FALSE()))=TRUE(),0,VLOOKUP($T44,$AM$110:$AO$157,3,FALSE()))</f>
        <v>0</v>
      </c>
      <c r="AE44" s="976" t="n">
        <f aca="false">IF(ISERROR(VLOOKUP($T44,$AM$110:$AP$157,4,FALSE()))=TRUE(),0,VLOOKUP($T44,$AM$110:$AP$157,4,FALSE()))</f>
        <v>0</v>
      </c>
      <c r="AF44" s="977" t="n">
        <f aca="false">(AD44+AE44)*'Datos generales'!$D$16</f>
        <v>0</v>
      </c>
      <c r="AG44" s="975" t="n">
        <f aca="false">IF(DATE(YEAR($B44),MONTH($B44),DAY(1))=DATE(YEAR($AW$92),MONTH($AW$92),DAY(1)),$AW$91,0)</f>
        <v>0</v>
      </c>
      <c r="AH44" s="973" t="n">
        <f aca="false">IF(ISERROR(VLOOKUP($T44,$AV$110:$AX$157,3,FALSE()))=TRUE(),0,VLOOKUP($T44,$AV$110:$AX$157,3,FALSE()))</f>
        <v>0</v>
      </c>
      <c r="AI44" s="976" t="n">
        <f aca="false">IF(ISERROR(VLOOKUP($T44,$AV$110:$AY$157,4,FALSE()))=TRUE(),0,VLOOKUP($T44,$AV$110:$AY$157,4,FALSE()))</f>
        <v>0</v>
      </c>
      <c r="AJ44" s="977" t="n">
        <f aca="false">(AH44+AI44)*'Datos generales'!$D$16</f>
        <v>0</v>
      </c>
    </row>
    <row r="45" customFormat="false" ht="12.75" hidden="true" customHeight="false" outlineLevel="0" collapsed="false">
      <c r="A45" s="971"/>
      <c r="B45" s="972" t="n">
        <f aca="false">DATE(YEAR(B44),MONTH(B44)+1,DAY(B44))</f>
        <v>45231</v>
      </c>
      <c r="C45" s="973" t="n">
        <f aca="false">G45+K45+O45</f>
        <v>0</v>
      </c>
      <c r="D45" s="973" t="n">
        <f aca="false">H45+L45+P45</f>
        <v>0</v>
      </c>
      <c r="E45" s="973" t="n">
        <f aca="false">I45+M45+Q45</f>
        <v>0</v>
      </c>
      <c r="F45" s="974" t="n">
        <f aca="false">J45+N45+R45</f>
        <v>0</v>
      </c>
      <c r="G45" s="973" t="n">
        <f aca="false">IF(AND(DATE(YEAR($B45),MONTH($B45),DAY(1))=DATE(YEAR($D$91),MONTH($D$91),DAY(1)),$G$34=0),$D$90,0)</f>
        <v>0</v>
      </c>
      <c r="H45" s="973" t="n">
        <f aca="false">IF(AND(B45=$D$91,$H$34=0),$D$102,0)</f>
        <v>0</v>
      </c>
      <c r="I45" s="973" t="n">
        <f aca="false">IF(ISERROR(VLOOKUP($B45,$C$110:$F$157,3,FALSE()))=TRUE(),0,VLOOKUP($B45,$C$110:$F$157,3,FALSE()))</f>
        <v>0</v>
      </c>
      <c r="J45" s="974" t="n">
        <f aca="false">IF(ISERROR(VLOOKUP($B45,$C$110:$F$157,4,FALSE()))=TRUE(),0,VLOOKUP($B45,$C$110:$F$157,4,FALSE()))</f>
        <v>0</v>
      </c>
      <c r="K45" s="973" t="n">
        <f aca="false">IF(AND(DATE(YEAR($B45),MONTH($B45),DAY(1))=DATE(YEAR($M$91),MONTH($M$91),DAY(1)),$K$34=0),$M$90,0)</f>
        <v>0</v>
      </c>
      <c r="L45" s="973" t="n">
        <f aca="false">IF(AND(B45=$M$91,$L$34=0),$M$102,0)</f>
        <v>0</v>
      </c>
      <c r="M45" s="973" t="n">
        <f aca="false">IF(ISERROR(VLOOKUP($B45,$L$110:$O$157,3,FALSE()))=TRUE(),0,VLOOKUP($B45,$L$110:$O$157,3,FALSE()))</f>
        <v>0</v>
      </c>
      <c r="N45" s="974" t="n">
        <f aca="false">IF(ISERROR(VLOOKUP($B45,$L$110:$O$157,4,FALSE()))=TRUE(),0,VLOOKUP($B45,$L$110:$O$157,4,FALSE()))</f>
        <v>0</v>
      </c>
      <c r="O45" s="973" t="n">
        <f aca="false">IF(AND(DATE(YEAR($B45),MONTH($B45),DAY(1))=DATE(YEAR($V$91),MONTH($V$91),DAY(1)),$O$34=0),$V$90,0)</f>
        <v>0</v>
      </c>
      <c r="P45" s="973" t="n">
        <f aca="false">IF(AND(B45=$V$91,$P$34=0),$V$102,0)</f>
        <v>0</v>
      </c>
      <c r="Q45" s="973" t="n">
        <f aca="false">IF(ISERROR(VLOOKUP($B45,$U$110:$X$157,3,FALSE()))=TRUE(),0,VLOOKUP($B45,$U$110:$X$157,3,FALSE()))</f>
        <v>0</v>
      </c>
      <c r="R45" s="974" t="n">
        <f aca="false">IF(ISERROR(VLOOKUP($B45,$U$110:$X$157,4,FALSE()))=TRUE(),0,VLOOKUP($B45,$U$110:$X$157,4,FALSE()))</f>
        <v>0</v>
      </c>
      <c r="T45" s="972" t="n">
        <f aca="false">DATE(YEAR(T44),MONTH(T44)+1,DAY(T44))</f>
        <v>45231</v>
      </c>
      <c r="U45" s="973" t="n">
        <f aca="false">Y45+AC45+AG45</f>
        <v>0</v>
      </c>
      <c r="V45" s="973" t="n">
        <f aca="false">Z45+AD45+AH45</f>
        <v>0</v>
      </c>
      <c r="W45" s="974" t="n">
        <f aca="false">AA45+AE45+AI45</f>
        <v>0</v>
      </c>
      <c r="X45" s="976" t="n">
        <f aca="false">AB45+AF45+AJ45</f>
        <v>0</v>
      </c>
      <c r="Y45" s="975" t="n">
        <f aca="false">IF(DATE(YEAR($B45),MONTH($B45),DAY(1))=DATE(YEAR($AE$92),MONTH($AE$92),DAY(1)),$AE$91,0)</f>
        <v>0</v>
      </c>
      <c r="Z45" s="973" t="n">
        <f aca="false">IF(ISERROR(VLOOKUP($T45,$AD$110:$AG$157,3,FALSE()))=TRUE(),0,VLOOKUP($T45,$AD$110:$AG$157,3,FALSE()))</f>
        <v>0</v>
      </c>
      <c r="AA45" s="976" t="n">
        <f aca="false">IF(ISERROR(VLOOKUP($T45,$AD$110:$AG$157,4,FALSE()))=TRUE(),0,VLOOKUP($T45,$AD$110:$AG$157,4,FALSE()))</f>
        <v>0</v>
      </c>
      <c r="AB45" s="977" t="n">
        <f aca="false">(Z45+AA45)*'Datos generales'!$D$16</f>
        <v>0</v>
      </c>
      <c r="AC45" s="975" t="n">
        <f aca="false">IF(DATE(YEAR($B45),MONTH($B45),DAY(1))=DATE(YEAR($AN$92),MONTH($AN$92),DAY(1)),$AN$91,0)</f>
        <v>0</v>
      </c>
      <c r="AD45" s="973" t="n">
        <f aca="false">IF(ISERROR(VLOOKUP($T45,$AM$110:$AO$157,3,FALSE()))=TRUE(),0,VLOOKUP($T45,$AM$110:$AO$157,3,FALSE()))</f>
        <v>0</v>
      </c>
      <c r="AE45" s="976" t="n">
        <f aca="false">IF(ISERROR(VLOOKUP($T45,$AM$110:$AP$157,4,FALSE()))=TRUE(),0,VLOOKUP($T45,$AM$110:$AP$157,4,FALSE()))</f>
        <v>0</v>
      </c>
      <c r="AF45" s="977" t="n">
        <f aca="false">(AD45+AE45)*'Datos generales'!$D$16</f>
        <v>0</v>
      </c>
      <c r="AG45" s="975" t="n">
        <f aca="false">IF(DATE(YEAR($B45),MONTH($B45),DAY(1))=DATE(YEAR($AW$92),MONTH($AW$92),DAY(1)),$AW$91,0)</f>
        <v>0</v>
      </c>
      <c r="AH45" s="973" t="n">
        <f aca="false">IF(ISERROR(VLOOKUP($T45,$AV$110:$AX$157,3,FALSE()))=TRUE(),0,VLOOKUP($T45,$AV$110:$AX$157,3,FALSE()))</f>
        <v>0</v>
      </c>
      <c r="AI45" s="976" t="n">
        <f aca="false">IF(ISERROR(VLOOKUP($T45,$AV$110:$AY$157,4,FALSE()))=TRUE(),0,VLOOKUP($T45,$AV$110:$AY$157,4,FALSE()))</f>
        <v>0</v>
      </c>
      <c r="AJ45" s="977" t="n">
        <f aca="false">(AH45+AI45)*'Datos generales'!$D$16</f>
        <v>0</v>
      </c>
    </row>
    <row r="46" s="23" customFormat="true" ht="12.75" hidden="true" customHeight="false" outlineLevel="0" collapsed="false">
      <c r="A46" s="971"/>
      <c r="B46" s="978" t="n">
        <f aca="false">DATE(YEAR(B45),MONTH(B45)+1,DAY(B45))</f>
        <v>45261</v>
      </c>
      <c r="C46" s="979" t="n">
        <f aca="false">G46+K46+O46</f>
        <v>0</v>
      </c>
      <c r="D46" s="979" t="n">
        <f aca="false">H46+L46+P46</f>
        <v>0</v>
      </c>
      <c r="E46" s="979" t="n">
        <f aca="false">I46+M46+Q46</f>
        <v>0</v>
      </c>
      <c r="F46" s="980" t="n">
        <f aca="false">J46+N46+R46</f>
        <v>0</v>
      </c>
      <c r="G46" s="981" t="n">
        <f aca="false">IF(AND(DATE(YEAR($B46),MONTH($B46),DAY(1))=DATE(YEAR($D$91),MONTH($D$91),DAY(1)),$G$34=0),$D$90,0)</f>
        <v>0</v>
      </c>
      <c r="H46" s="981" t="n">
        <f aca="false">IF(AND(B46=$D$91,$H$34=0),$D$102,0)</f>
        <v>0</v>
      </c>
      <c r="I46" s="981" t="n">
        <f aca="false">IF(ISERROR(VLOOKUP($B46,$C$110:$F$157,3,FALSE()))=TRUE(),0,VLOOKUP($B46,$C$110:$F$157,3,FALSE()))</f>
        <v>0</v>
      </c>
      <c r="J46" s="981" t="n">
        <f aca="false">IF(ISERROR(VLOOKUP($B46,$C$110:$F$157,4,FALSE()))=TRUE(),0,VLOOKUP($B46,$C$110:$F$157,4,FALSE()))</f>
        <v>0</v>
      </c>
      <c r="K46" s="981" t="n">
        <f aca="false">IF(AND(DATE(YEAR($B46),MONTH($B46),DAY(1))=DATE(YEAR($M$91),MONTH($M$91),DAY(1)),$K$34=0),$M$90,0)</f>
        <v>0</v>
      </c>
      <c r="L46" s="981" t="n">
        <f aca="false">IF(AND(B46=$M$91,$L$34=0),$M$102,0)</f>
        <v>0</v>
      </c>
      <c r="M46" s="981" t="n">
        <f aca="false">IF(ISERROR(VLOOKUP($B46,$L$110:$O$157,3,FALSE()))=TRUE(),0,VLOOKUP($B46,$L$110:$O$157,3,FALSE()))</f>
        <v>0</v>
      </c>
      <c r="N46" s="981" t="n">
        <f aca="false">IF(ISERROR(VLOOKUP($B46,$L$110:$O$157,4,FALSE()))=TRUE(),0,VLOOKUP($B46,$L$110:$O$157,4,FALSE()))</f>
        <v>0</v>
      </c>
      <c r="O46" s="981" t="n">
        <f aca="false">IF(AND(DATE(YEAR($B46),MONTH($B46),DAY(1))=DATE(YEAR($V$91),MONTH($V$91),DAY(1)),$O$34=0),$V$90,0)</f>
        <v>0</v>
      </c>
      <c r="P46" s="981" t="n">
        <f aca="false">IF(AND(B46=$V$91,$P$34=0),$V$102,0)</f>
        <v>0</v>
      </c>
      <c r="Q46" s="981" t="n">
        <f aca="false">IF(ISERROR(VLOOKUP($B46,$U$110:$X$157,3,FALSE()))=TRUE(),0,VLOOKUP($B46,$U$110:$X$157,3,FALSE()))</f>
        <v>0</v>
      </c>
      <c r="R46" s="981" t="n">
        <f aca="false">IF(ISERROR(VLOOKUP($B46,$U$110:$X$157,4,FALSE()))=TRUE(),0,VLOOKUP($B46,$U$110:$X$157,4,FALSE()))</f>
        <v>0</v>
      </c>
      <c r="T46" s="978" t="n">
        <f aca="false">DATE(YEAR(T45),MONTH(T45)+1,DAY(T45))</f>
        <v>45261</v>
      </c>
      <c r="U46" s="979" t="n">
        <f aca="false">Y46+AC46+AG46</f>
        <v>0</v>
      </c>
      <c r="V46" s="979" t="n">
        <f aca="false">Z46+AD46+AH46</f>
        <v>0</v>
      </c>
      <c r="W46" s="980" t="n">
        <f aca="false">AA46+AE46+AI46</f>
        <v>0</v>
      </c>
      <c r="X46" s="982" t="n">
        <f aca="false">AB46+AF46+AJ46</f>
        <v>0</v>
      </c>
      <c r="Y46" s="981" t="n">
        <f aca="false">IF(DATE(YEAR($B46),MONTH($B46),DAY(1))=DATE(YEAR($AE$92),MONTH($AE$92),DAY(1)),$AE$91,0)</f>
        <v>0</v>
      </c>
      <c r="Z46" s="979" t="n">
        <f aca="false">IF(ISERROR(VLOOKUP($T46,$AD$110:$AG$157,3,FALSE()))=TRUE(),0,VLOOKUP($T46,$AD$110:$AG$157,3,FALSE()))</f>
        <v>0</v>
      </c>
      <c r="AA46" s="982" t="n">
        <f aca="false">IF(ISERROR(VLOOKUP($T46,$AD$110:$AG$157,4,FALSE()))=TRUE(),0,VLOOKUP($T46,$AD$110:$AG$157,4,FALSE()))</f>
        <v>0</v>
      </c>
      <c r="AB46" s="980" t="n">
        <f aca="false">(Z46+AA46)*'Datos generales'!$D$16</f>
        <v>0</v>
      </c>
      <c r="AC46" s="981" t="n">
        <f aca="false">IF(DATE(YEAR($B46),MONTH($B46),DAY(1))=DATE(YEAR($AN$92),MONTH($AN$92),DAY(1)),$AN$91,0)</f>
        <v>0</v>
      </c>
      <c r="AD46" s="979" t="n">
        <f aca="false">IF(ISERROR(VLOOKUP($T46,$AM$110:$AO$157,3,FALSE()))=TRUE(),0,VLOOKUP($T46,$AM$110:$AO$157,3,FALSE()))</f>
        <v>0</v>
      </c>
      <c r="AE46" s="982" t="n">
        <f aca="false">IF(ISERROR(VLOOKUP($T46,$AM$110:$AP$157,4,FALSE()))=TRUE(),0,VLOOKUP($T46,$AM$110:$AP$157,4,FALSE()))</f>
        <v>0</v>
      </c>
      <c r="AF46" s="980" t="n">
        <f aca="false">(AD46+AE46)*'Datos generales'!$D$16</f>
        <v>0</v>
      </c>
      <c r="AG46" s="981" t="n">
        <f aca="false">IF(DATE(YEAR($B46),MONTH($B46),DAY(1))=DATE(YEAR($AW$92),MONTH($AW$92),DAY(1)),$AW$91,0)</f>
        <v>0</v>
      </c>
      <c r="AH46" s="979" t="n">
        <f aca="false">IF(ISERROR(VLOOKUP($T46,$AV$110:$AX$157,3,FALSE()))=TRUE(),0,VLOOKUP($T46,$AV$110:$AX$157,3,FALSE()))</f>
        <v>0</v>
      </c>
      <c r="AI46" s="982" t="n">
        <f aca="false">IF(ISERROR(VLOOKUP($T46,$AV$110:$AY$157,4,FALSE()))=TRUE(),0,VLOOKUP($T46,$AV$110:$AY$157,4,FALSE()))</f>
        <v>0</v>
      </c>
      <c r="AJ46" s="980" t="n">
        <f aca="false">(AH46+AI46)*'Datos generales'!$D$16</f>
        <v>0</v>
      </c>
    </row>
    <row r="47" customFormat="false" ht="12.75" hidden="true" customHeight="false" outlineLevel="0" collapsed="false">
      <c r="B47" s="972" t="n">
        <f aca="false">DATE(YEAR(B46),MONTH(B46)+1,DAY(B46))</f>
        <v>45292</v>
      </c>
      <c r="C47" s="973" t="n">
        <f aca="false">G47+K47+O47</f>
        <v>0</v>
      </c>
      <c r="D47" s="973" t="n">
        <f aca="false">H47+L47+P47</f>
        <v>0</v>
      </c>
      <c r="E47" s="973" t="n">
        <f aca="false">I47+M47+Q47</f>
        <v>0</v>
      </c>
      <c r="F47" s="974" t="n">
        <f aca="false">J47+N47+R47</f>
        <v>0</v>
      </c>
      <c r="G47" s="973" t="n">
        <f aca="false">IF(AND(DATE(YEAR($B47),MONTH($B47),DAY(1))=DATE(YEAR($D$91),MONTH($D$91),DAY(1)),$G$34=0),$D$90,0)</f>
        <v>0</v>
      </c>
      <c r="H47" s="973" t="n">
        <f aca="false">IF(AND(B47=$D$91,$H$34=0),$D$102,0)</f>
        <v>0</v>
      </c>
      <c r="I47" s="973" t="n">
        <f aca="false">IF(ISERROR(VLOOKUP($B47,$C$110:$F$157,3,FALSE()))=TRUE(),0,VLOOKUP($B47,$C$110:$F$157,3,FALSE()))</f>
        <v>0</v>
      </c>
      <c r="J47" s="974" t="n">
        <f aca="false">IF(ISERROR(VLOOKUP($B47,$C$110:$F$157,4,FALSE()))=TRUE(),0,VLOOKUP($B47,$C$110:$F$157,4,FALSE()))</f>
        <v>0</v>
      </c>
      <c r="K47" s="973" t="n">
        <f aca="false">IF(AND(DATE(YEAR($B47),MONTH($B47),DAY(1))=DATE(YEAR($M$91),MONTH($M$91),DAY(1)),$K$34=0),$M$90,0)</f>
        <v>0</v>
      </c>
      <c r="L47" s="973" t="n">
        <f aca="false">IF(AND(B47=$M$91,$L$34=0),$M$102,0)</f>
        <v>0</v>
      </c>
      <c r="M47" s="973" t="n">
        <f aca="false">IF(ISERROR(VLOOKUP($B47,$L$110:$O$157,3,FALSE()))=TRUE(),0,VLOOKUP($B47,$L$110:$O$157,3,FALSE()))</f>
        <v>0</v>
      </c>
      <c r="N47" s="974" t="n">
        <f aca="false">IF(ISERROR(VLOOKUP($B47,$L$110:$O$157,4,FALSE()))=TRUE(),0,VLOOKUP($B47,$L$110:$O$157,4,FALSE()))</f>
        <v>0</v>
      </c>
      <c r="O47" s="973" t="n">
        <f aca="false">IF(AND(DATE(YEAR($B47),MONTH($B47),DAY(1))=DATE(YEAR($V$91),MONTH($V$91),DAY(1)),$O$34=0),$V$90,0)</f>
        <v>0</v>
      </c>
      <c r="P47" s="973" t="n">
        <f aca="false">IF(AND(B47=$V$91,$P$34=0),$V$102,0)</f>
        <v>0</v>
      </c>
      <c r="Q47" s="973" t="n">
        <f aca="false">IF(ISERROR(VLOOKUP($B47,$U$110:$X$157,3,FALSE()))=TRUE(),0,VLOOKUP($B47,$U$110:$X$157,3,FALSE()))</f>
        <v>0</v>
      </c>
      <c r="R47" s="974" t="n">
        <f aca="false">IF(ISERROR(VLOOKUP($B47,$U$110:$X$157,4,FALSE()))=TRUE(),0,VLOOKUP($B47,$U$110:$X$157,4,FALSE()))</f>
        <v>0</v>
      </c>
      <c r="T47" s="972" t="n">
        <f aca="false">DATE(YEAR(T46),MONTH(T46)+1,DAY(T46))</f>
        <v>45292</v>
      </c>
      <c r="U47" s="973" t="n">
        <f aca="false">Y47+AC47+AG47</f>
        <v>0</v>
      </c>
      <c r="V47" s="973" t="n">
        <f aca="false">Z47+AD47+AH47</f>
        <v>0</v>
      </c>
      <c r="W47" s="974" t="n">
        <f aca="false">AA47+AE47+AI47</f>
        <v>0</v>
      </c>
      <c r="X47" s="976" t="n">
        <f aca="false">AB47+AF47+AJ47</f>
        <v>0</v>
      </c>
      <c r="Y47" s="975" t="n">
        <f aca="false">IF(DATE(YEAR($B47),MONTH($B47),DAY(1))=DATE(YEAR($AE$92),MONTH($AE$92),DAY(1)),$AE$91,0)</f>
        <v>0</v>
      </c>
      <c r="Z47" s="973" t="n">
        <f aca="false">IF(ISERROR(VLOOKUP($T47,$AD$110:$AG$157,3,FALSE()))=TRUE(),0,VLOOKUP($T47,$AD$110:$AG$157,3,FALSE()))</f>
        <v>0</v>
      </c>
      <c r="AA47" s="976" t="n">
        <f aca="false">IF(ISERROR(VLOOKUP($T47,$AD$110:$AG$157,4,FALSE()))=TRUE(),0,VLOOKUP($T47,$AD$110:$AG$157,4,FALSE()))</f>
        <v>0</v>
      </c>
      <c r="AB47" s="977" t="n">
        <f aca="false">(Z47+AA47)*'Datos generales'!$D$16</f>
        <v>0</v>
      </c>
      <c r="AC47" s="975" t="n">
        <f aca="false">IF(DATE(YEAR($B47),MONTH($B47),DAY(1))=DATE(YEAR($AN$92),MONTH($AN$92),DAY(1)),$AN$91,0)</f>
        <v>0</v>
      </c>
      <c r="AD47" s="973" t="n">
        <f aca="false">IF(ISERROR(VLOOKUP($T47,$AM$110:$AO$157,3,FALSE()))=TRUE(),0,VLOOKUP($T47,$AM$110:$AO$157,3,FALSE()))</f>
        <v>0</v>
      </c>
      <c r="AE47" s="976" t="n">
        <f aca="false">IF(ISERROR(VLOOKUP($T47,$AM$110:$AP$157,4,FALSE()))=TRUE(),0,VLOOKUP($T47,$AM$110:$AP$157,4,FALSE()))</f>
        <v>0</v>
      </c>
      <c r="AF47" s="977" t="n">
        <f aca="false">(AD47+AE47)*'Datos generales'!$D$16</f>
        <v>0</v>
      </c>
      <c r="AG47" s="975" t="n">
        <f aca="false">IF(DATE(YEAR($B47),MONTH($B47),DAY(1))=DATE(YEAR($AW$92),MONTH($AW$92),DAY(1)),$AW$91,0)</f>
        <v>0</v>
      </c>
      <c r="AH47" s="973" t="n">
        <f aca="false">IF(ISERROR(VLOOKUP($T47,$AV$110:$AX$157,3,FALSE()))=TRUE(),0,VLOOKUP($T47,$AV$110:$AX$157,3,FALSE()))</f>
        <v>0</v>
      </c>
      <c r="AI47" s="976" t="n">
        <f aca="false">IF(ISERROR(VLOOKUP($T47,$AV$110:$AY$157,4,FALSE()))=TRUE(),0,VLOOKUP($T47,$AV$110:$AY$157,4,FALSE()))</f>
        <v>0</v>
      </c>
      <c r="AJ47" s="977" t="n">
        <f aca="false">(AH47+AI47)*'Datos generales'!$D$16</f>
        <v>0</v>
      </c>
    </row>
    <row r="48" customFormat="false" ht="12.75" hidden="true" customHeight="false" outlineLevel="0" collapsed="false">
      <c r="B48" s="972" t="n">
        <f aca="false">DATE(YEAR(B47),MONTH(B47)+1,DAY(B47))</f>
        <v>45323</v>
      </c>
      <c r="C48" s="973" t="n">
        <f aca="false">G48+K48+O48</f>
        <v>0</v>
      </c>
      <c r="D48" s="973" t="n">
        <f aca="false">H48+L48+P48</f>
        <v>0</v>
      </c>
      <c r="E48" s="973" t="n">
        <f aca="false">I48+M48+Q48</f>
        <v>0</v>
      </c>
      <c r="F48" s="974" t="n">
        <f aca="false">J48+N48+R48</f>
        <v>0</v>
      </c>
      <c r="G48" s="973" t="n">
        <f aca="false">IF(AND(DATE(YEAR($B48),MONTH($B48),DAY(1))=DATE(YEAR($D$91),MONTH($D$91),DAY(1)),$G$34=0),$D$90,0)</f>
        <v>0</v>
      </c>
      <c r="H48" s="973" t="n">
        <f aca="false">IF(AND(B48=$D$91,$H$34=0),$D$102,0)</f>
        <v>0</v>
      </c>
      <c r="I48" s="973" t="n">
        <f aca="false">IF(ISERROR(VLOOKUP($B48,$C$110:$F$157,3,FALSE()))=TRUE(),0,VLOOKUP($B48,$C$110:$F$157,3,FALSE()))</f>
        <v>0</v>
      </c>
      <c r="J48" s="974" t="n">
        <f aca="false">IF(ISERROR(VLOOKUP($B48,$C$110:$F$157,4,FALSE()))=TRUE(),0,VLOOKUP($B48,$C$110:$F$157,4,FALSE()))</f>
        <v>0</v>
      </c>
      <c r="K48" s="973" t="n">
        <f aca="false">IF(AND(DATE(YEAR($B48),MONTH($B48),DAY(1))=DATE(YEAR($M$91),MONTH($M$91),DAY(1)),$K$34=0),$M$90,0)</f>
        <v>0</v>
      </c>
      <c r="L48" s="973" t="n">
        <f aca="false">IF(AND(B48=$M$91,$L$34=0),$M$102,0)</f>
        <v>0</v>
      </c>
      <c r="M48" s="973" t="n">
        <f aca="false">IF(ISERROR(VLOOKUP($B48,$L$110:$O$157,3,FALSE()))=TRUE(),0,VLOOKUP($B48,$L$110:$O$157,3,FALSE()))</f>
        <v>0</v>
      </c>
      <c r="N48" s="974" t="n">
        <f aca="false">IF(ISERROR(VLOOKUP($B48,$L$110:$O$157,4,FALSE()))=TRUE(),0,VLOOKUP($B48,$L$110:$O$157,4,FALSE()))</f>
        <v>0</v>
      </c>
      <c r="O48" s="973" t="n">
        <f aca="false">IF(AND(DATE(YEAR($B48),MONTH($B48),DAY(1))=DATE(YEAR($V$91),MONTH($V$91),DAY(1)),$O$34=0),$V$90,0)</f>
        <v>0</v>
      </c>
      <c r="P48" s="973" t="n">
        <f aca="false">IF(AND(B48=$V$91,$P$34=0),$V$102,0)</f>
        <v>0</v>
      </c>
      <c r="Q48" s="973" t="n">
        <f aca="false">IF(ISERROR(VLOOKUP($B48,$U$110:$X$157,3,FALSE()))=TRUE(),0,VLOOKUP($B48,$U$110:$X$157,3,FALSE()))</f>
        <v>0</v>
      </c>
      <c r="R48" s="974" t="n">
        <f aca="false">IF(ISERROR(VLOOKUP($B48,$U$110:$X$157,4,FALSE()))=TRUE(),0,VLOOKUP($B48,$U$110:$X$157,4,FALSE()))</f>
        <v>0</v>
      </c>
      <c r="T48" s="972" t="n">
        <f aca="false">DATE(YEAR(T47),MONTH(T47)+1,DAY(T47))</f>
        <v>45323</v>
      </c>
      <c r="U48" s="973" t="n">
        <f aca="false">Y48+AC48+AG48</f>
        <v>0</v>
      </c>
      <c r="V48" s="973" t="n">
        <f aca="false">Z48+AD48+AH48</f>
        <v>0</v>
      </c>
      <c r="W48" s="974" t="n">
        <f aca="false">AA48+AE48+AI48</f>
        <v>0</v>
      </c>
      <c r="X48" s="976" t="n">
        <f aca="false">AB48+AF48+AJ48</f>
        <v>0</v>
      </c>
      <c r="Y48" s="975" t="n">
        <f aca="false">IF(DATE(YEAR($B48),MONTH($B48),DAY(1))=DATE(YEAR($AE$92),MONTH($AE$92),DAY(1)),$AE$91,0)</f>
        <v>0</v>
      </c>
      <c r="Z48" s="973" t="n">
        <f aca="false">IF(ISERROR(VLOOKUP($T48,$AD$110:$AG$157,3,FALSE()))=TRUE(),0,VLOOKUP($T48,$AD$110:$AG$157,3,FALSE()))</f>
        <v>0</v>
      </c>
      <c r="AA48" s="976" t="n">
        <f aca="false">IF(ISERROR(VLOOKUP($T48,$AD$110:$AG$157,4,FALSE()))=TRUE(),0,VLOOKUP($T48,$AD$110:$AG$157,4,FALSE()))</f>
        <v>0</v>
      </c>
      <c r="AB48" s="977" t="n">
        <f aca="false">(Z48+AA48)*'Datos generales'!$D$16</f>
        <v>0</v>
      </c>
      <c r="AC48" s="975" t="n">
        <f aca="false">IF(DATE(YEAR($B48),MONTH($B48),DAY(1))=DATE(YEAR($AN$92),MONTH($AN$92),DAY(1)),$AN$91,0)</f>
        <v>0</v>
      </c>
      <c r="AD48" s="973" t="n">
        <f aca="false">IF(ISERROR(VLOOKUP($T48,$AM$110:$AO$157,3,FALSE()))=TRUE(),0,VLOOKUP($T48,$AM$110:$AO$157,3,FALSE()))</f>
        <v>0</v>
      </c>
      <c r="AE48" s="976" t="n">
        <f aca="false">IF(ISERROR(VLOOKUP($T48,$AM$110:$AP$157,4,FALSE()))=TRUE(),0,VLOOKUP($T48,$AM$110:$AP$157,4,FALSE()))</f>
        <v>0</v>
      </c>
      <c r="AF48" s="977" t="n">
        <f aca="false">(AD48+AE48)*'Datos generales'!$D$16</f>
        <v>0</v>
      </c>
      <c r="AG48" s="975" t="n">
        <f aca="false">IF(DATE(YEAR($B48),MONTH($B48),DAY(1))=DATE(YEAR($AW$92),MONTH($AW$92),DAY(1)),$AW$91,0)</f>
        <v>0</v>
      </c>
      <c r="AH48" s="973" t="n">
        <f aca="false">IF(ISERROR(VLOOKUP($T48,$AV$110:$AX$157,3,FALSE()))=TRUE(),0,VLOOKUP($T48,$AV$110:$AX$157,3,FALSE()))</f>
        <v>0</v>
      </c>
      <c r="AI48" s="976" t="n">
        <f aca="false">IF(ISERROR(VLOOKUP($T48,$AV$110:$AY$157,4,FALSE()))=TRUE(),0,VLOOKUP($T48,$AV$110:$AY$157,4,FALSE()))</f>
        <v>0</v>
      </c>
      <c r="AJ48" s="977" t="n">
        <f aca="false">(AH48+AI48)*'Datos generales'!$D$16</f>
        <v>0</v>
      </c>
    </row>
    <row r="49" customFormat="false" ht="12.75" hidden="true" customHeight="false" outlineLevel="0" collapsed="false">
      <c r="B49" s="972" t="n">
        <f aca="false">DATE(YEAR(B48),MONTH(B48)+1,DAY(B48))</f>
        <v>45352</v>
      </c>
      <c r="C49" s="973" t="n">
        <f aca="false">G49+K49+O49</f>
        <v>0</v>
      </c>
      <c r="D49" s="973" t="n">
        <f aca="false">H49+L49+P49</f>
        <v>0</v>
      </c>
      <c r="E49" s="973" t="n">
        <f aca="false">I49+M49+Q49</f>
        <v>0</v>
      </c>
      <c r="F49" s="974" t="n">
        <f aca="false">J49+N49+R49</f>
        <v>0</v>
      </c>
      <c r="G49" s="973" t="n">
        <f aca="false">IF(AND(DATE(YEAR($B49),MONTH($B49),DAY(1))=DATE(YEAR($D$91),MONTH($D$91),DAY(1)),$G$34=0),$D$90,0)</f>
        <v>0</v>
      </c>
      <c r="H49" s="973" t="n">
        <f aca="false">IF(AND(B49=$D$91,$H$34=0),$D$102,0)</f>
        <v>0</v>
      </c>
      <c r="I49" s="973" t="n">
        <f aca="false">IF(ISERROR(VLOOKUP($B49,$C$110:$F$157,3,FALSE()))=TRUE(),0,VLOOKUP($B49,$C$110:$F$157,3,FALSE()))</f>
        <v>0</v>
      </c>
      <c r="J49" s="974" t="n">
        <f aca="false">IF(ISERROR(VLOOKUP($B49,$C$110:$F$157,4,FALSE()))=TRUE(),0,VLOOKUP($B49,$C$110:$F$157,4,FALSE()))</f>
        <v>0</v>
      </c>
      <c r="K49" s="973" t="n">
        <f aca="false">IF(AND(DATE(YEAR($B49),MONTH($B49),DAY(1))=DATE(YEAR($M$91),MONTH($M$91),DAY(1)),$K$34=0),$M$90,0)</f>
        <v>0</v>
      </c>
      <c r="L49" s="973" t="n">
        <f aca="false">IF(AND(B49=$M$91,$L$34=0),$M$102,0)</f>
        <v>0</v>
      </c>
      <c r="M49" s="973" t="n">
        <f aca="false">IF(ISERROR(VLOOKUP($B49,$L$110:$O$157,3,FALSE()))=TRUE(),0,VLOOKUP($B49,$L$110:$O$157,3,FALSE()))</f>
        <v>0</v>
      </c>
      <c r="N49" s="974" t="n">
        <f aca="false">IF(ISERROR(VLOOKUP($B49,$L$110:$O$157,4,FALSE()))=TRUE(),0,VLOOKUP($B49,$L$110:$O$157,4,FALSE()))</f>
        <v>0</v>
      </c>
      <c r="O49" s="973" t="n">
        <f aca="false">IF(AND(DATE(YEAR($B49),MONTH($B49),DAY(1))=DATE(YEAR($V$91),MONTH($V$91),DAY(1)),$O$34=0),$V$90,0)</f>
        <v>0</v>
      </c>
      <c r="P49" s="973" t="n">
        <f aca="false">IF(AND(B49=$V$91,$P$34=0),$V$102,0)</f>
        <v>0</v>
      </c>
      <c r="Q49" s="973" t="n">
        <f aca="false">IF(ISERROR(VLOOKUP($B49,$U$110:$X$157,3,FALSE()))=TRUE(),0,VLOOKUP($B49,$U$110:$X$157,3,FALSE()))</f>
        <v>0</v>
      </c>
      <c r="R49" s="974" t="n">
        <f aca="false">IF(ISERROR(VLOOKUP($B49,$U$110:$X$157,4,FALSE()))=TRUE(),0,VLOOKUP($B49,$U$110:$X$157,4,FALSE()))</f>
        <v>0</v>
      </c>
      <c r="T49" s="972" t="n">
        <f aca="false">DATE(YEAR(T48),MONTH(T48)+1,DAY(T48))</f>
        <v>45352</v>
      </c>
      <c r="U49" s="973" t="n">
        <f aca="false">Y49+AC49+AG49</f>
        <v>0</v>
      </c>
      <c r="V49" s="973" t="n">
        <f aca="false">Z49+AD49+AH49</f>
        <v>0</v>
      </c>
      <c r="W49" s="974" t="n">
        <f aca="false">AA49+AE49+AI49</f>
        <v>0</v>
      </c>
      <c r="X49" s="976" t="n">
        <f aca="false">AB49+AF49+AJ49</f>
        <v>0</v>
      </c>
      <c r="Y49" s="975" t="n">
        <f aca="false">IF(DATE(YEAR($B49),MONTH($B49),DAY(1))=DATE(YEAR($AE$92),MONTH($AE$92),DAY(1)),$AE$91,0)</f>
        <v>0</v>
      </c>
      <c r="Z49" s="973" t="n">
        <f aca="false">IF(ISERROR(VLOOKUP($T49,$AD$110:$AG$157,3,FALSE()))=TRUE(),0,VLOOKUP($T49,$AD$110:$AG$157,3,FALSE()))</f>
        <v>0</v>
      </c>
      <c r="AA49" s="976" t="n">
        <f aca="false">IF(ISERROR(VLOOKUP($T49,$AD$110:$AG$157,4,FALSE()))=TRUE(),0,VLOOKUP($T49,$AD$110:$AG$157,4,FALSE()))</f>
        <v>0</v>
      </c>
      <c r="AB49" s="977" t="n">
        <f aca="false">(Z49+AA49)*'Datos generales'!$D$16</f>
        <v>0</v>
      </c>
      <c r="AC49" s="975" t="n">
        <f aca="false">IF(DATE(YEAR($B49),MONTH($B49),DAY(1))=DATE(YEAR($AN$92),MONTH($AN$92),DAY(1)),$AN$91,0)</f>
        <v>0</v>
      </c>
      <c r="AD49" s="973" t="n">
        <f aca="false">IF(ISERROR(VLOOKUP($T49,$AM$110:$AO$157,3,FALSE()))=TRUE(),0,VLOOKUP($T49,$AM$110:$AO$157,3,FALSE()))</f>
        <v>0</v>
      </c>
      <c r="AE49" s="976" t="n">
        <f aca="false">IF(ISERROR(VLOOKUP($T49,$AM$110:$AP$157,4,FALSE()))=TRUE(),0,VLOOKUP($T49,$AM$110:$AP$157,4,FALSE()))</f>
        <v>0</v>
      </c>
      <c r="AF49" s="977" t="n">
        <f aca="false">(AD49+AE49)*'Datos generales'!$D$16</f>
        <v>0</v>
      </c>
      <c r="AG49" s="975" t="n">
        <f aca="false">IF(DATE(YEAR($B49),MONTH($B49),DAY(1))=DATE(YEAR($AW$92),MONTH($AW$92),DAY(1)),$AW$91,0)</f>
        <v>0</v>
      </c>
      <c r="AH49" s="973" t="n">
        <f aca="false">IF(ISERROR(VLOOKUP($T49,$AV$110:$AX$157,3,FALSE()))=TRUE(),0,VLOOKUP($T49,$AV$110:$AX$157,3,FALSE()))</f>
        <v>0</v>
      </c>
      <c r="AI49" s="976" t="n">
        <f aca="false">IF(ISERROR(VLOOKUP($T49,$AV$110:$AY$157,4,FALSE()))=TRUE(),0,VLOOKUP($T49,$AV$110:$AY$157,4,FALSE()))</f>
        <v>0</v>
      </c>
      <c r="AJ49" s="977" t="n">
        <f aca="false">(AH49+AI49)*'Datos generales'!$D$16</f>
        <v>0</v>
      </c>
    </row>
    <row r="50" customFormat="false" ht="12.75" hidden="true" customHeight="false" outlineLevel="0" collapsed="false">
      <c r="B50" s="972" t="n">
        <f aca="false">DATE(YEAR(B49),MONTH(B49)+1,DAY(B49))</f>
        <v>45383</v>
      </c>
      <c r="C50" s="973" t="n">
        <f aca="false">G50+K50+O50</f>
        <v>0</v>
      </c>
      <c r="D50" s="973" t="n">
        <f aca="false">H50+L50+P50</f>
        <v>0</v>
      </c>
      <c r="E50" s="973" t="n">
        <f aca="false">I50+M50+Q50</f>
        <v>0</v>
      </c>
      <c r="F50" s="974" t="n">
        <f aca="false">J50+N50+R50</f>
        <v>0</v>
      </c>
      <c r="G50" s="973" t="n">
        <f aca="false">IF(AND(DATE(YEAR($B50),MONTH($B50),DAY(1))=DATE(YEAR($D$91),MONTH($D$91),DAY(1)),$G$34=0),$D$90,0)</f>
        <v>0</v>
      </c>
      <c r="H50" s="973" t="n">
        <f aca="false">IF(AND(B50=$D$91,$H$34=0),$D$102,0)</f>
        <v>0</v>
      </c>
      <c r="I50" s="973" t="n">
        <f aca="false">IF(ISERROR(VLOOKUP($B50,$C$110:$F$157,3,FALSE()))=TRUE(),0,VLOOKUP($B50,$C$110:$F$157,3,FALSE()))</f>
        <v>0</v>
      </c>
      <c r="J50" s="974" t="n">
        <f aca="false">IF(ISERROR(VLOOKUP($B50,$C$110:$F$157,4,FALSE()))=TRUE(),0,VLOOKUP($B50,$C$110:$F$157,4,FALSE()))</f>
        <v>0</v>
      </c>
      <c r="K50" s="973" t="n">
        <f aca="false">IF(AND(DATE(YEAR($B50),MONTH($B50),DAY(1))=DATE(YEAR($M$91),MONTH($M$91),DAY(1)),$K$34=0),$M$90,0)</f>
        <v>0</v>
      </c>
      <c r="L50" s="973" t="n">
        <f aca="false">IF(AND(B50=$M$91,$L$34=0),$M$102,0)</f>
        <v>0</v>
      </c>
      <c r="M50" s="973" t="n">
        <f aca="false">IF(ISERROR(VLOOKUP($B50,$L$110:$O$157,3,FALSE()))=TRUE(),0,VLOOKUP($B50,$L$110:$O$157,3,FALSE()))</f>
        <v>0</v>
      </c>
      <c r="N50" s="974" t="n">
        <f aca="false">IF(ISERROR(VLOOKUP($B50,$L$110:$O$157,4,FALSE()))=TRUE(),0,VLOOKUP($B50,$L$110:$O$157,4,FALSE()))</f>
        <v>0</v>
      </c>
      <c r="O50" s="973" t="n">
        <f aca="false">IF(AND(DATE(YEAR($B50),MONTH($B50),DAY(1))=DATE(YEAR($V$91),MONTH($V$91),DAY(1)),$O$34=0),$V$90,0)</f>
        <v>0</v>
      </c>
      <c r="P50" s="973" t="n">
        <f aca="false">IF(AND(B50=$V$91,$P$34=0),$V$102,0)</f>
        <v>0</v>
      </c>
      <c r="Q50" s="973" t="n">
        <f aca="false">IF(ISERROR(VLOOKUP($B50,$U$110:$X$157,3,FALSE()))=TRUE(),0,VLOOKUP($B50,$U$110:$X$157,3,FALSE()))</f>
        <v>0</v>
      </c>
      <c r="R50" s="974" t="n">
        <f aca="false">IF(ISERROR(VLOOKUP($B50,$U$110:$X$157,4,FALSE()))=TRUE(),0,VLOOKUP($B50,$U$110:$X$157,4,FALSE()))</f>
        <v>0</v>
      </c>
      <c r="T50" s="972" t="n">
        <f aca="false">DATE(YEAR(T49),MONTH(T49)+1,DAY(T49))</f>
        <v>45383</v>
      </c>
      <c r="U50" s="973" t="n">
        <f aca="false">Y50+AC50+AG50</f>
        <v>0</v>
      </c>
      <c r="V50" s="973" t="n">
        <f aca="false">Z50+AD50+AH50</f>
        <v>0</v>
      </c>
      <c r="W50" s="974" t="n">
        <f aca="false">AA50+AE50+AI50</f>
        <v>0</v>
      </c>
      <c r="X50" s="976" t="n">
        <f aca="false">AB50+AF50+AJ50</f>
        <v>0</v>
      </c>
      <c r="Y50" s="975" t="n">
        <f aca="false">IF(DATE(YEAR($B50),MONTH($B50),DAY(1))=DATE(YEAR($AE$92),MONTH($AE$92),DAY(1)),$AE$91,0)</f>
        <v>0</v>
      </c>
      <c r="Z50" s="973" t="n">
        <f aca="false">IF(ISERROR(VLOOKUP($T50,$AD$110:$AG$157,3,FALSE()))=TRUE(),0,VLOOKUP($T50,$AD$110:$AG$157,3,FALSE()))</f>
        <v>0</v>
      </c>
      <c r="AA50" s="976" t="n">
        <f aca="false">IF(ISERROR(VLOOKUP($T50,$AD$110:$AG$157,4,FALSE()))=TRUE(),0,VLOOKUP($T50,$AD$110:$AG$157,4,FALSE()))</f>
        <v>0</v>
      </c>
      <c r="AB50" s="977" t="n">
        <f aca="false">(Z50+AA50)*'Datos generales'!$D$16</f>
        <v>0</v>
      </c>
      <c r="AC50" s="975" t="n">
        <f aca="false">IF(DATE(YEAR($B50),MONTH($B50),DAY(1))=DATE(YEAR($AN$92),MONTH($AN$92),DAY(1)),$AN$91,0)</f>
        <v>0</v>
      </c>
      <c r="AD50" s="973" t="n">
        <f aca="false">IF(ISERROR(VLOOKUP($T50,$AM$110:$AO$157,3,FALSE()))=TRUE(),0,VLOOKUP($T50,$AM$110:$AO$157,3,FALSE()))</f>
        <v>0</v>
      </c>
      <c r="AE50" s="976" t="n">
        <f aca="false">IF(ISERROR(VLOOKUP($T50,$AM$110:$AP$157,4,FALSE()))=TRUE(),0,VLOOKUP($T50,$AM$110:$AP$157,4,FALSE()))</f>
        <v>0</v>
      </c>
      <c r="AF50" s="977" t="n">
        <f aca="false">(AD50+AE50)*'Datos generales'!$D$16</f>
        <v>0</v>
      </c>
      <c r="AG50" s="975" t="n">
        <f aca="false">IF(DATE(YEAR($B50),MONTH($B50),DAY(1))=DATE(YEAR($AW$92),MONTH($AW$92),DAY(1)),$AW$91,0)</f>
        <v>0</v>
      </c>
      <c r="AH50" s="973" t="n">
        <f aca="false">IF(ISERROR(VLOOKUP($T50,$AV$110:$AX$157,3,FALSE()))=TRUE(),0,VLOOKUP($T50,$AV$110:$AX$157,3,FALSE()))</f>
        <v>0</v>
      </c>
      <c r="AI50" s="976" t="n">
        <f aca="false">IF(ISERROR(VLOOKUP($T50,$AV$110:$AY$157,4,FALSE()))=TRUE(),0,VLOOKUP($T50,$AV$110:$AY$157,4,FALSE()))</f>
        <v>0</v>
      </c>
      <c r="AJ50" s="977" t="n">
        <f aca="false">(AH50+AI50)*'Datos generales'!$D$16</f>
        <v>0</v>
      </c>
    </row>
    <row r="51" customFormat="false" ht="12.75" hidden="true" customHeight="false" outlineLevel="0" collapsed="false">
      <c r="B51" s="972" t="n">
        <f aca="false">DATE(YEAR(B50),MONTH(B50)+1,DAY(B50))</f>
        <v>45413</v>
      </c>
      <c r="C51" s="973" t="n">
        <f aca="false">G51+K51+O51</f>
        <v>0</v>
      </c>
      <c r="D51" s="973" t="n">
        <f aca="false">H51+L51+P51</f>
        <v>0</v>
      </c>
      <c r="E51" s="973" t="n">
        <f aca="false">I51+M51+Q51</f>
        <v>0</v>
      </c>
      <c r="F51" s="974" t="n">
        <f aca="false">J51+N51+R51</f>
        <v>0</v>
      </c>
      <c r="G51" s="973" t="n">
        <f aca="false">IF(AND(DATE(YEAR($B51),MONTH($B51),DAY(1))=DATE(YEAR($D$91),MONTH($D$91),DAY(1)),$G$34=0),$D$90,0)</f>
        <v>0</v>
      </c>
      <c r="H51" s="973" t="n">
        <f aca="false">IF(AND(B51=$D$91,$H$34=0),$D$102,0)</f>
        <v>0</v>
      </c>
      <c r="I51" s="973" t="n">
        <f aca="false">IF(ISERROR(VLOOKUP($B51,$C$110:$F$157,3,FALSE()))=TRUE(),0,VLOOKUP($B51,$C$110:$F$157,3,FALSE()))</f>
        <v>0</v>
      </c>
      <c r="J51" s="974" t="n">
        <f aca="false">IF(ISERROR(VLOOKUP($B51,$C$110:$F$157,4,FALSE()))=TRUE(),0,VLOOKUP($B51,$C$110:$F$157,4,FALSE()))</f>
        <v>0</v>
      </c>
      <c r="K51" s="973" t="n">
        <f aca="false">IF(AND(DATE(YEAR($B51),MONTH($B51),DAY(1))=DATE(YEAR($M$91),MONTH($M$91),DAY(1)),$K$34=0),$M$90,0)</f>
        <v>0</v>
      </c>
      <c r="L51" s="973" t="n">
        <f aca="false">IF(AND(B51=$M$91,$L$34=0),$M$102,0)</f>
        <v>0</v>
      </c>
      <c r="M51" s="973" t="n">
        <f aca="false">IF(ISERROR(VLOOKUP($B51,$L$110:$O$157,3,FALSE()))=TRUE(),0,VLOOKUP($B51,$L$110:$O$157,3,FALSE()))</f>
        <v>0</v>
      </c>
      <c r="N51" s="974" t="n">
        <f aca="false">IF(ISERROR(VLOOKUP($B51,$L$110:$O$157,4,FALSE()))=TRUE(),0,VLOOKUP($B51,$L$110:$O$157,4,FALSE()))</f>
        <v>0</v>
      </c>
      <c r="O51" s="973" t="n">
        <f aca="false">IF(AND(DATE(YEAR($B51),MONTH($B51),DAY(1))=DATE(YEAR($V$91),MONTH($V$91),DAY(1)),$O$34=0),$V$90,0)</f>
        <v>0</v>
      </c>
      <c r="P51" s="973" t="n">
        <f aca="false">IF(AND(B51=$V$91,$P$34=0),$V$102,0)</f>
        <v>0</v>
      </c>
      <c r="Q51" s="973" t="n">
        <f aca="false">IF(ISERROR(VLOOKUP($B51,$U$110:$X$157,3,FALSE()))=TRUE(),0,VLOOKUP($B51,$U$110:$X$157,3,FALSE()))</f>
        <v>0</v>
      </c>
      <c r="R51" s="974" t="n">
        <f aca="false">IF(ISERROR(VLOOKUP($B51,$U$110:$X$157,4,FALSE()))=TRUE(),0,VLOOKUP($B51,$U$110:$X$157,4,FALSE()))</f>
        <v>0</v>
      </c>
      <c r="T51" s="972" t="n">
        <f aca="false">DATE(YEAR(T50),MONTH(T50)+1,DAY(T50))</f>
        <v>45413</v>
      </c>
      <c r="U51" s="973" t="n">
        <f aca="false">Y51+AC51+AG51</f>
        <v>0</v>
      </c>
      <c r="V51" s="973" t="n">
        <f aca="false">Z51+AD51+AH51</f>
        <v>0</v>
      </c>
      <c r="W51" s="974" t="n">
        <f aca="false">AA51+AE51+AI51</f>
        <v>0</v>
      </c>
      <c r="X51" s="976" t="n">
        <f aca="false">AB51+AF51+AJ51</f>
        <v>0</v>
      </c>
      <c r="Y51" s="975" t="n">
        <f aca="false">IF(DATE(YEAR($B51),MONTH($B51),DAY(1))=DATE(YEAR($AE$92),MONTH($AE$92),DAY(1)),$AE$91,0)</f>
        <v>0</v>
      </c>
      <c r="Z51" s="973" t="n">
        <f aca="false">IF(ISERROR(VLOOKUP($T51,$AD$110:$AG$157,3,FALSE()))=TRUE(),0,VLOOKUP($T51,$AD$110:$AG$157,3,FALSE()))</f>
        <v>0</v>
      </c>
      <c r="AA51" s="976" t="n">
        <f aca="false">IF(ISERROR(VLOOKUP($T51,$AD$110:$AG$157,4,FALSE()))=TRUE(),0,VLOOKUP($T51,$AD$110:$AG$157,4,FALSE()))</f>
        <v>0</v>
      </c>
      <c r="AB51" s="977" t="n">
        <f aca="false">(Z51+AA51)*'Datos generales'!$D$16</f>
        <v>0</v>
      </c>
      <c r="AC51" s="975" t="n">
        <f aca="false">IF(DATE(YEAR($B51),MONTH($B51),DAY(1))=DATE(YEAR($AN$92),MONTH($AN$92),DAY(1)),$AN$91,0)</f>
        <v>0</v>
      </c>
      <c r="AD51" s="973" t="n">
        <f aca="false">IF(ISERROR(VLOOKUP($T51,$AM$110:$AO$157,3,FALSE()))=TRUE(),0,VLOOKUP($T51,$AM$110:$AO$157,3,FALSE()))</f>
        <v>0</v>
      </c>
      <c r="AE51" s="976" t="n">
        <f aca="false">IF(ISERROR(VLOOKUP($T51,$AM$110:$AP$157,4,FALSE()))=TRUE(),0,VLOOKUP($T51,$AM$110:$AP$157,4,FALSE()))</f>
        <v>0</v>
      </c>
      <c r="AF51" s="977" t="n">
        <f aca="false">(AD51+AE51)*'Datos generales'!$D$16</f>
        <v>0</v>
      </c>
      <c r="AG51" s="975" t="n">
        <f aca="false">IF(DATE(YEAR($B51),MONTH($B51),DAY(1))=DATE(YEAR($AW$92),MONTH($AW$92),DAY(1)),$AW$91,0)</f>
        <v>0</v>
      </c>
      <c r="AH51" s="973" t="n">
        <f aca="false">IF(ISERROR(VLOOKUP($T51,$AV$110:$AX$157,3,FALSE()))=TRUE(),0,VLOOKUP($T51,$AV$110:$AX$157,3,FALSE()))</f>
        <v>0</v>
      </c>
      <c r="AI51" s="976" t="n">
        <f aca="false">IF(ISERROR(VLOOKUP($T51,$AV$110:$AY$157,4,FALSE()))=TRUE(),0,VLOOKUP($T51,$AV$110:$AY$157,4,FALSE()))</f>
        <v>0</v>
      </c>
      <c r="AJ51" s="977" t="n">
        <f aca="false">(AH51+AI51)*'Datos generales'!$D$16</f>
        <v>0</v>
      </c>
    </row>
    <row r="52" customFormat="false" ht="12.75" hidden="true" customHeight="false" outlineLevel="0" collapsed="false">
      <c r="B52" s="972" t="n">
        <f aca="false">DATE(YEAR(B51),MONTH(B51)+1,DAY(B51))</f>
        <v>45444</v>
      </c>
      <c r="C52" s="973" t="n">
        <f aca="false">G52+K52+O52</f>
        <v>0</v>
      </c>
      <c r="D52" s="973" t="n">
        <f aca="false">H52+L52+P52</f>
        <v>0</v>
      </c>
      <c r="E52" s="973" t="n">
        <f aca="false">I52+M52+Q52</f>
        <v>0</v>
      </c>
      <c r="F52" s="974" t="n">
        <f aca="false">J52+N52+R52</f>
        <v>0</v>
      </c>
      <c r="G52" s="973" t="n">
        <f aca="false">IF(AND(DATE(YEAR($B52),MONTH($B52),DAY(1))=DATE(YEAR($D$91),MONTH($D$91),DAY(1)),$G$34=0),$D$90,0)</f>
        <v>0</v>
      </c>
      <c r="H52" s="973" t="n">
        <f aca="false">IF(AND(B52=$D$91,$H$34=0),$D$102,0)</f>
        <v>0</v>
      </c>
      <c r="I52" s="973" t="n">
        <f aca="false">IF(ISERROR(VLOOKUP($B52,$C$110:$F$157,3,FALSE()))=TRUE(),0,VLOOKUP($B52,$C$110:$F$157,3,FALSE()))</f>
        <v>0</v>
      </c>
      <c r="J52" s="974" t="n">
        <f aca="false">IF(ISERROR(VLOOKUP($B52,$C$110:$F$157,4,FALSE()))=TRUE(),0,VLOOKUP($B52,$C$110:$F$157,4,FALSE()))</f>
        <v>0</v>
      </c>
      <c r="K52" s="973" t="n">
        <f aca="false">IF(AND(DATE(YEAR($B52),MONTH($B52),DAY(1))=DATE(YEAR($M$91),MONTH($M$91),DAY(1)),$K$34=0),$M$90,0)</f>
        <v>0</v>
      </c>
      <c r="L52" s="973" t="n">
        <f aca="false">IF(AND(B52=$M$91,$L$34=0),$M$102,0)</f>
        <v>0</v>
      </c>
      <c r="M52" s="973" t="n">
        <f aca="false">IF(ISERROR(VLOOKUP($B52,$L$110:$O$157,3,FALSE()))=TRUE(),0,VLOOKUP($B52,$L$110:$O$157,3,FALSE()))</f>
        <v>0</v>
      </c>
      <c r="N52" s="974" t="n">
        <f aca="false">IF(ISERROR(VLOOKUP($B52,$L$110:$O$157,4,FALSE()))=TRUE(),0,VLOOKUP($B52,$L$110:$O$157,4,FALSE()))</f>
        <v>0</v>
      </c>
      <c r="O52" s="973" t="n">
        <f aca="false">IF(AND(DATE(YEAR($B52),MONTH($B52),DAY(1))=DATE(YEAR($V$91),MONTH($V$91),DAY(1)),$O$34=0),$V$90,0)</f>
        <v>0</v>
      </c>
      <c r="P52" s="973" t="n">
        <f aca="false">IF(AND(B52=$V$91,$P$34=0),$V$102,0)</f>
        <v>0</v>
      </c>
      <c r="Q52" s="973" t="n">
        <f aca="false">IF(ISERROR(VLOOKUP($B52,$U$110:$X$157,3,FALSE()))=TRUE(),0,VLOOKUP($B52,$U$110:$X$157,3,FALSE()))</f>
        <v>0</v>
      </c>
      <c r="R52" s="974" t="n">
        <f aca="false">IF(ISERROR(VLOOKUP($B52,$U$110:$X$157,4,FALSE()))=TRUE(),0,VLOOKUP($B52,$U$110:$X$157,4,FALSE()))</f>
        <v>0</v>
      </c>
      <c r="T52" s="972" t="n">
        <f aca="false">DATE(YEAR(T51),MONTH(T51)+1,DAY(T51))</f>
        <v>45444</v>
      </c>
      <c r="U52" s="973" t="n">
        <f aca="false">Y52+AC52+AG52</f>
        <v>0</v>
      </c>
      <c r="V52" s="973" t="n">
        <f aca="false">Z52+AD52+AH52</f>
        <v>0</v>
      </c>
      <c r="W52" s="974" t="n">
        <f aca="false">AA52+AE52+AI52</f>
        <v>0</v>
      </c>
      <c r="X52" s="976" t="n">
        <f aca="false">AB52+AF52+AJ52</f>
        <v>0</v>
      </c>
      <c r="Y52" s="975" t="n">
        <f aca="false">IF(DATE(YEAR($B52),MONTH($B52),DAY(1))=DATE(YEAR($AE$92),MONTH($AE$92),DAY(1)),$AE$91,0)</f>
        <v>0</v>
      </c>
      <c r="Z52" s="973" t="n">
        <f aca="false">IF(ISERROR(VLOOKUP($T52,$AD$110:$AG$157,3,FALSE()))=TRUE(),0,VLOOKUP($T52,$AD$110:$AG$157,3,FALSE()))</f>
        <v>0</v>
      </c>
      <c r="AA52" s="976" t="n">
        <f aca="false">IF(ISERROR(VLOOKUP($T52,$AD$110:$AG$157,4,FALSE()))=TRUE(),0,VLOOKUP($T52,$AD$110:$AG$157,4,FALSE()))</f>
        <v>0</v>
      </c>
      <c r="AB52" s="977" t="n">
        <f aca="false">(Z52+AA52)*'Datos generales'!$D$16</f>
        <v>0</v>
      </c>
      <c r="AC52" s="975" t="n">
        <f aca="false">IF(DATE(YEAR($B52),MONTH($B52),DAY(1))=DATE(YEAR($AN$92),MONTH($AN$92),DAY(1)),$AN$91,0)</f>
        <v>0</v>
      </c>
      <c r="AD52" s="973" t="n">
        <f aca="false">IF(ISERROR(VLOOKUP($T52,$AM$110:$AO$157,3,FALSE()))=TRUE(),0,VLOOKUP($T52,$AM$110:$AO$157,3,FALSE()))</f>
        <v>0</v>
      </c>
      <c r="AE52" s="976" t="n">
        <f aca="false">IF(ISERROR(VLOOKUP($T52,$AM$110:$AP$157,4,FALSE()))=TRUE(),0,VLOOKUP($T52,$AM$110:$AP$157,4,FALSE()))</f>
        <v>0</v>
      </c>
      <c r="AF52" s="977" t="n">
        <f aca="false">(AD52+AE52)*'Datos generales'!$D$16</f>
        <v>0</v>
      </c>
      <c r="AG52" s="975" t="n">
        <f aca="false">IF(DATE(YEAR($B52),MONTH($B52),DAY(1))=DATE(YEAR($AW$92),MONTH($AW$92),DAY(1)),$AW$91,0)</f>
        <v>0</v>
      </c>
      <c r="AH52" s="973" t="n">
        <f aca="false">IF(ISERROR(VLOOKUP($T52,$AV$110:$AX$157,3,FALSE()))=TRUE(),0,VLOOKUP($T52,$AV$110:$AX$157,3,FALSE()))</f>
        <v>0</v>
      </c>
      <c r="AI52" s="976" t="n">
        <f aca="false">IF(ISERROR(VLOOKUP($T52,$AV$110:$AY$157,4,FALSE()))=TRUE(),0,VLOOKUP($T52,$AV$110:$AY$157,4,FALSE()))</f>
        <v>0</v>
      </c>
      <c r="AJ52" s="977" t="n">
        <f aca="false">(AH52+AI52)*'Datos generales'!$D$16</f>
        <v>0</v>
      </c>
    </row>
    <row r="53" customFormat="false" ht="12.75" hidden="true" customHeight="false" outlineLevel="0" collapsed="false">
      <c r="B53" s="972" t="n">
        <f aca="false">DATE(YEAR(B52),MONTH(B52)+1,DAY(B52))</f>
        <v>45474</v>
      </c>
      <c r="C53" s="973" t="n">
        <f aca="false">G53+K53+O53</f>
        <v>0</v>
      </c>
      <c r="D53" s="973" t="n">
        <f aca="false">H53+L53+P53</f>
        <v>0</v>
      </c>
      <c r="E53" s="973" t="n">
        <f aca="false">I53+M53+Q53</f>
        <v>0</v>
      </c>
      <c r="F53" s="974" t="n">
        <f aca="false">J53+N53+R53</f>
        <v>0</v>
      </c>
      <c r="G53" s="973" t="n">
        <f aca="false">IF(AND(DATE(YEAR($B53),MONTH($B53),DAY(1))=DATE(YEAR($D$91),MONTH($D$91),DAY(1)),$G$34=0),$D$90,0)</f>
        <v>0</v>
      </c>
      <c r="H53" s="973" t="n">
        <f aca="false">IF(AND(B53=$D$91,$H$34=0),$D$102,0)</f>
        <v>0</v>
      </c>
      <c r="I53" s="973" t="n">
        <f aca="false">IF(ISERROR(VLOOKUP($B53,$C$110:$F$157,3,FALSE()))=TRUE(),0,VLOOKUP($B53,$C$110:$F$157,3,FALSE()))</f>
        <v>0</v>
      </c>
      <c r="J53" s="974" t="n">
        <f aca="false">IF(ISERROR(VLOOKUP($B53,$C$110:$F$157,4,FALSE()))=TRUE(),0,VLOOKUP($B53,$C$110:$F$157,4,FALSE()))</f>
        <v>0</v>
      </c>
      <c r="K53" s="973" t="n">
        <f aca="false">IF(AND(DATE(YEAR($B53),MONTH($B53),DAY(1))=DATE(YEAR($M$91),MONTH($M$91),DAY(1)),$K$34=0),$M$90,0)</f>
        <v>0</v>
      </c>
      <c r="L53" s="973" t="n">
        <f aca="false">IF(AND(B53=$M$91,$L$34=0),$M$102,0)</f>
        <v>0</v>
      </c>
      <c r="M53" s="973" t="n">
        <f aca="false">IF(ISERROR(VLOOKUP($B53,$L$110:$O$157,3,FALSE()))=TRUE(),0,VLOOKUP($B53,$L$110:$O$157,3,FALSE()))</f>
        <v>0</v>
      </c>
      <c r="N53" s="974" t="n">
        <f aca="false">IF(ISERROR(VLOOKUP($B53,$L$110:$O$157,4,FALSE()))=TRUE(),0,VLOOKUP($B53,$L$110:$O$157,4,FALSE()))</f>
        <v>0</v>
      </c>
      <c r="O53" s="973" t="n">
        <f aca="false">IF(AND(DATE(YEAR($B53),MONTH($B53),DAY(1))=DATE(YEAR($V$91),MONTH($V$91),DAY(1)),$O$34=0),$V$90,0)</f>
        <v>0</v>
      </c>
      <c r="P53" s="973" t="n">
        <f aca="false">IF(AND(B53=$V$91,$P$34=0),$V$102,0)</f>
        <v>0</v>
      </c>
      <c r="Q53" s="973" t="n">
        <f aca="false">IF(ISERROR(VLOOKUP($B53,$U$110:$X$157,3,FALSE()))=TRUE(),0,VLOOKUP($B53,$U$110:$X$157,3,FALSE()))</f>
        <v>0</v>
      </c>
      <c r="R53" s="974" t="n">
        <f aca="false">IF(ISERROR(VLOOKUP($B53,$U$110:$X$157,4,FALSE()))=TRUE(),0,VLOOKUP($B53,$U$110:$X$157,4,FALSE()))</f>
        <v>0</v>
      </c>
      <c r="T53" s="972" t="n">
        <f aca="false">DATE(YEAR(T52),MONTH(T52)+1,DAY(T52))</f>
        <v>45474</v>
      </c>
      <c r="U53" s="973" t="n">
        <f aca="false">Y53+AC53+AG53</f>
        <v>0</v>
      </c>
      <c r="V53" s="973" t="n">
        <f aca="false">Z53+AD53+AH53</f>
        <v>0</v>
      </c>
      <c r="W53" s="974" t="n">
        <f aca="false">AA53+AE53+AI53</f>
        <v>0</v>
      </c>
      <c r="X53" s="976" t="n">
        <f aca="false">AB53+AF53+AJ53</f>
        <v>0</v>
      </c>
      <c r="Y53" s="975" t="n">
        <f aca="false">IF(DATE(YEAR($B53),MONTH($B53),DAY(1))=DATE(YEAR($AE$92),MONTH($AE$92),DAY(1)),$AE$91,0)</f>
        <v>0</v>
      </c>
      <c r="Z53" s="973" t="n">
        <f aca="false">IF(ISERROR(VLOOKUP($T53,$AD$110:$AG$157,3,FALSE()))=TRUE(),0,VLOOKUP($T53,$AD$110:$AG$157,3,FALSE()))</f>
        <v>0</v>
      </c>
      <c r="AA53" s="976" t="n">
        <f aca="false">IF(ISERROR(VLOOKUP($T53,$AD$110:$AG$157,4,FALSE()))=TRUE(),0,VLOOKUP($T53,$AD$110:$AG$157,4,FALSE()))</f>
        <v>0</v>
      </c>
      <c r="AB53" s="977" t="n">
        <f aca="false">(Z53+AA53)*'Datos generales'!$D$16</f>
        <v>0</v>
      </c>
      <c r="AC53" s="975" t="n">
        <f aca="false">IF(DATE(YEAR($B53),MONTH($B53),DAY(1))=DATE(YEAR($AN$92),MONTH($AN$92),DAY(1)),$AN$91,0)</f>
        <v>0</v>
      </c>
      <c r="AD53" s="973" t="n">
        <f aca="false">IF(ISERROR(VLOOKUP($T53,$AM$110:$AO$157,3,FALSE()))=TRUE(),0,VLOOKUP($T53,$AM$110:$AO$157,3,FALSE()))</f>
        <v>0</v>
      </c>
      <c r="AE53" s="976" t="n">
        <f aca="false">IF(ISERROR(VLOOKUP($T53,$AM$110:$AP$157,4,FALSE()))=TRUE(),0,VLOOKUP($T53,$AM$110:$AP$157,4,FALSE()))</f>
        <v>0</v>
      </c>
      <c r="AF53" s="977" t="n">
        <f aca="false">(AD53+AE53)*'Datos generales'!$D$16</f>
        <v>0</v>
      </c>
      <c r="AG53" s="975" t="n">
        <f aca="false">IF(DATE(YEAR($B53),MONTH($B53),DAY(1))=DATE(YEAR($AW$92),MONTH($AW$92),DAY(1)),$AW$91,0)</f>
        <v>0</v>
      </c>
      <c r="AH53" s="973" t="n">
        <f aca="false">IF(ISERROR(VLOOKUP($T53,$AV$110:$AX$157,3,FALSE()))=TRUE(),0,VLOOKUP($T53,$AV$110:$AX$157,3,FALSE()))</f>
        <v>0</v>
      </c>
      <c r="AI53" s="976" t="n">
        <f aca="false">IF(ISERROR(VLOOKUP($T53,$AV$110:$AY$157,4,FALSE()))=TRUE(),0,VLOOKUP($T53,$AV$110:$AY$157,4,FALSE()))</f>
        <v>0</v>
      </c>
      <c r="AJ53" s="977" t="n">
        <f aca="false">(AH53+AI53)*'Datos generales'!$D$16</f>
        <v>0</v>
      </c>
    </row>
    <row r="54" customFormat="false" ht="12.75" hidden="true" customHeight="false" outlineLevel="0" collapsed="false">
      <c r="B54" s="972" t="n">
        <f aca="false">DATE(YEAR(B53),MONTH(B53)+1,DAY(B53))</f>
        <v>45505</v>
      </c>
      <c r="C54" s="973" t="n">
        <f aca="false">G54+K54+O54</f>
        <v>0</v>
      </c>
      <c r="D54" s="973" t="n">
        <f aca="false">H54+L54+P54</f>
        <v>0</v>
      </c>
      <c r="E54" s="973" t="n">
        <f aca="false">I54+M54+Q54</f>
        <v>0</v>
      </c>
      <c r="F54" s="974" t="n">
        <f aca="false">J54+N54+R54</f>
        <v>0</v>
      </c>
      <c r="G54" s="973" t="n">
        <f aca="false">IF(AND(DATE(YEAR($B54),MONTH($B54),DAY(1))=DATE(YEAR($D$91),MONTH($D$91),DAY(1)),$G$34=0),$D$90,0)</f>
        <v>0</v>
      </c>
      <c r="H54" s="973" t="n">
        <f aca="false">IF(AND(B54=$D$91,$H$34=0),$D$102,0)</f>
        <v>0</v>
      </c>
      <c r="I54" s="973" t="n">
        <f aca="false">IF(ISERROR(VLOOKUP($B54,$C$110:$F$157,3,FALSE()))=TRUE(),0,VLOOKUP($B54,$C$110:$F$157,3,FALSE()))</f>
        <v>0</v>
      </c>
      <c r="J54" s="974" t="n">
        <f aca="false">IF(ISERROR(VLOOKUP($B54,$C$110:$F$157,4,FALSE()))=TRUE(),0,VLOOKUP($B54,$C$110:$F$157,4,FALSE()))</f>
        <v>0</v>
      </c>
      <c r="K54" s="973" t="n">
        <f aca="false">IF(AND(DATE(YEAR($B54),MONTH($B54),DAY(1))=DATE(YEAR($M$91),MONTH($M$91),DAY(1)),$K$34=0),$M$90,0)</f>
        <v>0</v>
      </c>
      <c r="L54" s="973" t="n">
        <f aca="false">IF(AND(B54=$M$91,$L$34=0),$M$102,0)</f>
        <v>0</v>
      </c>
      <c r="M54" s="973" t="n">
        <f aca="false">IF(ISERROR(VLOOKUP($B54,$L$110:$O$157,3,FALSE()))=TRUE(),0,VLOOKUP($B54,$L$110:$O$157,3,FALSE()))</f>
        <v>0</v>
      </c>
      <c r="N54" s="974" t="n">
        <f aca="false">IF(ISERROR(VLOOKUP($B54,$L$110:$O$157,4,FALSE()))=TRUE(),0,VLOOKUP($B54,$L$110:$O$157,4,FALSE()))</f>
        <v>0</v>
      </c>
      <c r="O54" s="973" t="n">
        <f aca="false">IF(AND(DATE(YEAR($B54),MONTH($B54),DAY(1))=DATE(YEAR($V$91),MONTH($V$91),DAY(1)),$O$34=0),$V$90,0)</f>
        <v>0</v>
      </c>
      <c r="P54" s="973" t="n">
        <f aca="false">IF(AND(B54=$V$91,$P$34=0),$V$102,0)</f>
        <v>0</v>
      </c>
      <c r="Q54" s="973" t="n">
        <f aca="false">IF(ISERROR(VLOOKUP($B54,$U$110:$X$157,3,FALSE()))=TRUE(),0,VLOOKUP($B54,$U$110:$X$157,3,FALSE()))</f>
        <v>0</v>
      </c>
      <c r="R54" s="974" t="n">
        <f aca="false">IF(ISERROR(VLOOKUP($B54,$U$110:$X$157,4,FALSE()))=TRUE(),0,VLOOKUP($B54,$U$110:$X$157,4,FALSE()))</f>
        <v>0</v>
      </c>
      <c r="T54" s="972" t="n">
        <f aca="false">DATE(YEAR(T53),MONTH(T53)+1,DAY(T53))</f>
        <v>45505</v>
      </c>
      <c r="U54" s="973" t="n">
        <f aca="false">Y54+AC54+AG54</f>
        <v>0</v>
      </c>
      <c r="V54" s="973" t="n">
        <f aca="false">Z54+AD54+AH54</f>
        <v>0</v>
      </c>
      <c r="W54" s="974" t="n">
        <f aca="false">AA54+AE54+AI54</f>
        <v>0</v>
      </c>
      <c r="X54" s="976" t="n">
        <f aca="false">AB54+AF54+AJ54</f>
        <v>0</v>
      </c>
      <c r="Y54" s="975" t="n">
        <f aca="false">IF(DATE(YEAR($B54),MONTH($B54),DAY(1))=DATE(YEAR($AE$92),MONTH($AE$92),DAY(1)),$AE$91,0)</f>
        <v>0</v>
      </c>
      <c r="Z54" s="973" t="n">
        <f aca="false">IF(ISERROR(VLOOKUP($T54,$AD$110:$AG$157,3,FALSE()))=TRUE(),0,VLOOKUP($T54,$AD$110:$AG$157,3,FALSE()))</f>
        <v>0</v>
      </c>
      <c r="AA54" s="976" t="n">
        <f aca="false">IF(ISERROR(VLOOKUP($T54,$AD$110:$AG$157,4,FALSE()))=TRUE(),0,VLOOKUP($T54,$AD$110:$AG$157,4,FALSE()))</f>
        <v>0</v>
      </c>
      <c r="AB54" s="977" t="n">
        <f aca="false">(Z54+AA54)*'Datos generales'!$D$16</f>
        <v>0</v>
      </c>
      <c r="AC54" s="975" t="n">
        <f aca="false">IF(DATE(YEAR($B54),MONTH($B54),DAY(1))=DATE(YEAR($AN$92),MONTH($AN$92),DAY(1)),$AN$91,0)</f>
        <v>0</v>
      </c>
      <c r="AD54" s="973" t="n">
        <f aca="false">IF(ISERROR(VLOOKUP($T54,$AM$110:$AO$157,3,FALSE()))=TRUE(),0,VLOOKUP($T54,$AM$110:$AO$157,3,FALSE()))</f>
        <v>0</v>
      </c>
      <c r="AE54" s="976" t="n">
        <f aca="false">IF(ISERROR(VLOOKUP($T54,$AM$110:$AP$157,4,FALSE()))=TRUE(),0,VLOOKUP($T54,$AM$110:$AP$157,4,FALSE()))</f>
        <v>0</v>
      </c>
      <c r="AF54" s="977" t="n">
        <f aca="false">(AD54+AE54)*'Datos generales'!$D$16</f>
        <v>0</v>
      </c>
      <c r="AG54" s="975" t="n">
        <f aca="false">IF(DATE(YEAR($B54),MONTH($B54),DAY(1))=DATE(YEAR($AW$92),MONTH($AW$92),DAY(1)),$AW$91,0)</f>
        <v>0</v>
      </c>
      <c r="AH54" s="973" t="n">
        <f aca="false">IF(ISERROR(VLOOKUP($T54,$AV$110:$AX$157,3,FALSE()))=TRUE(),0,VLOOKUP($T54,$AV$110:$AX$157,3,FALSE()))</f>
        <v>0</v>
      </c>
      <c r="AI54" s="976" t="n">
        <f aca="false">IF(ISERROR(VLOOKUP($T54,$AV$110:$AY$157,4,FALSE()))=TRUE(),0,VLOOKUP($T54,$AV$110:$AY$157,4,FALSE()))</f>
        <v>0</v>
      </c>
      <c r="AJ54" s="977" t="n">
        <f aca="false">(AH54+AI54)*'Datos generales'!$D$16</f>
        <v>0</v>
      </c>
    </row>
    <row r="55" customFormat="false" ht="12.75" hidden="true" customHeight="false" outlineLevel="0" collapsed="false">
      <c r="B55" s="972" t="n">
        <f aca="false">DATE(YEAR(B54),MONTH(B54)+1,DAY(B54))</f>
        <v>45536</v>
      </c>
      <c r="C55" s="973" t="n">
        <f aca="false">G55+K55+O55</f>
        <v>0</v>
      </c>
      <c r="D55" s="973" t="n">
        <f aca="false">H55+L55+P55</f>
        <v>0</v>
      </c>
      <c r="E55" s="973" t="n">
        <f aca="false">I55+M55+Q55</f>
        <v>0</v>
      </c>
      <c r="F55" s="974" t="n">
        <f aca="false">J55+N55+R55</f>
        <v>0</v>
      </c>
      <c r="G55" s="973" t="n">
        <f aca="false">IF(AND(DATE(YEAR($B55),MONTH($B55),DAY(1))=DATE(YEAR($D$91),MONTH($D$91),DAY(1)),$G$34=0),$D$90,0)</f>
        <v>0</v>
      </c>
      <c r="H55" s="973" t="n">
        <f aca="false">IF(AND(B55=$D$91,$H$34=0),$D$102,0)</f>
        <v>0</v>
      </c>
      <c r="I55" s="973" t="n">
        <f aca="false">IF(ISERROR(VLOOKUP($B55,$C$110:$F$157,3,FALSE()))=TRUE(),0,VLOOKUP($B55,$C$110:$F$157,3,FALSE()))</f>
        <v>0</v>
      </c>
      <c r="J55" s="974" t="n">
        <f aca="false">IF(ISERROR(VLOOKUP($B55,$C$110:$F$157,4,FALSE()))=TRUE(),0,VLOOKUP($B55,$C$110:$F$157,4,FALSE()))</f>
        <v>0</v>
      </c>
      <c r="K55" s="973" t="n">
        <f aca="false">IF(AND(DATE(YEAR($B55),MONTH($B55),DAY(1))=DATE(YEAR($M$91),MONTH($M$91),DAY(1)),$K$34=0),$M$90,0)</f>
        <v>0</v>
      </c>
      <c r="L55" s="973" t="n">
        <f aca="false">IF(AND(B55=$M$91,$L$34=0),$M$102,0)</f>
        <v>0</v>
      </c>
      <c r="M55" s="973" t="n">
        <f aca="false">IF(ISERROR(VLOOKUP($B55,$L$110:$O$157,3,FALSE()))=TRUE(),0,VLOOKUP($B55,$L$110:$O$157,3,FALSE()))</f>
        <v>0</v>
      </c>
      <c r="N55" s="974" t="n">
        <f aca="false">IF(ISERROR(VLOOKUP($B55,$L$110:$O$157,4,FALSE()))=TRUE(),0,VLOOKUP($B55,$L$110:$O$157,4,FALSE()))</f>
        <v>0</v>
      </c>
      <c r="O55" s="973" t="n">
        <f aca="false">IF(AND(DATE(YEAR($B55),MONTH($B55),DAY(1))=DATE(YEAR($V$91),MONTH($V$91),DAY(1)),$O$34=0),$V$90,0)</f>
        <v>0</v>
      </c>
      <c r="P55" s="973" t="n">
        <f aca="false">IF(AND(B55=$V$91,$P$34=0),$V$102,0)</f>
        <v>0</v>
      </c>
      <c r="Q55" s="973" t="n">
        <f aca="false">IF(ISERROR(VLOOKUP($B55,$U$110:$X$157,3,FALSE()))=TRUE(),0,VLOOKUP($B55,$U$110:$X$157,3,FALSE()))</f>
        <v>0</v>
      </c>
      <c r="R55" s="974" t="n">
        <f aca="false">IF(ISERROR(VLOOKUP($B55,$U$110:$X$157,4,FALSE()))=TRUE(),0,VLOOKUP($B55,$U$110:$X$157,4,FALSE()))</f>
        <v>0</v>
      </c>
      <c r="T55" s="972" t="n">
        <f aca="false">DATE(YEAR(T54),MONTH(T54)+1,DAY(T54))</f>
        <v>45536</v>
      </c>
      <c r="U55" s="973" t="n">
        <f aca="false">Y55+AC55+AG55</f>
        <v>0</v>
      </c>
      <c r="V55" s="973" t="n">
        <f aca="false">Z55+AD55+AH55</f>
        <v>0</v>
      </c>
      <c r="W55" s="974" t="n">
        <f aca="false">AA55+AE55+AI55</f>
        <v>0</v>
      </c>
      <c r="X55" s="976" t="n">
        <f aca="false">AB55+AF55+AJ55</f>
        <v>0</v>
      </c>
      <c r="Y55" s="975" t="n">
        <f aca="false">IF(DATE(YEAR($B55),MONTH($B55),DAY(1))=DATE(YEAR($AE$92),MONTH($AE$92),DAY(1)),$AE$91,0)</f>
        <v>0</v>
      </c>
      <c r="Z55" s="973" t="n">
        <f aca="false">IF(ISERROR(VLOOKUP($T55,$AD$110:$AG$157,3,FALSE()))=TRUE(),0,VLOOKUP($T55,$AD$110:$AG$157,3,FALSE()))</f>
        <v>0</v>
      </c>
      <c r="AA55" s="976" t="n">
        <f aca="false">IF(ISERROR(VLOOKUP($T55,$AD$110:$AG$157,4,FALSE()))=TRUE(),0,VLOOKUP($T55,$AD$110:$AG$157,4,FALSE()))</f>
        <v>0</v>
      </c>
      <c r="AB55" s="977" t="n">
        <f aca="false">(Z55+AA55)*'Datos generales'!$D$16</f>
        <v>0</v>
      </c>
      <c r="AC55" s="975" t="n">
        <f aca="false">IF(DATE(YEAR($B55),MONTH($B55),DAY(1))=DATE(YEAR($AN$92),MONTH($AN$92),DAY(1)),$AN$91,0)</f>
        <v>0</v>
      </c>
      <c r="AD55" s="973" t="n">
        <f aca="false">IF(ISERROR(VLOOKUP($T55,$AM$110:$AO$157,3,FALSE()))=TRUE(),0,VLOOKUP($T55,$AM$110:$AO$157,3,FALSE()))</f>
        <v>0</v>
      </c>
      <c r="AE55" s="976" t="n">
        <f aca="false">IF(ISERROR(VLOOKUP($T55,$AM$110:$AP$157,4,FALSE()))=TRUE(),0,VLOOKUP($T55,$AM$110:$AP$157,4,FALSE()))</f>
        <v>0</v>
      </c>
      <c r="AF55" s="977" t="n">
        <f aca="false">(AD55+AE55)*'Datos generales'!$D$16</f>
        <v>0</v>
      </c>
      <c r="AG55" s="975" t="n">
        <f aca="false">IF(DATE(YEAR($B55),MONTH($B55),DAY(1))=DATE(YEAR($AW$92),MONTH($AW$92),DAY(1)),$AW$91,0)</f>
        <v>0</v>
      </c>
      <c r="AH55" s="973" t="n">
        <f aca="false">IF(ISERROR(VLOOKUP($T55,$AV$110:$AX$157,3,FALSE()))=TRUE(),0,VLOOKUP($T55,$AV$110:$AX$157,3,FALSE()))</f>
        <v>0</v>
      </c>
      <c r="AI55" s="976" t="n">
        <f aca="false">IF(ISERROR(VLOOKUP($T55,$AV$110:$AY$157,4,FALSE()))=TRUE(),0,VLOOKUP($T55,$AV$110:$AY$157,4,FALSE()))</f>
        <v>0</v>
      </c>
      <c r="AJ55" s="977" t="n">
        <f aca="false">(AH55+AI55)*'Datos generales'!$D$16</f>
        <v>0</v>
      </c>
    </row>
    <row r="56" customFormat="false" ht="12.75" hidden="true" customHeight="false" outlineLevel="0" collapsed="false">
      <c r="B56" s="972" t="n">
        <f aca="false">DATE(YEAR(B55),MONTH(B55)+1,DAY(B55))</f>
        <v>45566</v>
      </c>
      <c r="C56" s="973" t="n">
        <f aca="false">G56+K56+O56</f>
        <v>0</v>
      </c>
      <c r="D56" s="973" t="n">
        <f aca="false">H56+L56+P56</f>
        <v>0</v>
      </c>
      <c r="E56" s="973" t="n">
        <f aca="false">I56+M56+Q56</f>
        <v>0</v>
      </c>
      <c r="F56" s="974" t="n">
        <f aca="false">J56+N56+R56</f>
        <v>0</v>
      </c>
      <c r="G56" s="973" t="n">
        <f aca="false">IF(AND(DATE(YEAR($B56),MONTH($B56),DAY(1))=DATE(YEAR($D$91),MONTH($D$91),DAY(1)),$G$34=0),$D$90,0)</f>
        <v>0</v>
      </c>
      <c r="H56" s="973" t="n">
        <f aca="false">IF(AND(B56=$D$91,$H$34=0),$D$102,0)</f>
        <v>0</v>
      </c>
      <c r="I56" s="973" t="n">
        <f aca="false">IF(ISERROR(VLOOKUP($B56,$C$110:$F$157,3,FALSE()))=TRUE(),0,VLOOKUP($B56,$C$110:$F$157,3,FALSE()))</f>
        <v>0</v>
      </c>
      <c r="J56" s="974" t="n">
        <f aca="false">IF(ISERROR(VLOOKUP($B56,$C$110:$F$157,4,FALSE()))=TRUE(),0,VLOOKUP($B56,$C$110:$F$157,4,FALSE()))</f>
        <v>0</v>
      </c>
      <c r="K56" s="973" t="n">
        <f aca="false">IF(AND(DATE(YEAR($B56),MONTH($B56),DAY(1))=DATE(YEAR($M$91),MONTH($M$91),DAY(1)),$K$34=0),$M$90,0)</f>
        <v>0</v>
      </c>
      <c r="L56" s="973" t="n">
        <f aca="false">IF(AND(B56=$M$91,$L$34=0),$M$102,0)</f>
        <v>0</v>
      </c>
      <c r="M56" s="973" t="n">
        <f aca="false">IF(ISERROR(VLOOKUP($B56,$L$110:$O$157,3,FALSE()))=TRUE(),0,VLOOKUP($B56,$L$110:$O$157,3,FALSE()))</f>
        <v>0</v>
      </c>
      <c r="N56" s="974" t="n">
        <f aca="false">IF(ISERROR(VLOOKUP($B56,$L$110:$O$157,4,FALSE()))=TRUE(),0,VLOOKUP($B56,$L$110:$O$157,4,FALSE()))</f>
        <v>0</v>
      </c>
      <c r="O56" s="973" t="n">
        <f aca="false">IF(AND(DATE(YEAR($B56),MONTH($B56),DAY(1))=DATE(YEAR($V$91),MONTH($V$91),DAY(1)),$O$34=0),$V$90,0)</f>
        <v>0</v>
      </c>
      <c r="P56" s="973" t="n">
        <f aca="false">IF(AND(B56=$V$91,$P$34=0),$V$102,0)</f>
        <v>0</v>
      </c>
      <c r="Q56" s="973" t="n">
        <f aca="false">IF(ISERROR(VLOOKUP($B56,$U$110:$X$157,3,FALSE()))=TRUE(),0,VLOOKUP($B56,$U$110:$X$157,3,FALSE()))</f>
        <v>0</v>
      </c>
      <c r="R56" s="974" t="n">
        <f aca="false">IF(ISERROR(VLOOKUP($B56,$U$110:$X$157,4,FALSE()))=TRUE(),0,VLOOKUP($B56,$U$110:$X$157,4,FALSE()))</f>
        <v>0</v>
      </c>
      <c r="T56" s="972" t="n">
        <f aca="false">DATE(YEAR(T55),MONTH(T55)+1,DAY(T55))</f>
        <v>45566</v>
      </c>
      <c r="U56" s="973" t="n">
        <f aca="false">Y56+AC56+AG56</f>
        <v>0</v>
      </c>
      <c r="V56" s="973" t="n">
        <f aca="false">Z56+AD56+AH56</f>
        <v>0</v>
      </c>
      <c r="W56" s="974" t="n">
        <f aca="false">AA56+AE56+AI56</f>
        <v>0</v>
      </c>
      <c r="X56" s="976" t="n">
        <f aca="false">AB56+AF56+AJ56</f>
        <v>0</v>
      </c>
      <c r="Y56" s="975" t="n">
        <f aca="false">IF(DATE(YEAR($B56),MONTH($B56),DAY(1))=DATE(YEAR($AE$92),MONTH($AE$92),DAY(1)),$AE$91,0)</f>
        <v>0</v>
      </c>
      <c r="Z56" s="973" t="n">
        <f aca="false">IF(ISERROR(VLOOKUP($T56,$AD$110:$AG$157,3,FALSE()))=TRUE(),0,VLOOKUP($T56,$AD$110:$AG$157,3,FALSE()))</f>
        <v>0</v>
      </c>
      <c r="AA56" s="976" t="n">
        <f aca="false">IF(ISERROR(VLOOKUP($T56,$AD$110:$AG$157,4,FALSE()))=TRUE(),0,VLOOKUP($T56,$AD$110:$AG$157,4,FALSE()))</f>
        <v>0</v>
      </c>
      <c r="AB56" s="977" t="n">
        <f aca="false">(Z56+AA56)*'Datos generales'!$D$16</f>
        <v>0</v>
      </c>
      <c r="AC56" s="975" t="n">
        <f aca="false">IF(DATE(YEAR($B56),MONTH($B56),DAY(1))=DATE(YEAR($AN$92),MONTH($AN$92),DAY(1)),$AN$91,0)</f>
        <v>0</v>
      </c>
      <c r="AD56" s="973" t="n">
        <f aca="false">IF(ISERROR(VLOOKUP($T56,$AM$110:$AO$157,3,FALSE()))=TRUE(),0,VLOOKUP($T56,$AM$110:$AO$157,3,FALSE()))</f>
        <v>0</v>
      </c>
      <c r="AE56" s="976" t="n">
        <f aca="false">IF(ISERROR(VLOOKUP($T56,$AM$110:$AP$157,4,FALSE()))=TRUE(),0,VLOOKUP($T56,$AM$110:$AP$157,4,FALSE()))</f>
        <v>0</v>
      </c>
      <c r="AF56" s="977" t="n">
        <f aca="false">(AD56+AE56)*'Datos generales'!$D$16</f>
        <v>0</v>
      </c>
      <c r="AG56" s="975" t="n">
        <f aca="false">IF(DATE(YEAR($B56),MONTH($B56),DAY(1))=DATE(YEAR($AW$92),MONTH($AW$92),DAY(1)),$AW$91,0)</f>
        <v>0</v>
      </c>
      <c r="AH56" s="973" t="n">
        <f aca="false">IF(ISERROR(VLOOKUP($T56,$AV$110:$AX$157,3,FALSE()))=TRUE(),0,VLOOKUP($T56,$AV$110:$AX$157,3,FALSE()))</f>
        <v>0</v>
      </c>
      <c r="AI56" s="976" t="n">
        <f aca="false">IF(ISERROR(VLOOKUP($T56,$AV$110:$AY$157,4,FALSE()))=TRUE(),0,VLOOKUP($T56,$AV$110:$AY$157,4,FALSE()))</f>
        <v>0</v>
      </c>
      <c r="AJ56" s="977" t="n">
        <f aca="false">(AH56+AI56)*'Datos generales'!$D$16</f>
        <v>0</v>
      </c>
    </row>
    <row r="57" customFormat="false" ht="12.75" hidden="true" customHeight="false" outlineLevel="0" collapsed="false">
      <c r="B57" s="972" t="n">
        <f aca="false">DATE(YEAR(B56),MONTH(B56)+1,DAY(B56))</f>
        <v>45597</v>
      </c>
      <c r="C57" s="973" t="n">
        <f aca="false">G57+K57+O57</f>
        <v>0</v>
      </c>
      <c r="D57" s="973" t="n">
        <f aca="false">H57+L57+P57</f>
        <v>0</v>
      </c>
      <c r="E57" s="973" t="n">
        <f aca="false">I57+M57+Q57</f>
        <v>0</v>
      </c>
      <c r="F57" s="974" t="n">
        <f aca="false">J57+N57+R57</f>
        <v>0</v>
      </c>
      <c r="G57" s="973" t="n">
        <f aca="false">IF(AND(DATE(YEAR($B57),MONTH($B57),DAY(1))=DATE(YEAR($D$91),MONTH($D$91),DAY(1)),$G$34=0),$D$90,0)</f>
        <v>0</v>
      </c>
      <c r="H57" s="973" t="n">
        <f aca="false">IF(AND(B57=$D$91,$H$34=0),$D$102,0)</f>
        <v>0</v>
      </c>
      <c r="I57" s="973" t="n">
        <f aca="false">IF(ISERROR(VLOOKUP($B57,$C$110:$F$157,3,FALSE()))=TRUE(),0,VLOOKUP($B57,$C$110:$F$157,3,FALSE()))</f>
        <v>0</v>
      </c>
      <c r="J57" s="974" t="n">
        <f aca="false">IF(ISERROR(VLOOKUP($B57,$C$110:$F$157,4,FALSE()))=TRUE(),0,VLOOKUP($B57,$C$110:$F$157,4,FALSE()))</f>
        <v>0</v>
      </c>
      <c r="K57" s="973" t="n">
        <f aca="false">IF(AND(DATE(YEAR($B57),MONTH($B57),DAY(1))=DATE(YEAR($M$91),MONTH($M$91),DAY(1)),$K$34=0),$M$90,0)</f>
        <v>0</v>
      </c>
      <c r="L57" s="973" t="n">
        <f aca="false">IF(AND(B57=$M$91,$L$34=0),$M$102,0)</f>
        <v>0</v>
      </c>
      <c r="M57" s="973" t="n">
        <f aca="false">IF(ISERROR(VLOOKUP($B57,$L$110:$O$157,3,FALSE()))=TRUE(),0,VLOOKUP($B57,$L$110:$O$157,3,FALSE()))</f>
        <v>0</v>
      </c>
      <c r="N57" s="974" t="n">
        <f aca="false">IF(ISERROR(VLOOKUP($B57,$L$110:$O$157,4,FALSE()))=TRUE(),0,VLOOKUP($B57,$L$110:$O$157,4,FALSE()))</f>
        <v>0</v>
      </c>
      <c r="O57" s="973" t="n">
        <f aca="false">IF(AND(DATE(YEAR($B57),MONTH($B57),DAY(1))=DATE(YEAR($V$91),MONTH($V$91),DAY(1)),$O$34=0),$V$90,0)</f>
        <v>0</v>
      </c>
      <c r="P57" s="973" t="n">
        <f aca="false">IF(AND(B57=$V$91,$P$34=0),$V$102,0)</f>
        <v>0</v>
      </c>
      <c r="Q57" s="973" t="n">
        <f aca="false">IF(ISERROR(VLOOKUP($B57,$U$110:$X$157,3,FALSE()))=TRUE(),0,VLOOKUP($B57,$U$110:$X$157,3,FALSE()))</f>
        <v>0</v>
      </c>
      <c r="R57" s="974" t="n">
        <f aca="false">IF(ISERROR(VLOOKUP($B57,$U$110:$X$157,4,FALSE()))=TRUE(),0,VLOOKUP($B57,$U$110:$X$157,4,FALSE()))</f>
        <v>0</v>
      </c>
      <c r="T57" s="972" t="n">
        <f aca="false">DATE(YEAR(T56),MONTH(T56)+1,DAY(T56))</f>
        <v>45597</v>
      </c>
      <c r="U57" s="973" t="n">
        <f aca="false">Y57+AC57+AG57</f>
        <v>0</v>
      </c>
      <c r="V57" s="973" t="n">
        <f aca="false">Z57+AD57+AH57</f>
        <v>0</v>
      </c>
      <c r="W57" s="974" t="n">
        <f aca="false">AA57+AE57+AI57</f>
        <v>0</v>
      </c>
      <c r="X57" s="976" t="n">
        <f aca="false">AB57+AF57+AJ57</f>
        <v>0</v>
      </c>
      <c r="Y57" s="975" t="n">
        <f aca="false">IF(DATE(YEAR($B57),MONTH($B57),DAY(1))=DATE(YEAR($AE$92),MONTH($AE$92),DAY(1)),$AE$91,0)</f>
        <v>0</v>
      </c>
      <c r="Z57" s="973" t="n">
        <f aca="false">IF(ISERROR(VLOOKUP($T57,$AD$110:$AG$157,3,FALSE()))=TRUE(),0,VLOOKUP($T57,$AD$110:$AG$157,3,FALSE()))</f>
        <v>0</v>
      </c>
      <c r="AA57" s="976" t="n">
        <f aca="false">IF(ISERROR(VLOOKUP($T57,$AD$110:$AG$157,4,FALSE()))=TRUE(),0,VLOOKUP($T57,$AD$110:$AG$157,4,FALSE()))</f>
        <v>0</v>
      </c>
      <c r="AB57" s="977" t="n">
        <f aca="false">(Z57+AA57)*'Datos generales'!$D$16</f>
        <v>0</v>
      </c>
      <c r="AC57" s="975" t="n">
        <f aca="false">IF(DATE(YEAR($B57),MONTH($B57),DAY(1))=DATE(YEAR($AN$92),MONTH($AN$92),DAY(1)),$AN$91,0)</f>
        <v>0</v>
      </c>
      <c r="AD57" s="973" t="n">
        <f aca="false">IF(ISERROR(VLOOKUP($T57,$AM$110:$AO$157,3,FALSE()))=TRUE(),0,VLOOKUP($T57,$AM$110:$AO$157,3,FALSE()))</f>
        <v>0</v>
      </c>
      <c r="AE57" s="976" t="n">
        <f aca="false">IF(ISERROR(VLOOKUP($T57,$AM$110:$AP$157,4,FALSE()))=TRUE(),0,VLOOKUP($T57,$AM$110:$AP$157,4,FALSE()))</f>
        <v>0</v>
      </c>
      <c r="AF57" s="977" t="n">
        <f aca="false">(AD57+AE57)*'Datos generales'!$D$16</f>
        <v>0</v>
      </c>
      <c r="AG57" s="975" t="n">
        <f aca="false">IF(DATE(YEAR($B57),MONTH($B57),DAY(1))=DATE(YEAR($AW$92),MONTH($AW$92),DAY(1)),$AW$91,0)</f>
        <v>0</v>
      </c>
      <c r="AH57" s="973" t="n">
        <f aca="false">IF(ISERROR(VLOOKUP($T57,$AV$110:$AX$157,3,FALSE()))=TRUE(),0,VLOOKUP($T57,$AV$110:$AX$157,3,FALSE()))</f>
        <v>0</v>
      </c>
      <c r="AI57" s="976" t="n">
        <f aca="false">IF(ISERROR(VLOOKUP($T57,$AV$110:$AY$157,4,FALSE()))=TRUE(),0,VLOOKUP($T57,$AV$110:$AY$157,4,FALSE()))</f>
        <v>0</v>
      </c>
      <c r="AJ57" s="977" t="n">
        <f aca="false">(AH57+AI57)*'Datos generales'!$D$16</f>
        <v>0</v>
      </c>
    </row>
    <row r="58" s="23" customFormat="true" ht="12.75" hidden="true" customHeight="false" outlineLevel="0" collapsed="false">
      <c r="B58" s="978" t="n">
        <f aca="false">DATE(YEAR(B57),MONTH(B57)+1,DAY(B57))</f>
        <v>45627</v>
      </c>
      <c r="C58" s="979" t="n">
        <f aca="false">G58+K58+O58</f>
        <v>0</v>
      </c>
      <c r="D58" s="979" t="n">
        <f aca="false">H58+L58+P58</f>
        <v>0</v>
      </c>
      <c r="E58" s="979" t="n">
        <f aca="false">I58+M58+Q58</f>
        <v>0</v>
      </c>
      <c r="F58" s="980" t="n">
        <f aca="false">J58+N58+R58</f>
        <v>0</v>
      </c>
      <c r="G58" s="981" t="n">
        <f aca="false">IF(AND(DATE(YEAR($B58),MONTH($B58),DAY(1))=DATE(YEAR($D$91),MONTH($D$91),DAY(1)),$G$34=0),$D$90,0)</f>
        <v>0</v>
      </c>
      <c r="H58" s="981" t="n">
        <f aca="false">IF(AND(B58=$D$91,$H$34=0),$D$102,0)</f>
        <v>0</v>
      </c>
      <c r="I58" s="981" t="n">
        <f aca="false">IF(ISERROR(VLOOKUP($B58,$C$110:$F$157,3,FALSE()))=TRUE(),0,VLOOKUP($B58,$C$110:$F$157,3,FALSE()))</f>
        <v>0</v>
      </c>
      <c r="J58" s="981" t="n">
        <f aca="false">IF(ISERROR(VLOOKUP($B58,$C$110:$F$157,4,FALSE()))=TRUE(),0,VLOOKUP($B58,$C$110:$F$157,4,FALSE()))</f>
        <v>0</v>
      </c>
      <c r="K58" s="981" t="n">
        <f aca="false">IF(AND(DATE(YEAR($B58),MONTH($B58),DAY(1))=DATE(YEAR($M$91),MONTH($M$91),DAY(1)),$K$34=0),$M$90,0)</f>
        <v>0</v>
      </c>
      <c r="L58" s="981" t="n">
        <f aca="false">IF(AND(B58=$M$91,$L$34=0),$M$102,0)</f>
        <v>0</v>
      </c>
      <c r="M58" s="981" t="n">
        <f aca="false">IF(ISERROR(VLOOKUP($B58,$L$110:$O$157,3,FALSE()))=TRUE(),0,VLOOKUP($B58,$L$110:$O$157,3,FALSE()))</f>
        <v>0</v>
      </c>
      <c r="N58" s="981" t="n">
        <f aca="false">IF(ISERROR(VLOOKUP($B58,$L$110:$O$157,4,FALSE()))=TRUE(),0,VLOOKUP($B58,$L$110:$O$157,4,FALSE()))</f>
        <v>0</v>
      </c>
      <c r="O58" s="981" t="n">
        <f aca="false">IF(AND(DATE(YEAR($B58),MONTH($B58),DAY(1))=DATE(YEAR($V$91),MONTH($V$91),DAY(1)),$O$34=0),$V$90,0)</f>
        <v>0</v>
      </c>
      <c r="P58" s="981" t="n">
        <f aca="false">IF(AND(B58=$V$91,$P$34=0),$V$102,0)</f>
        <v>0</v>
      </c>
      <c r="Q58" s="981" t="n">
        <f aca="false">IF(ISERROR(VLOOKUP($B58,$U$110:$X$157,3,FALSE()))=TRUE(),0,VLOOKUP($B58,$U$110:$X$157,3,FALSE()))</f>
        <v>0</v>
      </c>
      <c r="R58" s="981" t="n">
        <f aca="false">IF(ISERROR(VLOOKUP($B58,$U$110:$X$157,4,FALSE()))=TRUE(),0,VLOOKUP($B58,$U$110:$X$157,4,FALSE()))</f>
        <v>0</v>
      </c>
      <c r="T58" s="978" t="n">
        <f aca="false">DATE(YEAR(T57),MONTH(T57)+1,DAY(T57))</f>
        <v>45627</v>
      </c>
      <c r="U58" s="979" t="n">
        <f aca="false">Y58+AC58+AG58</f>
        <v>0</v>
      </c>
      <c r="V58" s="979" t="n">
        <f aca="false">Z58+AD58+AH58</f>
        <v>0</v>
      </c>
      <c r="W58" s="980" t="n">
        <f aca="false">AA58+AE58+AI58</f>
        <v>0</v>
      </c>
      <c r="X58" s="982" t="n">
        <f aca="false">AB58+AF58+AJ58</f>
        <v>0</v>
      </c>
      <c r="Y58" s="981" t="n">
        <f aca="false">IF(DATE(YEAR($B58),MONTH($B58),DAY(1))=DATE(YEAR($AE$92),MONTH($AE$92),DAY(1)),$AE$91,0)</f>
        <v>0</v>
      </c>
      <c r="Z58" s="979" t="n">
        <f aca="false">IF(ISERROR(VLOOKUP($T58,$AD$110:$AG$157,3,FALSE()))=TRUE(),0,VLOOKUP($T58,$AD$110:$AG$157,3,FALSE()))</f>
        <v>0</v>
      </c>
      <c r="AA58" s="982" t="n">
        <f aca="false">IF(ISERROR(VLOOKUP($T58,$AD$110:$AG$157,4,FALSE()))=TRUE(),0,VLOOKUP($T58,$AD$110:$AG$157,4,FALSE()))</f>
        <v>0</v>
      </c>
      <c r="AB58" s="980" t="n">
        <f aca="false">(Z58+AA58)*'Datos generales'!$D$16</f>
        <v>0</v>
      </c>
      <c r="AC58" s="981" t="n">
        <f aca="false">IF(DATE(YEAR($B58),MONTH($B58),DAY(1))=DATE(YEAR($AN$92),MONTH($AN$92),DAY(1)),$AN$91,0)</f>
        <v>0</v>
      </c>
      <c r="AD58" s="979" t="n">
        <f aca="false">IF(ISERROR(VLOOKUP($T58,$AM$110:$AO$157,3,FALSE()))=TRUE(),0,VLOOKUP($T58,$AM$110:$AO$157,3,FALSE()))</f>
        <v>0</v>
      </c>
      <c r="AE58" s="982" t="n">
        <f aca="false">IF(ISERROR(VLOOKUP($T58,$AM$110:$AP$157,4,FALSE()))=TRUE(),0,VLOOKUP($T58,$AM$110:$AP$157,4,FALSE()))</f>
        <v>0</v>
      </c>
      <c r="AF58" s="980" t="n">
        <f aca="false">(AD58+AE58)*'Datos generales'!$D$16</f>
        <v>0</v>
      </c>
      <c r="AG58" s="981" t="n">
        <f aca="false">IF(DATE(YEAR($B58),MONTH($B58),DAY(1))=DATE(YEAR($AW$92),MONTH($AW$92),DAY(1)),$AW$91,0)</f>
        <v>0</v>
      </c>
      <c r="AH58" s="979" t="n">
        <f aca="false">IF(ISERROR(VLOOKUP($T58,$AV$110:$AX$157,3,FALSE()))=TRUE(),0,VLOOKUP($T58,$AV$110:$AX$157,3,FALSE()))</f>
        <v>0</v>
      </c>
      <c r="AI58" s="982" t="n">
        <f aca="false">IF(ISERROR(VLOOKUP($T58,$AV$110:$AY$157,4,FALSE()))=TRUE(),0,VLOOKUP($T58,$AV$110:$AY$157,4,FALSE()))</f>
        <v>0</v>
      </c>
      <c r="AJ58" s="980" t="n">
        <f aca="false">(AH58+AI58)*'Datos generales'!$D$16</f>
        <v>0</v>
      </c>
    </row>
    <row r="59" customFormat="false" ht="12.75" hidden="true" customHeight="false" outlineLevel="0" collapsed="false">
      <c r="B59" s="972" t="n">
        <f aca="false">DATE(YEAR(B58),MONTH(B58)+1,DAY(B58))</f>
        <v>45658</v>
      </c>
      <c r="C59" s="973" t="n">
        <f aca="false">G59+K59+O59</f>
        <v>0</v>
      </c>
      <c r="D59" s="973" t="n">
        <f aca="false">H59+L59+P59</f>
        <v>0</v>
      </c>
      <c r="E59" s="973" t="n">
        <f aca="false">I59+M59+Q59</f>
        <v>0</v>
      </c>
      <c r="F59" s="974" t="n">
        <f aca="false">J59+N59+R59</f>
        <v>0</v>
      </c>
      <c r="G59" s="973" t="n">
        <f aca="false">IF(AND(DATE(YEAR($B59),MONTH($B59),DAY(1))=DATE(YEAR($D$91),MONTH($D$91),DAY(1)),$G$34=0),$D$90,0)</f>
        <v>0</v>
      </c>
      <c r="H59" s="973" t="n">
        <f aca="false">IF(AND(B59=$D$91,$H$34=0),$D$102,0)</f>
        <v>0</v>
      </c>
      <c r="I59" s="973" t="n">
        <f aca="false">IF(ISERROR(VLOOKUP($B59,$C$110:$F$157,3,FALSE()))=TRUE(),0,VLOOKUP($B59,$C$110:$F$157,3,FALSE()))</f>
        <v>0</v>
      </c>
      <c r="J59" s="974" t="n">
        <f aca="false">IF(ISERROR(VLOOKUP($B59,$C$110:$F$157,4,FALSE()))=TRUE(),0,VLOOKUP($B59,$C$110:$F$157,4,FALSE()))</f>
        <v>0</v>
      </c>
      <c r="K59" s="973" t="n">
        <f aca="false">IF(AND(DATE(YEAR($B59),MONTH($B59),DAY(1))=DATE(YEAR($M$91),MONTH($M$91),DAY(1)),$K$34=0),$M$90,0)</f>
        <v>0</v>
      </c>
      <c r="L59" s="973" t="n">
        <f aca="false">IF(AND(B59=$M$91,$L$34=0),$M$102,0)</f>
        <v>0</v>
      </c>
      <c r="M59" s="973" t="n">
        <f aca="false">IF(ISERROR(VLOOKUP($B59,$L$110:$O$157,3,FALSE()))=TRUE(),0,VLOOKUP($B59,$L$110:$O$157,3,FALSE()))</f>
        <v>0</v>
      </c>
      <c r="N59" s="974" t="n">
        <f aca="false">IF(ISERROR(VLOOKUP($B59,$L$110:$O$157,4,FALSE()))=TRUE(),0,VLOOKUP($B59,$L$110:$O$157,4,FALSE()))</f>
        <v>0</v>
      </c>
      <c r="O59" s="973" t="n">
        <f aca="false">IF(AND(DATE(YEAR($B59),MONTH($B59),DAY(1))=DATE(YEAR($V$91),MONTH($V$91),DAY(1)),$O$34=0),$V$90,0)</f>
        <v>0</v>
      </c>
      <c r="P59" s="973" t="n">
        <f aca="false">IF(AND(B59=$V$91,$P$34=0),$V$102,0)</f>
        <v>0</v>
      </c>
      <c r="Q59" s="973" t="n">
        <f aca="false">IF(ISERROR(VLOOKUP($B59,$U$110:$X$157,3,FALSE()))=TRUE(),0,VLOOKUP($B59,$U$110:$X$157,3,FALSE()))</f>
        <v>0</v>
      </c>
      <c r="R59" s="974" t="n">
        <f aca="false">IF(ISERROR(VLOOKUP($B59,$U$110:$X$157,4,FALSE()))=TRUE(),0,VLOOKUP($B59,$U$110:$X$157,4,FALSE()))</f>
        <v>0</v>
      </c>
      <c r="T59" s="972" t="n">
        <f aca="false">DATE(YEAR(T58),MONTH(T58)+1,DAY(T58))</f>
        <v>45658</v>
      </c>
      <c r="U59" s="973" t="n">
        <f aca="false">Y59+AC59+AG59</f>
        <v>0</v>
      </c>
      <c r="V59" s="973" t="n">
        <f aca="false">Z59+AD59+AH59</f>
        <v>0</v>
      </c>
      <c r="W59" s="974" t="n">
        <f aca="false">AA59+AE59+AI59</f>
        <v>0</v>
      </c>
      <c r="X59" s="976" t="n">
        <f aca="false">AB59+AF59+AJ59</f>
        <v>0</v>
      </c>
      <c r="Y59" s="975" t="n">
        <f aca="false">IF(DATE(YEAR($B59),MONTH($B59),DAY(1))=DATE(YEAR($AE$92),MONTH($AE$92),DAY(1)),$AE$91,0)</f>
        <v>0</v>
      </c>
      <c r="Z59" s="973" t="n">
        <f aca="false">IF(ISERROR(VLOOKUP($T59,$AD$110:$AG$157,3,FALSE()))=TRUE(),0,VLOOKUP($T59,$AD$110:$AG$157,3,FALSE()))</f>
        <v>0</v>
      </c>
      <c r="AA59" s="976" t="n">
        <f aca="false">IF(ISERROR(VLOOKUP($T59,$AD$110:$AG$157,4,FALSE()))=TRUE(),0,VLOOKUP($T59,$AD$110:$AG$157,4,FALSE()))</f>
        <v>0</v>
      </c>
      <c r="AB59" s="977" t="n">
        <f aca="false">(Z59+AA59)*'Datos generales'!$D$16</f>
        <v>0</v>
      </c>
      <c r="AC59" s="975" t="n">
        <f aca="false">IF(DATE(YEAR($B59),MONTH($B59),DAY(1))=DATE(YEAR($AN$92),MONTH($AN$92),DAY(1)),$AN$91,0)</f>
        <v>0</v>
      </c>
      <c r="AD59" s="973" t="n">
        <f aca="false">IF(ISERROR(VLOOKUP($T59,$AM$110:$AO$157,3,FALSE()))=TRUE(),0,VLOOKUP($T59,$AM$110:$AO$157,3,FALSE()))</f>
        <v>0</v>
      </c>
      <c r="AE59" s="976" t="n">
        <f aca="false">IF(ISERROR(VLOOKUP($T59,$AM$110:$AP$157,4,FALSE()))=TRUE(),0,VLOOKUP($T59,$AM$110:$AP$157,4,FALSE()))</f>
        <v>0</v>
      </c>
      <c r="AF59" s="977" t="n">
        <f aca="false">(AD59+AE59)*'Datos generales'!$D$16</f>
        <v>0</v>
      </c>
      <c r="AG59" s="975" t="n">
        <f aca="false">IF(DATE(YEAR($B59),MONTH($B59),DAY(1))=DATE(YEAR($AW$92),MONTH($AW$92),DAY(1)),$AW$91,0)</f>
        <v>0</v>
      </c>
      <c r="AH59" s="973" t="n">
        <f aca="false">IF(ISERROR(VLOOKUP($T59,$AV$110:$AX$157,3,FALSE()))=TRUE(),0,VLOOKUP($T59,$AV$110:$AX$157,3,FALSE()))</f>
        <v>0</v>
      </c>
      <c r="AI59" s="976" t="n">
        <f aca="false">IF(ISERROR(VLOOKUP($T59,$AV$110:$AY$157,4,FALSE()))=TRUE(),0,VLOOKUP($T59,$AV$110:$AY$157,4,FALSE()))</f>
        <v>0</v>
      </c>
      <c r="AJ59" s="977" t="n">
        <f aca="false">(AH59+AI59)*'Datos generales'!$D$16</f>
        <v>0</v>
      </c>
    </row>
    <row r="60" customFormat="false" ht="12.75" hidden="true" customHeight="false" outlineLevel="0" collapsed="false">
      <c r="B60" s="972" t="n">
        <f aca="false">DATE(YEAR(B59),MONTH(B59)+1,DAY(B59))</f>
        <v>45689</v>
      </c>
      <c r="C60" s="973" t="n">
        <f aca="false">G60+K60+O60</f>
        <v>0</v>
      </c>
      <c r="D60" s="973" t="n">
        <f aca="false">H60+L60+P60</f>
        <v>0</v>
      </c>
      <c r="E60" s="973" t="n">
        <f aca="false">I60+M60+Q60</f>
        <v>0</v>
      </c>
      <c r="F60" s="974" t="n">
        <f aca="false">J60+N60+R60</f>
        <v>0</v>
      </c>
      <c r="G60" s="973" t="n">
        <f aca="false">IF(AND(DATE(YEAR($B60),MONTH($B60),DAY(1))=DATE(YEAR($D$91),MONTH($D$91),DAY(1)),$G$34=0),$D$90,0)</f>
        <v>0</v>
      </c>
      <c r="H60" s="973" t="n">
        <f aca="false">IF(AND(B60=$D$91,$H$34=0),$D$102,0)</f>
        <v>0</v>
      </c>
      <c r="I60" s="973" t="n">
        <f aca="false">IF(ISERROR(VLOOKUP($B60,$C$110:$F$157,3,FALSE()))=TRUE(),0,VLOOKUP($B60,$C$110:$F$157,3,FALSE()))</f>
        <v>0</v>
      </c>
      <c r="J60" s="974" t="n">
        <f aca="false">IF(ISERROR(VLOOKUP($B60,$C$110:$F$157,4,FALSE()))=TRUE(),0,VLOOKUP($B60,$C$110:$F$157,4,FALSE()))</f>
        <v>0</v>
      </c>
      <c r="K60" s="973" t="n">
        <f aca="false">IF(AND(DATE(YEAR($B60),MONTH($B60),DAY(1))=DATE(YEAR($M$91),MONTH($M$91),DAY(1)),$K$34=0),$M$90,0)</f>
        <v>0</v>
      </c>
      <c r="L60" s="973" t="n">
        <f aca="false">IF(AND(B60=$M$91,$L$34=0),$M$102,0)</f>
        <v>0</v>
      </c>
      <c r="M60" s="973" t="n">
        <f aca="false">IF(ISERROR(VLOOKUP($B60,$L$110:$O$157,3,FALSE()))=TRUE(),0,VLOOKUP($B60,$L$110:$O$157,3,FALSE()))</f>
        <v>0</v>
      </c>
      <c r="N60" s="974" t="n">
        <f aca="false">IF(ISERROR(VLOOKUP($B60,$L$110:$O$157,4,FALSE()))=TRUE(),0,VLOOKUP($B60,$L$110:$O$157,4,FALSE()))</f>
        <v>0</v>
      </c>
      <c r="O60" s="973" t="n">
        <f aca="false">IF(AND(DATE(YEAR($B60),MONTH($B60),DAY(1))=DATE(YEAR($V$91),MONTH($V$91),DAY(1)),$O$34=0),$V$90,0)</f>
        <v>0</v>
      </c>
      <c r="P60" s="973" t="n">
        <f aca="false">IF(AND(B60=$V$91,$P$34=0),$V$102,0)</f>
        <v>0</v>
      </c>
      <c r="Q60" s="973" t="n">
        <f aca="false">IF(ISERROR(VLOOKUP($B60,$U$110:$X$157,3,FALSE()))=TRUE(),0,VLOOKUP($B60,$U$110:$X$157,3,FALSE()))</f>
        <v>0</v>
      </c>
      <c r="R60" s="974" t="n">
        <f aca="false">IF(ISERROR(VLOOKUP($B60,$U$110:$X$157,4,FALSE()))=TRUE(),0,VLOOKUP($B60,$U$110:$X$157,4,FALSE()))</f>
        <v>0</v>
      </c>
      <c r="T60" s="972" t="n">
        <f aca="false">DATE(YEAR(T59),MONTH(T59)+1,DAY(T59))</f>
        <v>45689</v>
      </c>
      <c r="U60" s="973" t="n">
        <f aca="false">Y60+AC60+AG60</f>
        <v>0</v>
      </c>
      <c r="V60" s="973" t="n">
        <f aca="false">Z60+AD60+AH60</f>
        <v>0</v>
      </c>
      <c r="W60" s="974" t="n">
        <f aca="false">AA60+AE60+AI60</f>
        <v>0</v>
      </c>
      <c r="X60" s="976" t="n">
        <f aca="false">AB60+AF60+AJ60</f>
        <v>0</v>
      </c>
      <c r="Y60" s="975" t="n">
        <f aca="false">IF(DATE(YEAR($B60),MONTH($B60),DAY(1))=DATE(YEAR($AE$92),MONTH($AE$92),DAY(1)),$AE$91,0)</f>
        <v>0</v>
      </c>
      <c r="Z60" s="973" t="n">
        <f aca="false">IF(ISERROR(VLOOKUP($T60,$AD$110:$AG$157,3,FALSE()))=TRUE(),0,VLOOKUP($T60,$AD$110:$AG$157,3,FALSE()))</f>
        <v>0</v>
      </c>
      <c r="AA60" s="976" t="n">
        <f aca="false">IF(ISERROR(VLOOKUP($T60,$AD$110:$AG$157,4,FALSE()))=TRUE(),0,VLOOKUP($T60,$AD$110:$AG$157,4,FALSE()))</f>
        <v>0</v>
      </c>
      <c r="AB60" s="977" t="n">
        <f aca="false">(Z60+AA60)*'Datos generales'!$D$16</f>
        <v>0</v>
      </c>
      <c r="AC60" s="975" t="n">
        <f aca="false">IF(DATE(YEAR($B60),MONTH($B60),DAY(1))=DATE(YEAR($AN$92),MONTH($AN$92),DAY(1)),$AN$91,0)</f>
        <v>0</v>
      </c>
      <c r="AD60" s="973" t="n">
        <f aca="false">IF(ISERROR(VLOOKUP($T60,$AM$110:$AO$157,3,FALSE()))=TRUE(),0,VLOOKUP($T60,$AM$110:$AO$157,3,FALSE()))</f>
        <v>0</v>
      </c>
      <c r="AE60" s="976" t="n">
        <f aca="false">IF(ISERROR(VLOOKUP($T60,$AM$110:$AP$157,4,FALSE()))=TRUE(),0,VLOOKUP($T60,$AM$110:$AP$157,4,FALSE()))</f>
        <v>0</v>
      </c>
      <c r="AF60" s="977" t="n">
        <f aca="false">(AD60+AE60)*'Datos generales'!$D$16</f>
        <v>0</v>
      </c>
      <c r="AG60" s="975" t="n">
        <f aca="false">IF(DATE(YEAR($B60),MONTH($B60),DAY(1))=DATE(YEAR($AW$92),MONTH($AW$92),DAY(1)),$AW$91,0)</f>
        <v>0</v>
      </c>
      <c r="AH60" s="973" t="n">
        <f aca="false">IF(ISERROR(VLOOKUP($T60,$AV$110:$AX$157,3,FALSE()))=TRUE(),0,VLOOKUP($T60,$AV$110:$AX$157,3,FALSE()))</f>
        <v>0</v>
      </c>
      <c r="AI60" s="976" t="n">
        <f aca="false">IF(ISERROR(VLOOKUP($T60,$AV$110:$AY$157,4,FALSE()))=TRUE(),0,VLOOKUP($T60,$AV$110:$AY$157,4,FALSE()))</f>
        <v>0</v>
      </c>
      <c r="AJ60" s="977" t="n">
        <f aca="false">(AH60+AI60)*'Datos generales'!$D$16</f>
        <v>0</v>
      </c>
    </row>
    <row r="61" customFormat="false" ht="12.75" hidden="true" customHeight="false" outlineLevel="0" collapsed="false">
      <c r="B61" s="972" t="n">
        <f aca="false">DATE(YEAR(B60),MONTH(B60)+1,DAY(B60))</f>
        <v>45717</v>
      </c>
      <c r="C61" s="973" t="n">
        <f aca="false">G61+K61+O61</f>
        <v>0</v>
      </c>
      <c r="D61" s="973" t="n">
        <f aca="false">H61+L61+P61</f>
        <v>0</v>
      </c>
      <c r="E61" s="973" t="n">
        <f aca="false">I61+M61+Q61</f>
        <v>0</v>
      </c>
      <c r="F61" s="974" t="n">
        <f aca="false">J61+N61+R61</f>
        <v>0</v>
      </c>
      <c r="G61" s="973" t="n">
        <f aca="false">IF(AND(DATE(YEAR($B61),MONTH($B61),DAY(1))=DATE(YEAR($D$91),MONTH($D$91),DAY(1)),$G$34=0),$D$90,0)</f>
        <v>0</v>
      </c>
      <c r="H61" s="973" t="n">
        <f aca="false">IF(AND(B61=$D$91,$H$34=0),$D$102,0)</f>
        <v>0</v>
      </c>
      <c r="I61" s="973" t="n">
        <f aca="false">IF(ISERROR(VLOOKUP($B61,$C$110:$F$157,3,FALSE()))=TRUE(),0,VLOOKUP($B61,$C$110:$F$157,3,FALSE()))</f>
        <v>0</v>
      </c>
      <c r="J61" s="974" t="n">
        <f aca="false">IF(ISERROR(VLOOKUP($B61,$C$110:$F$157,4,FALSE()))=TRUE(),0,VLOOKUP($B61,$C$110:$F$157,4,FALSE()))</f>
        <v>0</v>
      </c>
      <c r="K61" s="973" t="n">
        <f aca="false">IF(AND(DATE(YEAR($B61),MONTH($B61),DAY(1))=DATE(YEAR($M$91),MONTH($M$91),DAY(1)),$K$34=0),$M$90,0)</f>
        <v>0</v>
      </c>
      <c r="L61" s="973" t="n">
        <f aca="false">IF(AND(B61=$M$91,$L$34=0),$M$102,0)</f>
        <v>0</v>
      </c>
      <c r="M61" s="973" t="n">
        <f aca="false">IF(ISERROR(VLOOKUP($B61,$L$110:$O$157,3,FALSE()))=TRUE(),0,VLOOKUP($B61,$L$110:$O$157,3,FALSE()))</f>
        <v>0</v>
      </c>
      <c r="N61" s="974" t="n">
        <f aca="false">IF(ISERROR(VLOOKUP($B61,$L$110:$O$157,4,FALSE()))=TRUE(),0,VLOOKUP($B61,$L$110:$O$157,4,FALSE()))</f>
        <v>0</v>
      </c>
      <c r="O61" s="973" t="n">
        <f aca="false">IF(AND(DATE(YEAR($B61),MONTH($B61),DAY(1))=DATE(YEAR($V$91),MONTH($V$91),DAY(1)),$O$34=0),$V$90,0)</f>
        <v>0</v>
      </c>
      <c r="P61" s="973" t="n">
        <f aca="false">IF(AND(B61=$V$91,$P$34=0),$V$102,0)</f>
        <v>0</v>
      </c>
      <c r="Q61" s="973" t="n">
        <f aca="false">IF(ISERROR(VLOOKUP($B61,$U$110:$X$157,3,FALSE()))=TRUE(),0,VLOOKUP($B61,$U$110:$X$157,3,FALSE()))</f>
        <v>0</v>
      </c>
      <c r="R61" s="974" t="n">
        <f aca="false">IF(ISERROR(VLOOKUP($B61,$U$110:$X$157,4,FALSE()))=TRUE(),0,VLOOKUP($B61,$U$110:$X$157,4,FALSE()))</f>
        <v>0</v>
      </c>
      <c r="T61" s="972" t="n">
        <f aca="false">DATE(YEAR(T60),MONTH(T60)+1,DAY(T60))</f>
        <v>45717</v>
      </c>
      <c r="U61" s="973" t="n">
        <f aca="false">Y61+AC61+AG61</f>
        <v>0</v>
      </c>
      <c r="V61" s="973" t="n">
        <f aca="false">Z61+AD61+AH61</f>
        <v>0</v>
      </c>
      <c r="W61" s="974" t="n">
        <f aca="false">AA61+AE61+AI61</f>
        <v>0</v>
      </c>
      <c r="X61" s="976" t="n">
        <f aca="false">AB61+AF61+AJ61</f>
        <v>0</v>
      </c>
      <c r="Y61" s="975" t="n">
        <f aca="false">IF(DATE(YEAR($B61),MONTH($B61),DAY(1))=DATE(YEAR($AE$92),MONTH($AE$92),DAY(1)),$AE$91,0)</f>
        <v>0</v>
      </c>
      <c r="Z61" s="973" t="n">
        <f aca="false">IF(ISERROR(VLOOKUP($T61,$AD$110:$AG$157,3,FALSE()))=TRUE(),0,VLOOKUP($T61,$AD$110:$AG$157,3,FALSE()))</f>
        <v>0</v>
      </c>
      <c r="AA61" s="976" t="n">
        <f aca="false">IF(ISERROR(VLOOKUP($T61,$AD$110:$AG$157,4,FALSE()))=TRUE(),0,VLOOKUP($T61,$AD$110:$AG$157,4,FALSE()))</f>
        <v>0</v>
      </c>
      <c r="AB61" s="977" t="n">
        <f aca="false">(Z61+AA61)*'Datos generales'!$D$16</f>
        <v>0</v>
      </c>
      <c r="AC61" s="975" t="n">
        <f aca="false">IF(DATE(YEAR($B61),MONTH($B61),DAY(1))=DATE(YEAR($AN$92),MONTH($AN$92),DAY(1)),$AN$91,0)</f>
        <v>0</v>
      </c>
      <c r="AD61" s="973" t="n">
        <f aca="false">IF(ISERROR(VLOOKUP($T61,$AM$110:$AO$157,3,FALSE()))=TRUE(),0,VLOOKUP($T61,$AM$110:$AO$157,3,FALSE()))</f>
        <v>0</v>
      </c>
      <c r="AE61" s="976" t="n">
        <f aca="false">IF(ISERROR(VLOOKUP($T61,$AM$110:$AP$157,4,FALSE()))=TRUE(),0,VLOOKUP($T61,$AM$110:$AP$157,4,FALSE()))</f>
        <v>0</v>
      </c>
      <c r="AF61" s="977" t="n">
        <f aca="false">(AD61+AE61)*'Datos generales'!$D$16</f>
        <v>0</v>
      </c>
      <c r="AG61" s="975" t="n">
        <f aca="false">IF(DATE(YEAR($B61),MONTH($B61),DAY(1))=DATE(YEAR($AW$92),MONTH($AW$92),DAY(1)),$AW$91,0)</f>
        <v>0</v>
      </c>
      <c r="AH61" s="973" t="n">
        <f aca="false">IF(ISERROR(VLOOKUP($T61,$AV$110:$AX$157,3,FALSE()))=TRUE(),0,VLOOKUP($T61,$AV$110:$AX$157,3,FALSE()))</f>
        <v>0</v>
      </c>
      <c r="AI61" s="976" t="n">
        <f aca="false">IF(ISERROR(VLOOKUP($T61,$AV$110:$AY$157,4,FALSE()))=TRUE(),0,VLOOKUP($T61,$AV$110:$AY$157,4,FALSE()))</f>
        <v>0</v>
      </c>
      <c r="AJ61" s="977" t="n">
        <f aca="false">(AH61+AI61)*'Datos generales'!$D$16</f>
        <v>0</v>
      </c>
    </row>
    <row r="62" customFormat="false" ht="12.75" hidden="true" customHeight="false" outlineLevel="0" collapsed="false">
      <c r="B62" s="972" t="n">
        <f aca="false">DATE(YEAR(B61),MONTH(B61)+1,DAY(B61))</f>
        <v>45748</v>
      </c>
      <c r="C62" s="973" t="n">
        <f aca="false">G62+K62+O62</f>
        <v>0</v>
      </c>
      <c r="D62" s="973" t="n">
        <f aca="false">H62+L62+P62</f>
        <v>0</v>
      </c>
      <c r="E62" s="973" t="n">
        <f aca="false">I62+M62+Q62</f>
        <v>0</v>
      </c>
      <c r="F62" s="974" t="n">
        <f aca="false">J62+N62+R62</f>
        <v>0</v>
      </c>
      <c r="G62" s="973" t="n">
        <f aca="false">IF(AND(DATE(YEAR($B62),MONTH($B62),DAY(1))=DATE(YEAR($D$91),MONTH($D$91),DAY(1)),$G$34=0),$D$90,0)</f>
        <v>0</v>
      </c>
      <c r="H62" s="973" t="n">
        <f aca="false">IF(AND(B62=$D$91,$H$34=0),$D$102,0)</f>
        <v>0</v>
      </c>
      <c r="I62" s="973" t="n">
        <f aca="false">IF(ISERROR(VLOOKUP($B62,$C$110:$F$157,3,FALSE()))=TRUE(),0,VLOOKUP($B62,$C$110:$F$157,3,FALSE()))</f>
        <v>0</v>
      </c>
      <c r="J62" s="974" t="n">
        <f aca="false">IF(ISERROR(VLOOKUP($B62,$C$110:$F$157,4,FALSE()))=TRUE(),0,VLOOKUP($B62,$C$110:$F$157,4,FALSE()))</f>
        <v>0</v>
      </c>
      <c r="K62" s="973" t="n">
        <f aca="false">IF(AND(DATE(YEAR($B62),MONTH($B62),DAY(1))=DATE(YEAR($M$91),MONTH($M$91),DAY(1)),$K$34=0),$M$90,0)</f>
        <v>0</v>
      </c>
      <c r="L62" s="973" t="n">
        <f aca="false">IF(AND(B62=$M$91,$L$34=0),$M$102,0)</f>
        <v>0</v>
      </c>
      <c r="M62" s="973" t="n">
        <f aca="false">IF(ISERROR(VLOOKUP($B62,$L$110:$O$157,3,FALSE()))=TRUE(),0,VLOOKUP($B62,$L$110:$O$157,3,FALSE()))</f>
        <v>0</v>
      </c>
      <c r="N62" s="974" t="n">
        <f aca="false">IF(ISERROR(VLOOKUP($B62,$L$110:$O$157,4,FALSE()))=TRUE(),0,VLOOKUP($B62,$L$110:$O$157,4,FALSE()))</f>
        <v>0</v>
      </c>
      <c r="O62" s="973" t="n">
        <f aca="false">IF(AND(DATE(YEAR($B62),MONTH($B62),DAY(1))=DATE(YEAR($V$91),MONTH($V$91),DAY(1)),$O$34=0),$V$90,0)</f>
        <v>0</v>
      </c>
      <c r="P62" s="973" t="n">
        <f aca="false">IF(AND(B62=$V$91,$P$34=0),$V$102,0)</f>
        <v>0</v>
      </c>
      <c r="Q62" s="973" t="n">
        <f aca="false">IF(ISERROR(VLOOKUP($B62,$U$110:$X$157,3,FALSE()))=TRUE(),0,VLOOKUP($B62,$U$110:$X$157,3,FALSE()))</f>
        <v>0</v>
      </c>
      <c r="R62" s="974" t="n">
        <f aca="false">IF(ISERROR(VLOOKUP($B62,$U$110:$X$157,4,FALSE()))=TRUE(),0,VLOOKUP($B62,$U$110:$X$157,4,FALSE()))</f>
        <v>0</v>
      </c>
      <c r="T62" s="972" t="n">
        <f aca="false">DATE(YEAR(T61),MONTH(T61)+1,DAY(T61))</f>
        <v>45748</v>
      </c>
      <c r="U62" s="973" t="n">
        <f aca="false">Y62+AC62+AG62</f>
        <v>0</v>
      </c>
      <c r="V62" s="973" t="n">
        <f aca="false">Z62+AD62+AH62</f>
        <v>0</v>
      </c>
      <c r="W62" s="974" t="n">
        <f aca="false">AA62+AE62+AI62</f>
        <v>0</v>
      </c>
      <c r="X62" s="976" t="n">
        <f aca="false">AB62+AF62+AJ62</f>
        <v>0</v>
      </c>
      <c r="Y62" s="975" t="n">
        <f aca="false">IF(DATE(YEAR($B62),MONTH($B62),DAY(1))=DATE(YEAR($AE$92),MONTH($AE$92),DAY(1)),$AE$91,0)</f>
        <v>0</v>
      </c>
      <c r="Z62" s="973" t="n">
        <f aca="false">IF(ISERROR(VLOOKUP($T62,$AD$110:$AG$157,3,FALSE()))=TRUE(),0,VLOOKUP($T62,$AD$110:$AG$157,3,FALSE()))</f>
        <v>0</v>
      </c>
      <c r="AA62" s="976" t="n">
        <f aca="false">IF(ISERROR(VLOOKUP($T62,$AD$110:$AG$157,4,FALSE()))=TRUE(),0,VLOOKUP($T62,$AD$110:$AG$157,4,FALSE()))</f>
        <v>0</v>
      </c>
      <c r="AB62" s="977" t="n">
        <f aca="false">(Z62+AA62)*'Datos generales'!$D$16</f>
        <v>0</v>
      </c>
      <c r="AC62" s="975" t="n">
        <f aca="false">IF(DATE(YEAR($B62),MONTH($B62),DAY(1))=DATE(YEAR($AN$92),MONTH($AN$92),DAY(1)),$AN$91,0)</f>
        <v>0</v>
      </c>
      <c r="AD62" s="973" t="n">
        <f aca="false">IF(ISERROR(VLOOKUP($T62,$AM$110:$AO$157,3,FALSE()))=TRUE(),0,VLOOKUP($T62,$AM$110:$AO$157,3,FALSE()))</f>
        <v>0</v>
      </c>
      <c r="AE62" s="976" t="n">
        <f aca="false">IF(ISERROR(VLOOKUP($T62,$AM$110:$AP$157,4,FALSE()))=TRUE(),0,VLOOKUP($T62,$AM$110:$AP$157,4,FALSE()))</f>
        <v>0</v>
      </c>
      <c r="AF62" s="977" t="n">
        <f aca="false">(AD62+AE62)*'Datos generales'!$D$16</f>
        <v>0</v>
      </c>
      <c r="AG62" s="975" t="n">
        <f aca="false">IF(DATE(YEAR($B62),MONTH($B62),DAY(1))=DATE(YEAR($AW$92),MONTH($AW$92),DAY(1)),$AW$91,0)</f>
        <v>0</v>
      </c>
      <c r="AH62" s="973" t="n">
        <f aca="false">IF(ISERROR(VLOOKUP($T62,$AV$110:$AX$157,3,FALSE()))=TRUE(),0,VLOOKUP($T62,$AV$110:$AX$157,3,FALSE()))</f>
        <v>0</v>
      </c>
      <c r="AI62" s="976" t="n">
        <f aca="false">IF(ISERROR(VLOOKUP($T62,$AV$110:$AY$157,4,FALSE()))=TRUE(),0,VLOOKUP($T62,$AV$110:$AY$157,4,FALSE()))</f>
        <v>0</v>
      </c>
      <c r="AJ62" s="977" t="n">
        <f aca="false">(AH62+AI62)*'Datos generales'!$D$16</f>
        <v>0</v>
      </c>
    </row>
    <row r="63" customFormat="false" ht="12.75" hidden="true" customHeight="false" outlineLevel="0" collapsed="false">
      <c r="B63" s="972" t="n">
        <f aca="false">DATE(YEAR(B62),MONTH(B62)+1,DAY(B62))</f>
        <v>45778</v>
      </c>
      <c r="C63" s="973" t="n">
        <f aca="false">G63+K63+O63</f>
        <v>0</v>
      </c>
      <c r="D63" s="973" t="n">
        <f aca="false">H63+L63+P63</f>
        <v>0</v>
      </c>
      <c r="E63" s="973" t="n">
        <f aca="false">I63+M63+Q63</f>
        <v>0</v>
      </c>
      <c r="F63" s="974" t="n">
        <f aca="false">J63+N63+R63</f>
        <v>0</v>
      </c>
      <c r="G63" s="973" t="n">
        <f aca="false">IF(AND(DATE(YEAR($B63),MONTH($B63),DAY(1))=DATE(YEAR($D$91),MONTH($D$91),DAY(1)),$G$34=0),$D$90,0)</f>
        <v>0</v>
      </c>
      <c r="H63" s="973" t="n">
        <f aca="false">IF(AND(B63=$D$91,$H$34=0),$D$102,0)</f>
        <v>0</v>
      </c>
      <c r="I63" s="973" t="n">
        <f aca="false">IF(ISERROR(VLOOKUP($B63,$C$110:$F$157,3,FALSE()))=TRUE(),0,VLOOKUP($B63,$C$110:$F$157,3,FALSE()))</f>
        <v>0</v>
      </c>
      <c r="J63" s="974" t="n">
        <f aca="false">IF(ISERROR(VLOOKUP($B63,$C$110:$F$157,4,FALSE()))=TRUE(),0,VLOOKUP($B63,$C$110:$F$157,4,FALSE()))</f>
        <v>0</v>
      </c>
      <c r="K63" s="973" t="n">
        <f aca="false">IF(AND(DATE(YEAR($B63),MONTH($B63),DAY(1))=DATE(YEAR($M$91),MONTH($M$91),DAY(1)),$K$34=0),$M$90,0)</f>
        <v>0</v>
      </c>
      <c r="L63" s="973" t="n">
        <f aca="false">IF(AND(B63=$M$91,$L$34=0),$M$102,0)</f>
        <v>0</v>
      </c>
      <c r="M63" s="973" t="n">
        <f aca="false">IF(ISERROR(VLOOKUP($B63,$L$110:$O$157,3,FALSE()))=TRUE(),0,VLOOKUP($B63,$L$110:$O$157,3,FALSE()))</f>
        <v>0</v>
      </c>
      <c r="N63" s="974" t="n">
        <f aca="false">IF(ISERROR(VLOOKUP($B63,$L$110:$O$157,4,FALSE()))=TRUE(),0,VLOOKUP($B63,$L$110:$O$157,4,FALSE()))</f>
        <v>0</v>
      </c>
      <c r="O63" s="973" t="n">
        <f aca="false">IF(AND(DATE(YEAR($B63),MONTH($B63),DAY(1))=DATE(YEAR($V$91),MONTH($V$91),DAY(1)),$O$34=0),$V$90,0)</f>
        <v>0</v>
      </c>
      <c r="P63" s="973" t="n">
        <f aca="false">IF(AND(B63=$V$91,$P$34=0),$V$102,0)</f>
        <v>0</v>
      </c>
      <c r="Q63" s="973" t="n">
        <f aca="false">IF(ISERROR(VLOOKUP($B63,$U$110:$X$157,3,FALSE()))=TRUE(),0,VLOOKUP($B63,$U$110:$X$157,3,FALSE()))</f>
        <v>0</v>
      </c>
      <c r="R63" s="974" t="n">
        <f aca="false">IF(ISERROR(VLOOKUP($B63,$U$110:$X$157,4,FALSE()))=TRUE(),0,VLOOKUP($B63,$U$110:$X$157,4,FALSE()))</f>
        <v>0</v>
      </c>
      <c r="T63" s="972" t="n">
        <f aca="false">DATE(YEAR(T62),MONTH(T62)+1,DAY(T62))</f>
        <v>45778</v>
      </c>
      <c r="U63" s="973" t="n">
        <f aca="false">Y63+AC63+AG63</f>
        <v>0</v>
      </c>
      <c r="V63" s="973" t="n">
        <f aca="false">Z63+AD63+AH63</f>
        <v>0</v>
      </c>
      <c r="W63" s="974" t="n">
        <f aca="false">AA63+AE63+AI63</f>
        <v>0</v>
      </c>
      <c r="X63" s="976" t="n">
        <f aca="false">AB63+AF63+AJ63</f>
        <v>0</v>
      </c>
      <c r="Y63" s="975" t="n">
        <f aca="false">IF(DATE(YEAR($B63),MONTH($B63),DAY(1))=DATE(YEAR($AE$92),MONTH($AE$92),DAY(1)),$AE$91,0)</f>
        <v>0</v>
      </c>
      <c r="Z63" s="973" t="n">
        <f aca="false">IF(ISERROR(VLOOKUP($T63,$AD$110:$AG$157,3,FALSE()))=TRUE(),0,VLOOKUP($T63,$AD$110:$AG$157,3,FALSE()))</f>
        <v>0</v>
      </c>
      <c r="AA63" s="976" t="n">
        <f aca="false">IF(ISERROR(VLOOKUP($T63,$AD$110:$AG$157,4,FALSE()))=TRUE(),0,VLOOKUP($T63,$AD$110:$AG$157,4,FALSE()))</f>
        <v>0</v>
      </c>
      <c r="AB63" s="977" t="n">
        <f aca="false">(Z63+AA63)*'Datos generales'!$D$16</f>
        <v>0</v>
      </c>
      <c r="AC63" s="975" t="n">
        <f aca="false">IF(DATE(YEAR($B63),MONTH($B63),DAY(1))=DATE(YEAR($AN$92),MONTH($AN$92),DAY(1)),$AN$91,0)</f>
        <v>0</v>
      </c>
      <c r="AD63" s="973" t="n">
        <f aca="false">IF(ISERROR(VLOOKUP($T63,$AM$110:$AO$157,3,FALSE()))=TRUE(),0,VLOOKUP($T63,$AM$110:$AO$157,3,FALSE()))</f>
        <v>0</v>
      </c>
      <c r="AE63" s="976" t="n">
        <f aca="false">IF(ISERROR(VLOOKUP($T63,$AM$110:$AP$157,4,FALSE()))=TRUE(),0,VLOOKUP($T63,$AM$110:$AP$157,4,FALSE()))</f>
        <v>0</v>
      </c>
      <c r="AF63" s="977" t="n">
        <f aca="false">(AD63+AE63)*'Datos generales'!$D$16</f>
        <v>0</v>
      </c>
      <c r="AG63" s="975" t="n">
        <f aca="false">IF(DATE(YEAR($B63),MONTH($B63),DAY(1))=DATE(YEAR($AW$92),MONTH($AW$92),DAY(1)),$AW$91,0)</f>
        <v>0</v>
      </c>
      <c r="AH63" s="973" t="n">
        <f aca="false">IF(ISERROR(VLOOKUP($T63,$AV$110:$AX$157,3,FALSE()))=TRUE(),0,VLOOKUP($T63,$AV$110:$AX$157,3,FALSE()))</f>
        <v>0</v>
      </c>
      <c r="AI63" s="976" t="n">
        <f aca="false">IF(ISERROR(VLOOKUP($T63,$AV$110:$AY$157,4,FALSE()))=TRUE(),0,VLOOKUP($T63,$AV$110:$AY$157,4,FALSE()))</f>
        <v>0</v>
      </c>
      <c r="AJ63" s="977" t="n">
        <f aca="false">(AH63+AI63)*'Datos generales'!$D$16</f>
        <v>0</v>
      </c>
    </row>
    <row r="64" customFormat="false" ht="12.75" hidden="true" customHeight="false" outlineLevel="0" collapsed="false">
      <c r="B64" s="972" t="n">
        <f aca="false">DATE(YEAR(B63),MONTH(B63)+1,DAY(B63))</f>
        <v>45809</v>
      </c>
      <c r="C64" s="973" t="n">
        <f aca="false">G64+K64+O64</f>
        <v>0</v>
      </c>
      <c r="D64" s="973" t="n">
        <f aca="false">H64+L64+P64</f>
        <v>0</v>
      </c>
      <c r="E64" s="973" t="n">
        <f aca="false">I64+M64+Q64</f>
        <v>0</v>
      </c>
      <c r="F64" s="974" t="n">
        <f aca="false">J64+N64+R64</f>
        <v>0</v>
      </c>
      <c r="G64" s="973" t="n">
        <f aca="false">IF(AND(DATE(YEAR($B64),MONTH($B64),DAY(1))=DATE(YEAR($D$91),MONTH($D$91),DAY(1)),$G$34=0),$D$90,0)</f>
        <v>0</v>
      </c>
      <c r="H64" s="973" t="n">
        <f aca="false">IF(AND(B64=$D$91,$H$34=0),$D$102,0)</f>
        <v>0</v>
      </c>
      <c r="I64" s="973" t="n">
        <f aca="false">IF(ISERROR(VLOOKUP($B64,$C$110:$F$157,3,FALSE()))=TRUE(),0,VLOOKUP($B64,$C$110:$F$157,3,FALSE()))</f>
        <v>0</v>
      </c>
      <c r="J64" s="974" t="n">
        <f aca="false">IF(ISERROR(VLOOKUP($B64,$C$110:$F$157,4,FALSE()))=TRUE(),0,VLOOKUP($B64,$C$110:$F$157,4,FALSE()))</f>
        <v>0</v>
      </c>
      <c r="K64" s="973" t="n">
        <f aca="false">IF(AND(DATE(YEAR($B64),MONTH($B64),DAY(1))=DATE(YEAR($M$91),MONTH($M$91),DAY(1)),$K$34=0),$M$90,0)</f>
        <v>0</v>
      </c>
      <c r="L64" s="973" t="n">
        <f aca="false">IF(AND(B64=$M$91,$L$34=0),$M$102,0)</f>
        <v>0</v>
      </c>
      <c r="M64" s="973" t="n">
        <f aca="false">IF(ISERROR(VLOOKUP($B64,$L$110:$O$157,3,FALSE()))=TRUE(),0,VLOOKUP($B64,$L$110:$O$157,3,FALSE()))</f>
        <v>0</v>
      </c>
      <c r="N64" s="974" t="n">
        <f aca="false">IF(ISERROR(VLOOKUP($B64,$L$110:$O$157,4,FALSE()))=TRUE(),0,VLOOKUP($B64,$L$110:$O$157,4,FALSE()))</f>
        <v>0</v>
      </c>
      <c r="O64" s="973" t="n">
        <f aca="false">IF(AND(DATE(YEAR($B64),MONTH($B64),DAY(1))=DATE(YEAR($V$91),MONTH($V$91),DAY(1)),$O$34=0),$V$90,0)</f>
        <v>0</v>
      </c>
      <c r="P64" s="973" t="n">
        <f aca="false">IF(AND(B64=$V$91,$P$34=0),$V$102,0)</f>
        <v>0</v>
      </c>
      <c r="Q64" s="973" t="n">
        <f aca="false">IF(ISERROR(VLOOKUP($B64,$U$110:$X$157,3,FALSE()))=TRUE(),0,VLOOKUP($B64,$U$110:$X$157,3,FALSE()))</f>
        <v>0</v>
      </c>
      <c r="R64" s="974" t="n">
        <f aca="false">IF(ISERROR(VLOOKUP($B64,$U$110:$X$157,4,FALSE()))=TRUE(),0,VLOOKUP($B64,$U$110:$X$157,4,FALSE()))</f>
        <v>0</v>
      </c>
      <c r="T64" s="972" t="n">
        <f aca="false">DATE(YEAR(T63),MONTH(T63)+1,DAY(T63))</f>
        <v>45809</v>
      </c>
      <c r="U64" s="973" t="n">
        <f aca="false">Y64+AC64+AG64</f>
        <v>0</v>
      </c>
      <c r="V64" s="973" t="n">
        <f aca="false">Z64+AD64+AH64</f>
        <v>0</v>
      </c>
      <c r="W64" s="974" t="n">
        <f aca="false">AA64+AE64+AI64</f>
        <v>0</v>
      </c>
      <c r="X64" s="976" t="n">
        <f aca="false">AB64+AF64+AJ64</f>
        <v>0</v>
      </c>
      <c r="Y64" s="975" t="n">
        <f aca="false">IF(DATE(YEAR($B64),MONTH($B64),DAY(1))=DATE(YEAR($AE$92),MONTH($AE$92),DAY(1)),$AE$91,0)</f>
        <v>0</v>
      </c>
      <c r="Z64" s="973" t="n">
        <f aca="false">IF(ISERROR(VLOOKUP($T64,$AD$110:$AG$157,3,FALSE()))=TRUE(),0,VLOOKUP($T64,$AD$110:$AG$157,3,FALSE()))</f>
        <v>0</v>
      </c>
      <c r="AA64" s="976" t="n">
        <f aca="false">IF(ISERROR(VLOOKUP($T64,$AD$110:$AG$157,4,FALSE()))=TRUE(),0,VLOOKUP($T64,$AD$110:$AG$157,4,FALSE()))</f>
        <v>0</v>
      </c>
      <c r="AB64" s="977" t="n">
        <f aca="false">(Z64+AA64)*'Datos generales'!$D$16</f>
        <v>0</v>
      </c>
      <c r="AC64" s="975" t="n">
        <f aca="false">IF(DATE(YEAR($B64),MONTH($B64),DAY(1))=DATE(YEAR($AN$92),MONTH($AN$92),DAY(1)),$AN$91,0)</f>
        <v>0</v>
      </c>
      <c r="AD64" s="973" t="n">
        <f aca="false">IF(ISERROR(VLOOKUP($T64,$AM$110:$AO$157,3,FALSE()))=TRUE(),0,VLOOKUP($T64,$AM$110:$AO$157,3,FALSE()))</f>
        <v>0</v>
      </c>
      <c r="AE64" s="976" t="n">
        <f aca="false">IF(ISERROR(VLOOKUP($T64,$AM$110:$AP$157,4,FALSE()))=TRUE(),0,VLOOKUP($T64,$AM$110:$AP$157,4,FALSE()))</f>
        <v>0</v>
      </c>
      <c r="AF64" s="977" t="n">
        <f aca="false">(AD64+AE64)*'Datos generales'!$D$16</f>
        <v>0</v>
      </c>
      <c r="AG64" s="975" t="n">
        <f aca="false">IF(DATE(YEAR($B64),MONTH($B64),DAY(1))=DATE(YEAR($AW$92),MONTH($AW$92),DAY(1)),$AW$91,0)</f>
        <v>0</v>
      </c>
      <c r="AH64" s="973" t="n">
        <f aca="false">IF(ISERROR(VLOOKUP($T64,$AV$110:$AX$157,3,FALSE()))=TRUE(),0,VLOOKUP($T64,$AV$110:$AX$157,3,FALSE()))</f>
        <v>0</v>
      </c>
      <c r="AI64" s="976" t="n">
        <f aca="false">IF(ISERROR(VLOOKUP($T64,$AV$110:$AY$157,4,FALSE()))=TRUE(),0,VLOOKUP($T64,$AV$110:$AY$157,4,FALSE()))</f>
        <v>0</v>
      </c>
      <c r="AJ64" s="977" t="n">
        <f aca="false">(AH64+AI64)*'Datos generales'!$D$16</f>
        <v>0</v>
      </c>
    </row>
    <row r="65" customFormat="false" ht="12.75" hidden="true" customHeight="false" outlineLevel="0" collapsed="false">
      <c r="B65" s="972" t="n">
        <f aca="false">DATE(YEAR(B64),MONTH(B64)+1,DAY(B64))</f>
        <v>45839</v>
      </c>
      <c r="C65" s="973" t="n">
        <f aca="false">G65+K65+O65</f>
        <v>0</v>
      </c>
      <c r="D65" s="973" t="n">
        <f aca="false">H65+L65+P65</f>
        <v>0</v>
      </c>
      <c r="E65" s="973" t="n">
        <f aca="false">I65+M65+Q65</f>
        <v>0</v>
      </c>
      <c r="F65" s="974" t="n">
        <f aca="false">J65+N65+R65</f>
        <v>0</v>
      </c>
      <c r="G65" s="973" t="n">
        <f aca="false">IF(AND(DATE(YEAR($B65),MONTH($B65),DAY(1))=DATE(YEAR($D$91),MONTH($D$91),DAY(1)),$G$34=0),$D$90,0)</f>
        <v>0</v>
      </c>
      <c r="H65" s="973" t="n">
        <f aca="false">IF(AND(B65=$D$91,$H$34=0),$D$102,0)</f>
        <v>0</v>
      </c>
      <c r="I65" s="973" t="n">
        <f aca="false">IF(ISERROR(VLOOKUP($B65,$C$110:$F$157,3,FALSE()))=TRUE(),0,VLOOKUP($B65,$C$110:$F$157,3,FALSE()))</f>
        <v>0</v>
      </c>
      <c r="J65" s="974" t="n">
        <f aca="false">IF(ISERROR(VLOOKUP($B65,$C$110:$F$157,4,FALSE()))=TRUE(),0,VLOOKUP($B65,$C$110:$F$157,4,FALSE()))</f>
        <v>0</v>
      </c>
      <c r="K65" s="973" t="n">
        <f aca="false">IF(AND(DATE(YEAR($B65),MONTH($B65),DAY(1))=DATE(YEAR($M$91),MONTH($M$91),DAY(1)),$K$34=0),$M$90,0)</f>
        <v>0</v>
      </c>
      <c r="L65" s="973" t="n">
        <f aca="false">IF(AND(B65=$M$91,$L$34=0),$M$102,0)</f>
        <v>0</v>
      </c>
      <c r="M65" s="973" t="n">
        <f aca="false">IF(ISERROR(VLOOKUP($B65,$L$110:$O$157,3,FALSE()))=TRUE(),0,VLOOKUP($B65,$L$110:$O$157,3,FALSE()))</f>
        <v>0</v>
      </c>
      <c r="N65" s="974" t="n">
        <f aca="false">IF(ISERROR(VLOOKUP($B65,$L$110:$O$157,4,FALSE()))=TRUE(),0,VLOOKUP($B65,$L$110:$O$157,4,FALSE()))</f>
        <v>0</v>
      </c>
      <c r="O65" s="973" t="n">
        <f aca="false">IF(AND(DATE(YEAR($B65),MONTH($B65),DAY(1))=DATE(YEAR($V$91),MONTH($V$91),DAY(1)),$O$34=0),$V$90,0)</f>
        <v>0</v>
      </c>
      <c r="P65" s="973" t="n">
        <f aca="false">IF(AND(B65=$V$91,$P$34=0),$V$102,0)</f>
        <v>0</v>
      </c>
      <c r="Q65" s="973" t="n">
        <f aca="false">IF(ISERROR(VLOOKUP($B65,$U$110:$X$157,3,FALSE()))=TRUE(),0,VLOOKUP($B65,$U$110:$X$157,3,FALSE()))</f>
        <v>0</v>
      </c>
      <c r="R65" s="974" t="n">
        <f aca="false">IF(ISERROR(VLOOKUP($B65,$U$110:$X$157,4,FALSE()))=TRUE(),0,VLOOKUP($B65,$U$110:$X$157,4,FALSE()))</f>
        <v>0</v>
      </c>
      <c r="T65" s="972" t="n">
        <f aca="false">DATE(YEAR(T64),MONTH(T64)+1,DAY(T64))</f>
        <v>45839</v>
      </c>
      <c r="U65" s="973" t="n">
        <f aca="false">Y65+AC65+AG65</f>
        <v>0</v>
      </c>
      <c r="V65" s="973" t="n">
        <f aca="false">Z65+AD65+AH65</f>
        <v>0</v>
      </c>
      <c r="W65" s="974" t="n">
        <f aca="false">AA65+AE65+AI65</f>
        <v>0</v>
      </c>
      <c r="X65" s="976" t="n">
        <f aca="false">AB65+AF65+AJ65</f>
        <v>0</v>
      </c>
      <c r="Y65" s="975" t="n">
        <f aca="false">IF(DATE(YEAR($B65),MONTH($B65),DAY(1))=DATE(YEAR($AE$92),MONTH($AE$92),DAY(1)),$AE$91,0)</f>
        <v>0</v>
      </c>
      <c r="Z65" s="973" t="n">
        <f aca="false">IF(ISERROR(VLOOKUP($T65,$AD$110:$AG$157,3,FALSE()))=TRUE(),0,VLOOKUP($T65,$AD$110:$AG$157,3,FALSE()))</f>
        <v>0</v>
      </c>
      <c r="AA65" s="976" t="n">
        <f aca="false">IF(ISERROR(VLOOKUP($T65,$AD$110:$AG$157,4,FALSE()))=TRUE(),0,VLOOKUP($T65,$AD$110:$AG$157,4,FALSE()))</f>
        <v>0</v>
      </c>
      <c r="AB65" s="977" t="n">
        <f aca="false">(Z65+AA65)*'Datos generales'!$D$16</f>
        <v>0</v>
      </c>
      <c r="AC65" s="975" t="n">
        <f aca="false">IF(DATE(YEAR($B65),MONTH($B65),DAY(1))=DATE(YEAR($AN$92),MONTH($AN$92),DAY(1)),$AN$91,0)</f>
        <v>0</v>
      </c>
      <c r="AD65" s="973" t="n">
        <f aca="false">IF(ISERROR(VLOOKUP($T65,$AM$110:$AO$157,3,FALSE()))=TRUE(),0,VLOOKUP($T65,$AM$110:$AO$157,3,FALSE()))</f>
        <v>0</v>
      </c>
      <c r="AE65" s="976" t="n">
        <f aca="false">IF(ISERROR(VLOOKUP($T65,$AM$110:$AP$157,4,FALSE()))=TRUE(),0,VLOOKUP($T65,$AM$110:$AP$157,4,FALSE()))</f>
        <v>0</v>
      </c>
      <c r="AF65" s="977" t="n">
        <f aca="false">(AD65+AE65)*'Datos generales'!$D$16</f>
        <v>0</v>
      </c>
      <c r="AG65" s="975" t="n">
        <f aca="false">IF(DATE(YEAR($B65),MONTH($B65),DAY(1))=DATE(YEAR($AW$92),MONTH($AW$92),DAY(1)),$AW$91,0)</f>
        <v>0</v>
      </c>
      <c r="AH65" s="973" t="n">
        <f aca="false">IF(ISERROR(VLOOKUP($T65,$AV$110:$AX$157,3,FALSE()))=TRUE(),0,VLOOKUP($T65,$AV$110:$AX$157,3,FALSE()))</f>
        <v>0</v>
      </c>
      <c r="AI65" s="976" t="n">
        <f aca="false">IF(ISERROR(VLOOKUP($T65,$AV$110:$AY$157,4,FALSE()))=TRUE(),0,VLOOKUP($T65,$AV$110:$AY$157,4,FALSE()))</f>
        <v>0</v>
      </c>
      <c r="AJ65" s="977" t="n">
        <f aca="false">(AH65+AI65)*'Datos generales'!$D$16</f>
        <v>0</v>
      </c>
    </row>
    <row r="66" customFormat="false" ht="12.75" hidden="true" customHeight="false" outlineLevel="0" collapsed="false">
      <c r="B66" s="972" t="n">
        <f aca="false">DATE(YEAR(B65),MONTH(B65)+1,DAY(B65))</f>
        <v>45870</v>
      </c>
      <c r="C66" s="973" t="n">
        <f aca="false">G66+K66+O66</f>
        <v>0</v>
      </c>
      <c r="D66" s="973" t="n">
        <f aca="false">H66+L66+P66</f>
        <v>0</v>
      </c>
      <c r="E66" s="973" t="n">
        <f aca="false">I66+M66+Q66</f>
        <v>0</v>
      </c>
      <c r="F66" s="974" t="n">
        <f aca="false">J66+N66+R66</f>
        <v>0</v>
      </c>
      <c r="G66" s="973" t="n">
        <f aca="false">IF(AND(DATE(YEAR($B66),MONTH($B66),DAY(1))=DATE(YEAR($D$91),MONTH($D$91),DAY(1)),$G$34=0),$D$90,0)</f>
        <v>0</v>
      </c>
      <c r="H66" s="973" t="n">
        <f aca="false">IF(AND(B66=$D$91,$H$34=0),$D$102,0)</f>
        <v>0</v>
      </c>
      <c r="I66" s="973" t="n">
        <f aca="false">IF(ISERROR(VLOOKUP($B66,$C$110:$F$157,3,FALSE()))=TRUE(),0,VLOOKUP($B66,$C$110:$F$157,3,FALSE()))</f>
        <v>0</v>
      </c>
      <c r="J66" s="974" t="n">
        <f aca="false">IF(ISERROR(VLOOKUP($B66,$C$110:$F$157,4,FALSE()))=TRUE(),0,VLOOKUP($B66,$C$110:$F$157,4,FALSE()))</f>
        <v>0</v>
      </c>
      <c r="K66" s="973" t="n">
        <f aca="false">IF(AND(DATE(YEAR($B66),MONTH($B66),DAY(1))=DATE(YEAR($M$91),MONTH($M$91),DAY(1)),$K$34=0),$M$90,0)</f>
        <v>0</v>
      </c>
      <c r="L66" s="973" t="n">
        <f aca="false">IF(AND(B66=$M$91,$L$34=0),$M$102,0)</f>
        <v>0</v>
      </c>
      <c r="M66" s="973" t="n">
        <f aca="false">IF(ISERROR(VLOOKUP($B66,$L$110:$O$157,3,FALSE()))=TRUE(),0,VLOOKUP($B66,$L$110:$O$157,3,FALSE()))</f>
        <v>0</v>
      </c>
      <c r="N66" s="974" t="n">
        <f aca="false">IF(ISERROR(VLOOKUP($B66,$L$110:$O$157,4,FALSE()))=TRUE(),0,VLOOKUP($B66,$L$110:$O$157,4,FALSE()))</f>
        <v>0</v>
      </c>
      <c r="O66" s="973" t="n">
        <f aca="false">IF(AND(DATE(YEAR($B66),MONTH($B66),DAY(1))=DATE(YEAR($V$91),MONTH($V$91),DAY(1)),$O$34=0),$V$90,0)</f>
        <v>0</v>
      </c>
      <c r="P66" s="973" t="n">
        <f aca="false">IF(AND(B66=$V$91,$P$34=0),$V$102,0)</f>
        <v>0</v>
      </c>
      <c r="Q66" s="973" t="n">
        <f aca="false">IF(ISERROR(VLOOKUP($B66,$U$110:$X$157,3,FALSE()))=TRUE(),0,VLOOKUP($B66,$U$110:$X$157,3,FALSE()))</f>
        <v>0</v>
      </c>
      <c r="R66" s="974" t="n">
        <f aca="false">IF(ISERROR(VLOOKUP($B66,$U$110:$X$157,4,FALSE()))=TRUE(),0,VLOOKUP($B66,$U$110:$X$157,4,FALSE()))</f>
        <v>0</v>
      </c>
      <c r="T66" s="972" t="n">
        <f aca="false">DATE(YEAR(T65),MONTH(T65)+1,DAY(T65))</f>
        <v>45870</v>
      </c>
      <c r="U66" s="973" t="n">
        <f aca="false">Y66+AC66+AG66</f>
        <v>0</v>
      </c>
      <c r="V66" s="973" t="n">
        <f aca="false">Z66+AD66+AH66</f>
        <v>0</v>
      </c>
      <c r="W66" s="974" t="n">
        <f aca="false">AA66+AE66+AI66</f>
        <v>0</v>
      </c>
      <c r="X66" s="976" t="n">
        <f aca="false">AB66+AF66+AJ66</f>
        <v>0</v>
      </c>
      <c r="Y66" s="975" t="n">
        <f aca="false">IF(DATE(YEAR($B66),MONTH($B66),DAY(1))=DATE(YEAR($AE$92),MONTH($AE$92),DAY(1)),$AE$91,0)</f>
        <v>0</v>
      </c>
      <c r="Z66" s="973" t="n">
        <f aca="false">IF(ISERROR(VLOOKUP($T66,$AD$110:$AG$157,3,FALSE()))=TRUE(),0,VLOOKUP($T66,$AD$110:$AG$157,3,FALSE()))</f>
        <v>0</v>
      </c>
      <c r="AA66" s="976" t="n">
        <f aca="false">IF(ISERROR(VLOOKUP($T66,$AD$110:$AG$157,4,FALSE()))=TRUE(),0,VLOOKUP($T66,$AD$110:$AG$157,4,FALSE()))</f>
        <v>0</v>
      </c>
      <c r="AB66" s="977" t="n">
        <f aca="false">(Z66+AA66)*'Datos generales'!$D$16</f>
        <v>0</v>
      </c>
      <c r="AC66" s="975" t="n">
        <f aca="false">IF(DATE(YEAR($B66),MONTH($B66),DAY(1))=DATE(YEAR($AN$92),MONTH($AN$92),DAY(1)),$AN$91,0)</f>
        <v>0</v>
      </c>
      <c r="AD66" s="973" t="n">
        <f aca="false">IF(ISERROR(VLOOKUP($T66,$AM$110:$AO$157,3,FALSE()))=TRUE(),0,VLOOKUP($T66,$AM$110:$AO$157,3,FALSE()))</f>
        <v>0</v>
      </c>
      <c r="AE66" s="976" t="n">
        <f aca="false">IF(ISERROR(VLOOKUP($T66,$AM$110:$AP$157,4,FALSE()))=TRUE(),0,VLOOKUP($T66,$AM$110:$AP$157,4,FALSE()))</f>
        <v>0</v>
      </c>
      <c r="AF66" s="977" t="n">
        <f aca="false">(AD66+AE66)*'Datos generales'!$D$16</f>
        <v>0</v>
      </c>
      <c r="AG66" s="975" t="n">
        <f aca="false">IF(DATE(YEAR($B66),MONTH($B66),DAY(1))=DATE(YEAR($AW$92),MONTH($AW$92),DAY(1)),$AW$91,0)</f>
        <v>0</v>
      </c>
      <c r="AH66" s="973" t="n">
        <f aca="false">IF(ISERROR(VLOOKUP($T66,$AV$110:$AX$157,3,FALSE()))=TRUE(),0,VLOOKUP($T66,$AV$110:$AX$157,3,FALSE()))</f>
        <v>0</v>
      </c>
      <c r="AI66" s="976" t="n">
        <f aca="false">IF(ISERROR(VLOOKUP($T66,$AV$110:$AY$157,4,FALSE()))=TRUE(),0,VLOOKUP($T66,$AV$110:$AY$157,4,FALSE()))</f>
        <v>0</v>
      </c>
      <c r="AJ66" s="977" t="n">
        <f aca="false">(AH66+AI66)*'Datos generales'!$D$16</f>
        <v>0</v>
      </c>
    </row>
    <row r="67" customFormat="false" ht="12.75" hidden="true" customHeight="false" outlineLevel="0" collapsed="false">
      <c r="B67" s="972" t="n">
        <f aca="false">DATE(YEAR(B66),MONTH(B66)+1,DAY(B66))</f>
        <v>45901</v>
      </c>
      <c r="C67" s="973" t="n">
        <f aca="false">G67+K67+O67</f>
        <v>0</v>
      </c>
      <c r="D67" s="973" t="n">
        <f aca="false">H67+L67+P67</f>
        <v>0</v>
      </c>
      <c r="E67" s="973" t="n">
        <f aca="false">I67+M67+Q67</f>
        <v>0</v>
      </c>
      <c r="F67" s="974" t="n">
        <f aca="false">J67+N67+R67</f>
        <v>0</v>
      </c>
      <c r="G67" s="973" t="n">
        <f aca="false">IF(AND(DATE(YEAR($B67),MONTH($B67),DAY(1))=DATE(YEAR($D$91),MONTH($D$91),DAY(1)),$G$34=0),$D$90,0)</f>
        <v>0</v>
      </c>
      <c r="H67" s="973" t="n">
        <f aca="false">IF(AND(B67=$D$91,$H$34=0),$D$102,0)</f>
        <v>0</v>
      </c>
      <c r="I67" s="973" t="n">
        <f aca="false">IF(ISERROR(VLOOKUP($B67,$C$110:$F$157,3,FALSE()))=TRUE(),0,VLOOKUP($B67,$C$110:$F$157,3,FALSE()))</f>
        <v>0</v>
      </c>
      <c r="J67" s="974" t="n">
        <f aca="false">IF(ISERROR(VLOOKUP($B67,$C$110:$F$157,4,FALSE()))=TRUE(),0,VLOOKUP($B67,$C$110:$F$157,4,FALSE()))</f>
        <v>0</v>
      </c>
      <c r="K67" s="973" t="n">
        <f aca="false">IF(AND(DATE(YEAR($B67),MONTH($B67),DAY(1))=DATE(YEAR($M$91),MONTH($M$91),DAY(1)),$K$34=0),$M$90,0)</f>
        <v>0</v>
      </c>
      <c r="L67" s="973" t="n">
        <f aca="false">IF(AND(B67=$M$91,$L$34=0),$M$102,0)</f>
        <v>0</v>
      </c>
      <c r="M67" s="973" t="n">
        <f aca="false">IF(ISERROR(VLOOKUP($B67,$L$110:$O$157,3,FALSE()))=TRUE(),0,VLOOKUP($B67,$L$110:$O$157,3,FALSE()))</f>
        <v>0</v>
      </c>
      <c r="N67" s="974" t="n">
        <f aca="false">IF(ISERROR(VLOOKUP($B67,$L$110:$O$157,4,FALSE()))=TRUE(),0,VLOOKUP($B67,$L$110:$O$157,4,FALSE()))</f>
        <v>0</v>
      </c>
      <c r="O67" s="973" t="n">
        <f aca="false">IF(AND(DATE(YEAR($B67),MONTH($B67),DAY(1))=DATE(YEAR($V$91),MONTH($V$91),DAY(1)),$O$34=0),$V$90,0)</f>
        <v>0</v>
      </c>
      <c r="P67" s="973" t="n">
        <f aca="false">IF(AND(B67=$V$91,$P$34=0),$V$102,0)</f>
        <v>0</v>
      </c>
      <c r="Q67" s="973" t="n">
        <f aca="false">IF(ISERROR(VLOOKUP($B67,$U$110:$X$157,3,FALSE()))=TRUE(),0,VLOOKUP($B67,$U$110:$X$157,3,FALSE()))</f>
        <v>0</v>
      </c>
      <c r="R67" s="974" t="n">
        <f aca="false">IF(ISERROR(VLOOKUP($B67,$U$110:$X$157,4,FALSE()))=TRUE(),0,VLOOKUP($B67,$U$110:$X$157,4,FALSE()))</f>
        <v>0</v>
      </c>
      <c r="T67" s="972" t="n">
        <f aca="false">DATE(YEAR(T66),MONTH(T66)+1,DAY(T66))</f>
        <v>45901</v>
      </c>
      <c r="U67" s="973" t="n">
        <f aca="false">Y67+AC67+AG67</f>
        <v>0</v>
      </c>
      <c r="V67" s="973" t="n">
        <f aca="false">Z67+AD67+AH67</f>
        <v>0</v>
      </c>
      <c r="W67" s="974" t="n">
        <f aca="false">AA67+AE67+AI67</f>
        <v>0</v>
      </c>
      <c r="X67" s="976" t="n">
        <f aca="false">AB67+AF67+AJ67</f>
        <v>0</v>
      </c>
      <c r="Y67" s="975" t="n">
        <f aca="false">IF(DATE(YEAR($B67),MONTH($B67),DAY(1))=DATE(YEAR($AE$92),MONTH($AE$92),DAY(1)),$AE$91,0)</f>
        <v>0</v>
      </c>
      <c r="Z67" s="973" t="n">
        <f aca="false">IF(ISERROR(VLOOKUP($T67,$AD$110:$AG$157,3,FALSE()))=TRUE(),0,VLOOKUP($T67,$AD$110:$AG$157,3,FALSE()))</f>
        <v>0</v>
      </c>
      <c r="AA67" s="976" t="n">
        <f aca="false">IF(ISERROR(VLOOKUP($T67,$AD$110:$AG$157,4,FALSE()))=TRUE(),0,VLOOKUP($T67,$AD$110:$AG$157,4,FALSE()))</f>
        <v>0</v>
      </c>
      <c r="AB67" s="977" t="n">
        <f aca="false">(Z67+AA67)*'Datos generales'!$D$16</f>
        <v>0</v>
      </c>
      <c r="AC67" s="975" t="n">
        <f aca="false">IF(DATE(YEAR($B67),MONTH($B67),DAY(1))=DATE(YEAR($AN$92),MONTH($AN$92),DAY(1)),$AN$91,0)</f>
        <v>0</v>
      </c>
      <c r="AD67" s="973" t="n">
        <f aca="false">IF(ISERROR(VLOOKUP($T67,$AM$110:$AO$157,3,FALSE()))=TRUE(),0,VLOOKUP($T67,$AM$110:$AO$157,3,FALSE()))</f>
        <v>0</v>
      </c>
      <c r="AE67" s="976" t="n">
        <f aca="false">IF(ISERROR(VLOOKUP($T67,$AM$110:$AP$157,4,FALSE()))=TRUE(),0,VLOOKUP($T67,$AM$110:$AP$157,4,FALSE()))</f>
        <v>0</v>
      </c>
      <c r="AF67" s="977" t="n">
        <f aca="false">(AD67+AE67)*'Datos generales'!$D$16</f>
        <v>0</v>
      </c>
      <c r="AG67" s="975" t="n">
        <f aca="false">IF(DATE(YEAR($B67),MONTH($B67),DAY(1))=DATE(YEAR($AW$92),MONTH($AW$92),DAY(1)),$AW$91,0)</f>
        <v>0</v>
      </c>
      <c r="AH67" s="973" t="n">
        <f aca="false">IF(ISERROR(VLOOKUP($T67,$AV$110:$AX$157,3,FALSE()))=TRUE(),0,VLOOKUP($T67,$AV$110:$AX$157,3,FALSE()))</f>
        <v>0</v>
      </c>
      <c r="AI67" s="976" t="n">
        <f aca="false">IF(ISERROR(VLOOKUP($T67,$AV$110:$AY$157,4,FALSE()))=TRUE(),0,VLOOKUP($T67,$AV$110:$AY$157,4,FALSE()))</f>
        <v>0</v>
      </c>
      <c r="AJ67" s="977" t="n">
        <f aca="false">(AH67+AI67)*'Datos generales'!$D$16</f>
        <v>0</v>
      </c>
    </row>
    <row r="68" customFormat="false" ht="12.75" hidden="true" customHeight="false" outlineLevel="0" collapsed="false">
      <c r="B68" s="972" t="n">
        <f aca="false">DATE(YEAR(B67),MONTH(B67)+1,DAY(B67))</f>
        <v>45931</v>
      </c>
      <c r="C68" s="973" t="n">
        <f aca="false">G68+K68+O68</f>
        <v>0</v>
      </c>
      <c r="D68" s="973" t="n">
        <f aca="false">H68+L68+P68</f>
        <v>0</v>
      </c>
      <c r="E68" s="973" t="n">
        <f aca="false">I68+M68+Q68</f>
        <v>0</v>
      </c>
      <c r="F68" s="974" t="n">
        <f aca="false">J68+N68+R68</f>
        <v>0</v>
      </c>
      <c r="G68" s="973" t="n">
        <f aca="false">IF(AND(DATE(YEAR($B68),MONTH($B68),DAY(1))=DATE(YEAR($D$91),MONTH($D$91),DAY(1)),$G$34=0),$D$90,0)</f>
        <v>0</v>
      </c>
      <c r="H68" s="973" t="n">
        <f aca="false">IF(AND(B68=$D$91,$H$34=0),$D$102,0)</f>
        <v>0</v>
      </c>
      <c r="I68" s="973" t="n">
        <f aca="false">IF(ISERROR(VLOOKUP($B68,$C$110:$F$157,3,FALSE()))=TRUE(),0,VLOOKUP($B68,$C$110:$F$157,3,FALSE()))</f>
        <v>0</v>
      </c>
      <c r="J68" s="974" t="n">
        <f aca="false">IF(ISERROR(VLOOKUP($B68,$C$110:$F$157,4,FALSE()))=TRUE(),0,VLOOKUP($B68,$C$110:$F$157,4,FALSE()))</f>
        <v>0</v>
      </c>
      <c r="K68" s="973" t="n">
        <f aca="false">IF(AND(DATE(YEAR($B68),MONTH($B68),DAY(1))=DATE(YEAR($M$91),MONTH($M$91),DAY(1)),$K$34=0),$M$90,0)</f>
        <v>0</v>
      </c>
      <c r="L68" s="973" t="n">
        <f aca="false">IF(AND(B68=$M$91,$L$34=0),$M$102,0)</f>
        <v>0</v>
      </c>
      <c r="M68" s="973" t="n">
        <f aca="false">IF(ISERROR(VLOOKUP($B68,$L$110:$O$157,3,FALSE()))=TRUE(),0,VLOOKUP($B68,$L$110:$O$157,3,FALSE()))</f>
        <v>0</v>
      </c>
      <c r="N68" s="974" t="n">
        <f aca="false">IF(ISERROR(VLOOKUP($B68,$L$110:$O$157,4,FALSE()))=TRUE(),0,VLOOKUP($B68,$L$110:$O$157,4,FALSE()))</f>
        <v>0</v>
      </c>
      <c r="O68" s="973" t="n">
        <f aca="false">IF(AND(DATE(YEAR($B68),MONTH($B68),DAY(1))=DATE(YEAR($V$91),MONTH($V$91),DAY(1)),$O$34=0),$V$90,0)</f>
        <v>0</v>
      </c>
      <c r="P68" s="973" t="n">
        <f aca="false">IF(AND(B68=$V$91,$P$34=0),$V$102,0)</f>
        <v>0</v>
      </c>
      <c r="Q68" s="973" t="n">
        <f aca="false">IF(ISERROR(VLOOKUP($B68,$U$110:$X$157,3,FALSE()))=TRUE(),0,VLOOKUP($B68,$U$110:$X$157,3,FALSE()))</f>
        <v>0</v>
      </c>
      <c r="R68" s="974" t="n">
        <f aca="false">IF(ISERROR(VLOOKUP($B68,$U$110:$X$157,4,FALSE()))=TRUE(),0,VLOOKUP($B68,$U$110:$X$157,4,FALSE()))</f>
        <v>0</v>
      </c>
      <c r="T68" s="972" t="n">
        <f aca="false">DATE(YEAR(T67),MONTH(T67)+1,DAY(T67))</f>
        <v>45931</v>
      </c>
      <c r="U68" s="973" t="n">
        <f aca="false">Y68+AC68+AG68</f>
        <v>0</v>
      </c>
      <c r="V68" s="973" t="n">
        <f aca="false">Z68+AD68+AH68</f>
        <v>0</v>
      </c>
      <c r="W68" s="974" t="n">
        <f aca="false">AA68+AE68+AI68</f>
        <v>0</v>
      </c>
      <c r="X68" s="976" t="n">
        <f aca="false">AB68+AF68+AJ68</f>
        <v>0</v>
      </c>
      <c r="Y68" s="975" t="n">
        <f aca="false">IF(DATE(YEAR($B68),MONTH($B68),DAY(1))=DATE(YEAR($AE$92),MONTH($AE$92),DAY(1)),$AE$91,0)</f>
        <v>0</v>
      </c>
      <c r="Z68" s="973" t="n">
        <f aca="false">IF(ISERROR(VLOOKUP($T68,$AD$110:$AG$157,3,FALSE()))=TRUE(),0,VLOOKUP($T68,$AD$110:$AG$157,3,FALSE()))</f>
        <v>0</v>
      </c>
      <c r="AA68" s="976" t="n">
        <f aca="false">IF(ISERROR(VLOOKUP($T68,$AD$110:$AG$157,4,FALSE()))=TRUE(),0,VLOOKUP($T68,$AD$110:$AG$157,4,FALSE()))</f>
        <v>0</v>
      </c>
      <c r="AB68" s="977" t="n">
        <f aca="false">(Z68+AA68)*'Datos generales'!$D$16</f>
        <v>0</v>
      </c>
      <c r="AC68" s="975" t="n">
        <f aca="false">IF(DATE(YEAR($B68),MONTH($B68),DAY(1))=DATE(YEAR($AN$92),MONTH($AN$92),DAY(1)),$AN$91,0)</f>
        <v>0</v>
      </c>
      <c r="AD68" s="973" t="n">
        <f aca="false">IF(ISERROR(VLOOKUP($T68,$AM$110:$AO$157,3,FALSE()))=TRUE(),0,VLOOKUP($T68,$AM$110:$AO$157,3,FALSE()))</f>
        <v>0</v>
      </c>
      <c r="AE68" s="976" t="n">
        <f aca="false">IF(ISERROR(VLOOKUP($T68,$AM$110:$AP$157,4,FALSE()))=TRUE(),0,VLOOKUP($T68,$AM$110:$AP$157,4,FALSE()))</f>
        <v>0</v>
      </c>
      <c r="AF68" s="977" t="n">
        <f aca="false">(AD68+AE68)*'Datos generales'!$D$16</f>
        <v>0</v>
      </c>
      <c r="AG68" s="975" t="n">
        <f aca="false">IF(DATE(YEAR($B68),MONTH($B68),DAY(1))=DATE(YEAR($AW$92),MONTH($AW$92),DAY(1)),$AW$91,0)</f>
        <v>0</v>
      </c>
      <c r="AH68" s="973" t="n">
        <f aca="false">IF(ISERROR(VLOOKUP($T68,$AV$110:$AX$157,3,FALSE()))=TRUE(),0,VLOOKUP($T68,$AV$110:$AX$157,3,FALSE()))</f>
        <v>0</v>
      </c>
      <c r="AI68" s="976" t="n">
        <f aca="false">IF(ISERROR(VLOOKUP($T68,$AV$110:$AY$157,4,FALSE()))=TRUE(),0,VLOOKUP($T68,$AV$110:$AY$157,4,FALSE()))</f>
        <v>0</v>
      </c>
      <c r="AJ68" s="977" t="n">
        <f aca="false">(AH68+AI68)*'Datos generales'!$D$16</f>
        <v>0</v>
      </c>
    </row>
    <row r="69" customFormat="false" ht="12.75" hidden="true" customHeight="false" outlineLevel="0" collapsed="false">
      <c r="B69" s="972" t="n">
        <f aca="false">DATE(YEAR(B68),MONTH(B68)+1,DAY(B68))</f>
        <v>45962</v>
      </c>
      <c r="C69" s="973" t="n">
        <f aca="false">G69+K69+O69</f>
        <v>0</v>
      </c>
      <c r="D69" s="973" t="n">
        <f aca="false">H69+L69+P69</f>
        <v>0</v>
      </c>
      <c r="E69" s="973" t="n">
        <f aca="false">I69+M69+Q69</f>
        <v>0</v>
      </c>
      <c r="F69" s="974" t="n">
        <f aca="false">J69+N69+R69</f>
        <v>0</v>
      </c>
      <c r="G69" s="973" t="n">
        <f aca="false">IF(AND(DATE(YEAR($B69),MONTH($B69),DAY(1))=DATE(YEAR($D$91),MONTH($D$91),DAY(1)),$G$34=0),$D$90,0)</f>
        <v>0</v>
      </c>
      <c r="H69" s="973" t="n">
        <f aca="false">IF(AND(B69=$D$91,$H$34=0),$D$102,0)</f>
        <v>0</v>
      </c>
      <c r="I69" s="973" t="n">
        <f aca="false">IF(ISERROR(VLOOKUP($B69,$C$110:$F$157,3,FALSE()))=TRUE(),0,VLOOKUP($B69,$C$110:$F$157,3,FALSE()))</f>
        <v>0</v>
      </c>
      <c r="J69" s="974" t="n">
        <f aca="false">IF(ISERROR(VLOOKUP($B69,$C$110:$F$157,4,FALSE()))=TRUE(),0,VLOOKUP($B69,$C$110:$F$157,4,FALSE()))</f>
        <v>0</v>
      </c>
      <c r="K69" s="973" t="n">
        <f aca="false">IF(AND(DATE(YEAR($B69),MONTH($B69),DAY(1))=DATE(YEAR($M$91),MONTH($M$91),DAY(1)),$K$34=0),$M$90,0)</f>
        <v>0</v>
      </c>
      <c r="L69" s="973" t="n">
        <f aca="false">IF(AND(B69=$M$91,$L$34=0),$M$102,0)</f>
        <v>0</v>
      </c>
      <c r="M69" s="973" t="n">
        <f aca="false">IF(ISERROR(VLOOKUP($B69,$L$110:$O$157,3,FALSE()))=TRUE(),0,VLOOKUP($B69,$L$110:$O$157,3,FALSE()))</f>
        <v>0</v>
      </c>
      <c r="N69" s="974" t="n">
        <f aca="false">IF(ISERROR(VLOOKUP($B69,$L$110:$O$157,4,FALSE()))=TRUE(),0,VLOOKUP($B69,$L$110:$O$157,4,FALSE()))</f>
        <v>0</v>
      </c>
      <c r="O69" s="973" t="n">
        <f aca="false">IF(AND(DATE(YEAR($B69),MONTH($B69),DAY(1))=DATE(YEAR($V$91),MONTH($V$91),DAY(1)),$O$34=0),$V$90,0)</f>
        <v>0</v>
      </c>
      <c r="P69" s="973" t="n">
        <f aca="false">IF(AND(B69=$V$91,$P$34=0),$V$102,0)</f>
        <v>0</v>
      </c>
      <c r="Q69" s="973" t="n">
        <f aca="false">IF(ISERROR(VLOOKUP($B69,$U$110:$X$157,3,FALSE()))=TRUE(),0,VLOOKUP($B69,$U$110:$X$157,3,FALSE()))</f>
        <v>0</v>
      </c>
      <c r="R69" s="974" t="n">
        <f aca="false">IF(ISERROR(VLOOKUP($B69,$U$110:$X$157,4,FALSE()))=TRUE(),0,VLOOKUP($B69,$U$110:$X$157,4,FALSE()))</f>
        <v>0</v>
      </c>
      <c r="T69" s="972" t="n">
        <f aca="false">DATE(YEAR(T68),MONTH(T68)+1,DAY(T68))</f>
        <v>45962</v>
      </c>
      <c r="U69" s="973" t="n">
        <f aca="false">Y69+AC69+AG69</f>
        <v>0</v>
      </c>
      <c r="V69" s="973" t="n">
        <f aca="false">Z69+AD69+AH69</f>
        <v>0</v>
      </c>
      <c r="W69" s="974" t="n">
        <f aca="false">AA69+AE69+AI69</f>
        <v>0</v>
      </c>
      <c r="X69" s="976" t="n">
        <f aca="false">AB69+AF69+AJ69</f>
        <v>0</v>
      </c>
      <c r="Y69" s="975" t="n">
        <f aca="false">IF(DATE(YEAR($B69),MONTH($B69),DAY(1))=DATE(YEAR($AE$92),MONTH($AE$92),DAY(1)),$AE$91,0)</f>
        <v>0</v>
      </c>
      <c r="Z69" s="973" t="n">
        <f aca="false">IF(ISERROR(VLOOKUP($T69,$AD$110:$AG$157,3,FALSE()))=TRUE(),0,VLOOKUP($T69,$AD$110:$AG$157,3,FALSE()))</f>
        <v>0</v>
      </c>
      <c r="AA69" s="976" t="n">
        <f aca="false">IF(ISERROR(VLOOKUP($T69,$AD$110:$AG$157,4,FALSE()))=TRUE(),0,VLOOKUP($T69,$AD$110:$AG$157,4,FALSE()))</f>
        <v>0</v>
      </c>
      <c r="AB69" s="977" t="n">
        <f aca="false">(Z69+AA69)*'Datos generales'!$D$16</f>
        <v>0</v>
      </c>
      <c r="AC69" s="975" t="n">
        <f aca="false">IF(DATE(YEAR($B69),MONTH($B69),DAY(1))=DATE(YEAR($AN$92),MONTH($AN$92),DAY(1)),$AN$91,0)</f>
        <v>0</v>
      </c>
      <c r="AD69" s="973" t="n">
        <f aca="false">IF(ISERROR(VLOOKUP($T69,$AM$110:$AO$157,3,FALSE()))=TRUE(),0,VLOOKUP($T69,$AM$110:$AO$157,3,FALSE()))</f>
        <v>0</v>
      </c>
      <c r="AE69" s="976" t="n">
        <f aca="false">IF(ISERROR(VLOOKUP($T69,$AM$110:$AP$157,4,FALSE()))=TRUE(),0,VLOOKUP($T69,$AM$110:$AP$157,4,FALSE()))</f>
        <v>0</v>
      </c>
      <c r="AF69" s="977" t="n">
        <f aca="false">(AD69+AE69)*'Datos generales'!$D$16</f>
        <v>0</v>
      </c>
      <c r="AG69" s="975" t="n">
        <f aca="false">IF(DATE(YEAR($B69),MONTH($B69),DAY(1))=DATE(YEAR($AW$92),MONTH($AW$92),DAY(1)),$AW$91,0)</f>
        <v>0</v>
      </c>
      <c r="AH69" s="973" t="n">
        <f aca="false">IF(ISERROR(VLOOKUP($T69,$AV$110:$AX$157,3,FALSE()))=TRUE(),0,VLOOKUP($T69,$AV$110:$AX$157,3,FALSE()))</f>
        <v>0</v>
      </c>
      <c r="AI69" s="976" t="n">
        <f aca="false">IF(ISERROR(VLOOKUP($T69,$AV$110:$AY$157,4,FALSE()))=TRUE(),0,VLOOKUP($T69,$AV$110:$AY$157,4,FALSE()))</f>
        <v>0</v>
      </c>
      <c r="AJ69" s="977" t="n">
        <f aca="false">(AH69+AI69)*'Datos generales'!$D$16</f>
        <v>0</v>
      </c>
    </row>
    <row r="70" s="23" customFormat="true" ht="13.5" hidden="true" customHeight="false" outlineLevel="0" collapsed="false">
      <c r="B70" s="978" t="n">
        <f aca="false">DATE(YEAR(B69),MONTH(B69)+1,DAY(B69))</f>
        <v>45992</v>
      </c>
      <c r="C70" s="979" t="n">
        <f aca="false">G70+K70+O70</f>
        <v>0</v>
      </c>
      <c r="D70" s="979" t="n">
        <f aca="false">H70+L70+P70</f>
        <v>0</v>
      </c>
      <c r="E70" s="979" t="n">
        <f aca="false">I70+M70+Q70</f>
        <v>0</v>
      </c>
      <c r="F70" s="980" t="n">
        <f aca="false">J70+N70+R70</f>
        <v>0</v>
      </c>
      <c r="G70" s="981" t="n">
        <f aca="false">IF(AND(DATE(YEAR($B70),MONTH($B70),DAY(1))=DATE(YEAR($D$91),MONTH($D$91),DAY(1)),$G$34=0),$D$90,0)</f>
        <v>0</v>
      </c>
      <c r="H70" s="981" t="n">
        <f aca="false">IF(AND(B70=$D$91,$H$34=0),$D$102,0)</f>
        <v>0</v>
      </c>
      <c r="I70" s="981" t="n">
        <f aca="false">IF(ISERROR(VLOOKUP($B70,$C$110:$F$157,3,FALSE()))=TRUE(),0,VLOOKUP($B70,$C$110:$F$157,3,FALSE()))</f>
        <v>0</v>
      </c>
      <c r="J70" s="981" t="n">
        <f aca="false">IF(ISERROR(VLOOKUP($B70,$C$110:$F$157,4,FALSE()))=TRUE(),0,VLOOKUP($B70,$C$110:$F$157,4,FALSE()))</f>
        <v>0</v>
      </c>
      <c r="K70" s="981" t="n">
        <f aca="false">IF(AND(DATE(YEAR($B70),MONTH($B70),DAY(1))=DATE(YEAR($M$91),MONTH($M$91),DAY(1)),$K$34=0),$M$90,0)</f>
        <v>0</v>
      </c>
      <c r="L70" s="981" t="n">
        <f aca="false">IF(AND(B70=$M$91,$L$34=0),$M$102,0)</f>
        <v>0</v>
      </c>
      <c r="M70" s="981" t="n">
        <f aca="false">IF(ISERROR(VLOOKUP($B70,$L$110:$O$157,3,FALSE()))=TRUE(),0,VLOOKUP($B70,$L$110:$O$157,3,FALSE()))</f>
        <v>0</v>
      </c>
      <c r="N70" s="981" t="n">
        <f aca="false">IF(ISERROR(VLOOKUP($B70,$L$110:$O$157,4,FALSE()))=TRUE(),0,VLOOKUP($B70,$L$110:$O$157,4,FALSE()))</f>
        <v>0</v>
      </c>
      <c r="O70" s="981" t="n">
        <f aca="false">IF(AND(DATE(YEAR($B70),MONTH($B70),DAY(1))=DATE(YEAR($V$91),MONTH($V$91),DAY(1)),$O$34=0),$V$90,0)</f>
        <v>0</v>
      </c>
      <c r="P70" s="981" t="n">
        <f aca="false">IF(AND(B70=$V$91,$P$34=0),$V$102,0)</f>
        <v>0</v>
      </c>
      <c r="Q70" s="981" t="n">
        <f aca="false">IF(ISERROR(VLOOKUP($B70,$U$110:$X$157,3,FALSE()))=TRUE(),0,VLOOKUP($B70,$U$110:$X$157,3,FALSE()))</f>
        <v>0</v>
      </c>
      <c r="R70" s="981" t="n">
        <f aca="false">IF(ISERROR(VLOOKUP($B70,$U$110:$X$157,4,FALSE()))=TRUE(),0,VLOOKUP($B70,$U$110:$X$157,4,FALSE()))</f>
        <v>0</v>
      </c>
      <c r="T70" s="983" t="n">
        <f aca="false">DATE(YEAR(T69),MONTH(T69)+1,DAY(T69))</f>
        <v>45992</v>
      </c>
      <c r="U70" s="984" t="n">
        <f aca="false">Y70+AC70+AG70</f>
        <v>0</v>
      </c>
      <c r="V70" s="984" t="n">
        <f aca="false">Z70+AD70+AH70</f>
        <v>0</v>
      </c>
      <c r="W70" s="985" t="n">
        <f aca="false">AA70+AE70+AI70</f>
        <v>0</v>
      </c>
      <c r="X70" s="982" t="n">
        <f aca="false">AB70+AF70+AJ70</f>
        <v>0</v>
      </c>
      <c r="Y70" s="981" t="n">
        <f aca="false">IF(DATE(YEAR($B70),MONTH($B70),DAY(1))=DATE(YEAR($AE$92),MONTH($AE$92),DAY(1)),$AE$91,0)</f>
        <v>0</v>
      </c>
      <c r="Z70" s="979" t="n">
        <f aca="false">IF(ISERROR(VLOOKUP($T70,$AD$110:$AG$157,3,FALSE()))=TRUE(),0,VLOOKUP($T70,$AD$110:$AG$157,3,FALSE()))</f>
        <v>0</v>
      </c>
      <c r="AA70" s="982" t="n">
        <f aca="false">IF(ISERROR(VLOOKUP($T70,$AD$110:$AG$157,4,FALSE()))=TRUE(),0,VLOOKUP($T70,$AD$110:$AG$157,4,FALSE()))</f>
        <v>0</v>
      </c>
      <c r="AB70" s="980" t="n">
        <f aca="false">(Z70+AA70)*'Datos generales'!$D$16</f>
        <v>0</v>
      </c>
      <c r="AC70" s="981" t="n">
        <f aca="false">IF(DATE(YEAR($B70),MONTH($B70),DAY(1))=DATE(YEAR($AN$92),MONTH($AN$92),DAY(1)),$AN$91,0)</f>
        <v>0</v>
      </c>
      <c r="AD70" s="979" t="n">
        <f aca="false">IF(ISERROR(VLOOKUP($T70,$AM$110:$AO$157,3,FALSE()))=TRUE(),0,VLOOKUP($T70,$AM$110:$AO$157,3,FALSE()))</f>
        <v>0</v>
      </c>
      <c r="AE70" s="982" t="n">
        <f aca="false">IF(ISERROR(VLOOKUP($T70,$AM$110:$AP$157,4,FALSE()))=TRUE(),0,VLOOKUP($T70,$AM$110:$AP$157,4,FALSE()))</f>
        <v>0</v>
      </c>
      <c r="AF70" s="980" t="n">
        <f aca="false">(AD70+AE70)*'Datos generales'!$D$16</f>
        <v>0</v>
      </c>
      <c r="AG70" s="981" t="n">
        <f aca="false">IF(DATE(YEAR($B70),MONTH($B70),DAY(1))=DATE(YEAR($AW$92),MONTH($AW$92),DAY(1)),$AW$91,0)</f>
        <v>0</v>
      </c>
      <c r="AH70" s="979" t="n">
        <f aca="false">IF(ISERROR(VLOOKUP($T70,$AV$110:$AX$157,3,FALSE()))=TRUE(),0,VLOOKUP($T70,$AV$110:$AX$157,3,FALSE()))</f>
        <v>0</v>
      </c>
      <c r="AI70" s="982" t="n">
        <f aca="false">IF(ISERROR(VLOOKUP($T70,$AV$110:$AY$157,4,FALSE()))=TRUE(),0,VLOOKUP($T70,$AV$110:$AY$157,4,FALSE()))</f>
        <v>0</v>
      </c>
      <c r="AJ70" s="980" t="n">
        <f aca="false">(AH70+AI70)*'Datos generales'!$D$16</f>
        <v>0</v>
      </c>
    </row>
    <row r="71" customFormat="false" ht="12.75" hidden="true" customHeight="false" outlineLevel="0" collapsed="false">
      <c r="B71" s="972" t="n">
        <f aca="false">DATE(YEAR(B70),MONTH(B70)+1,DAY(B70))</f>
        <v>46023</v>
      </c>
      <c r="C71" s="973" t="n">
        <f aca="false">G71+K71+O71</f>
        <v>0</v>
      </c>
      <c r="D71" s="973" t="n">
        <f aca="false">H71+L71+P71</f>
        <v>0</v>
      </c>
      <c r="E71" s="973" t="n">
        <f aca="false">I71+M71+Q71</f>
        <v>0</v>
      </c>
      <c r="F71" s="974" t="n">
        <f aca="false">J71+N71+R71</f>
        <v>0</v>
      </c>
      <c r="G71" s="973" t="n">
        <f aca="false">IF(AND(DATE(YEAR($B71),MONTH($B71),DAY(1))=DATE(YEAR($D$91),MONTH($D$91),DAY(1)),$G$34=0),$D$90,0)</f>
        <v>0</v>
      </c>
      <c r="H71" s="973" t="n">
        <f aca="false">IF(AND(B71=$D$91,$H$34=0),$D$102,0)</f>
        <v>0</v>
      </c>
      <c r="I71" s="973" t="n">
        <f aca="false">IF(ISERROR(VLOOKUP($B71,$C$110:$F$157,3,FALSE()))=TRUE(),0,VLOOKUP($B71,$C$110:$F$157,3,FALSE()))</f>
        <v>0</v>
      </c>
      <c r="J71" s="974" t="n">
        <f aca="false">IF(ISERROR(VLOOKUP($B71,$C$110:$F$157,4,FALSE()))=TRUE(),0,VLOOKUP($B71,$C$110:$F$157,4,FALSE()))</f>
        <v>0</v>
      </c>
      <c r="K71" s="973" t="n">
        <f aca="false">IF(AND(DATE(YEAR($B71),MONTH($B71),DAY(1))=DATE(YEAR($M$91),MONTH($M$91),DAY(1)),$K$34=0),$M$90,0)</f>
        <v>0</v>
      </c>
      <c r="L71" s="973" t="n">
        <f aca="false">IF(AND(B71=$M$91,$L$34=0),$M$102,0)</f>
        <v>0</v>
      </c>
      <c r="M71" s="973" t="n">
        <f aca="false">IF(ISERROR(VLOOKUP($B71,$L$110:$O$157,3,FALSE()))=TRUE(),0,VLOOKUP($B71,$L$110:$O$157,3,FALSE()))</f>
        <v>0</v>
      </c>
      <c r="N71" s="974" t="n">
        <f aca="false">IF(ISERROR(VLOOKUP($B71,$L$110:$O$157,4,FALSE()))=TRUE(),0,VLOOKUP($B71,$L$110:$O$157,4,FALSE()))</f>
        <v>0</v>
      </c>
      <c r="O71" s="973" t="n">
        <f aca="false">IF(AND(DATE(YEAR($B71),MONTH($B71),DAY(1))=DATE(YEAR($V$91),MONTH($V$91),DAY(1)),$O$34=0),$V$90,0)</f>
        <v>0</v>
      </c>
      <c r="P71" s="973" t="n">
        <f aca="false">IF(AND(B71=$V$91,$P$34=0),$V$102,0)</f>
        <v>0</v>
      </c>
      <c r="Q71" s="973" t="n">
        <f aca="false">IF(ISERROR(VLOOKUP($B71,$U$110:$X$157,3,FALSE()))=TRUE(),0,VLOOKUP($B71,$U$110:$X$157,3,FALSE()))</f>
        <v>0</v>
      </c>
      <c r="R71" s="974" t="n">
        <f aca="false">IF(ISERROR(VLOOKUP($B71,$U$110:$X$157,4,FALSE()))=TRUE(),0,VLOOKUP($B71,$U$110:$X$157,4,FALSE()))</f>
        <v>0</v>
      </c>
      <c r="T71" s="972" t="n">
        <f aca="false">DATE(YEAR(T70),MONTH(T70)+1,DAY(T70))</f>
        <v>46023</v>
      </c>
      <c r="U71" s="973" t="n">
        <f aca="false">Y71+AC71+AG71</f>
        <v>0</v>
      </c>
      <c r="V71" s="973" t="n">
        <f aca="false">Z71+AD71+AH71</f>
        <v>0</v>
      </c>
      <c r="W71" s="974" t="n">
        <f aca="false">AA71+AE71+AI71</f>
        <v>0</v>
      </c>
      <c r="X71" s="976" t="n">
        <f aca="false">AB71+AF71+AJ71</f>
        <v>0</v>
      </c>
      <c r="Y71" s="975" t="n">
        <f aca="false">IF(DATE(YEAR($B71),MONTH($B71),DAY(1))=DATE(YEAR($AE$92),MONTH($AE$92),DAY(1)),$AE$91,0)</f>
        <v>0</v>
      </c>
      <c r="Z71" s="973" t="n">
        <f aca="false">IF(ISERROR(VLOOKUP($T71,$AD$110:$AG$157,3,FALSE()))=TRUE(),0,VLOOKUP($T71,$AD$110:$AG$157,3,FALSE()))</f>
        <v>0</v>
      </c>
      <c r="AA71" s="976" t="n">
        <f aca="false">IF(ISERROR(VLOOKUP($T71,$AD$110:$AG$157,4,FALSE()))=TRUE(),0,VLOOKUP($T71,$AD$110:$AG$157,4,FALSE()))</f>
        <v>0</v>
      </c>
      <c r="AB71" s="977" t="n">
        <f aca="false">(Z71+AA71)*'Datos generales'!$D$16</f>
        <v>0</v>
      </c>
      <c r="AC71" s="975" t="n">
        <f aca="false">IF(DATE(YEAR($B71),MONTH($B71),DAY(1))=DATE(YEAR($AN$92),MONTH($AN$92),DAY(1)),$AN$91,0)</f>
        <v>0</v>
      </c>
      <c r="AD71" s="973" t="n">
        <f aca="false">IF(ISERROR(VLOOKUP($T71,$AM$110:$AO$157,3,FALSE()))=TRUE(),0,VLOOKUP($T71,$AM$110:$AO$157,3,FALSE()))</f>
        <v>0</v>
      </c>
      <c r="AE71" s="976" t="n">
        <f aca="false">IF(ISERROR(VLOOKUP($T71,$AM$110:$AP$157,4,FALSE()))=TRUE(),0,VLOOKUP($T71,$AM$110:$AP$157,4,FALSE()))</f>
        <v>0</v>
      </c>
      <c r="AF71" s="977" t="n">
        <f aca="false">(AD71+AE71)*'Datos generales'!$D$16</f>
        <v>0</v>
      </c>
      <c r="AG71" s="975" t="n">
        <f aca="false">IF(DATE(YEAR($B71),MONTH($B71),DAY(1))=DATE(YEAR($AW$92),MONTH($AW$92),DAY(1)),$AW$91,0)</f>
        <v>0</v>
      </c>
      <c r="AH71" s="973" t="n">
        <f aca="false">IF(ISERROR(VLOOKUP($T71,$AV$110:$AX$157,3,FALSE()))=TRUE(),0,VLOOKUP($T71,$AV$110:$AX$157,3,FALSE()))</f>
        <v>0</v>
      </c>
      <c r="AI71" s="976" t="n">
        <f aca="false">IF(ISERROR(VLOOKUP($T71,$AV$110:$AY$157,4,FALSE()))=TRUE(),0,VLOOKUP($T71,$AV$110:$AY$157,4,FALSE()))</f>
        <v>0</v>
      </c>
      <c r="AJ71" s="977" t="n">
        <f aca="false">(AH71+AI71)*'Datos generales'!$D$16</f>
        <v>0</v>
      </c>
    </row>
    <row r="72" customFormat="false" ht="12.75" hidden="true" customHeight="false" outlineLevel="0" collapsed="false">
      <c r="B72" s="972" t="n">
        <f aca="false">DATE(YEAR(B71),MONTH(B71)+1,DAY(B71))</f>
        <v>46054</v>
      </c>
      <c r="C72" s="973" t="n">
        <f aca="false">G72+K72+O72</f>
        <v>0</v>
      </c>
      <c r="D72" s="973" t="n">
        <f aca="false">H72+L72+P72</f>
        <v>0</v>
      </c>
      <c r="E72" s="973" t="n">
        <f aca="false">I72+M72+Q72</f>
        <v>0</v>
      </c>
      <c r="F72" s="974" t="n">
        <f aca="false">J72+N72+R72</f>
        <v>0</v>
      </c>
      <c r="G72" s="973" t="n">
        <f aca="false">IF(AND(DATE(YEAR($B72),MONTH($B72),DAY(1))=DATE(YEAR($D$91),MONTH($D$91),DAY(1)),$G$34=0),$D$90,0)</f>
        <v>0</v>
      </c>
      <c r="H72" s="973" t="n">
        <f aca="false">IF(AND(B72=$D$91,$H$34=0),$D$102,0)</f>
        <v>0</v>
      </c>
      <c r="I72" s="973" t="n">
        <f aca="false">IF(ISERROR(VLOOKUP($B72,$C$110:$F$157,3,FALSE()))=TRUE(),0,VLOOKUP($B72,$C$110:$F$157,3,FALSE()))</f>
        <v>0</v>
      </c>
      <c r="J72" s="974" t="n">
        <f aca="false">IF(ISERROR(VLOOKUP($B72,$C$110:$F$157,4,FALSE()))=TRUE(),0,VLOOKUP($B72,$C$110:$F$157,4,FALSE()))</f>
        <v>0</v>
      </c>
      <c r="K72" s="973" t="n">
        <f aca="false">IF(AND(DATE(YEAR($B72),MONTH($B72),DAY(1))=DATE(YEAR($M$91),MONTH($M$91),DAY(1)),$K$34=0),$M$90,0)</f>
        <v>0</v>
      </c>
      <c r="L72" s="973" t="n">
        <f aca="false">IF(AND(B72=$M$91,$L$34=0),$M$102,0)</f>
        <v>0</v>
      </c>
      <c r="M72" s="973" t="n">
        <f aca="false">IF(ISERROR(VLOOKUP($B72,$L$110:$O$157,3,FALSE()))=TRUE(),0,VLOOKUP($B72,$L$110:$O$157,3,FALSE()))</f>
        <v>0</v>
      </c>
      <c r="N72" s="974" t="n">
        <f aca="false">IF(ISERROR(VLOOKUP($B72,$L$110:$O$157,4,FALSE()))=TRUE(),0,VLOOKUP($B72,$L$110:$O$157,4,FALSE()))</f>
        <v>0</v>
      </c>
      <c r="O72" s="973" t="n">
        <f aca="false">IF(AND(DATE(YEAR($B72),MONTH($B72),DAY(1))=DATE(YEAR($V$91),MONTH($V$91),DAY(1)),$O$34=0),$V$90,0)</f>
        <v>0</v>
      </c>
      <c r="P72" s="973" t="n">
        <f aca="false">IF(AND(B72=$V$91,$P$34=0),$V$102,0)</f>
        <v>0</v>
      </c>
      <c r="Q72" s="973" t="n">
        <f aca="false">IF(ISERROR(VLOOKUP($B72,$U$110:$X$157,3,FALSE()))=TRUE(),0,VLOOKUP($B72,$U$110:$X$157,3,FALSE()))</f>
        <v>0</v>
      </c>
      <c r="R72" s="974" t="n">
        <f aca="false">IF(ISERROR(VLOOKUP($B72,$U$110:$X$157,4,FALSE()))=TRUE(),0,VLOOKUP($B72,$U$110:$X$157,4,FALSE()))</f>
        <v>0</v>
      </c>
      <c r="T72" s="972" t="n">
        <f aca="false">DATE(YEAR(T71),MONTH(T71)+1,DAY(T71))</f>
        <v>46054</v>
      </c>
      <c r="U72" s="973" t="n">
        <f aca="false">Y72+AC72+AG72</f>
        <v>0</v>
      </c>
      <c r="V72" s="973" t="n">
        <f aca="false">Z72+AD72+AH72</f>
        <v>0</v>
      </c>
      <c r="W72" s="974" t="n">
        <f aca="false">AA72+AE72+AI72</f>
        <v>0</v>
      </c>
      <c r="X72" s="976" t="n">
        <f aca="false">AB72+AF72+AJ72</f>
        <v>0</v>
      </c>
      <c r="Y72" s="975" t="n">
        <f aca="false">IF(DATE(YEAR($B72),MONTH($B72),DAY(1))=DATE(YEAR($AE$92),MONTH($AE$92),DAY(1)),$AE$91,0)</f>
        <v>0</v>
      </c>
      <c r="Z72" s="973" t="n">
        <f aca="false">IF(ISERROR(VLOOKUP($T72,$AD$110:$AG$157,3,FALSE()))=TRUE(),0,VLOOKUP($T72,$AD$110:$AG$157,3,FALSE()))</f>
        <v>0</v>
      </c>
      <c r="AA72" s="976" t="n">
        <f aca="false">IF(ISERROR(VLOOKUP($T72,$AD$110:$AG$157,4,FALSE()))=TRUE(),0,VLOOKUP($T72,$AD$110:$AG$157,4,FALSE()))</f>
        <v>0</v>
      </c>
      <c r="AB72" s="977" t="n">
        <f aca="false">(Z72+AA72)*'Datos generales'!$D$16</f>
        <v>0</v>
      </c>
      <c r="AC72" s="975" t="n">
        <f aca="false">IF(DATE(YEAR($B72),MONTH($B72),DAY(1))=DATE(YEAR($AN$92),MONTH($AN$92),DAY(1)),$AN$91,0)</f>
        <v>0</v>
      </c>
      <c r="AD72" s="973" t="n">
        <f aca="false">IF(ISERROR(VLOOKUP($T72,$AM$110:$AO$157,3,FALSE()))=TRUE(),0,VLOOKUP($T72,$AM$110:$AO$157,3,FALSE()))</f>
        <v>0</v>
      </c>
      <c r="AE72" s="976" t="n">
        <f aca="false">IF(ISERROR(VLOOKUP($T72,$AM$110:$AP$157,4,FALSE()))=TRUE(),0,VLOOKUP($T72,$AM$110:$AP$157,4,FALSE()))</f>
        <v>0</v>
      </c>
      <c r="AF72" s="977" t="n">
        <f aca="false">(AD72+AE72)*'Datos generales'!$D$16</f>
        <v>0</v>
      </c>
      <c r="AG72" s="975" t="n">
        <f aca="false">IF(DATE(YEAR($B72),MONTH($B72),DAY(1))=DATE(YEAR($AW$92),MONTH($AW$92),DAY(1)),$AW$91,0)</f>
        <v>0</v>
      </c>
      <c r="AH72" s="973" t="n">
        <f aca="false">IF(ISERROR(VLOOKUP($T72,$AV$110:$AX$157,3,FALSE()))=TRUE(),0,VLOOKUP($T72,$AV$110:$AX$157,3,FALSE()))</f>
        <v>0</v>
      </c>
      <c r="AI72" s="976" t="n">
        <f aca="false">IF(ISERROR(VLOOKUP($T72,$AV$110:$AY$157,4,FALSE()))=TRUE(),0,VLOOKUP($T72,$AV$110:$AY$157,4,FALSE()))</f>
        <v>0</v>
      </c>
      <c r="AJ72" s="977" t="n">
        <f aca="false">(AH72+AI72)*'Datos generales'!$D$16</f>
        <v>0</v>
      </c>
    </row>
    <row r="73" customFormat="false" ht="12.75" hidden="true" customHeight="false" outlineLevel="0" collapsed="false">
      <c r="B73" s="972" t="n">
        <f aca="false">DATE(YEAR(B72),MONTH(B72)+1,DAY(B72))</f>
        <v>46082</v>
      </c>
      <c r="C73" s="973" t="n">
        <f aca="false">G73+K73+O73</f>
        <v>0</v>
      </c>
      <c r="D73" s="973" t="n">
        <f aca="false">H73+L73+P73</f>
        <v>0</v>
      </c>
      <c r="E73" s="973" t="n">
        <f aca="false">I73+M73+Q73</f>
        <v>0</v>
      </c>
      <c r="F73" s="974" t="n">
        <f aca="false">J73+N73+R73</f>
        <v>0</v>
      </c>
      <c r="G73" s="973" t="n">
        <f aca="false">IF(AND(DATE(YEAR($B73),MONTH($B73),DAY(1))=DATE(YEAR($D$91),MONTH($D$91),DAY(1)),$G$34=0),$D$90,0)</f>
        <v>0</v>
      </c>
      <c r="H73" s="973" t="n">
        <f aca="false">IF(AND(B73=$D$91,$H$34=0),$D$102,0)</f>
        <v>0</v>
      </c>
      <c r="I73" s="973" t="n">
        <f aca="false">IF(ISERROR(VLOOKUP($B73,$C$110:$F$157,3,FALSE()))=TRUE(),0,VLOOKUP($B73,$C$110:$F$157,3,FALSE()))</f>
        <v>0</v>
      </c>
      <c r="J73" s="974" t="n">
        <f aca="false">IF(ISERROR(VLOOKUP($B73,$C$110:$F$157,4,FALSE()))=TRUE(),0,VLOOKUP($B73,$C$110:$F$157,4,FALSE()))</f>
        <v>0</v>
      </c>
      <c r="K73" s="973" t="n">
        <f aca="false">IF(AND(DATE(YEAR($B73),MONTH($B73),DAY(1))=DATE(YEAR($M$91),MONTH($M$91),DAY(1)),$K$34=0),$M$90,0)</f>
        <v>0</v>
      </c>
      <c r="L73" s="973" t="n">
        <f aca="false">IF(AND(B73=$M$91,$L$34=0),$M$102,0)</f>
        <v>0</v>
      </c>
      <c r="M73" s="973" t="n">
        <f aca="false">IF(ISERROR(VLOOKUP($B73,$L$110:$O$157,3,FALSE()))=TRUE(),0,VLOOKUP($B73,$L$110:$O$157,3,FALSE()))</f>
        <v>0</v>
      </c>
      <c r="N73" s="974" t="n">
        <f aca="false">IF(ISERROR(VLOOKUP($B73,$L$110:$O$157,4,FALSE()))=TRUE(),0,VLOOKUP($B73,$L$110:$O$157,4,FALSE()))</f>
        <v>0</v>
      </c>
      <c r="O73" s="973" t="n">
        <f aca="false">IF(AND(DATE(YEAR($B73),MONTH($B73),DAY(1))=DATE(YEAR($V$91),MONTH($V$91),DAY(1)),$O$34=0),$V$90,0)</f>
        <v>0</v>
      </c>
      <c r="P73" s="973" t="n">
        <f aca="false">IF(AND(B73=$V$91,$P$34=0),$V$102,0)</f>
        <v>0</v>
      </c>
      <c r="Q73" s="973" t="n">
        <f aca="false">IF(ISERROR(VLOOKUP($B73,$U$110:$X$157,3,FALSE()))=TRUE(),0,VLOOKUP($B73,$U$110:$X$157,3,FALSE()))</f>
        <v>0</v>
      </c>
      <c r="R73" s="974" t="n">
        <f aca="false">IF(ISERROR(VLOOKUP($B73,$U$110:$X$157,4,FALSE()))=TRUE(),0,VLOOKUP($B73,$U$110:$X$157,4,FALSE()))</f>
        <v>0</v>
      </c>
      <c r="T73" s="972" t="n">
        <f aca="false">DATE(YEAR(T72),MONTH(T72)+1,DAY(T72))</f>
        <v>46082</v>
      </c>
      <c r="U73" s="973" t="n">
        <f aca="false">Y73+AC73+AG73</f>
        <v>0</v>
      </c>
      <c r="V73" s="973" t="n">
        <f aca="false">Z73+AD73+AH73</f>
        <v>0</v>
      </c>
      <c r="W73" s="974" t="n">
        <f aca="false">AA73+AE73+AI73</f>
        <v>0</v>
      </c>
      <c r="X73" s="976" t="n">
        <f aca="false">AB73+AF73+AJ73</f>
        <v>0</v>
      </c>
      <c r="Y73" s="975" t="n">
        <f aca="false">IF(DATE(YEAR($B73),MONTH($B73),DAY(1))=DATE(YEAR($AE$92),MONTH($AE$92),DAY(1)),$AE$91,0)</f>
        <v>0</v>
      </c>
      <c r="Z73" s="973" t="n">
        <f aca="false">IF(ISERROR(VLOOKUP($T73,$AD$110:$AG$157,3,FALSE()))=TRUE(),0,VLOOKUP($T73,$AD$110:$AG$157,3,FALSE()))</f>
        <v>0</v>
      </c>
      <c r="AA73" s="976" t="n">
        <f aca="false">IF(ISERROR(VLOOKUP($T73,$AD$110:$AG$157,4,FALSE()))=TRUE(),0,VLOOKUP($T73,$AD$110:$AG$157,4,FALSE()))</f>
        <v>0</v>
      </c>
      <c r="AB73" s="977" t="n">
        <f aca="false">(Z73+AA73)*'Datos generales'!$D$16</f>
        <v>0</v>
      </c>
      <c r="AC73" s="975" t="n">
        <f aca="false">IF(DATE(YEAR($B73),MONTH($B73),DAY(1))=DATE(YEAR($AN$92),MONTH($AN$92),DAY(1)),$AN$91,0)</f>
        <v>0</v>
      </c>
      <c r="AD73" s="973" t="n">
        <f aca="false">IF(ISERROR(VLOOKUP($T73,$AM$110:$AO$157,3,FALSE()))=TRUE(),0,VLOOKUP($T73,$AM$110:$AO$157,3,FALSE()))</f>
        <v>0</v>
      </c>
      <c r="AE73" s="976" t="n">
        <f aca="false">IF(ISERROR(VLOOKUP($T73,$AM$110:$AP$157,4,FALSE()))=TRUE(),0,VLOOKUP($T73,$AM$110:$AP$157,4,FALSE()))</f>
        <v>0</v>
      </c>
      <c r="AF73" s="977" t="n">
        <f aca="false">(AD73+AE73)*'Datos generales'!$D$16</f>
        <v>0</v>
      </c>
      <c r="AG73" s="975" t="n">
        <f aca="false">IF(DATE(YEAR($B73),MONTH($B73),DAY(1))=DATE(YEAR($AW$92),MONTH($AW$92),DAY(1)),$AW$91,0)</f>
        <v>0</v>
      </c>
      <c r="AH73" s="973" t="n">
        <f aca="false">IF(ISERROR(VLOOKUP($T73,$AV$110:$AX$157,3,FALSE()))=TRUE(),0,VLOOKUP($T73,$AV$110:$AX$157,3,FALSE()))</f>
        <v>0</v>
      </c>
      <c r="AI73" s="976" t="n">
        <f aca="false">IF(ISERROR(VLOOKUP($T73,$AV$110:$AY$157,4,FALSE()))=TRUE(),0,VLOOKUP($T73,$AV$110:$AY$157,4,FALSE()))</f>
        <v>0</v>
      </c>
      <c r="AJ73" s="977" t="n">
        <f aca="false">(AH73+AI73)*'Datos generales'!$D$16</f>
        <v>0</v>
      </c>
    </row>
    <row r="74" customFormat="false" ht="12.75" hidden="true" customHeight="false" outlineLevel="0" collapsed="false">
      <c r="B74" s="972" t="n">
        <f aca="false">DATE(YEAR(B73),MONTH(B73)+1,DAY(B73))</f>
        <v>46113</v>
      </c>
      <c r="C74" s="973" t="n">
        <f aca="false">G74+K74+O74</f>
        <v>0</v>
      </c>
      <c r="D74" s="973" t="n">
        <f aca="false">H74+L74+P74</f>
        <v>0</v>
      </c>
      <c r="E74" s="973" t="n">
        <f aca="false">I74+M74+Q74</f>
        <v>0</v>
      </c>
      <c r="F74" s="974" t="n">
        <f aca="false">J74+N74+R74</f>
        <v>0</v>
      </c>
      <c r="G74" s="973" t="n">
        <f aca="false">IF(AND(DATE(YEAR($B74),MONTH($B74),DAY(1))=DATE(YEAR($D$91),MONTH($D$91),DAY(1)),$G$34=0),$D$90,0)</f>
        <v>0</v>
      </c>
      <c r="H74" s="973" t="n">
        <f aca="false">IF(AND(B74=$D$91,$H$34=0),$D$102,0)</f>
        <v>0</v>
      </c>
      <c r="I74" s="973" t="n">
        <f aca="false">IF(ISERROR(VLOOKUP($B74,$C$110:$F$157,3,FALSE()))=TRUE(),0,VLOOKUP($B74,$C$110:$F$157,3,FALSE()))</f>
        <v>0</v>
      </c>
      <c r="J74" s="974" t="n">
        <f aca="false">IF(ISERROR(VLOOKUP($B74,$C$110:$F$157,4,FALSE()))=TRUE(),0,VLOOKUP($B74,$C$110:$F$157,4,FALSE()))</f>
        <v>0</v>
      </c>
      <c r="K74" s="973" t="n">
        <f aca="false">IF(AND(DATE(YEAR($B74),MONTH($B74),DAY(1))=DATE(YEAR($M$91),MONTH($M$91),DAY(1)),$K$34=0),$M$90,0)</f>
        <v>0</v>
      </c>
      <c r="L74" s="973" t="n">
        <f aca="false">IF(AND(B74=$M$91,$L$34=0),$M$102,0)</f>
        <v>0</v>
      </c>
      <c r="M74" s="973" t="n">
        <f aca="false">IF(ISERROR(VLOOKUP($B74,$L$110:$O$157,3,FALSE()))=TRUE(),0,VLOOKUP($B74,$L$110:$O$157,3,FALSE()))</f>
        <v>0</v>
      </c>
      <c r="N74" s="974" t="n">
        <f aca="false">IF(ISERROR(VLOOKUP($B74,$L$110:$O$157,4,FALSE()))=TRUE(),0,VLOOKUP($B74,$L$110:$O$157,4,FALSE()))</f>
        <v>0</v>
      </c>
      <c r="O74" s="973" t="n">
        <f aca="false">IF(AND(DATE(YEAR($B74),MONTH($B74),DAY(1))=DATE(YEAR($V$91),MONTH($V$91),DAY(1)),$O$34=0),$V$90,0)</f>
        <v>0</v>
      </c>
      <c r="P74" s="973" t="n">
        <f aca="false">IF(AND(B74=$V$91,$P$34=0),$V$102,0)</f>
        <v>0</v>
      </c>
      <c r="Q74" s="973" t="n">
        <f aca="false">IF(ISERROR(VLOOKUP($B74,$U$110:$X$157,3,FALSE()))=TRUE(),0,VLOOKUP($B74,$U$110:$X$157,3,FALSE()))</f>
        <v>0</v>
      </c>
      <c r="R74" s="974" t="n">
        <f aca="false">IF(ISERROR(VLOOKUP($B74,$U$110:$X$157,4,FALSE()))=TRUE(),0,VLOOKUP($B74,$U$110:$X$157,4,FALSE()))</f>
        <v>0</v>
      </c>
      <c r="T74" s="972" t="n">
        <f aca="false">DATE(YEAR(T73),MONTH(T73)+1,DAY(T73))</f>
        <v>46113</v>
      </c>
      <c r="U74" s="973" t="n">
        <f aca="false">Y74+AC74+AG74</f>
        <v>0</v>
      </c>
      <c r="V74" s="973" t="n">
        <f aca="false">Z74+AD74+AH74</f>
        <v>0</v>
      </c>
      <c r="W74" s="974" t="n">
        <f aca="false">AA74+AE74+AI74</f>
        <v>0</v>
      </c>
      <c r="X74" s="976" t="n">
        <f aca="false">AB74+AF74+AJ74</f>
        <v>0</v>
      </c>
      <c r="Y74" s="975" t="n">
        <f aca="false">IF(DATE(YEAR($B74),MONTH($B74),DAY(1))=DATE(YEAR($AE$92),MONTH($AE$92),DAY(1)),$AE$91,0)</f>
        <v>0</v>
      </c>
      <c r="Z74" s="973" t="n">
        <f aca="false">IF(ISERROR(VLOOKUP($T74,$AD$110:$AG$157,3,FALSE()))=TRUE(),0,VLOOKUP($T74,$AD$110:$AG$157,3,FALSE()))</f>
        <v>0</v>
      </c>
      <c r="AA74" s="976" t="n">
        <f aca="false">IF(ISERROR(VLOOKUP($T74,$AD$110:$AG$157,4,FALSE()))=TRUE(),0,VLOOKUP($T74,$AD$110:$AG$157,4,FALSE()))</f>
        <v>0</v>
      </c>
      <c r="AB74" s="977" t="n">
        <f aca="false">(Z74+AA74)*'Datos generales'!$D$16</f>
        <v>0</v>
      </c>
      <c r="AC74" s="975" t="n">
        <f aca="false">IF(DATE(YEAR($B74),MONTH($B74),DAY(1))=DATE(YEAR($AN$92),MONTH($AN$92),DAY(1)),$AN$91,0)</f>
        <v>0</v>
      </c>
      <c r="AD74" s="973" t="n">
        <f aca="false">IF(ISERROR(VLOOKUP($T74,$AM$110:$AO$157,3,FALSE()))=TRUE(),0,VLOOKUP($T74,$AM$110:$AO$157,3,FALSE()))</f>
        <v>0</v>
      </c>
      <c r="AE74" s="976" t="n">
        <f aca="false">IF(ISERROR(VLOOKUP($T74,$AM$110:$AP$157,4,FALSE()))=TRUE(),0,VLOOKUP($T74,$AM$110:$AP$157,4,FALSE()))</f>
        <v>0</v>
      </c>
      <c r="AF74" s="977" t="n">
        <f aca="false">(AD74+AE74)*'Datos generales'!$D$16</f>
        <v>0</v>
      </c>
      <c r="AG74" s="975" t="n">
        <f aca="false">IF(DATE(YEAR($B74),MONTH($B74),DAY(1))=DATE(YEAR($AW$92),MONTH($AW$92),DAY(1)),$AW$91,0)</f>
        <v>0</v>
      </c>
      <c r="AH74" s="973" t="n">
        <f aca="false">IF(ISERROR(VLOOKUP($T74,$AV$110:$AX$157,3,FALSE()))=TRUE(),0,VLOOKUP($T74,$AV$110:$AX$157,3,FALSE()))</f>
        <v>0</v>
      </c>
      <c r="AI74" s="976" t="n">
        <f aca="false">IF(ISERROR(VLOOKUP($T74,$AV$110:$AY$157,4,FALSE()))=TRUE(),0,VLOOKUP($T74,$AV$110:$AY$157,4,FALSE()))</f>
        <v>0</v>
      </c>
      <c r="AJ74" s="977" t="n">
        <f aca="false">(AH74+AI74)*'Datos generales'!$D$16</f>
        <v>0</v>
      </c>
    </row>
    <row r="75" customFormat="false" ht="12.75" hidden="true" customHeight="false" outlineLevel="0" collapsed="false">
      <c r="B75" s="972" t="n">
        <f aca="false">DATE(YEAR(B74),MONTH(B74)+1,DAY(B74))</f>
        <v>46143</v>
      </c>
      <c r="C75" s="973" t="n">
        <f aca="false">G75+K75+O75</f>
        <v>0</v>
      </c>
      <c r="D75" s="973" t="n">
        <f aca="false">H75+L75+P75</f>
        <v>0</v>
      </c>
      <c r="E75" s="973" t="n">
        <f aca="false">I75+M75+Q75</f>
        <v>0</v>
      </c>
      <c r="F75" s="974" t="n">
        <f aca="false">J75+N75+R75</f>
        <v>0</v>
      </c>
      <c r="G75" s="973" t="n">
        <f aca="false">IF(AND(DATE(YEAR($B75),MONTH($B75),DAY(1))=DATE(YEAR($D$91),MONTH($D$91),DAY(1)),$G$34=0),$D$90,0)</f>
        <v>0</v>
      </c>
      <c r="H75" s="973" t="n">
        <f aca="false">IF(AND(B75=$D$91,$H$34=0),$D$102,0)</f>
        <v>0</v>
      </c>
      <c r="I75" s="973" t="n">
        <f aca="false">IF(ISERROR(VLOOKUP($B75,$C$110:$F$157,3,FALSE()))=TRUE(),0,VLOOKUP($B75,$C$110:$F$157,3,FALSE()))</f>
        <v>0</v>
      </c>
      <c r="J75" s="974" t="n">
        <f aca="false">IF(ISERROR(VLOOKUP($B75,$C$110:$F$157,4,FALSE()))=TRUE(),0,VLOOKUP($B75,$C$110:$F$157,4,FALSE()))</f>
        <v>0</v>
      </c>
      <c r="K75" s="973" t="n">
        <f aca="false">IF(AND(DATE(YEAR($B75),MONTH($B75),DAY(1))=DATE(YEAR($M$91),MONTH($M$91),DAY(1)),$K$34=0),$M$90,0)</f>
        <v>0</v>
      </c>
      <c r="L75" s="973" t="n">
        <f aca="false">IF(AND(B75=$M$91,$L$34=0),$M$102,0)</f>
        <v>0</v>
      </c>
      <c r="M75" s="973" t="n">
        <f aca="false">IF(ISERROR(VLOOKUP($B75,$L$110:$O$157,3,FALSE()))=TRUE(),0,VLOOKUP($B75,$L$110:$O$157,3,FALSE()))</f>
        <v>0</v>
      </c>
      <c r="N75" s="974" t="n">
        <f aca="false">IF(ISERROR(VLOOKUP($B75,$L$110:$O$157,4,FALSE()))=TRUE(),0,VLOOKUP($B75,$L$110:$O$157,4,FALSE()))</f>
        <v>0</v>
      </c>
      <c r="O75" s="973" t="n">
        <f aca="false">IF(AND(DATE(YEAR($B75),MONTH($B75),DAY(1))=DATE(YEAR($V$91),MONTH($V$91),DAY(1)),$O$34=0),$V$90,0)</f>
        <v>0</v>
      </c>
      <c r="P75" s="973" t="n">
        <f aca="false">IF(AND(B75=$V$91,$P$34=0),$V$102,0)</f>
        <v>0</v>
      </c>
      <c r="Q75" s="973" t="n">
        <f aca="false">IF(ISERROR(VLOOKUP($B75,$U$110:$X$157,3,FALSE()))=TRUE(),0,VLOOKUP($B75,$U$110:$X$157,3,FALSE()))</f>
        <v>0</v>
      </c>
      <c r="R75" s="974" t="n">
        <f aca="false">IF(ISERROR(VLOOKUP($B75,$U$110:$X$157,4,FALSE()))=TRUE(),0,VLOOKUP($B75,$U$110:$X$157,4,FALSE()))</f>
        <v>0</v>
      </c>
      <c r="T75" s="972" t="n">
        <f aca="false">DATE(YEAR(T74),MONTH(T74)+1,DAY(T74))</f>
        <v>46143</v>
      </c>
      <c r="U75" s="973" t="n">
        <f aca="false">Y75+AC75+AG75</f>
        <v>0</v>
      </c>
      <c r="V75" s="973" t="n">
        <f aca="false">Z75+AD75+AH75</f>
        <v>0</v>
      </c>
      <c r="W75" s="974" t="n">
        <f aca="false">AA75+AE75+AI75</f>
        <v>0</v>
      </c>
      <c r="X75" s="976" t="n">
        <f aca="false">AB75+AF75+AJ75</f>
        <v>0</v>
      </c>
      <c r="Y75" s="975" t="n">
        <f aca="false">IF(DATE(YEAR($B75),MONTH($B75),DAY(1))=DATE(YEAR($AE$92),MONTH($AE$92),DAY(1)),$AE$91,0)</f>
        <v>0</v>
      </c>
      <c r="Z75" s="973" t="n">
        <f aca="false">IF(ISERROR(VLOOKUP($T75,$AD$110:$AG$157,3,FALSE()))=TRUE(),0,VLOOKUP($T75,$AD$110:$AG$157,3,FALSE()))</f>
        <v>0</v>
      </c>
      <c r="AA75" s="976" t="n">
        <f aca="false">IF(ISERROR(VLOOKUP($T75,$AD$110:$AG$157,4,FALSE()))=TRUE(),0,VLOOKUP($T75,$AD$110:$AG$157,4,FALSE()))</f>
        <v>0</v>
      </c>
      <c r="AB75" s="977" t="n">
        <f aca="false">(Z75+AA75)*'Datos generales'!$D$16</f>
        <v>0</v>
      </c>
      <c r="AC75" s="975" t="n">
        <f aca="false">IF(DATE(YEAR($B75),MONTH($B75),DAY(1))=DATE(YEAR($AN$92),MONTH($AN$92),DAY(1)),$AN$91,0)</f>
        <v>0</v>
      </c>
      <c r="AD75" s="973" t="n">
        <f aca="false">IF(ISERROR(VLOOKUP($T75,$AM$110:$AO$157,3,FALSE()))=TRUE(),0,VLOOKUP($T75,$AM$110:$AO$157,3,FALSE()))</f>
        <v>0</v>
      </c>
      <c r="AE75" s="976" t="n">
        <f aca="false">IF(ISERROR(VLOOKUP($T75,$AM$110:$AP$157,4,FALSE()))=TRUE(),0,VLOOKUP($T75,$AM$110:$AP$157,4,FALSE()))</f>
        <v>0</v>
      </c>
      <c r="AF75" s="977" t="n">
        <f aca="false">(AD75+AE75)*'Datos generales'!$D$16</f>
        <v>0</v>
      </c>
      <c r="AG75" s="975" t="n">
        <f aca="false">IF(DATE(YEAR($B75),MONTH($B75),DAY(1))=DATE(YEAR($AW$92),MONTH($AW$92),DAY(1)),$AW$91,0)</f>
        <v>0</v>
      </c>
      <c r="AH75" s="973" t="n">
        <f aca="false">IF(ISERROR(VLOOKUP($T75,$AV$110:$AX$157,3,FALSE()))=TRUE(),0,VLOOKUP($T75,$AV$110:$AX$157,3,FALSE()))</f>
        <v>0</v>
      </c>
      <c r="AI75" s="976" t="n">
        <f aca="false">IF(ISERROR(VLOOKUP($T75,$AV$110:$AY$157,4,FALSE()))=TRUE(),0,VLOOKUP($T75,$AV$110:$AY$157,4,FALSE()))</f>
        <v>0</v>
      </c>
      <c r="AJ75" s="977" t="n">
        <f aca="false">(AH75+AI75)*'Datos generales'!$D$16</f>
        <v>0</v>
      </c>
    </row>
    <row r="76" customFormat="false" ht="12.75" hidden="true" customHeight="false" outlineLevel="0" collapsed="false">
      <c r="B76" s="972" t="n">
        <f aca="false">DATE(YEAR(B75),MONTH(B75)+1,DAY(B75))</f>
        <v>46174</v>
      </c>
      <c r="C76" s="973" t="n">
        <f aca="false">G76+K76+O76</f>
        <v>0</v>
      </c>
      <c r="D76" s="973" t="n">
        <f aca="false">H76+L76+P76</f>
        <v>0</v>
      </c>
      <c r="E76" s="973" t="n">
        <f aca="false">I76+M76+Q76</f>
        <v>0</v>
      </c>
      <c r="F76" s="974" t="n">
        <f aca="false">J76+N76+R76</f>
        <v>0</v>
      </c>
      <c r="G76" s="973" t="n">
        <f aca="false">IF(AND(DATE(YEAR($B76),MONTH($B76),DAY(1))=DATE(YEAR($D$91),MONTH($D$91),DAY(1)),$G$34=0),$D$90,0)</f>
        <v>0</v>
      </c>
      <c r="H76" s="973" t="n">
        <f aca="false">IF(AND(B76=$D$91,$H$34=0),$D$102,0)</f>
        <v>0</v>
      </c>
      <c r="I76" s="973" t="n">
        <f aca="false">IF(ISERROR(VLOOKUP($B76,$C$110:$F$157,3,FALSE()))=TRUE(),0,VLOOKUP($B76,$C$110:$F$157,3,FALSE()))</f>
        <v>0</v>
      </c>
      <c r="J76" s="974" t="n">
        <f aca="false">IF(ISERROR(VLOOKUP($B76,$C$110:$F$157,4,FALSE()))=TRUE(),0,VLOOKUP($B76,$C$110:$F$157,4,FALSE()))</f>
        <v>0</v>
      </c>
      <c r="K76" s="973" t="n">
        <f aca="false">IF(AND(DATE(YEAR($B76),MONTH($B76),DAY(1))=DATE(YEAR($M$91),MONTH($M$91),DAY(1)),$K$34=0),$M$90,0)</f>
        <v>0</v>
      </c>
      <c r="L76" s="973" t="n">
        <f aca="false">IF(AND(B76=$M$91,$L$34=0),$M$102,0)</f>
        <v>0</v>
      </c>
      <c r="M76" s="973" t="n">
        <f aca="false">IF(ISERROR(VLOOKUP($B76,$L$110:$O$157,3,FALSE()))=TRUE(),0,VLOOKUP($B76,$L$110:$O$157,3,FALSE()))</f>
        <v>0</v>
      </c>
      <c r="N76" s="974" t="n">
        <f aca="false">IF(ISERROR(VLOOKUP($B76,$L$110:$O$157,4,FALSE()))=TRUE(),0,VLOOKUP($B76,$L$110:$O$157,4,FALSE()))</f>
        <v>0</v>
      </c>
      <c r="O76" s="973" t="n">
        <f aca="false">IF(AND(DATE(YEAR($B76),MONTH($B76),DAY(1))=DATE(YEAR($V$91),MONTH($V$91),DAY(1)),$O$34=0),$V$90,0)</f>
        <v>0</v>
      </c>
      <c r="P76" s="973" t="n">
        <f aca="false">IF(AND(B76=$V$91,$P$34=0),$V$102,0)</f>
        <v>0</v>
      </c>
      <c r="Q76" s="973" t="n">
        <f aca="false">IF(ISERROR(VLOOKUP($B76,$U$110:$X$157,3,FALSE()))=TRUE(),0,VLOOKUP($B76,$U$110:$X$157,3,FALSE()))</f>
        <v>0</v>
      </c>
      <c r="R76" s="974" t="n">
        <f aca="false">IF(ISERROR(VLOOKUP($B76,$U$110:$X$157,4,FALSE()))=TRUE(),0,VLOOKUP($B76,$U$110:$X$157,4,FALSE()))</f>
        <v>0</v>
      </c>
      <c r="T76" s="972" t="n">
        <f aca="false">DATE(YEAR(T75),MONTH(T75)+1,DAY(T75))</f>
        <v>46174</v>
      </c>
      <c r="U76" s="973" t="n">
        <f aca="false">Y76+AC76+AG76</f>
        <v>0</v>
      </c>
      <c r="V76" s="973" t="n">
        <f aca="false">Z76+AD76+AH76</f>
        <v>0</v>
      </c>
      <c r="W76" s="974" t="n">
        <f aca="false">AA76+AE76+AI76</f>
        <v>0</v>
      </c>
      <c r="X76" s="976" t="n">
        <f aca="false">AB76+AF76+AJ76</f>
        <v>0</v>
      </c>
      <c r="Y76" s="975" t="n">
        <f aca="false">IF(DATE(YEAR($B76),MONTH($B76),DAY(1))=DATE(YEAR($AE$92),MONTH($AE$92),DAY(1)),$AE$91,0)</f>
        <v>0</v>
      </c>
      <c r="Z76" s="973" t="n">
        <f aca="false">IF(ISERROR(VLOOKUP($T76,$AD$110:$AG$157,3,FALSE()))=TRUE(),0,VLOOKUP($T76,$AD$110:$AG$157,3,FALSE()))</f>
        <v>0</v>
      </c>
      <c r="AA76" s="976" t="n">
        <f aca="false">IF(ISERROR(VLOOKUP($T76,$AD$110:$AG$157,4,FALSE()))=TRUE(),0,VLOOKUP($T76,$AD$110:$AG$157,4,FALSE()))</f>
        <v>0</v>
      </c>
      <c r="AB76" s="977" t="n">
        <f aca="false">(Z76+AA76)*'Datos generales'!$D$16</f>
        <v>0</v>
      </c>
      <c r="AC76" s="975" t="n">
        <f aca="false">IF(DATE(YEAR($B76),MONTH($B76),DAY(1))=DATE(YEAR($AN$92),MONTH($AN$92),DAY(1)),$AN$91,0)</f>
        <v>0</v>
      </c>
      <c r="AD76" s="973" t="n">
        <f aca="false">IF(ISERROR(VLOOKUP($T76,$AM$110:$AO$157,3,FALSE()))=TRUE(),0,VLOOKUP($T76,$AM$110:$AO$157,3,FALSE()))</f>
        <v>0</v>
      </c>
      <c r="AE76" s="976" t="n">
        <f aca="false">IF(ISERROR(VLOOKUP($T76,$AM$110:$AP$157,4,FALSE()))=TRUE(),0,VLOOKUP($T76,$AM$110:$AP$157,4,FALSE()))</f>
        <v>0</v>
      </c>
      <c r="AF76" s="977" t="n">
        <f aca="false">(AD76+AE76)*'Datos generales'!$D$16</f>
        <v>0</v>
      </c>
      <c r="AG76" s="975" t="n">
        <f aca="false">IF(DATE(YEAR($B76),MONTH($B76),DAY(1))=DATE(YEAR($AW$92),MONTH($AW$92),DAY(1)),$AW$91,0)</f>
        <v>0</v>
      </c>
      <c r="AH76" s="973" t="n">
        <f aca="false">IF(ISERROR(VLOOKUP($T76,$AV$110:$AX$157,3,FALSE()))=TRUE(),0,VLOOKUP($T76,$AV$110:$AX$157,3,FALSE()))</f>
        <v>0</v>
      </c>
      <c r="AI76" s="976" t="n">
        <f aca="false">IF(ISERROR(VLOOKUP($T76,$AV$110:$AY$157,4,FALSE()))=TRUE(),0,VLOOKUP($T76,$AV$110:$AY$157,4,FALSE()))</f>
        <v>0</v>
      </c>
      <c r="AJ76" s="977" t="n">
        <f aca="false">(AH76+AI76)*'Datos generales'!$D$16</f>
        <v>0</v>
      </c>
    </row>
    <row r="77" customFormat="false" ht="12.75" hidden="true" customHeight="false" outlineLevel="0" collapsed="false">
      <c r="B77" s="972" t="n">
        <f aca="false">DATE(YEAR(B76),MONTH(B76)+1,DAY(B76))</f>
        <v>46204</v>
      </c>
      <c r="C77" s="973" t="n">
        <f aca="false">G77+K77+O77</f>
        <v>0</v>
      </c>
      <c r="D77" s="973" t="n">
        <f aca="false">H77+L77+P77</f>
        <v>0</v>
      </c>
      <c r="E77" s="973" t="n">
        <f aca="false">I77+M77+Q77</f>
        <v>0</v>
      </c>
      <c r="F77" s="974" t="n">
        <f aca="false">J77+N77+R77</f>
        <v>0</v>
      </c>
      <c r="G77" s="973" t="n">
        <f aca="false">IF(AND(DATE(YEAR($B77),MONTH($B77),DAY(1))=DATE(YEAR($D$91),MONTH($D$91),DAY(1)),$G$34=0),$D$90,0)</f>
        <v>0</v>
      </c>
      <c r="H77" s="973" t="n">
        <f aca="false">IF(AND(B77=$D$91,$H$34=0),$D$102,0)</f>
        <v>0</v>
      </c>
      <c r="I77" s="973" t="n">
        <f aca="false">IF(ISERROR(VLOOKUP($B77,$C$110:$F$157,3,FALSE()))=TRUE(),0,VLOOKUP($B77,$C$110:$F$157,3,FALSE()))</f>
        <v>0</v>
      </c>
      <c r="J77" s="974" t="n">
        <f aca="false">IF(ISERROR(VLOOKUP($B77,$C$110:$F$157,4,FALSE()))=TRUE(),0,VLOOKUP($B77,$C$110:$F$157,4,FALSE()))</f>
        <v>0</v>
      </c>
      <c r="K77" s="973" t="n">
        <f aca="false">IF(AND(DATE(YEAR($B77),MONTH($B77),DAY(1))=DATE(YEAR($M$91),MONTH($M$91),DAY(1)),$K$34=0),$M$90,0)</f>
        <v>0</v>
      </c>
      <c r="L77" s="973" t="n">
        <f aca="false">IF(AND(B77=$M$91,$L$34=0),$M$102,0)</f>
        <v>0</v>
      </c>
      <c r="M77" s="973" t="n">
        <f aca="false">IF(ISERROR(VLOOKUP($B77,$L$110:$O$157,3,FALSE()))=TRUE(),0,VLOOKUP($B77,$L$110:$O$157,3,FALSE()))</f>
        <v>0</v>
      </c>
      <c r="N77" s="974" t="n">
        <f aca="false">IF(ISERROR(VLOOKUP($B77,$L$110:$O$157,4,FALSE()))=TRUE(),0,VLOOKUP($B77,$L$110:$O$157,4,FALSE()))</f>
        <v>0</v>
      </c>
      <c r="O77" s="973" t="n">
        <f aca="false">IF(AND(DATE(YEAR($B77),MONTH($B77),DAY(1))=DATE(YEAR($V$91),MONTH($V$91),DAY(1)),$O$34=0),$V$90,0)</f>
        <v>0</v>
      </c>
      <c r="P77" s="973" t="n">
        <f aca="false">IF(AND(B77=$V$91,$P$34=0),$V$102,0)</f>
        <v>0</v>
      </c>
      <c r="Q77" s="973" t="n">
        <f aca="false">IF(ISERROR(VLOOKUP($B77,$U$110:$X$157,3,FALSE()))=TRUE(),0,VLOOKUP($B77,$U$110:$X$157,3,FALSE()))</f>
        <v>0</v>
      </c>
      <c r="R77" s="974" t="n">
        <f aca="false">IF(ISERROR(VLOOKUP($B77,$U$110:$X$157,4,FALSE()))=TRUE(),0,VLOOKUP($B77,$U$110:$X$157,4,FALSE()))</f>
        <v>0</v>
      </c>
      <c r="T77" s="972" t="n">
        <f aca="false">DATE(YEAR(T76),MONTH(T76)+1,DAY(T76))</f>
        <v>46204</v>
      </c>
      <c r="U77" s="973" t="n">
        <f aca="false">Y77+AC77+AG77</f>
        <v>0</v>
      </c>
      <c r="V77" s="973" t="n">
        <f aca="false">Z77+AD77+AH77</f>
        <v>0</v>
      </c>
      <c r="W77" s="974" t="n">
        <f aca="false">AA77+AE77+AI77</f>
        <v>0</v>
      </c>
      <c r="X77" s="976" t="n">
        <f aca="false">AB77+AF77+AJ77</f>
        <v>0</v>
      </c>
      <c r="Y77" s="975" t="n">
        <f aca="false">IF(DATE(YEAR($B77),MONTH($B77),DAY(1))=DATE(YEAR($AE$92),MONTH($AE$92),DAY(1)),$AE$91,0)</f>
        <v>0</v>
      </c>
      <c r="Z77" s="973" t="n">
        <f aca="false">IF(ISERROR(VLOOKUP($T77,$AD$110:$AG$157,3,FALSE()))=TRUE(),0,VLOOKUP($T77,$AD$110:$AG$157,3,FALSE()))</f>
        <v>0</v>
      </c>
      <c r="AA77" s="976" t="n">
        <f aca="false">IF(ISERROR(VLOOKUP($T77,$AD$110:$AG$157,4,FALSE()))=TRUE(),0,VLOOKUP($T77,$AD$110:$AG$157,4,FALSE()))</f>
        <v>0</v>
      </c>
      <c r="AB77" s="977" t="n">
        <f aca="false">(Z77+AA77)*'Datos generales'!$D$16</f>
        <v>0</v>
      </c>
      <c r="AC77" s="975" t="n">
        <f aca="false">IF(DATE(YEAR($B77),MONTH($B77),DAY(1))=DATE(YEAR($AN$92),MONTH($AN$92),DAY(1)),$AN$91,0)</f>
        <v>0</v>
      </c>
      <c r="AD77" s="973" t="n">
        <f aca="false">IF(ISERROR(VLOOKUP($T77,$AM$110:$AO$157,3,FALSE()))=TRUE(),0,VLOOKUP($T77,$AM$110:$AO$157,3,FALSE()))</f>
        <v>0</v>
      </c>
      <c r="AE77" s="976" t="n">
        <f aca="false">IF(ISERROR(VLOOKUP($T77,$AM$110:$AP$157,4,FALSE()))=TRUE(),0,VLOOKUP($T77,$AM$110:$AP$157,4,FALSE()))</f>
        <v>0</v>
      </c>
      <c r="AF77" s="977" t="n">
        <f aca="false">(AD77+AE77)*'Datos generales'!$D$16</f>
        <v>0</v>
      </c>
      <c r="AG77" s="975" t="n">
        <f aca="false">IF(DATE(YEAR($B77),MONTH($B77),DAY(1))=DATE(YEAR($AW$92),MONTH($AW$92),DAY(1)),$AW$91,0)</f>
        <v>0</v>
      </c>
      <c r="AH77" s="973" t="n">
        <f aca="false">IF(ISERROR(VLOOKUP($T77,$AV$110:$AX$157,3,FALSE()))=TRUE(),0,VLOOKUP($T77,$AV$110:$AX$157,3,FALSE()))</f>
        <v>0</v>
      </c>
      <c r="AI77" s="976" t="n">
        <f aca="false">IF(ISERROR(VLOOKUP($T77,$AV$110:$AY$157,4,FALSE()))=TRUE(),0,VLOOKUP($T77,$AV$110:$AY$157,4,FALSE()))</f>
        <v>0</v>
      </c>
      <c r="AJ77" s="977" t="n">
        <f aca="false">(AH77+AI77)*'Datos generales'!$D$16</f>
        <v>0</v>
      </c>
    </row>
    <row r="78" customFormat="false" ht="12.75" hidden="true" customHeight="false" outlineLevel="0" collapsed="false">
      <c r="B78" s="972" t="n">
        <f aca="false">DATE(YEAR(B77),MONTH(B77)+1,DAY(B77))</f>
        <v>46235</v>
      </c>
      <c r="C78" s="973" t="n">
        <f aca="false">G78+K78+O78</f>
        <v>0</v>
      </c>
      <c r="D78" s="973" t="n">
        <f aca="false">H78+L78+P78</f>
        <v>0</v>
      </c>
      <c r="E78" s="973" t="n">
        <f aca="false">I78+M78+Q78</f>
        <v>0</v>
      </c>
      <c r="F78" s="974" t="n">
        <f aca="false">J78+N78+R78</f>
        <v>0</v>
      </c>
      <c r="G78" s="973" t="n">
        <f aca="false">IF(AND(DATE(YEAR($B78),MONTH($B78),DAY(1))=DATE(YEAR($D$91),MONTH($D$91),DAY(1)),$G$34=0),$D$90,0)</f>
        <v>0</v>
      </c>
      <c r="H78" s="973" t="n">
        <f aca="false">IF(AND(B78=$D$91,$H$34=0),$D$102,0)</f>
        <v>0</v>
      </c>
      <c r="I78" s="973" t="n">
        <f aca="false">IF(ISERROR(VLOOKUP($B78,$C$110:$F$157,3,FALSE()))=TRUE(),0,VLOOKUP($B78,$C$110:$F$157,3,FALSE()))</f>
        <v>0</v>
      </c>
      <c r="J78" s="974" t="n">
        <f aca="false">IF(ISERROR(VLOOKUP($B78,$C$110:$F$157,4,FALSE()))=TRUE(),0,VLOOKUP($B78,$C$110:$F$157,4,FALSE()))</f>
        <v>0</v>
      </c>
      <c r="K78" s="973" t="n">
        <f aca="false">IF(AND(DATE(YEAR($B78),MONTH($B78),DAY(1))=DATE(YEAR($M$91),MONTH($M$91),DAY(1)),$K$34=0),$M$90,0)</f>
        <v>0</v>
      </c>
      <c r="L78" s="973" t="n">
        <f aca="false">IF(AND(B78=$M$91,$L$34=0),$M$102,0)</f>
        <v>0</v>
      </c>
      <c r="M78" s="973" t="n">
        <f aca="false">IF(ISERROR(VLOOKUP($B78,$L$110:$O$157,3,FALSE()))=TRUE(),0,VLOOKUP($B78,$L$110:$O$157,3,FALSE()))</f>
        <v>0</v>
      </c>
      <c r="N78" s="974" t="n">
        <f aca="false">IF(ISERROR(VLOOKUP($B78,$L$110:$O$157,4,FALSE()))=TRUE(),0,VLOOKUP($B78,$L$110:$O$157,4,FALSE()))</f>
        <v>0</v>
      </c>
      <c r="O78" s="973" t="n">
        <f aca="false">IF(AND(DATE(YEAR($B78),MONTH($B78),DAY(1))=DATE(YEAR($V$91),MONTH($V$91),DAY(1)),$O$34=0),$V$90,0)</f>
        <v>0</v>
      </c>
      <c r="P78" s="973" t="n">
        <f aca="false">IF(AND(B78=$V$91,$P$34=0),$V$102,0)</f>
        <v>0</v>
      </c>
      <c r="Q78" s="973" t="n">
        <f aca="false">IF(ISERROR(VLOOKUP($B78,$U$110:$X$157,3,FALSE()))=TRUE(),0,VLOOKUP($B78,$U$110:$X$157,3,FALSE()))</f>
        <v>0</v>
      </c>
      <c r="R78" s="974" t="n">
        <f aca="false">IF(ISERROR(VLOOKUP($B78,$U$110:$X$157,4,FALSE()))=TRUE(),0,VLOOKUP($B78,$U$110:$X$157,4,FALSE()))</f>
        <v>0</v>
      </c>
      <c r="T78" s="972" t="n">
        <f aca="false">DATE(YEAR(T77),MONTH(T77)+1,DAY(T77))</f>
        <v>46235</v>
      </c>
      <c r="U78" s="973" t="n">
        <f aca="false">Y78+AC78+AG78</f>
        <v>0</v>
      </c>
      <c r="V78" s="973" t="n">
        <f aca="false">Z78+AD78+AH78</f>
        <v>0</v>
      </c>
      <c r="W78" s="974" t="n">
        <f aca="false">AA78+AE78+AI78</f>
        <v>0</v>
      </c>
      <c r="X78" s="976" t="n">
        <f aca="false">AB78+AF78+AJ78</f>
        <v>0</v>
      </c>
      <c r="Y78" s="975" t="n">
        <f aca="false">IF(DATE(YEAR($B78),MONTH($B78),DAY(1))=DATE(YEAR($AE$92),MONTH($AE$92),DAY(1)),$AE$91,0)</f>
        <v>0</v>
      </c>
      <c r="Z78" s="973" t="n">
        <f aca="false">IF(ISERROR(VLOOKUP($T78,$AD$110:$AG$157,3,FALSE()))=TRUE(),0,VLOOKUP($T78,$AD$110:$AG$157,3,FALSE()))</f>
        <v>0</v>
      </c>
      <c r="AA78" s="976" t="n">
        <f aca="false">IF(ISERROR(VLOOKUP($T78,$AD$110:$AG$157,4,FALSE()))=TRUE(),0,VLOOKUP($T78,$AD$110:$AG$157,4,FALSE()))</f>
        <v>0</v>
      </c>
      <c r="AB78" s="977" t="n">
        <f aca="false">(Z78+AA78)*'Datos generales'!$D$16</f>
        <v>0</v>
      </c>
      <c r="AC78" s="975" t="n">
        <f aca="false">IF(DATE(YEAR($B78),MONTH($B78),DAY(1))=DATE(YEAR($AN$92),MONTH($AN$92),DAY(1)),$AN$91,0)</f>
        <v>0</v>
      </c>
      <c r="AD78" s="973" t="n">
        <f aca="false">IF(ISERROR(VLOOKUP($T78,$AM$110:$AO$157,3,FALSE()))=TRUE(),0,VLOOKUP($T78,$AM$110:$AO$157,3,FALSE()))</f>
        <v>0</v>
      </c>
      <c r="AE78" s="976" t="n">
        <f aca="false">IF(ISERROR(VLOOKUP($T78,$AM$110:$AP$157,4,FALSE()))=TRUE(),0,VLOOKUP($T78,$AM$110:$AP$157,4,FALSE()))</f>
        <v>0</v>
      </c>
      <c r="AF78" s="977" t="n">
        <f aca="false">(AD78+AE78)*'Datos generales'!$D$16</f>
        <v>0</v>
      </c>
      <c r="AG78" s="975" t="n">
        <f aca="false">IF(DATE(YEAR($B78),MONTH($B78),DAY(1))=DATE(YEAR($AW$92),MONTH($AW$92),DAY(1)),$AW$91,0)</f>
        <v>0</v>
      </c>
      <c r="AH78" s="973" t="n">
        <f aca="false">IF(ISERROR(VLOOKUP($T78,$AV$110:$AX$157,3,FALSE()))=TRUE(),0,VLOOKUP($T78,$AV$110:$AX$157,3,FALSE()))</f>
        <v>0</v>
      </c>
      <c r="AI78" s="976" t="n">
        <f aca="false">IF(ISERROR(VLOOKUP($T78,$AV$110:$AY$157,4,FALSE()))=TRUE(),0,VLOOKUP($T78,$AV$110:$AY$157,4,FALSE()))</f>
        <v>0</v>
      </c>
      <c r="AJ78" s="977" t="n">
        <f aca="false">(AH78+AI78)*'Datos generales'!$D$16</f>
        <v>0</v>
      </c>
    </row>
    <row r="79" customFormat="false" ht="12.75" hidden="true" customHeight="false" outlineLevel="0" collapsed="false">
      <c r="B79" s="972" t="n">
        <f aca="false">DATE(YEAR(B78),MONTH(B78)+1,DAY(B78))</f>
        <v>46266</v>
      </c>
      <c r="C79" s="973" t="n">
        <f aca="false">G79+K79+O79</f>
        <v>0</v>
      </c>
      <c r="D79" s="973" t="n">
        <f aca="false">H79+L79+P79</f>
        <v>0</v>
      </c>
      <c r="E79" s="973" t="n">
        <f aca="false">I79+M79+Q79</f>
        <v>0</v>
      </c>
      <c r="F79" s="974" t="n">
        <f aca="false">J79+N79+R79</f>
        <v>0</v>
      </c>
      <c r="G79" s="973" t="n">
        <f aca="false">IF(AND(DATE(YEAR($B79),MONTH($B79),DAY(1))=DATE(YEAR($D$91),MONTH($D$91),DAY(1)),$G$34=0),$D$90,0)</f>
        <v>0</v>
      </c>
      <c r="H79" s="973" t="n">
        <f aca="false">IF(AND(B79=$D$91,$H$34=0),$D$102,0)</f>
        <v>0</v>
      </c>
      <c r="I79" s="973" t="n">
        <f aca="false">IF(ISERROR(VLOOKUP($B79,$C$110:$F$157,3,FALSE()))=TRUE(),0,VLOOKUP($B79,$C$110:$F$157,3,FALSE()))</f>
        <v>0</v>
      </c>
      <c r="J79" s="974" t="n">
        <f aca="false">IF(ISERROR(VLOOKUP($B79,$C$110:$F$157,4,FALSE()))=TRUE(),0,VLOOKUP($B79,$C$110:$F$157,4,FALSE()))</f>
        <v>0</v>
      </c>
      <c r="K79" s="973" t="n">
        <f aca="false">IF(AND(DATE(YEAR($B79),MONTH($B79),DAY(1))=DATE(YEAR($M$91),MONTH($M$91),DAY(1)),$K$34=0),$M$90,0)</f>
        <v>0</v>
      </c>
      <c r="L79" s="973" t="n">
        <f aca="false">IF(AND(B79=$M$91,$L$34=0),$M$102,0)</f>
        <v>0</v>
      </c>
      <c r="M79" s="973" t="n">
        <f aca="false">IF(ISERROR(VLOOKUP($B79,$L$110:$O$157,3,FALSE()))=TRUE(),0,VLOOKUP($B79,$L$110:$O$157,3,FALSE()))</f>
        <v>0</v>
      </c>
      <c r="N79" s="974" t="n">
        <f aca="false">IF(ISERROR(VLOOKUP($B79,$L$110:$O$157,4,FALSE()))=TRUE(),0,VLOOKUP($B79,$L$110:$O$157,4,FALSE()))</f>
        <v>0</v>
      </c>
      <c r="O79" s="973" t="n">
        <f aca="false">IF(AND(DATE(YEAR($B79),MONTH($B79),DAY(1))=DATE(YEAR($V$91),MONTH($V$91),DAY(1)),$O$34=0),$V$90,0)</f>
        <v>0</v>
      </c>
      <c r="P79" s="973" t="n">
        <f aca="false">IF(AND(B79=$V$91,$P$34=0),$V$102,0)</f>
        <v>0</v>
      </c>
      <c r="Q79" s="973" t="n">
        <f aca="false">IF(ISERROR(VLOOKUP($B79,$U$110:$X$157,3,FALSE()))=TRUE(),0,VLOOKUP($B79,$U$110:$X$157,3,FALSE()))</f>
        <v>0</v>
      </c>
      <c r="R79" s="974" t="n">
        <f aca="false">IF(ISERROR(VLOOKUP($B79,$U$110:$X$157,4,FALSE()))=TRUE(),0,VLOOKUP($B79,$U$110:$X$157,4,FALSE()))</f>
        <v>0</v>
      </c>
      <c r="T79" s="972" t="n">
        <f aca="false">DATE(YEAR(T78),MONTH(T78)+1,DAY(T78))</f>
        <v>46266</v>
      </c>
      <c r="U79" s="973" t="n">
        <f aca="false">Y79+AC79+AG79</f>
        <v>0</v>
      </c>
      <c r="V79" s="973" t="n">
        <f aca="false">Z79+AD79+AH79</f>
        <v>0</v>
      </c>
      <c r="W79" s="974" t="n">
        <f aca="false">AA79+AE79+AI79</f>
        <v>0</v>
      </c>
      <c r="X79" s="976" t="n">
        <f aca="false">AB79+AF79+AJ79</f>
        <v>0</v>
      </c>
      <c r="Y79" s="975" t="n">
        <f aca="false">IF(DATE(YEAR($B79),MONTH($B79),DAY(1))=DATE(YEAR($AE$92),MONTH($AE$92),DAY(1)),$AE$91,0)</f>
        <v>0</v>
      </c>
      <c r="Z79" s="973" t="n">
        <f aca="false">IF(ISERROR(VLOOKUP($T79,$AD$110:$AG$157,3,FALSE()))=TRUE(),0,VLOOKUP($T79,$AD$110:$AG$157,3,FALSE()))</f>
        <v>0</v>
      </c>
      <c r="AA79" s="976" t="n">
        <f aca="false">IF(ISERROR(VLOOKUP($T79,$AD$110:$AG$157,4,FALSE()))=TRUE(),0,VLOOKUP($T79,$AD$110:$AG$157,4,FALSE()))</f>
        <v>0</v>
      </c>
      <c r="AB79" s="977" t="n">
        <f aca="false">(Z79+AA79)*'Datos generales'!$D$16</f>
        <v>0</v>
      </c>
      <c r="AC79" s="975" t="n">
        <f aca="false">IF(DATE(YEAR($B79),MONTH($B79),DAY(1))=DATE(YEAR($AN$92),MONTH($AN$92),DAY(1)),$AN$91,0)</f>
        <v>0</v>
      </c>
      <c r="AD79" s="973" t="n">
        <f aca="false">IF(ISERROR(VLOOKUP($T79,$AM$110:$AO$157,3,FALSE()))=TRUE(),0,VLOOKUP($T79,$AM$110:$AO$157,3,FALSE()))</f>
        <v>0</v>
      </c>
      <c r="AE79" s="976" t="n">
        <f aca="false">IF(ISERROR(VLOOKUP($T79,$AM$110:$AP$157,4,FALSE()))=TRUE(),0,VLOOKUP($T79,$AM$110:$AP$157,4,FALSE()))</f>
        <v>0</v>
      </c>
      <c r="AF79" s="977" t="n">
        <f aca="false">(AD79+AE79)*'Datos generales'!$D$16</f>
        <v>0</v>
      </c>
      <c r="AG79" s="975" t="n">
        <f aca="false">IF(DATE(YEAR($B79),MONTH($B79),DAY(1))=DATE(YEAR($AW$92),MONTH($AW$92),DAY(1)),$AW$91,0)</f>
        <v>0</v>
      </c>
      <c r="AH79" s="973" t="n">
        <f aca="false">IF(ISERROR(VLOOKUP($T79,$AV$110:$AX$157,3,FALSE()))=TRUE(),0,VLOOKUP($T79,$AV$110:$AX$157,3,FALSE()))</f>
        <v>0</v>
      </c>
      <c r="AI79" s="976" t="n">
        <f aca="false">IF(ISERROR(VLOOKUP($T79,$AV$110:$AY$157,4,FALSE()))=TRUE(),0,VLOOKUP($T79,$AV$110:$AY$157,4,FALSE()))</f>
        <v>0</v>
      </c>
      <c r="AJ79" s="977" t="n">
        <f aca="false">(AH79+AI79)*'Datos generales'!$D$16</f>
        <v>0</v>
      </c>
    </row>
    <row r="80" customFormat="false" ht="12.75" hidden="true" customHeight="false" outlineLevel="0" collapsed="false">
      <c r="B80" s="972" t="n">
        <f aca="false">DATE(YEAR(B79),MONTH(B79)+1,DAY(B79))</f>
        <v>46296</v>
      </c>
      <c r="C80" s="973" t="n">
        <f aca="false">G80+K80+O80</f>
        <v>0</v>
      </c>
      <c r="D80" s="973" t="n">
        <f aca="false">H80+L80+P80</f>
        <v>0</v>
      </c>
      <c r="E80" s="973" t="n">
        <f aca="false">I80+M80+Q80</f>
        <v>0</v>
      </c>
      <c r="F80" s="974" t="n">
        <f aca="false">J80+N80+R80</f>
        <v>0</v>
      </c>
      <c r="G80" s="973" t="n">
        <f aca="false">IF(AND(DATE(YEAR($B80),MONTH($B80),DAY(1))=DATE(YEAR($D$91),MONTH($D$91),DAY(1)),$G$34=0),$D$90,0)</f>
        <v>0</v>
      </c>
      <c r="H80" s="973" t="n">
        <f aca="false">IF(AND(B80=$D$91,$H$34=0),$D$102,0)</f>
        <v>0</v>
      </c>
      <c r="I80" s="973" t="n">
        <f aca="false">IF(ISERROR(VLOOKUP($B80,$C$110:$F$157,3,FALSE()))=TRUE(),0,VLOOKUP($B80,$C$110:$F$157,3,FALSE()))</f>
        <v>0</v>
      </c>
      <c r="J80" s="974" t="n">
        <f aca="false">IF(ISERROR(VLOOKUP($B80,$C$110:$F$157,4,FALSE()))=TRUE(),0,VLOOKUP($B80,$C$110:$F$157,4,FALSE()))</f>
        <v>0</v>
      </c>
      <c r="K80" s="973" t="n">
        <f aca="false">IF(AND(DATE(YEAR($B80),MONTH($B80),DAY(1))=DATE(YEAR($M$91),MONTH($M$91),DAY(1)),$K$34=0),$M$90,0)</f>
        <v>0</v>
      </c>
      <c r="L80" s="973" t="n">
        <f aca="false">IF(AND(B80=$M$91,$L$34=0),$M$102,0)</f>
        <v>0</v>
      </c>
      <c r="M80" s="973" t="n">
        <f aca="false">IF(ISERROR(VLOOKUP($B80,$L$110:$O$157,3,FALSE()))=TRUE(),0,VLOOKUP($B80,$L$110:$O$157,3,FALSE()))</f>
        <v>0</v>
      </c>
      <c r="N80" s="974" t="n">
        <f aca="false">IF(ISERROR(VLOOKUP($B80,$L$110:$O$157,4,FALSE()))=TRUE(),0,VLOOKUP($B80,$L$110:$O$157,4,FALSE()))</f>
        <v>0</v>
      </c>
      <c r="O80" s="973" t="n">
        <f aca="false">IF(AND(DATE(YEAR($B80),MONTH($B80),DAY(1))=DATE(YEAR($V$91),MONTH($V$91),DAY(1)),$O$34=0),$V$90,0)</f>
        <v>0</v>
      </c>
      <c r="P80" s="973" t="n">
        <f aca="false">IF(AND(B80=$V$91,$P$34=0),$V$102,0)</f>
        <v>0</v>
      </c>
      <c r="Q80" s="973" t="n">
        <f aca="false">IF(ISERROR(VLOOKUP($B80,$U$110:$X$157,3,FALSE()))=TRUE(),0,VLOOKUP($B80,$U$110:$X$157,3,FALSE()))</f>
        <v>0</v>
      </c>
      <c r="R80" s="974" t="n">
        <f aca="false">IF(ISERROR(VLOOKUP($B80,$U$110:$X$157,4,FALSE()))=TRUE(),0,VLOOKUP($B80,$U$110:$X$157,4,FALSE()))</f>
        <v>0</v>
      </c>
      <c r="T80" s="972" t="n">
        <f aca="false">DATE(YEAR(T79),MONTH(T79)+1,DAY(T79))</f>
        <v>46296</v>
      </c>
      <c r="U80" s="973" t="n">
        <f aca="false">Y80+AC80+AG80</f>
        <v>0</v>
      </c>
      <c r="V80" s="973" t="n">
        <f aca="false">Z80+AD80+AH80</f>
        <v>0</v>
      </c>
      <c r="W80" s="974" t="n">
        <f aca="false">AA80+AE80+AI80</f>
        <v>0</v>
      </c>
      <c r="X80" s="976" t="n">
        <f aca="false">AB80+AF80+AJ80</f>
        <v>0</v>
      </c>
      <c r="Y80" s="975" t="n">
        <f aca="false">IF(DATE(YEAR($B80),MONTH($B80),DAY(1))=DATE(YEAR($AE$92),MONTH($AE$92),DAY(1)),$AE$91,0)</f>
        <v>0</v>
      </c>
      <c r="Z80" s="973" t="n">
        <f aca="false">IF(ISERROR(VLOOKUP($T80,$AD$110:$AG$157,3,FALSE()))=TRUE(),0,VLOOKUP($T80,$AD$110:$AG$157,3,FALSE()))</f>
        <v>0</v>
      </c>
      <c r="AA80" s="976" t="n">
        <f aca="false">IF(ISERROR(VLOOKUP($T80,$AD$110:$AG$157,4,FALSE()))=TRUE(),0,VLOOKUP($T80,$AD$110:$AG$157,4,FALSE()))</f>
        <v>0</v>
      </c>
      <c r="AB80" s="977" t="n">
        <f aca="false">(Z80+AA80)*'Datos generales'!$D$16</f>
        <v>0</v>
      </c>
      <c r="AC80" s="975" t="n">
        <f aca="false">IF(DATE(YEAR($B80),MONTH($B80),DAY(1))=DATE(YEAR($AN$92),MONTH($AN$92),DAY(1)),$AN$91,0)</f>
        <v>0</v>
      </c>
      <c r="AD80" s="973" t="n">
        <f aca="false">IF(ISERROR(VLOOKUP($T80,$AM$110:$AO$157,3,FALSE()))=TRUE(),0,VLOOKUP($T80,$AM$110:$AO$157,3,FALSE()))</f>
        <v>0</v>
      </c>
      <c r="AE80" s="976" t="n">
        <f aca="false">IF(ISERROR(VLOOKUP($T80,$AM$110:$AP$157,4,FALSE()))=TRUE(),0,VLOOKUP($T80,$AM$110:$AP$157,4,FALSE()))</f>
        <v>0</v>
      </c>
      <c r="AF80" s="977" t="n">
        <f aca="false">(AD80+AE80)*'Datos generales'!$D$16</f>
        <v>0</v>
      </c>
      <c r="AG80" s="975" t="n">
        <f aca="false">IF(DATE(YEAR($B80),MONTH($B80),DAY(1))=DATE(YEAR($AW$92),MONTH($AW$92),DAY(1)),$AW$91,0)</f>
        <v>0</v>
      </c>
      <c r="AH80" s="973" t="n">
        <f aca="false">IF(ISERROR(VLOOKUP($T80,$AV$110:$AX$157,3,FALSE()))=TRUE(),0,VLOOKUP($T80,$AV$110:$AX$157,3,FALSE()))</f>
        <v>0</v>
      </c>
      <c r="AI80" s="976" t="n">
        <f aca="false">IF(ISERROR(VLOOKUP($T80,$AV$110:$AY$157,4,FALSE()))=TRUE(),0,VLOOKUP($T80,$AV$110:$AY$157,4,FALSE()))</f>
        <v>0</v>
      </c>
      <c r="AJ80" s="977" t="n">
        <f aca="false">(AH80+AI80)*'Datos generales'!$D$16</f>
        <v>0</v>
      </c>
    </row>
    <row r="81" customFormat="false" ht="12.75" hidden="true" customHeight="false" outlineLevel="0" collapsed="false">
      <c r="B81" s="972" t="n">
        <f aca="false">DATE(YEAR(B80),MONTH(B80)+1,DAY(B80))</f>
        <v>46327</v>
      </c>
      <c r="C81" s="973" t="n">
        <f aca="false">G81+K81+O81</f>
        <v>0</v>
      </c>
      <c r="D81" s="973" t="n">
        <f aca="false">H81+L81+P81</f>
        <v>0</v>
      </c>
      <c r="E81" s="973" t="n">
        <f aca="false">I81+M81+Q81</f>
        <v>0</v>
      </c>
      <c r="F81" s="974" t="n">
        <f aca="false">J81+N81+R81</f>
        <v>0</v>
      </c>
      <c r="G81" s="973" t="n">
        <f aca="false">IF(AND(DATE(YEAR($B81),MONTH($B81),DAY(1))=DATE(YEAR($D$91),MONTH($D$91),DAY(1)),$G$34=0),$D$90,0)</f>
        <v>0</v>
      </c>
      <c r="H81" s="973" t="n">
        <f aca="false">IF(AND(B81=$D$91,$H$34=0),$D$102,0)</f>
        <v>0</v>
      </c>
      <c r="I81" s="973" t="n">
        <f aca="false">IF(ISERROR(VLOOKUP($B81,$C$110:$F$157,3,FALSE()))=TRUE(),0,VLOOKUP($B81,$C$110:$F$157,3,FALSE()))</f>
        <v>0</v>
      </c>
      <c r="J81" s="974" t="n">
        <f aca="false">IF(ISERROR(VLOOKUP($B81,$C$110:$F$157,4,FALSE()))=TRUE(),0,VLOOKUP($B81,$C$110:$F$157,4,FALSE()))</f>
        <v>0</v>
      </c>
      <c r="K81" s="973" t="n">
        <f aca="false">IF(AND(DATE(YEAR($B81),MONTH($B81),DAY(1))=DATE(YEAR($M$91),MONTH($M$91),DAY(1)),$K$34=0),$M$90,0)</f>
        <v>0</v>
      </c>
      <c r="L81" s="973" t="n">
        <f aca="false">IF(AND(B81=$M$91,$L$34=0),$M$102,0)</f>
        <v>0</v>
      </c>
      <c r="M81" s="973" t="n">
        <f aca="false">IF(ISERROR(VLOOKUP($B81,$L$110:$O$157,3,FALSE()))=TRUE(),0,VLOOKUP($B81,$L$110:$O$157,3,FALSE()))</f>
        <v>0</v>
      </c>
      <c r="N81" s="974" t="n">
        <f aca="false">IF(ISERROR(VLOOKUP($B81,$L$110:$O$157,4,FALSE()))=TRUE(),0,VLOOKUP($B81,$L$110:$O$157,4,FALSE()))</f>
        <v>0</v>
      </c>
      <c r="O81" s="973" t="n">
        <f aca="false">IF(AND(DATE(YEAR($B81),MONTH($B81),DAY(1))=DATE(YEAR($V$91),MONTH($V$91),DAY(1)),$O$34=0),$V$90,0)</f>
        <v>0</v>
      </c>
      <c r="P81" s="973" t="n">
        <f aca="false">IF(AND(B81=$V$91,$P$34=0),$V$102,0)</f>
        <v>0</v>
      </c>
      <c r="Q81" s="973" t="n">
        <f aca="false">IF(ISERROR(VLOOKUP($B81,$U$110:$X$157,3,FALSE()))=TRUE(),0,VLOOKUP($B81,$U$110:$X$157,3,FALSE()))</f>
        <v>0</v>
      </c>
      <c r="R81" s="974" t="n">
        <f aca="false">IF(ISERROR(VLOOKUP($B81,$U$110:$X$157,4,FALSE()))=TRUE(),0,VLOOKUP($B81,$U$110:$X$157,4,FALSE()))</f>
        <v>0</v>
      </c>
      <c r="T81" s="972" t="n">
        <f aca="false">DATE(YEAR(T80),MONTH(T80)+1,DAY(T80))</f>
        <v>46327</v>
      </c>
      <c r="U81" s="973" t="n">
        <f aca="false">Y81+AC81+AG81</f>
        <v>0</v>
      </c>
      <c r="V81" s="973" t="n">
        <f aca="false">Z81+AD81+AH81</f>
        <v>0</v>
      </c>
      <c r="W81" s="974" t="n">
        <f aca="false">AA81+AE81+AI81</f>
        <v>0</v>
      </c>
      <c r="X81" s="976" t="n">
        <f aca="false">AB81+AF81+AJ81</f>
        <v>0</v>
      </c>
      <c r="Y81" s="975" t="n">
        <f aca="false">IF(DATE(YEAR($B81),MONTH($B81),DAY(1))=DATE(YEAR($AE$92),MONTH($AE$92),DAY(1)),$AE$91,0)</f>
        <v>0</v>
      </c>
      <c r="Z81" s="973" t="n">
        <f aca="false">IF(ISERROR(VLOOKUP($T81,$AD$110:$AG$157,3,FALSE()))=TRUE(),0,VLOOKUP($T81,$AD$110:$AG$157,3,FALSE()))</f>
        <v>0</v>
      </c>
      <c r="AA81" s="976" t="n">
        <f aca="false">IF(ISERROR(VLOOKUP($T81,$AD$110:$AG$157,4,FALSE()))=TRUE(),0,VLOOKUP($T81,$AD$110:$AG$157,4,FALSE()))</f>
        <v>0</v>
      </c>
      <c r="AB81" s="977" t="n">
        <f aca="false">(Z81+AA81)*'Datos generales'!$D$16</f>
        <v>0</v>
      </c>
      <c r="AC81" s="975" t="n">
        <f aca="false">IF(DATE(YEAR($B81),MONTH($B81),DAY(1))=DATE(YEAR($AN$92),MONTH($AN$92),DAY(1)),$AN$91,0)</f>
        <v>0</v>
      </c>
      <c r="AD81" s="973" t="n">
        <f aca="false">IF(ISERROR(VLOOKUP($T81,$AM$110:$AO$157,3,FALSE()))=TRUE(),0,VLOOKUP($T81,$AM$110:$AO$157,3,FALSE()))</f>
        <v>0</v>
      </c>
      <c r="AE81" s="976" t="n">
        <f aca="false">IF(ISERROR(VLOOKUP($T81,$AM$110:$AP$157,4,FALSE()))=TRUE(),0,VLOOKUP($T81,$AM$110:$AP$157,4,FALSE()))</f>
        <v>0</v>
      </c>
      <c r="AF81" s="977" t="n">
        <f aca="false">(AD81+AE81)*'Datos generales'!$D$16</f>
        <v>0</v>
      </c>
      <c r="AG81" s="975" t="n">
        <f aca="false">IF(DATE(YEAR($B81),MONTH($B81),DAY(1))=DATE(YEAR($AW$92),MONTH($AW$92),DAY(1)),$AW$91,0)</f>
        <v>0</v>
      </c>
      <c r="AH81" s="973" t="n">
        <f aca="false">IF(ISERROR(VLOOKUP($T81,$AV$110:$AX$157,3,FALSE()))=TRUE(),0,VLOOKUP($T81,$AV$110:$AX$157,3,FALSE()))</f>
        <v>0</v>
      </c>
      <c r="AI81" s="976" t="n">
        <f aca="false">IF(ISERROR(VLOOKUP($T81,$AV$110:$AY$157,4,FALSE()))=TRUE(),0,VLOOKUP($T81,$AV$110:$AY$157,4,FALSE()))</f>
        <v>0</v>
      </c>
      <c r="AJ81" s="977" t="n">
        <f aca="false">(AH81+AI81)*'Datos generales'!$D$16</f>
        <v>0</v>
      </c>
    </row>
    <row r="82" customFormat="false" ht="13.5" hidden="true" customHeight="false" outlineLevel="0" collapsed="false">
      <c r="B82" s="983" t="n">
        <f aca="false">DATE(YEAR(B81),MONTH(B81)+1,DAY(B81))</f>
        <v>46357</v>
      </c>
      <c r="C82" s="984" t="n">
        <f aca="false">G82+K82+O82</f>
        <v>0</v>
      </c>
      <c r="D82" s="984" t="n">
        <f aca="false">H82+L82+P82</f>
        <v>0</v>
      </c>
      <c r="E82" s="984" t="n">
        <f aca="false">I82+M82+Q82</f>
        <v>0</v>
      </c>
      <c r="F82" s="985" t="n">
        <f aca="false">J82+N82+R82</f>
        <v>0</v>
      </c>
      <c r="G82" s="984" t="n">
        <f aca="false">IF(AND(DATE(YEAR($B82),MONTH($B82),DAY(1))=DATE(YEAR($D$91),MONTH($D$91),DAY(1)),$G$34=0),$D$90,0)</f>
        <v>0</v>
      </c>
      <c r="H82" s="973" t="n">
        <f aca="false">IF(AND(B82=$D$91,$H$34=0),$D$102,0)</f>
        <v>0</v>
      </c>
      <c r="I82" s="984" t="n">
        <f aca="false">IF(ISERROR(VLOOKUP($B82,$C$110:$F$157,3,FALSE()))=TRUE(),0,VLOOKUP($B82,$C$110:$F$157,3,FALSE()))</f>
        <v>0</v>
      </c>
      <c r="J82" s="985" t="n">
        <f aca="false">IF(ISERROR(VLOOKUP($B82,$C$110:$F$157,4,FALSE()))=TRUE(),0,VLOOKUP($B82,$C$110:$F$157,4,FALSE()))</f>
        <v>0</v>
      </c>
      <c r="K82" s="984" t="n">
        <f aca="false">IF(AND(DATE(YEAR($B82),MONTH($B82),DAY(1))=DATE(YEAR($M$91),MONTH($M$91),DAY(1)),$K$34=0),$M$90,0)</f>
        <v>0</v>
      </c>
      <c r="L82" s="984" t="n">
        <f aca="false">IF(AND(B82=$M$91,$L$34=0),$M$102,0)</f>
        <v>0</v>
      </c>
      <c r="M82" s="984" t="n">
        <f aca="false">IF(ISERROR(VLOOKUP($B82,$L$110:$O$157,3,FALSE()))=TRUE(),0,VLOOKUP($B82,$L$110:$O$157,3,FALSE()))</f>
        <v>0</v>
      </c>
      <c r="N82" s="985" t="n">
        <f aca="false">IF(ISERROR(VLOOKUP($B82,$L$110:$O$157,4,FALSE()))=TRUE(),0,VLOOKUP($B82,$L$110:$O$157,4,FALSE()))</f>
        <v>0</v>
      </c>
      <c r="O82" s="984" t="n">
        <f aca="false">IF(AND(DATE(YEAR($B82),MONTH($B82),DAY(1))=DATE(YEAR($V$91),MONTH($V$91),DAY(1)),$O$34=0),$V$90,0)</f>
        <v>0</v>
      </c>
      <c r="P82" s="984" t="n">
        <f aca="false">IF(AND(B82=$V$91,$P$34=0),$V$102,0)</f>
        <v>0</v>
      </c>
      <c r="Q82" s="984" t="n">
        <f aca="false">IF(ISERROR(VLOOKUP($B82,$U$110:$X$157,3,FALSE()))=TRUE(),0,VLOOKUP($B82,$U$110:$X$157,3,FALSE()))</f>
        <v>0</v>
      </c>
      <c r="R82" s="985" t="n">
        <f aca="false">IF(ISERROR(VLOOKUP($B82,$U$110:$X$157,4,FALSE()))=TRUE(),0,VLOOKUP($B82,$U$110:$X$157,4,FALSE()))</f>
        <v>0</v>
      </c>
      <c r="T82" s="983" t="n">
        <f aca="false">DATE(YEAR(T81),MONTH(T81)+1,DAY(T81))</f>
        <v>46357</v>
      </c>
      <c r="U82" s="984" t="n">
        <f aca="false">Y82+AC82+AG82</f>
        <v>0</v>
      </c>
      <c r="V82" s="984" t="n">
        <f aca="false">Z82+AD82+AH82</f>
        <v>0</v>
      </c>
      <c r="W82" s="985" t="n">
        <f aca="false">AA82+AE82+AI82</f>
        <v>0</v>
      </c>
      <c r="X82" s="986" t="n">
        <f aca="false">AB82+AF82+AJ82</f>
        <v>0</v>
      </c>
      <c r="Y82" s="987" t="n">
        <f aca="false">IF(DATE(YEAR($B82),MONTH($B82),DAY(1))=DATE(YEAR($AE$92),MONTH($AE$92),DAY(1)),$AE$91,0)</f>
        <v>0</v>
      </c>
      <c r="Z82" s="984" t="n">
        <f aca="false">IF(ISERROR(VLOOKUP($T82,$AD$110:$AG$157,3,FALSE()))=TRUE(),0,VLOOKUP($T82,$AD$110:$AG$157,3,FALSE()))</f>
        <v>0</v>
      </c>
      <c r="AA82" s="985" t="n">
        <f aca="false">IF(ISERROR(VLOOKUP($T82,$AD$110:$AG$157,4,FALSE()))=TRUE(),0,VLOOKUP($T82,$AD$110:$AG$157,4,FALSE()))</f>
        <v>0</v>
      </c>
      <c r="AB82" s="985" t="n">
        <f aca="false">(Z82+AA82)*'Datos generales'!$D$16</f>
        <v>0</v>
      </c>
      <c r="AC82" s="987" t="n">
        <f aca="false">IF(DATE(YEAR($B82),MONTH($B82),DAY(1))=DATE(YEAR($AN$92),MONTH($AN$92),DAY(1)),$AN$91,0)</f>
        <v>0</v>
      </c>
      <c r="AD82" s="984" t="n">
        <f aca="false">IF(ISERROR(VLOOKUP($T82,$AM$110:$AO$157,3,FALSE()))=TRUE(),0,VLOOKUP($T82,$AM$110:$AO$157,3,FALSE()))</f>
        <v>0</v>
      </c>
      <c r="AE82" s="985" t="n">
        <f aca="false">IF(ISERROR(VLOOKUP($T82,$AM$110:$AP$157,4,FALSE()))=TRUE(),0,VLOOKUP($T82,$AM$110:$AP$157,4,FALSE()))</f>
        <v>0</v>
      </c>
      <c r="AF82" s="985" t="n">
        <f aca="false">(AD82+AE82)*'Datos generales'!$D$16</f>
        <v>0</v>
      </c>
      <c r="AG82" s="987" t="n">
        <f aca="false">IF(DATE(YEAR($B82),MONTH($B82),DAY(1))=DATE(YEAR($AW$92),MONTH($AW$92),DAY(1)),$AW$91,0)</f>
        <v>0</v>
      </c>
      <c r="AH82" s="984" t="n">
        <f aca="false">IF(ISERROR(VLOOKUP($T82,$AV$110:$AX$157,3,FALSE()))=TRUE(),0,VLOOKUP($T82,$AV$110:$AX$157,3,FALSE()))</f>
        <v>0</v>
      </c>
      <c r="AI82" s="985" t="n">
        <f aca="false">IF(ISERROR(VLOOKUP($T82,$AV$110:$AY$157,4,FALSE()))=TRUE(),0,VLOOKUP($T82,$AV$110:$AY$157,4,FALSE()))</f>
        <v>0</v>
      </c>
      <c r="AJ82" s="985" t="n">
        <f aca="false">(AH82+AI82)*'Datos generales'!$D$16</f>
        <v>0</v>
      </c>
    </row>
    <row r="83" customFormat="false" ht="12.75" hidden="false" customHeight="false" outlineLevel="0" collapsed="false">
      <c r="J83" s="451"/>
      <c r="K83" s="451"/>
      <c r="L83" s="451"/>
      <c r="M83" s="451"/>
      <c r="N83" s="451"/>
      <c r="O83" s="929"/>
      <c r="P83" s="929"/>
      <c r="Q83" s="929"/>
      <c r="S83" s="451"/>
      <c r="T83" s="451"/>
      <c r="U83" s="451"/>
      <c r="V83" s="451"/>
      <c r="X83" s="929"/>
      <c r="Y83" s="929"/>
      <c r="Z83" s="929"/>
      <c r="AB83" s="451"/>
      <c r="AC83" s="451"/>
      <c r="AD83" s="451"/>
      <c r="AE83" s="451"/>
      <c r="AF83" s="451"/>
      <c r="AG83" s="929"/>
      <c r="AH83" s="929"/>
      <c r="AI83" s="929"/>
    </row>
    <row r="84" customFormat="false" ht="12.75" hidden="false" customHeight="false" outlineLevel="0" collapsed="false">
      <c r="J84" s="451"/>
      <c r="K84" s="451"/>
      <c r="L84" s="451"/>
      <c r="M84" s="451"/>
      <c r="N84" s="451"/>
      <c r="O84" s="929"/>
      <c r="P84" s="929"/>
      <c r="Q84" s="929"/>
      <c r="S84" s="451"/>
      <c r="T84" s="451"/>
      <c r="U84" s="451"/>
      <c r="V84" s="451"/>
      <c r="X84" s="929"/>
      <c r="Y84" s="929"/>
      <c r="Z84" s="929"/>
      <c r="AB84" s="451"/>
      <c r="AC84" s="451"/>
      <c r="AD84" s="451"/>
      <c r="AE84" s="451"/>
      <c r="AF84" s="451"/>
      <c r="AG84" s="929"/>
      <c r="AH84" s="929"/>
      <c r="AI84" s="929"/>
    </row>
    <row r="85" customFormat="false" ht="14.25" hidden="false" customHeight="false" outlineLevel="0" collapsed="false">
      <c r="B85" s="51" t="s">
        <v>628</v>
      </c>
      <c r="J85" s="451"/>
      <c r="K85" s="451"/>
      <c r="L85" s="451"/>
      <c r="M85" s="451"/>
      <c r="N85" s="451"/>
      <c r="O85" s="929"/>
      <c r="P85" s="929"/>
      <c r="Q85" s="929"/>
      <c r="S85" s="451"/>
      <c r="T85" s="451"/>
      <c r="U85" s="451"/>
      <c r="V85" s="451"/>
      <c r="X85" s="929"/>
      <c r="Y85" s="929"/>
      <c r="Z85" s="929"/>
      <c r="AB85" s="451"/>
      <c r="AC85" s="451"/>
      <c r="AD85" s="451"/>
      <c r="AE85" s="451"/>
      <c r="AF85" s="451"/>
      <c r="AG85" s="929"/>
      <c r="AH85" s="929"/>
      <c r="AI85" s="929"/>
    </row>
    <row r="86" customFormat="false" ht="12.75" hidden="false" customHeight="true" outlineLevel="0" collapsed="false">
      <c r="J86" s="451"/>
      <c r="K86" s="451"/>
      <c r="L86" s="451"/>
      <c r="M86" s="451"/>
      <c r="N86" s="451"/>
      <c r="O86" s="929"/>
      <c r="P86" s="929"/>
      <c r="Q86" s="929"/>
      <c r="S86" s="451"/>
      <c r="T86" s="451"/>
      <c r="U86" s="451"/>
      <c r="V86" s="451"/>
      <c r="W86" s="988"/>
      <c r="X86" s="929"/>
      <c r="Y86" s="929"/>
      <c r="Z86" s="929"/>
      <c r="AB86" s="451"/>
      <c r="AC86" s="451"/>
      <c r="AD86" s="451"/>
      <c r="AE86" s="451"/>
      <c r="AF86" s="451"/>
      <c r="AG86" s="929"/>
      <c r="AH86" s="929"/>
      <c r="AI86" s="929"/>
    </row>
    <row r="87" customFormat="false" ht="18.75" hidden="false" customHeight="false" outlineLevel="0" collapsed="false">
      <c r="C87" s="27"/>
      <c r="D87" s="27"/>
      <c r="E87" s="27"/>
      <c r="F87" s="27"/>
      <c r="G87" s="27"/>
      <c r="H87" s="27"/>
      <c r="K87" s="70"/>
      <c r="L87" s="27"/>
      <c r="M87" s="27"/>
      <c r="N87" s="27"/>
      <c r="O87" s="27"/>
      <c r="P87" s="27"/>
      <c r="Q87" s="27"/>
      <c r="T87" s="70"/>
      <c r="U87" s="27"/>
      <c r="V87" s="27"/>
      <c r="W87" s="988"/>
      <c r="X87" s="27"/>
      <c r="Y87" s="27"/>
      <c r="Z87" s="27"/>
      <c r="AB87" s="451"/>
      <c r="AC87" s="989" t="str">
        <f aca="false">'Entrada Inver_Finan'!C114</f>
        <v>Leasing Maquinaria</v>
      </c>
      <c r="AF87" s="451"/>
      <c r="AG87" s="929"/>
      <c r="AH87" s="929"/>
      <c r="AI87" s="929"/>
      <c r="AL87" s="989" t="str">
        <f aca="false">'Entrada Inver_Finan'!C115</f>
        <v>Leasing Transporte</v>
      </c>
      <c r="AU87" s="989" t="n">
        <f aca="false">'Entrada Inver_Finan'!C116</f>
        <v>0</v>
      </c>
    </row>
    <row r="88" customFormat="false" ht="18.75" hidden="false" customHeight="false" outlineLevel="0" collapsed="false">
      <c r="B88" s="23" t="str">
        <f aca="false">'Entrada Inver_Finan'!C109</f>
        <v>Préstamo de...( Entidad financiera A)</v>
      </c>
      <c r="F88" s="16"/>
      <c r="G88" s="27"/>
      <c r="H88" s="27"/>
      <c r="K88" s="70" t="str">
        <f aca="false">'Entrada Inver_Finan'!C110</f>
        <v>Préstamo de...( Entidad financiera B)</v>
      </c>
      <c r="O88" s="27"/>
      <c r="P88" s="27"/>
      <c r="Q88" s="27"/>
      <c r="T88" s="989" t="n">
        <f aca="false">'Entrada Inver_Finan'!C111</f>
        <v>0</v>
      </c>
      <c r="X88" s="27"/>
      <c r="Y88" s="27"/>
      <c r="Z88" s="27"/>
      <c r="AB88" s="451"/>
      <c r="AC88" s="990" t="s">
        <v>629</v>
      </c>
      <c r="AD88" s="991"/>
      <c r="AE88" s="992"/>
      <c r="AF88" s="451"/>
      <c r="AG88" s="929"/>
      <c r="AH88" s="929"/>
      <c r="AI88" s="929"/>
      <c r="AL88" s="990" t="s">
        <v>629</v>
      </c>
      <c r="AM88" s="991"/>
      <c r="AN88" s="992"/>
      <c r="AU88" s="990" t="s">
        <v>629</v>
      </c>
      <c r="AV88" s="991"/>
      <c r="AW88" s="992"/>
    </row>
    <row r="89" customFormat="false" ht="12.75" hidden="false" customHeight="false" outlineLevel="0" collapsed="false">
      <c r="B89" s="990" t="s">
        <v>629</v>
      </c>
      <c r="C89" s="991"/>
      <c r="D89" s="992"/>
      <c r="F89" s="16"/>
      <c r="G89" s="16"/>
      <c r="H89" s="16"/>
      <c r="K89" s="990" t="s">
        <v>629</v>
      </c>
      <c r="L89" s="991"/>
      <c r="M89" s="992"/>
      <c r="T89" s="990" t="s">
        <v>629</v>
      </c>
      <c r="U89" s="991"/>
      <c r="V89" s="992"/>
      <c r="AB89" s="451"/>
      <c r="AC89" s="993" t="s">
        <v>630</v>
      </c>
      <c r="AE89" s="994" t="n">
        <f aca="false">'Entrada Inver_Finan'!D114</f>
        <v>0</v>
      </c>
      <c r="AF89" s="451"/>
      <c r="AL89" s="993" t="s">
        <v>630</v>
      </c>
      <c r="AN89" s="994" t="n">
        <f aca="false">'Entrada Inver_Finan'!D115</f>
        <v>35000</v>
      </c>
      <c r="AO89" s="451"/>
      <c r="AP89" s="16"/>
      <c r="AQ89" s="16"/>
      <c r="AR89" s="16"/>
      <c r="AU89" s="993" t="s">
        <v>630</v>
      </c>
      <c r="AW89" s="994" t="n">
        <f aca="false">'Entrada Inver_Finan'!D116</f>
        <v>0</v>
      </c>
      <c r="AX89" s="451"/>
      <c r="AY89" s="16"/>
      <c r="AZ89" s="16"/>
      <c r="BA89" s="16"/>
    </row>
    <row r="90" customFormat="false" ht="12.75" hidden="false" customHeight="false" outlineLevel="0" collapsed="false">
      <c r="B90" s="993" t="s">
        <v>631</v>
      </c>
      <c r="D90" s="995" t="n">
        <f aca="false">'Entrada Inver_Finan'!D109</f>
        <v>150000</v>
      </c>
      <c r="F90" s="16"/>
      <c r="G90" s="16"/>
      <c r="H90" s="16"/>
      <c r="K90" s="993" t="s">
        <v>631</v>
      </c>
      <c r="M90" s="995" t="n">
        <f aca="false">'Entrada Inver_Finan'!D110</f>
        <v>15000</v>
      </c>
      <c r="T90" s="993" t="s">
        <v>631</v>
      </c>
      <c r="V90" s="995" t="n">
        <f aca="false">'Entrada Inver_Finan'!D111</f>
        <v>0</v>
      </c>
      <c r="AB90" s="451"/>
      <c r="AC90" s="993" t="s">
        <v>632</v>
      </c>
      <c r="AE90" s="994" t="n">
        <f aca="false">'Entrada Inver_Finan'!J114</f>
        <v>0</v>
      </c>
      <c r="AF90" s="451"/>
      <c r="AL90" s="993" t="s">
        <v>632</v>
      </c>
      <c r="AN90" s="994" t="n">
        <f aca="false">'Entrada Inver_Finan'!J115</f>
        <v>0</v>
      </c>
      <c r="AO90" s="451"/>
      <c r="AP90" s="16"/>
      <c r="AQ90" s="16"/>
      <c r="AR90" s="16"/>
      <c r="AU90" s="993" t="s">
        <v>632</v>
      </c>
      <c r="AW90" s="994" t="n">
        <f aca="false">'Entrada Inver_Finan'!J116</f>
        <v>0</v>
      </c>
      <c r="AX90" s="451"/>
      <c r="AY90" s="16"/>
      <c r="AZ90" s="16"/>
      <c r="BA90" s="16"/>
    </row>
    <row r="91" customFormat="false" ht="12.75" hidden="false" customHeight="false" outlineLevel="0" collapsed="false">
      <c r="B91" s="993" t="s">
        <v>246</v>
      </c>
      <c r="D91" s="996" t="n">
        <f aca="false">DATE(YEAR('Entrada Inver_Finan'!H109),MONTH('Entrada Inver_Finan'!H109),DAY(1))</f>
        <v>44957</v>
      </c>
      <c r="E91" s="23" t="n">
        <f aca="false">YEAR(D91)</f>
        <v>2023</v>
      </c>
      <c r="F91" s="16" t="str">
        <f aca="false">IF(D91=C26,"Inicial",IF(E91=D26,"año 1",IF(E91=D26+1,"año 2",0)))</f>
        <v>año 1</v>
      </c>
      <c r="G91" s="16"/>
      <c r="H91" s="16"/>
      <c r="K91" s="993" t="s">
        <v>246</v>
      </c>
      <c r="M91" s="997" t="n">
        <f aca="false">DATE(YEAR('Entrada Inver_Finan'!H110),MONTH('Entrada Inver_Finan'!H110),DAY(1))</f>
        <v>44957</v>
      </c>
      <c r="N91" s="23" t="n">
        <f aca="false">YEAR(M91)</f>
        <v>2023</v>
      </c>
      <c r="T91" s="993" t="s">
        <v>246</v>
      </c>
      <c r="V91" s="997" t="n">
        <f aca="false">DATE(YEAR('Entrada Inver_Finan'!H111),MONTH('Entrada Inver_Finan'!H111),DAY(1))</f>
        <v>1</v>
      </c>
      <c r="W91" s="267" t="n">
        <f aca="false">YEAR(V91)</f>
        <v>1900</v>
      </c>
      <c r="AB91" s="451"/>
      <c r="AC91" s="993" t="s">
        <v>631</v>
      </c>
      <c r="AE91" s="994" t="n">
        <f aca="false">AE89-AE90</f>
        <v>0</v>
      </c>
      <c r="AF91" s="451"/>
      <c r="AL91" s="993" t="s">
        <v>631</v>
      </c>
      <c r="AN91" s="994" t="n">
        <f aca="false">AN89-AN90</f>
        <v>35000</v>
      </c>
      <c r="AO91" s="451"/>
      <c r="AP91" s="16"/>
      <c r="AQ91" s="16"/>
      <c r="AR91" s="16"/>
      <c r="AU91" s="993" t="s">
        <v>631</v>
      </c>
      <c r="AW91" s="994" t="n">
        <f aca="false">AW89-AW90</f>
        <v>0</v>
      </c>
      <c r="AX91" s="451"/>
      <c r="AY91" s="16"/>
      <c r="AZ91" s="16"/>
      <c r="BA91" s="16"/>
    </row>
    <row r="92" customFormat="false" ht="12.75" hidden="false" customHeight="false" outlineLevel="0" collapsed="false">
      <c r="B92" s="993" t="s">
        <v>633</v>
      </c>
      <c r="D92" s="995" t="n">
        <f aca="false">'Entrada Inver_Finan'!G109</f>
        <v>3.5</v>
      </c>
      <c r="F92" s="16"/>
      <c r="G92" s="16"/>
      <c r="H92" s="16"/>
      <c r="K92" s="993" t="s">
        <v>633</v>
      </c>
      <c r="M92" s="995" t="n">
        <f aca="false">'Entrada Inver_Finan'!G110</f>
        <v>5</v>
      </c>
      <c r="T92" s="993" t="s">
        <v>633</v>
      </c>
      <c r="V92" s="995" t="n">
        <f aca="false">'Entrada Inver_Finan'!G111</f>
        <v>5</v>
      </c>
      <c r="AB92" s="451"/>
      <c r="AC92" s="993" t="s">
        <v>246</v>
      </c>
      <c r="AE92" s="997" t="n">
        <f aca="false">DATE(YEAR('Entrada Inver_Finan'!H114),MONTH('Entrada Inver_Finan'!H114),DAY(1))</f>
        <v>44957</v>
      </c>
      <c r="AF92" s="23" t="n">
        <f aca="false">YEAR(AE92)</f>
        <v>2023</v>
      </c>
      <c r="AL92" s="993" t="s">
        <v>246</v>
      </c>
      <c r="AN92" s="997" t="n">
        <f aca="false">DATE(YEAR('Entrada Inver_Finan'!H115),MONTH('Entrada Inver_Finan'!H115),DAY(1))</f>
        <v>44957</v>
      </c>
      <c r="AO92" s="23" t="n">
        <f aca="false">YEAR(AN92)</f>
        <v>2023</v>
      </c>
      <c r="AP92" s="16"/>
      <c r="AQ92" s="16"/>
      <c r="AR92" s="16"/>
      <c r="AU92" s="993" t="s">
        <v>246</v>
      </c>
      <c r="AW92" s="997" t="n">
        <f aca="false">DATE(YEAR('Entrada Inver_Finan'!H116),MONTH('Entrada Inver_Finan'!H116),DAY(1))</f>
        <v>1</v>
      </c>
      <c r="AX92" s="23" t="n">
        <f aca="false">YEAR(AW92)</f>
        <v>1900</v>
      </c>
      <c r="AY92" s="16"/>
      <c r="AZ92" s="16"/>
      <c r="BA92" s="16"/>
    </row>
    <row r="93" customFormat="false" ht="12.75" hidden="false" customHeight="false" outlineLevel="0" collapsed="false">
      <c r="B93" s="993" t="s">
        <v>634</v>
      </c>
      <c r="D93" s="998" t="n">
        <f aca="false">'Entrada Inver_Finan'!E109</f>
        <v>15</v>
      </c>
      <c r="F93" s="999"/>
      <c r="G93" s="16"/>
      <c r="H93" s="16"/>
      <c r="K93" s="993" t="s">
        <v>634</v>
      </c>
      <c r="M93" s="995" t="n">
        <f aca="false">'Entrada Inver_Finan'!E110</f>
        <v>5</v>
      </c>
      <c r="T93" s="993" t="s">
        <v>634</v>
      </c>
      <c r="V93" s="998" t="n">
        <f aca="false">'Entrada Inver_Finan'!E111</f>
        <v>0</v>
      </c>
      <c r="AB93" s="451"/>
      <c r="AC93" s="993" t="s">
        <v>633</v>
      </c>
      <c r="AE93" s="995" t="n">
        <f aca="false">'Entrada Inver_Finan'!G114</f>
        <v>6</v>
      </c>
      <c r="AF93" s="451"/>
      <c r="AL93" s="993" t="s">
        <v>633</v>
      </c>
      <c r="AN93" s="995" t="n">
        <f aca="false">'Entrada Inver_Finan'!G115</f>
        <v>5</v>
      </c>
      <c r="AO93" s="451"/>
      <c r="AP93" s="16"/>
      <c r="AQ93" s="16"/>
      <c r="AR93" s="16"/>
      <c r="AU93" s="993" t="s">
        <v>633</v>
      </c>
      <c r="AW93" s="995" t="n">
        <f aca="false">'Entrada Inver_Finan'!G116</f>
        <v>5</v>
      </c>
      <c r="AX93" s="451"/>
      <c r="AY93" s="16"/>
      <c r="AZ93" s="16"/>
      <c r="BA93" s="16"/>
    </row>
    <row r="94" customFormat="false" ht="12.75" hidden="false" customHeight="false" outlineLevel="0" collapsed="false">
      <c r="B94" s="993" t="s">
        <v>635</v>
      </c>
      <c r="D94" s="998" t="n">
        <f aca="false">'Entrada Inver_Finan'!F109</f>
        <v>12</v>
      </c>
      <c r="F94" s="16"/>
      <c r="G94" s="999"/>
      <c r="H94" s="999"/>
      <c r="K94" s="993" t="s">
        <v>635</v>
      </c>
      <c r="M94" s="998" t="n">
        <f aca="false">'Entrada Inver_Finan'!F110</f>
        <v>12</v>
      </c>
      <c r="O94" s="999"/>
      <c r="P94" s="999"/>
      <c r="Q94" s="999"/>
      <c r="T94" s="993" t="s">
        <v>635</v>
      </c>
      <c r="V94" s="998" t="n">
        <f aca="false">'Entrada Inver_Finan'!F111</f>
        <v>0</v>
      </c>
      <c r="X94" s="999"/>
      <c r="Y94" s="999"/>
      <c r="Z94" s="999"/>
      <c r="AB94" s="451"/>
      <c r="AC94" s="993" t="s">
        <v>634</v>
      </c>
      <c r="AE94" s="998" t="n">
        <f aca="false">'Entrada Inver_Finan'!E114</f>
        <v>3</v>
      </c>
      <c r="AF94" s="451"/>
      <c r="AG94" s="999"/>
      <c r="AH94" s="999"/>
      <c r="AI94" s="999"/>
      <c r="AL94" s="993" t="s">
        <v>634</v>
      </c>
      <c r="AN94" s="998" t="n">
        <f aca="false">'Entrada Inver_Finan'!E115</f>
        <v>3</v>
      </c>
      <c r="AO94" s="451"/>
      <c r="AP94" s="999"/>
      <c r="AQ94" s="999"/>
      <c r="AR94" s="999"/>
      <c r="AU94" s="993" t="s">
        <v>634</v>
      </c>
      <c r="AW94" s="998" t="n">
        <f aca="false">'Entrada Inver_Finan'!E116</f>
        <v>0</v>
      </c>
      <c r="AX94" s="451"/>
      <c r="AY94" s="999"/>
      <c r="AZ94" s="999"/>
      <c r="BA94" s="999"/>
    </row>
    <row r="95" customFormat="false" ht="12.75" hidden="false" customHeight="false" outlineLevel="0" collapsed="false">
      <c r="B95" s="993" t="s">
        <v>636</v>
      </c>
      <c r="D95" s="994" t="n">
        <f aca="false">'Entrada Inver_Finan'!J109</f>
        <v>0</v>
      </c>
      <c r="G95" s="16"/>
      <c r="H95" s="16"/>
      <c r="K95" s="993" t="s">
        <v>636</v>
      </c>
      <c r="M95" s="994" t="n">
        <f aca="false">'Entrada Inver_Finan'!J110</f>
        <v>0</v>
      </c>
      <c r="T95" s="993" t="s">
        <v>636</v>
      </c>
      <c r="V95" s="994" t="n">
        <f aca="false">'Entrada Inver_Finan'!J111</f>
        <v>0</v>
      </c>
      <c r="AB95" s="451"/>
      <c r="AC95" s="993" t="s">
        <v>635</v>
      </c>
      <c r="AE95" s="998" t="n">
        <f aca="false">'Entrada Inver_Finan'!F114</f>
        <v>12</v>
      </c>
      <c r="AF95" s="451"/>
      <c r="AL95" s="993" t="s">
        <v>635</v>
      </c>
      <c r="AN95" s="998" t="n">
        <f aca="false">'Entrada Inver_Finan'!F115</f>
        <v>12</v>
      </c>
      <c r="AO95" s="451"/>
      <c r="AP95" s="16"/>
      <c r="AQ95" s="16"/>
      <c r="AR95" s="16"/>
      <c r="AU95" s="993" t="s">
        <v>635</v>
      </c>
      <c r="AW95" s="998" t="n">
        <f aca="false">'Entrada Inver_Finan'!F116</f>
        <v>0</v>
      </c>
      <c r="AX95" s="451"/>
      <c r="AY95" s="16"/>
      <c r="AZ95" s="16"/>
      <c r="BA95" s="16"/>
    </row>
    <row r="96" customFormat="false" ht="12.75" hidden="false" customHeight="false" outlineLevel="0" collapsed="false">
      <c r="B96" s="993" t="s">
        <v>637</v>
      </c>
      <c r="D96" s="997" t="n">
        <f aca="false">DATE(YEAR('Entrada Inver_Finan'!I109),MONTH('Entrada Inver_Finan'!I109),DAY(1))</f>
        <v>44988</v>
      </c>
      <c r="E96" s="913"/>
      <c r="F96" s="16"/>
      <c r="G96" s="16"/>
      <c r="H96" s="16"/>
      <c r="K96" s="993" t="s">
        <v>637</v>
      </c>
      <c r="M96" s="997" t="n">
        <f aca="false">DATE(YEAR('Entrada Inver_Finan'!I110),MONTH('Entrada Inver_Finan'!I110),DAY(1))</f>
        <v>44988</v>
      </c>
      <c r="T96" s="993" t="s">
        <v>637</v>
      </c>
      <c r="V96" s="997" t="n">
        <f aca="false">DATE(YEAR('Entrada Inver_Finan'!I111),MONTH('Entrada Inver_Finan'!I111),DAY(1))</f>
        <v>1</v>
      </c>
      <c r="AB96" s="451"/>
      <c r="AC96" s="993" t="s">
        <v>637</v>
      </c>
      <c r="AE96" s="997" t="n">
        <f aca="false">DATE(YEAR('Entrada Inver_Finan'!I114),MONTH('Entrada Inver_Finan'!I114),DAY(1))</f>
        <v>44957</v>
      </c>
      <c r="AF96" s="451"/>
      <c r="AL96" s="993" t="s">
        <v>637</v>
      </c>
      <c r="AN96" s="997" t="n">
        <f aca="false">DATE(YEAR('Entrada Inver_Finan'!I115),MONTH('Entrada Inver_Finan'!I115),DAY(1))</f>
        <v>44988</v>
      </c>
      <c r="AO96" s="451"/>
      <c r="AP96" s="16"/>
      <c r="AQ96" s="16"/>
      <c r="AR96" s="16"/>
      <c r="AU96" s="993" t="s">
        <v>637</v>
      </c>
      <c r="AW96" s="997" t="n">
        <f aca="false">DATE(YEAR('Entrada Inver_Finan'!I116),MONTH('Entrada Inver_Finan'!I116),DAY(1))</f>
        <v>1</v>
      </c>
      <c r="AX96" s="451"/>
      <c r="AY96" s="16"/>
      <c r="AZ96" s="16"/>
      <c r="BA96" s="16"/>
    </row>
    <row r="97" customFormat="false" ht="15" hidden="false" customHeight="true" outlineLevel="0" collapsed="false">
      <c r="B97" s="993" t="s">
        <v>638</v>
      </c>
      <c r="D97" s="998" t="n">
        <f aca="false">D93*D94</f>
        <v>180</v>
      </c>
      <c r="F97" s="16"/>
      <c r="G97" s="16"/>
      <c r="H97" s="16"/>
      <c r="K97" s="993" t="s">
        <v>638</v>
      </c>
      <c r="M97" s="998" t="n">
        <f aca="false">M93*M94</f>
        <v>60</v>
      </c>
      <c r="T97" s="993" t="s">
        <v>638</v>
      </c>
      <c r="V97" s="998" t="n">
        <f aca="false">V93*V94</f>
        <v>0</v>
      </c>
      <c r="AB97" s="451"/>
      <c r="AC97" s="993" t="s">
        <v>638</v>
      </c>
      <c r="AE97" s="998" t="n">
        <f aca="false">AE94*AE95</f>
        <v>36</v>
      </c>
      <c r="AF97" s="451"/>
      <c r="AL97" s="993" t="s">
        <v>638</v>
      </c>
      <c r="AN97" s="998" t="n">
        <f aca="false">AN94*AN95</f>
        <v>36</v>
      </c>
      <c r="AO97" s="451"/>
      <c r="AP97" s="16"/>
      <c r="AQ97" s="16"/>
      <c r="AR97" s="16"/>
      <c r="AU97" s="993" t="s">
        <v>638</v>
      </c>
      <c r="AW97" s="998" t="n">
        <f aca="false">AW94*AW95</f>
        <v>0</v>
      </c>
      <c r="AX97" s="451"/>
      <c r="AY97" s="16"/>
      <c r="AZ97" s="16"/>
      <c r="BA97" s="16"/>
    </row>
    <row r="98" customFormat="false" ht="12.75" hidden="false" customHeight="true" outlineLevel="0" collapsed="false">
      <c r="B98" s="1000" t="s">
        <v>639</v>
      </c>
      <c r="C98" s="1000"/>
      <c r="D98" s="1001" t="n">
        <f aca="false">D92/1200</f>
        <v>0.00291666666666667</v>
      </c>
      <c r="F98" s="16"/>
      <c r="G98" s="16"/>
      <c r="H98" s="16"/>
      <c r="K98" s="1000" t="s">
        <v>640</v>
      </c>
      <c r="L98" s="1000"/>
      <c r="M98" s="1001" t="n">
        <f aca="false">M92/1200</f>
        <v>0.00416666666666667</v>
      </c>
      <c r="T98" s="1000" t="s">
        <v>640</v>
      </c>
      <c r="U98" s="1000"/>
      <c r="V98" s="1001" t="n">
        <f aca="false">V92/1200</f>
        <v>0.00416666666666667</v>
      </c>
      <c r="AB98" s="451"/>
      <c r="AC98" s="1000" t="s">
        <v>640</v>
      </c>
      <c r="AD98" s="1000"/>
      <c r="AE98" s="1001" t="n">
        <f aca="false">AE93/1200</f>
        <v>0.005</v>
      </c>
      <c r="AF98" s="451"/>
      <c r="AL98" s="1000" t="s">
        <v>640</v>
      </c>
      <c r="AM98" s="1000"/>
      <c r="AN98" s="1001" t="n">
        <f aca="false">AN93/1200</f>
        <v>0.00416666666666667</v>
      </c>
      <c r="AO98" s="451"/>
      <c r="AP98" s="16"/>
      <c r="AQ98" s="16"/>
      <c r="AR98" s="16"/>
      <c r="AU98" s="1000" t="s">
        <v>640</v>
      </c>
      <c r="AV98" s="1000"/>
      <c r="AW98" s="1001" t="n">
        <f aca="false">AW93/1200</f>
        <v>0.00416666666666667</v>
      </c>
      <c r="AX98" s="451"/>
      <c r="AY98" s="16"/>
      <c r="AZ98" s="16"/>
      <c r="BA98" s="16"/>
    </row>
    <row r="99" customFormat="false" ht="12.75" hidden="false" customHeight="false" outlineLevel="0" collapsed="false">
      <c r="B99" s="1000"/>
      <c r="C99" s="1000"/>
      <c r="D99" s="1001"/>
      <c r="F99" s="16"/>
      <c r="G99" s="16"/>
      <c r="H99" s="16"/>
      <c r="K99" s="1000"/>
      <c r="L99" s="1000"/>
      <c r="M99" s="1001"/>
      <c r="T99" s="1000"/>
      <c r="U99" s="1000"/>
      <c r="V99" s="1001"/>
      <c r="AB99" s="451"/>
      <c r="AC99" s="1000"/>
      <c r="AD99" s="1000"/>
      <c r="AE99" s="1001"/>
      <c r="AF99" s="451"/>
      <c r="AL99" s="1000"/>
      <c r="AM99" s="1000"/>
      <c r="AN99" s="1001"/>
      <c r="AO99" s="451"/>
    </row>
    <row r="100" customFormat="false" ht="12.75" hidden="false" customHeight="false" outlineLevel="0" collapsed="false">
      <c r="B100" s="993" t="s">
        <v>641</v>
      </c>
      <c r="D100" s="995" t="n">
        <f aca="false">IF(D90=0,0,(1-(1+D98)^-(D97-D95))/D98)</f>
        <v>139.883119557113</v>
      </c>
      <c r="F100" s="16"/>
      <c r="G100" s="16"/>
      <c r="H100" s="16"/>
      <c r="K100" s="993" t="s">
        <v>641</v>
      </c>
      <c r="M100" s="995" t="n">
        <f aca="false">IF(M90=0,0,(1-(1+M98)^-(M97-M95))/M98)</f>
        <v>52.9907063239272</v>
      </c>
      <c r="T100" s="993" t="s">
        <v>641</v>
      </c>
      <c r="V100" s="995" t="n">
        <f aca="false">IF(V90=0,0,(1-(1+V98)^-(V97-V95))/V98+IF(V90=0,0))</f>
        <v>0</v>
      </c>
      <c r="AB100" s="451"/>
      <c r="AC100" s="993" t="s">
        <v>641</v>
      </c>
      <c r="AE100" s="995" t="n">
        <f aca="false">IF(AE91=0,0,(1-(1+AE98)^-AE97)/AE98+IF(AE91=0,0))</f>
        <v>0</v>
      </c>
      <c r="AF100" s="451"/>
      <c r="AL100" s="993" t="s">
        <v>641</v>
      </c>
      <c r="AN100" s="995" t="n">
        <f aca="false">IF(AN91=0,0,(1-(1+AN98)^-AN97)/AN98+IF(AN91=0,0))</f>
        <v>33.3657012837407</v>
      </c>
      <c r="AO100" s="451"/>
      <c r="AP100" s="16"/>
      <c r="AQ100" s="16"/>
      <c r="AR100" s="16"/>
      <c r="AU100" s="993" t="s">
        <v>641</v>
      </c>
      <c r="AW100" s="995" t="n">
        <f aca="false">IF(AW91=0,0,(1-(1+AW98)^-AW97)/AW98+IF(AW91=0,0))</f>
        <v>0</v>
      </c>
      <c r="AX100" s="451"/>
      <c r="AY100" s="16"/>
      <c r="AZ100" s="16"/>
      <c r="BA100" s="16"/>
    </row>
    <row r="101" customFormat="false" ht="12.75" hidden="false" customHeight="false" outlineLevel="0" collapsed="false">
      <c r="A101" s="1002"/>
      <c r="B101" s="1003" t="s">
        <v>642</v>
      </c>
      <c r="C101" s="1004"/>
      <c r="D101" s="1005" t="n">
        <f aca="false">IF(D90=0,0,D90/D100)</f>
        <v>1072.32381201476</v>
      </c>
      <c r="F101" s="16"/>
      <c r="G101" s="16"/>
      <c r="H101" s="16"/>
      <c r="J101" s="1002"/>
      <c r="K101" s="1003" t="s">
        <v>642</v>
      </c>
      <c r="L101" s="1004"/>
      <c r="M101" s="1005" t="n">
        <f aca="false">IF(M90=0,0,M90/M100)</f>
        <v>283.068504660165</v>
      </c>
      <c r="S101" s="1002"/>
      <c r="T101" s="1003" t="s">
        <v>642</v>
      </c>
      <c r="U101" s="1004"/>
      <c r="V101" s="1005" t="n">
        <f aca="false">IF(V90=0,0,V90/V100)</f>
        <v>0</v>
      </c>
      <c r="AB101" s="451"/>
      <c r="AC101" s="1006" t="s">
        <v>643</v>
      </c>
      <c r="AD101" s="1004"/>
      <c r="AE101" s="1005" t="n">
        <f aca="false">IF(AE91=0,0,AE91/AE100)</f>
        <v>0</v>
      </c>
      <c r="AF101" s="451"/>
      <c r="AL101" s="1003" t="s">
        <v>643</v>
      </c>
      <c r="AM101" s="1004"/>
      <c r="AN101" s="1005" t="n">
        <f aca="false">IF(AN91=0,0,AN91/AN100)</f>
        <v>1048.98139866329</v>
      </c>
      <c r="AO101" s="451"/>
      <c r="AP101" s="16"/>
      <c r="AQ101" s="16"/>
      <c r="AR101" s="16"/>
      <c r="AU101" s="1003" t="s">
        <v>642</v>
      </c>
      <c r="AV101" s="1004"/>
      <c r="AW101" s="1005" t="n">
        <f aca="false">IF(AW91=0,0,AW91/AW100)</f>
        <v>0</v>
      </c>
      <c r="AX101" s="451"/>
      <c r="AY101" s="16"/>
      <c r="AZ101" s="16"/>
      <c r="BA101" s="16"/>
    </row>
    <row r="102" customFormat="false" ht="12.75" hidden="false" customHeight="false" outlineLevel="0" collapsed="false">
      <c r="B102" s="993" t="s">
        <v>644</v>
      </c>
      <c r="D102" s="995" t="n">
        <f aca="false">'Entrada Inver_Finan'!K109</f>
        <v>15000</v>
      </c>
      <c r="F102" s="16"/>
      <c r="G102" s="16"/>
      <c r="H102" s="16"/>
      <c r="K102" s="993" t="s">
        <v>644</v>
      </c>
      <c r="M102" s="995" t="n">
        <f aca="false">'Entrada Inver_Finan'!K110</f>
        <v>0</v>
      </c>
      <c r="T102" s="993" t="s">
        <v>644</v>
      </c>
      <c r="V102" s="995" t="n">
        <f aca="false">'Entrada Inver_Finan'!K111</f>
        <v>0</v>
      </c>
      <c r="AB102" s="451"/>
      <c r="AC102" s="993" t="s">
        <v>645</v>
      </c>
      <c r="AE102" s="995" t="n">
        <f aca="false">(AE91*AE93*1)/1200</f>
        <v>0</v>
      </c>
      <c r="AF102" s="451"/>
      <c r="AL102" s="993" t="s">
        <v>645</v>
      </c>
      <c r="AN102" s="995" t="n">
        <f aca="false">(AN91*AN93*1)/1200</f>
        <v>145.833333333333</v>
      </c>
      <c r="AO102" s="451"/>
      <c r="AP102" s="16"/>
      <c r="AQ102" s="16"/>
      <c r="AR102" s="16"/>
      <c r="AU102" s="993" t="s">
        <v>645</v>
      </c>
      <c r="AW102" s="995" t="n">
        <f aca="false">(AW91*AW93*1)/1200</f>
        <v>0</v>
      </c>
      <c r="AX102" s="451"/>
      <c r="AY102" s="16"/>
      <c r="AZ102" s="16"/>
      <c r="BA102" s="16"/>
    </row>
    <row r="103" customFormat="false" ht="12.75" hidden="false" customHeight="false" outlineLevel="0" collapsed="false">
      <c r="B103" s="993" t="s">
        <v>645</v>
      </c>
      <c r="D103" s="995" t="n">
        <f aca="false">(D90*D92*1)/1200</f>
        <v>437.5</v>
      </c>
      <c r="F103" s="16"/>
      <c r="G103" s="16"/>
      <c r="H103" s="16"/>
      <c r="K103" s="993" t="s">
        <v>645</v>
      </c>
      <c r="M103" s="995" t="n">
        <f aca="false">(M90*M92*1)/1200</f>
        <v>62.5</v>
      </c>
      <c r="T103" s="993" t="s">
        <v>645</v>
      </c>
      <c r="V103" s="995" t="n">
        <f aca="false">(V90*V92*1)/1200</f>
        <v>0</v>
      </c>
      <c r="AB103" s="451"/>
      <c r="AC103" s="993" t="s">
        <v>646</v>
      </c>
      <c r="AE103" s="995" t="n">
        <f aca="false">AE101-AE102</f>
        <v>0</v>
      </c>
      <c r="AF103" s="451"/>
      <c r="AL103" s="993" t="s">
        <v>646</v>
      </c>
      <c r="AN103" s="995" t="n">
        <f aca="false">AN101-AN102</f>
        <v>903.148065329962</v>
      </c>
      <c r="AO103" s="451"/>
      <c r="AP103" s="16"/>
      <c r="AQ103" s="16"/>
      <c r="AR103" s="16"/>
      <c r="AU103" s="993" t="s">
        <v>646</v>
      </c>
      <c r="AW103" s="995" t="n">
        <f aca="false">AW101-AW102</f>
        <v>0</v>
      </c>
      <c r="AX103" s="451"/>
      <c r="AY103" s="16"/>
      <c r="AZ103" s="16"/>
      <c r="BA103" s="16"/>
    </row>
    <row r="104" customFormat="false" ht="13.5" hidden="false" customHeight="false" outlineLevel="0" collapsed="false">
      <c r="B104" s="1007" t="s">
        <v>646</v>
      </c>
      <c r="C104" s="421"/>
      <c r="D104" s="1008" t="n">
        <f aca="false">D101-D103</f>
        <v>634.823812014759</v>
      </c>
      <c r="F104" s="16"/>
      <c r="G104" s="16"/>
      <c r="H104" s="16"/>
      <c r="K104" s="1007" t="s">
        <v>646</v>
      </c>
      <c r="L104" s="421"/>
      <c r="M104" s="1008" t="n">
        <f aca="false">M101-M103</f>
        <v>220.568504660165</v>
      </c>
      <c r="T104" s="1007" t="s">
        <v>646</v>
      </c>
      <c r="U104" s="421"/>
      <c r="V104" s="1008" t="n">
        <f aca="false">V101-V103</f>
        <v>0</v>
      </c>
      <c r="AB104" s="451"/>
      <c r="AC104" s="993" t="s">
        <v>600</v>
      </c>
      <c r="AE104" s="995" t="n">
        <f aca="false">'Datos generales'!$D$19*AE101</f>
        <v>0</v>
      </c>
      <c r="AF104" s="451"/>
      <c r="AL104" s="993" t="s">
        <v>600</v>
      </c>
      <c r="AN104" s="995" t="n">
        <f aca="false">'Datos generales'!$D$19*AN101</f>
        <v>125.877767839595</v>
      </c>
      <c r="AO104" s="451"/>
      <c r="AP104" s="16"/>
      <c r="AQ104" s="16"/>
      <c r="AR104" s="16"/>
      <c r="AU104" s="993" t="s">
        <v>600</v>
      </c>
      <c r="AW104" s="995" t="n">
        <f aca="false">'Datos generales'!$D$19*AW101</f>
        <v>0</v>
      </c>
      <c r="AX104" s="451"/>
      <c r="AY104" s="16"/>
      <c r="AZ104" s="16"/>
      <c r="BA104" s="16"/>
    </row>
    <row r="105" customFormat="false" ht="13.5" hidden="false" customHeight="false" outlineLevel="0" collapsed="false">
      <c r="D105" s="16"/>
      <c r="F105" s="16"/>
      <c r="G105" s="16"/>
      <c r="H105" s="16"/>
      <c r="M105" s="16"/>
      <c r="V105" s="16"/>
      <c r="AB105" s="451"/>
      <c r="AC105" s="1009" t="s">
        <v>647</v>
      </c>
      <c r="AD105" s="1010"/>
      <c r="AE105" s="1011" t="n">
        <f aca="false">AE101+AE104</f>
        <v>0</v>
      </c>
      <c r="AF105" s="451"/>
      <c r="AL105" s="1009" t="s">
        <v>647</v>
      </c>
      <c r="AM105" s="1010"/>
      <c r="AN105" s="1011" t="n">
        <f aca="false">AN101+AN104</f>
        <v>1174.85916650289</v>
      </c>
      <c r="AO105" s="451"/>
      <c r="AP105" s="16"/>
      <c r="AQ105" s="16"/>
      <c r="AR105" s="16"/>
      <c r="AU105" s="1009" t="s">
        <v>647</v>
      </c>
      <c r="AV105" s="1010"/>
      <c r="AW105" s="1011" t="n">
        <f aca="false">AW101+AW104</f>
        <v>0</v>
      </c>
      <c r="AX105" s="451"/>
      <c r="AY105" s="16"/>
      <c r="AZ105" s="16"/>
      <c r="BA105" s="16"/>
    </row>
    <row r="106" customFormat="false" ht="13.5" hidden="false" customHeight="false" outlineLevel="0" collapsed="false">
      <c r="D106" s="16"/>
      <c r="F106" s="16"/>
      <c r="G106" s="16"/>
      <c r="H106" s="16"/>
      <c r="M106" s="16"/>
      <c r="V106" s="16"/>
      <c r="AB106" s="451"/>
      <c r="AE106" s="16"/>
      <c r="AF106" s="451"/>
    </row>
    <row r="107" customFormat="false" ht="13.5" hidden="false" customHeight="true" outlineLevel="0" collapsed="false">
      <c r="B107" s="1012" t="s">
        <v>648</v>
      </c>
      <c r="C107" s="1012" t="s">
        <v>649</v>
      </c>
      <c r="D107" s="1012" t="s">
        <v>650</v>
      </c>
      <c r="E107" s="1012" t="s">
        <v>598</v>
      </c>
      <c r="F107" s="1012" t="s">
        <v>651</v>
      </c>
      <c r="G107" s="1012" t="s">
        <v>652</v>
      </c>
      <c r="H107" s="1013" t="s">
        <v>653</v>
      </c>
      <c r="I107" s="1014" t="s">
        <v>654</v>
      </c>
      <c r="K107" s="1012" t="s">
        <v>648</v>
      </c>
      <c r="L107" s="1012" t="s">
        <v>649</v>
      </c>
      <c r="M107" s="1012" t="s">
        <v>650</v>
      </c>
      <c r="N107" s="1012" t="s">
        <v>598</v>
      </c>
      <c r="O107" s="1012" t="s">
        <v>651</v>
      </c>
      <c r="P107" s="1012" t="s">
        <v>652</v>
      </c>
      <c r="Q107" s="1013" t="s">
        <v>653</v>
      </c>
      <c r="R107" s="1014" t="s">
        <v>654</v>
      </c>
      <c r="T107" s="1012" t="s">
        <v>648</v>
      </c>
      <c r="U107" s="1012" t="s">
        <v>649</v>
      </c>
      <c r="V107" s="1012" t="s">
        <v>650</v>
      </c>
      <c r="W107" s="1015" t="s">
        <v>598</v>
      </c>
      <c r="X107" s="1012" t="s">
        <v>651</v>
      </c>
      <c r="Y107" s="1012" t="s">
        <v>652</v>
      </c>
      <c r="Z107" s="1013" t="s">
        <v>653</v>
      </c>
      <c r="AA107" s="1014" t="s">
        <v>654</v>
      </c>
      <c r="AB107" s="451"/>
      <c r="AC107" s="1016" t="s">
        <v>648</v>
      </c>
      <c r="AD107" s="1012" t="s">
        <v>649</v>
      </c>
      <c r="AE107" s="1012" t="s">
        <v>650</v>
      </c>
      <c r="AF107" s="1012" t="s">
        <v>598</v>
      </c>
      <c r="AG107" s="1012" t="s">
        <v>651</v>
      </c>
      <c r="AH107" s="1012" t="s">
        <v>652</v>
      </c>
      <c r="AI107" s="1013" t="s">
        <v>653</v>
      </c>
      <c r="AJ107" s="1014" t="s">
        <v>654</v>
      </c>
      <c r="AL107" s="1016" t="s">
        <v>648</v>
      </c>
      <c r="AM107" s="1012" t="s">
        <v>649</v>
      </c>
      <c r="AN107" s="1012" t="s">
        <v>650</v>
      </c>
      <c r="AO107" s="1012" t="s">
        <v>598</v>
      </c>
      <c r="AP107" s="1012" t="s">
        <v>651</v>
      </c>
      <c r="AQ107" s="1012" t="s">
        <v>652</v>
      </c>
      <c r="AR107" s="1013" t="s">
        <v>653</v>
      </c>
      <c r="AS107" s="1014" t="s">
        <v>654</v>
      </c>
      <c r="AU107" s="1016" t="s">
        <v>648</v>
      </c>
      <c r="AV107" s="1012" t="s">
        <v>649</v>
      </c>
      <c r="AW107" s="1012" t="s">
        <v>650</v>
      </c>
      <c r="AX107" s="1012" t="s">
        <v>598</v>
      </c>
      <c r="AY107" s="1012" t="s">
        <v>651</v>
      </c>
      <c r="AZ107" s="1012" t="s">
        <v>652</v>
      </c>
      <c r="BA107" s="1013" t="s">
        <v>653</v>
      </c>
      <c r="BB107" s="1014" t="s">
        <v>654</v>
      </c>
    </row>
    <row r="108" customFormat="false" ht="13.5" hidden="false" customHeight="true" outlineLevel="0" collapsed="false">
      <c r="B108" s="1012"/>
      <c r="C108" s="1012"/>
      <c r="D108" s="1012"/>
      <c r="E108" s="1012"/>
      <c r="F108" s="1012"/>
      <c r="G108" s="1012"/>
      <c r="H108" s="1013"/>
      <c r="I108" s="1014"/>
      <c r="K108" s="1012"/>
      <c r="L108" s="1012"/>
      <c r="M108" s="1012"/>
      <c r="N108" s="1012"/>
      <c r="O108" s="1012"/>
      <c r="P108" s="1012"/>
      <c r="Q108" s="1013"/>
      <c r="R108" s="1014"/>
      <c r="T108" s="1012"/>
      <c r="U108" s="1012"/>
      <c r="V108" s="1012"/>
      <c r="W108" s="1015"/>
      <c r="X108" s="1012"/>
      <c r="Y108" s="1012"/>
      <c r="Z108" s="1013"/>
      <c r="AA108" s="1014"/>
      <c r="AB108" s="451"/>
      <c r="AC108" s="1016"/>
      <c r="AD108" s="1012"/>
      <c r="AE108" s="1012"/>
      <c r="AF108" s="1012"/>
      <c r="AG108" s="1012"/>
      <c r="AH108" s="1012"/>
      <c r="AI108" s="1013"/>
      <c r="AJ108" s="1014"/>
      <c r="AL108" s="1016"/>
      <c r="AM108" s="1012"/>
      <c r="AN108" s="1012"/>
      <c r="AO108" s="1012"/>
      <c r="AP108" s="1012"/>
      <c r="AQ108" s="1012"/>
      <c r="AR108" s="1013"/>
      <c r="AS108" s="1014"/>
      <c r="AU108" s="1016"/>
      <c r="AV108" s="1012"/>
      <c r="AW108" s="1012"/>
    </row>
    <row r="109" customFormat="false" ht="13.5" hidden="false" customHeight="false" outlineLevel="0" collapsed="false">
      <c r="B109" s="1012"/>
      <c r="C109" s="1012"/>
      <c r="D109" s="1012"/>
      <c r="E109" s="1012"/>
      <c r="F109" s="1012"/>
      <c r="G109" s="1012"/>
      <c r="H109" s="1013"/>
      <c r="I109" s="1014"/>
      <c r="K109" s="1012"/>
      <c r="L109" s="1012"/>
      <c r="M109" s="1012"/>
      <c r="N109" s="1012"/>
      <c r="O109" s="1012"/>
      <c r="P109" s="1012"/>
      <c r="Q109" s="1013"/>
      <c r="R109" s="1014"/>
      <c r="T109" s="1012"/>
      <c r="U109" s="1012"/>
      <c r="V109" s="1012"/>
      <c r="W109" s="1015"/>
      <c r="X109" s="1012"/>
      <c r="Y109" s="1012"/>
      <c r="Z109" s="1013"/>
      <c r="AA109" s="1014"/>
      <c r="AB109" s="451"/>
      <c r="AC109" s="1016"/>
      <c r="AD109" s="1012"/>
      <c r="AE109" s="1012"/>
      <c r="AF109" s="1012"/>
      <c r="AG109" s="1012"/>
      <c r="AH109" s="1012"/>
      <c r="AI109" s="1013"/>
      <c r="AJ109" s="1014"/>
      <c r="AL109" s="1016"/>
      <c r="AM109" s="1012"/>
      <c r="AN109" s="1012"/>
      <c r="AO109" s="1012"/>
      <c r="AP109" s="1012"/>
      <c r="AQ109" s="1012"/>
      <c r="AR109" s="1013"/>
      <c r="AS109" s="1014"/>
      <c r="AU109" s="1016"/>
      <c r="AV109" s="1012"/>
      <c r="AW109" s="1012"/>
    </row>
    <row r="110" customFormat="false" ht="13.5" hidden="false" customHeight="false" outlineLevel="0" collapsed="false">
      <c r="B110" s="1017" t="n">
        <v>1</v>
      </c>
      <c r="C110" s="1018" t="n">
        <f aca="false">D96</f>
        <v>44988</v>
      </c>
      <c r="D110" s="1019" t="n">
        <f aca="false">D90</f>
        <v>150000</v>
      </c>
      <c r="E110" s="1019" t="n">
        <f aca="false">(D110*$D$92*1)/1200</f>
        <v>437.5</v>
      </c>
      <c r="F110" s="1019" t="n">
        <f aca="false">IF(AND(B110&lt;=$D$97,B110&gt;$D$95),$D$101-E110,0)</f>
        <v>634.823812014759</v>
      </c>
      <c r="G110" s="1019" t="n">
        <f aca="false">D110-F110</f>
        <v>149365.176187985</v>
      </c>
      <c r="H110" s="1019" t="n">
        <f aca="false">IF(B110&lt;=$D$97,E110+H109,0)</f>
        <v>437.5</v>
      </c>
      <c r="I110" s="1020" t="n">
        <f aca="false">IF(B110&lt;=$D$97,F110+I109,0)</f>
        <v>634.823812014759</v>
      </c>
      <c r="K110" s="1021" t="n">
        <v>1</v>
      </c>
      <c r="L110" s="1018" t="n">
        <f aca="false">M96</f>
        <v>44988</v>
      </c>
      <c r="M110" s="1019" t="n">
        <f aca="false">M90</f>
        <v>15000</v>
      </c>
      <c r="N110" s="1019" t="n">
        <f aca="false">(M110*$M$92*1)/1200</f>
        <v>62.5</v>
      </c>
      <c r="O110" s="1019" t="n">
        <f aca="false">IF(AND(K110&lt;=$M$97,K110&gt;$M$95),$M$101-N110,0)</f>
        <v>220.568504660165</v>
      </c>
      <c r="P110" s="1019" t="n">
        <f aca="false">M110-O110</f>
        <v>14779.4314953398</v>
      </c>
      <c r="Q110" s="1019" t="n">
        <f aca="false">N110</f>
        <v>62.5</v>
      </c>
      <c r="R110" s="1020" t="n">
        <f aca="false">O110</f>
        <v>220.568504660165</v>
      </c>
      <c r="T110" s="1021" t="n">
        <v>1</v>
      </c>
      <c r="U110" s="1018" t="n">
        <f aca="false">V96</f>
        <v>1</v>
      </c>
      <c r="V110" s="1019" t="n">
        <f aca="false">V90</f>
        <v>0</v>
      </c>
      <c r="W110" s="1019" t="n">
        <f aca="false">(V110*$V$92*1)/1200</f>
        <v>0</v>
      </c>
      <c r="X110" s="1022" t="n">
        <f aca="false">IF(AND(T110&lt;=$V$97,T110&gt;$V$95),$V$101-W110,0)</f>
        <v>0</v>
      </c>
      <c r="Y110" s="1019" t="n">
        <f aca="false">V110-X110</f>
        <v>0</v>
      </c>
      <c r="Z110" s="1019" t="n">
        <f aca="false">W110</f>
        <v>0</v>
      </c>
      <c r="AA110" s="1020" t="n">
        <f aca="false">X110</f>
        <v>0</v>
      </c>
      <c r="AB110" s="451"/>
      <c r="AC110" s="1021" t="n">
        <v>1</v>
      </c>
      <c r="AD110" s="1018" t="n">
        <f aca="false">AE96</f>
        <v>44957</v>
      </c>
      <c r="AE110" s="1019" t="n">
        <f aca="false">AE91</f>
        <v>0</v>
      </c>
      <c r="AF110" s="1019" t="n">
        <f aca="false">(AE110*$AE$93*1)/1200</f>
        <v>0</v>
      </c>
      <c r="AG110" s="1023" t="n">
        <f aca="false">$AE$101-AF110</f>
        <v>0</v>
      </c>
      <c r="AH110" s="1019" t="n">
        <f aca="false">AE110-AG110</f>
        <v>0</v>
      </c>
      <c r="AI110" s="1019" t="n">
        <f aca="false">AF110</f>
        <v>0</v>
      </c>
      <c r="AJ110" s="1020" t="n">
        <f aca="false">AG110</f>
        <v>0</v>
      </c>
      <c r="AL110" s="1021" t="n">
        <v>1</v>
      </c>
      <c r="AM110" s="1018" t="n">
        <f aca="false">AN96</f>
        <v>44988</v>
      </c>
      <c r="AN110" s="1019" t="n">
        <f aca="false">AN91</f>
        <v>35000</v>
      </c>
      <c r="AO110" s="1019" t="n">
        <f aca="false">(AN110*$AN$93*1)/1200</f>
        <v>145.833333333333</v>
      </c>
      <c r="AP110" s="1023" t="n">
        <f aca="false">$AN$101-AO110</f>
        <v>903.148065329962</v>
      </c>
      <c r="AQ110" s="1019" t="n">
        <f aca="false">AN110-AP110</f>
        <v>34096.85193467</v>
      </c>
      <c r="AR110" s="1019" t="n">
        <f aca="false">AO110</f>
        <v>145.833333333333</v>
      </c>
      <c r="AS110" s="1020" t="n">
        <f aca="false">AP110</f>
        <v>903.148065329962</v>
      </c>
      <c r="AU110" s="1021" t="n">
        <v>1</v>
      </c>
      <c r="AV110" s="1018" t="n">
        <f aca="false">AW96</f>
        <v>1</v>
      </c>
      <c r="AW110" s="1019" t="n">
        <f aca="false">AW91</f>
        <v>0</v>
      </c>
      <c r="AX110" s="1019" t="n">
        <f aca="false">(AW110*$AW$93*1)/1200</f>
        <v>0</v>
      </c>
      <c r="AY110" s="1023" t="n">
        <f aca="false">$AW$101-AX110</f>
        <v>0</v>
      </c>
      <c r="AZ110" s="1019" t="n">
        <f aca="false">AW110-AY110</f>
        <v>0</v>
      </c>
      <c r="BA110" s="1019" t="n">
        <f aca="false">AX110</f>
        <v>0</v>
      </c>
      <c r="BB110" s="1020" t="n">
        <f aca="false">AY110</f>
        <v>0</v>
      </c>
    </row>
    <row r="111" customFormat="false" ht="12.75" hidden="false" customHeight="false" outlineLevel="0" collapsed="false">
      <c r="B111" s="1024" t="n">
        <v>2</v>
      </c>
      <c r="C111" s="1025" t="n">
        <f aca="false">IF(B111&lt;=$D$97,DATE(YEAR(C110),MONTH(C110)+12/$D$94,DAY(C110)),"0")</f>
        <v>45019</v>
      </c>
      <c r="D111" s="1026" t="n">
        <f aca="false">IF(B111=1,$D$90,G110)</f>
        <v>149365.176187985</v>
      </c>
      <c r="E111" s="1026" t="n">
        <f aca="false">(D111*$D$92*1)/1200</f>
        <v>435.64843054829</v>
      </c>
      <c r="F111" s="1026" t="n">
        <f aca="false">IF(AND(B111&lt;=$D$97,B111&gt;$D$95),$D$101-E111,0)</f>
        <v>636.675381466469</v>
      </c>
      <c r="G111" s="1026" t="n">
        <f aca="false">D111-F111</f>
        <v>148728.500806519</v>
      </c>
      <c r="H111" s="1026" t="n">
        <f aca="false">IF(B111&lt;=$D$97,E111+H110,0)</f>
        <v>873.14843054829</v>
      </c>
      <c r="I111" s="654" t="n">
        <f aca="false">IF(B111&lt;=$D$97,F111+I110,0)</f>
        <v>1271.49919348123</v>
      </c>
      <c r="K111" s="1027" t="n">
        <f aca="false">K110+1</f>
        <v>2</v>
      </c>
      <c r="L111" s="1025" t="n">
        <f aca="false">IF(K111&lt;=$M$97,DATE(YEAR(L110),MONTH(L110)+12/$M$94,DAY(L110)),"0")</f>
        <v>45019</v>
      </c>
      <c r="M111" s="1026" t="n">
        <f aca="false">IF(K111&lt;=$M$97,P110,0)</f>
        <v>14779.4314953398</v>
      </c>
      <c r="N111" s="1026" t="n">
        <f aca="false">(M111*$M$92*1)/1200</f>
        <v>61.580964563916</v>
      </c>
      <c r="O111" s="1026" t="n">
        <f aca="false">IF(AND(K111&lt;=$M$97,K111&gt;$M$95),$M$101-N111,0)</f>
        <v>221.487540096249</v>
      </c>
      <c r="P111" s="1026" t="n">
        <f aca="false">M111-O111</f>
        <v>14557.9439552436</v>
      </c>
      <c r="Q111" s="1026" t="n">
        <f aca="false">IF(K111&lt;=$M$97,Q110+N111,0)</f>
        <v>124.080964563916</v>
      </c>
      <c r="R111" s="654" t="n">
        <f aca="false">IF(K111&lt;=$D$97,R110+O111,0)</f>
        <v>442.056044756414</v>
      </c>
      <c r="T111" s="1027" t="n">
        <f aca="false">T110+1</f>
        <v>2</v>
      </c>
      <c r="U111" s="1025" t="str">
        <f aca="false">IF(T111&lt;=$V$97,DATE(YEAR(U110),MONTH(U110)+12/$V$94,DAY(U110)),"0")</f>
        <v>0</v>
      </c>
      <c r="V111" s="1026" t="n">
        <f aca="false">IF(T111&lt;=$V$97,Y110,0)</f>
        <v>0</v>
      </c>
      <c r="W111" s="1026" t="n">
        <f aca="false">(V111*$V$92*1)/1200</f>
        <v>0</v>
      </c>
      <c r="X111" s="1022" t="n">
        <f aca="false">IF(AND(T111&lt;=$V$97,T111&gt;$V$95),$V$101-W111,0)</f>
        <v>0</v>
      </c>
      <c r="Y111" s="1026" t="n">
        <f aca="false">V111-X111</f>
        <v>0</v>
      </c>
      <c r="Z111" s="1026" t="n">
        <f aca="false">IF(T111&lt;=$V$97,Z110+W111,0)</f>
        <v>0</v>
      </c>
      <c r="AA111" s="654" t="n">
        <f aca="false">IF(T111&lt;=$V$97,AA110+X111,0)</f>
        <v>0</v>
      </c>
      <c r="AB111" s="451"/>
      <c r="AC111" s="1027" t="n">
        <f aca="false">AC110+1</f>
        <v>2</v>
      </c>
      <c r="AD111" s="1025" t="n">
        <f aca="false">IF(AC111&lt;=$AE$97,DATE(YEAR(AD110),MONTH(AD110)+12/$AE$95,DAY(AD110)),"0")</f>
        <v>44988</v>
      </c>
      <c r="AE111" s="1026" t="n">
        <f aca="false">IF(AC111&lt;=$AE$97,AH110,0)</f>
        <v>0</v>
      </c>
      <c r="AF111" s="1026" t="n">
        <f aca="false">(AE111*$AE$93*1)/1200</f>
        <v>0</v>
      </c>
      <c r="AG111" s="1022" t="n">
        <f aca="false">IF(AC111&lt;$AE$97,$AE$101-AF111,0)+IF(AC111=$AE$97,$AE$90+$AE$101-AF111,0)</f>
        <v>0</v>
      </c>
      <c r="AH111" s="1026" t="n">
        <f aca="false">AE111-AG111</f>
        <v>0</v>
      </c>
      <c r="AI111" s="1026" t="n">
        <f aca="false">IF(AC111&lt;=$AE$97,AI110+AF111,0)</f>
        <v>0</v>
      </c>
      <c r="AJ111" s="654" t="n">
        <f aca="false">IF(AC111&lt;=$AE$97,AJ110+AG111,0)</f>
        <v>0</v>
      </c>
      <c r="AL111" s="1027" t="n">
        <f aca="false">AL110+1</f>
        <v>2</v>
      </c>
      <c r="AM111" s="1025" t="n">
        <f aca="false">IF(AL111&lt;=$AN$97,DATE(YEAR(AM110),MONTH(AM110)+12/$AN$95,DAY(AM110)),"0")</f>
        <v>45019</v>
      </c>
      <c r="AN111" s="1026" t="n">
        <f aca="false">IF(AL111&lt;=$AN$97,AQ110,0)</f>
        <v>34096.85193467</v>
      </c>
      <c r="AO111" s="1026" t="n">
        <f aca="false">(AN111*$AN$93*1)/1200</f>
        <v>142.070216394459</v>
      </c>
      <c r="AP111" s="1022" t="n">
        <f aca="false">IF(AL111&lt;$AN$97,$AN$101-AO111,0)+IF(AL111=$AN$97,$AN$90+$AN$101-AO111,0)</f>
        <v>906.911182268836</v>
      </c>
      <c r="AQ111" s="1026" t="n">
        <f aca="false">AN111-AP111</f>
        <v>33189.9407524012</v>
      </c>
      <c r="AR111" s="1026" t="n">
        <f aca="false">IF(AL111&lt;=$AN$97,AR110+AO111,0)</f>
        <v>287.903549727792</v>
      </c>
      <c r="AS111" s="654" t="n">
        <f aca="false">IF(AL111&lt;=$AN$97,AS110+AP111,0)</f>
        <v>1810.0592475988</v>
      </c>
      <c r="AU111" s="1027" t="n">
        <f aca="false">AU110+1</f>
        <v>2</v>
      </c>
      <c r="AV111" s="1025" t="str">
        <f aca="false">IF(AU111&lt;=$AW$97,DATE(YEAR(AV110),MONTH(AV110)+12/$AW$95,DAY(AV110)),"0")</f>
        <v>0</v>
      </c>
      <c r="AW111" s="1026" t="n">
        <f aca="false">IF(AU111&lt;=$AW$97,AZ110,0)</f>
        <v>0</v>
      </c>
      <c r="AX111" s="1026" t="n">
        <f aca="false">(AW111*$AW$93*1)/1200</f>
        <v>0</v>
      </c>
      <c r="AY111" s="1022" t="n">
        <f aca="false">IF(AU111&lt;$AW$97,$AW$101-AX111,0)+IF(AU111=$AW$97,$AW$90+$AW$101-AX111,0)</f>
        <v>0</v>
      </c>
      <c r="AZ111" s="1026" t="n">
        <f aca="false">AW111-AY111</f>
        <v>0</v>
      </c>
      <c r="BA111" s="1026" t="n">
        <f aca="false">IF(AU111&lt;=$AW$97,BA110+AX111,0)</f>
        <v>0</v>
      </c>
      <c r="BB111" s="654" t="n">
        <f aca="false">IF(AU111&lt;=$AW$97,BB110+AY111,0)</f>
        <v>0</v>
      </c>
    </row>
    <row r="112" customFormat="false" ht="12.75" hidden="false" customHeight="false" outlineLevel="0" collapsed="false">
      <c r="B112" s="1024" t="n">
        <v>3</v>
      </c>
      <c r="C112" s="1025" t="n">
        <f aca="false">IF(B112&lt;=$D$97,DATE(YEAR(C111),MONTH(C111)+12/$D$94,DAY(C111)),"0")</f>
        <v>45049</v>
      </c>
      <c r="D112" s="1026" t="n">
        <f aca="false">IF(B112=1,$D$90,G111)</f>
        <v>148728.500806519</v>
      </c>
      <c r="E112" s="1026" t="n">
        <f aca="false">(D112*$D$92*1)/1200</f>
        <v>433.79146068568</v>
      </c>
      <c r="F112" s="1026" t="n">
        <f aca="false">IF(AND(B112&lt;=$D$97,B112&gt;$D$95),$D$101-E112,0)</f>
        <v>638.53235132908</v>
      </c>
      <c r="G112" s="1026" t="n">
        <f aca="false">D112-F112</f>
        <v>148089.96845519</v>
      </c>
      <c r="H112" s="1026" t="n">
        <f aca="false">IF(B112&lt;=$D$97,E112+H111,0)</f>
        <v>1306.93989123397</v>
      </c>
      <c r="I112" s="654" t="n">
        <f aca="false">IF(B112&lt;=$D$97,F112+I111,0)</f>
        <v>1910.03154481031</v>
      </c>
      <c r="K112" s="1027" t="n">
        <f aca="false">K111+1</f>
        <v>3</v>
      </c>
      <c r="L112" s="1025" t="n">
        <f aca="false">IF(K112&lt;=$M$97,DATE(YEAR(L111),MONTH(L111)+12/$M$94,DAY(L111)),"0")</f>
        <v>45049</v>
      </c>
      <c r="M112" s="1026" t="n">
        <f aca="false">IF(K112&lt;=$M$97,P111,0)</f>
        <v>14557.9439552436</v>
      </c>
      <c r="N112" s="1026" t="n">
        <f aca="false">(M112*$M$92*1)/1200</f>
        <v>60.658099813515</v>
      </c>
      <c r="O112" s="1026" t="n">
        <f aca="false">IF(AND(K112&lt;=$M$97,K112&gt;$M$95),$M$101-N112,0)</f>
        <v>222.41040484665</v>
      </c>
      <c r="P112" s="1026" t="n">
        <f aca="false">M112-O112</f>
        <v>14335.5335503969</v>
      </c>
      <c r="Q112" s="1026" t="n">
        <f aca="false">IF(K112&lt;=$M$97,Q111+N112,0)</f>
        <v>184.739064377431</v>
      </c>
      <c r="R112" s="654" t="n">
        <f aca="false">IF(K112&lt;=$D$97,R111+O112,0)</f>
        <v>664.466449603064</v>
      </c>
      <c r="T112" s="1027" t="n">
        <f aca="false">T111+1</f>
        <v>3</v>
      </c>
      <c r="U112" s="1025" t="str">
        <f aca="false">IF(T112&lt;=$V$97,DATE(YEAR(U111),MONTH(U111)+12/$V$94,DAY(U111)),"0")</f>
        <v>0</v>
      </c>
      <c r="V112" s="1026" t="n">
        <f aca="false">IF(T112&lt;=$V$97,Y111,0)</f>
        <v>0</v>
      </c>
      <c r="W112" s="1026" t="n">
        <f aca="false">(V112*$V$92*1)/1200</f>
        <v>0</v>
      </c>
      <c r="X112" s="1022" t="n">
        <f aca="false">IF(AND(T112&lt;=$V$97,T112&gt;$V$95),$V$101-W112,0)</f>
        <v>0</v>
      </c>
      <c r="Y112" s="1026" t="n">
        <f aca="false">V112-X112</f>
        <v>0</v>
      </c>
      <c r="Z112" s="1026" t="n">
        <f aca="false">IF(T112&lt;=$V$97,Z111+W112,0)</f>
        <v>0</v>
      </c>
      <c r="AA112" s="654" t="n">
        <f aca="false">IF(T112&lt;=$V$97,AA111+X112,0)</f>
        <v>0</v>
      </c>
      <c r="AB112" s="451"/>
      <c r="AC112" s="1027" t="n">
        <f aca="false">AC111+1</f>
        <v>3</v>
      </c>
      <c r="AD112" s="1025" t="n">
        <f aca="false">IF(AC112&lt;=$AE$97,DATE(YEAR(AD111),MONTH(AD111)+12/$AE$95,DAY(AD111)),"0")</f>
        <v>45019</v>
      </c>
      <c r="AE112" s="1026" t="n">
        <f aca="false">IF(AC112&lt;=$AE$97,AH111,0)</f>
        <v>0</v>
      </c>
      <c r="AF112" s="1026" t="n">
        <f aca="false">(AE112*$AE$93*1)/1200</f>
        <v>0</v>
      </c>
      <c r="AG112" s="1022" t="n">
        <f aca="false">IF(AC112&lt;$AE$97,$AE$101-AF112,0)+IF(AC112=$AE$97,$AE$90+$AE$101-AF112,0)</f>
        <v>0</v>
      </c>
      <c r="AH112" s="1026" t="n">
        <f aca="false">AE112-AG112</f>
        <v>0</v>
      </c>
      <c r="AI112" s="1026" t="n">
        <f aca="false">IF(AC112&lt;=$AE$97,AI111+AF112,0)</f>
        <v>0</v>
      </c>
      <c r="AJ112" s="654" t="n">
        <f aca="false">IF(AC112&lt;=$AE$97,AJ111+AG112,0)</f>
        <v>0</v>
      </c>
      <c r="AL112" s="1027" t="n">
        <f aca="false">AL111+1</f>
        <v>3</v>
      </c>
      <c r="AM112" s="1025" t="n">
        <f aca="false">IF(AL112&lt;=$AN$97,DATE(YEAR(AM111),MONTH(AM111)+12/$AN$95,DAY(AM111)),"0")</f>
        <v>45049</v>
      </c>
      <c r="AN112" s="1026" t="n">
        <f aca="false">IF(AL112&lt;=$AN$97,AQ111,0)</f>
        <v>33189.9407524012</v>
      </c>
      <c r="AO112" s="1026" t="n">
        <f aca="false">(AN112*$AN$93*1)/1200</f>
        <v>138.291419801672</v>
      </c>
      <c r="AP112" s="1022" t="n">
        <f aca="false">IF(AL112&lt;$AN$97,$AN$101-AO112,0)+IF(AL112=$AN$97,$AN$90+$AN$101-AO112,0)</f>
        <v>910.689978861623</v>
      </c>
      <c r="AQ112" s="1026" t="n">
        <f aca="false">AN112-AP112</f>
        <v>32279.2507735396</v>
      </c>
      <c r="AR112" s="1026" t="n">
        <f aca="false">IF(AL112&lt;=$AN$97,AR111+AO112,0)</f>
        <v>426.194969529464</v>
      </c>
      <c r="AS112" s="654" t="n">
        <f aca="false">IF(AL112&lt;=$AN$97,AS111+AP112,0)</f>
        <v>2720.74922646042</v>
      </c>
      <c r="AU112" s="1027" t="n">
        <f aca="false">AU111+1</f>
        <v>3</v>
      </c>
      <c r="AV112" s="1025" t="str">
        <f aca="false">IF(AU112&lt;=$AW$97,DATE(YEAR(AV111),MONTH(AV111)+12/$AW$95,DAY(AV111)),"0")</f>
        <v>0</v>
      </c>
      <c r="AW112" s="1026" t="n">
        <f aca="false">IF(AU112&lt;=$AW$97,AZ111,0)</f>
        <v>0</v>
      </c>
      <c r="AX112" s="1026" t="n">
        <f aca="false">(AW112*$AW$93*1)/1200</f>
        <v>0</v>
      </c>
      <c r="AY112" s="1022" t="n">
        <f aca="false">IF(AU112&lt;$AW$97,$AW$101-AX112,0)+IF(AU112=$AW$97,$AW$90+$AW$101-AX112,0)</f>
        <v>0</v>
      </c>
      <c r="AZ112" s="1026" t="n">
        <f aca="false">AW112-AY112</f>
        <v>0</v>
      </c>
      <c r="BA112" s="1026" t="n">
        <f aca="false">IF(AU112&lt;=$AW$97,BA111+AX112,0)</f>
        <v>0</v>
      </c>
      <c r="BB112" s="654" t="n">
        <f aca="false">IF(AU112&lt;=$AW$97,BB111+AY112,0)</f>
        <v>0</v>
      </c>
    </row>
    <row r="113" customFormat="false" ht="12.75" hidden="false" customHeight="false" outlineLevel="0" collapsed="false">
      <c r="B113" s="1024" t="n">
        <v>4</v>
      </c>
      <c r="C113" s="1025" t="n">
        <f aca="false">IF(B113&lt;=$D$97,DATE(YEAR(C112),MONTH(C112)+12/$D$94,DAY(C112)),"0")</f>
        <v>45080</v>
      </c>
      <c r="D113" s="1026" t="n">
        <f aca="false">IF(B113=1,$D$90,G112)</f>
        <v>148089.96845519</v>
      </c>
      <c r="E113" s="1026" t="n">
        <f aca="false">(D113*$D$92*1)/1200</f>
        <v>431.92907466097</v>
      </c>
      <c r="F113" s="1026" t="n">
        <f aca="false">IF(AND(B113&lt;=$D$97,B113&gt;$D$95),$D$101-E113,0)</f>
        <v>640.394737353789</v>
      </c>
      <c r="G113" s="1026" t="n">
        <f aca="false">D113-F113</f>
        <v>147449.573717836</v>
      </c>
      <c r="H113" s="1026" t="n">
        <f aca="false">IF(B113&lt;=$D$97,E113+H112,0)</f>
        <v>1738.86896589494</v>
      </c>
      <c r="I113" s="654" t="n">
        <f aca="false">IF(B113&lt;=$D$97,F113+I112,0)</f>
        <v>2550.4262821641</v>
      </c>
      <c r="K113" s="1027" t="n">
        <f aca="false">K112+1</f>
        <v>4</v>
      </c>
      <c r="L113" s="1025" t="n">
        <f aca="false">IF(K113&lt;=$M$97,DATE(YEAR(L112),MONTH(L112)+12/$M$94,DAY(L112)),"0")</f>
        <v>45080</v>
      </c>
      <c r="M113" s="1026" t="n">
        <f aca="false">IF(K113&lt;=$M$97,P112,0)</f>
        <v>14335.5335503969</v>
      </c>
      <c r="N113" s="1026" t="n">
        <f aca="false">(M113*$M$92*1)/1200</f>
        <v>59.7313897933206</v>
      </c>
      <c r="O113" s="1026" t="n">
        <f aca="false">IF(AND(K113&lt;=$M$97,K113&gt;$M$95),$M$101-N113,0)</f>
        <v>223.337114866844</v>
      </c>
      <c r="P113" s="1026" t="n">
        <f aca="false">M113-O113</f>
        <v>14112.1964355301</v>
      </c>
      <c r="Q113" s="1026" t="n">
        <f aca="false">IF(K113&lt;=$M$97,Q112+N113,0)</f>
        <v>244.470454170752</v>
      </c>
      <c r="R113" s="654" t="n">
        <f aca="false">IF(K113&lt;=$D$97,R112+O113,0)</f>
        <v>887.803564469908</v>
      </c>
      <c r="T113" s="1027" t="n">
        <f aca="false">T112+1</f>
        <v>4</v>
      </c>
      <c r="U113" s="1025" t="str">
        <f aca="false">IF(T113&lt;=$V$97,DATE(YEAR(U112),MONTH(U112)+12/$V$94,DAY(U112)),"0")</f>
        <v>0</v>
      </c>
      <c r="V113" s="1026" t="n">
        <f aca="false">IF(T113&lt;=$V$97,Y112,0)</f>
        <v>0</v>
      </c>
      <c r="W113" s="1026" t="n">
        <f aca="false">(V113*$V$92*1)/1200</f>
        <v>0</v>
      </c>
      <c r="X113" s="1022" t="n">
        <f aca="false">IF(AND(T113&lt;=$V$97,T113&gt;$V$95),$V$101-W113,0)</f>
        <v>0</v>
      </c>
      <c r="Y113" s="1026" t="n">
        <f aca="false">V113-X113</f>
        <v>0</v>
      </c>
      <c r="Z113" s="1026" t="n">
        <f aca="false">IF(T113&lt;=$V$97,Z112+W113,0)</f>
        <v>0</v>
      </c>
      <c r="AA113" s="654" t="n">
        <f aca="false">IF(T113&lt;=$V$97,AA112+X113,0)</f>
        <v>0</v>
      </c>
      <c r="AB113" s="451"/>
      <c r="AC113" s="1027" t="n">
        <f aca="false">AC112+1</f>
        <v>4</v>
      </c>
      <c r="AD113" s="1025" t="n">
        <f aca="false">IF(AC113&lt;=$AE$97,DATE(YEAR(AD112),MONTH(AD112)+12/$AE$95,DAY(AD112)),"0")</f>
        <v>45049</v>
      </c>
      <c r="AE113" s="1026" t="n">
        <f aca="false">IF(AC113&lt;=$AE$97,AH112,0)</f>
        <v>0</v>
      </c>
      <c r="AF113" s="1026" t="n">
        <f aca="false">(AE113*$AE$93*1)/1200</f>
        <v>0</v>
      </c>
      <c r="AG113" s="1022" t="n">
        <f aca="false">IF(AC113&lt;$AE$97,$AE$101-AF113,0)+IF(AC113=$AE$97,$AE$90+$AE$101-AF113,0)</f>
        <v>0</v>
      </c>
      <c r="AH113" s="1026" t="n">
        <f aca="false">AE113-AG113</f>
        <v>0</v>
      </c>
      <c r="AI113" s="1026" t="n">
        <f aca="false">IF(AC113&lt;=$AE$97,AI112+AF113,0)</f>
        <v>0</v>
      </c>
      <c r="AJ113" s="654" t="n">
        <f aca="false">IF(AC113&lt;=$AE$97,AJ112+AG113,0)</f>
        <v>0</v>
      </c>
      <c r="AL113" s="1027" t="n">
        <f aca="false">AL112+1</f>
        <v>4</v>
      </c>
      <c r="AM113" s="1025" t="n">
        <f aca="false">IF(AL113&lt;=$AN$97,DATE(YEAR(AM112),MONTH(AM112)+12/$AN$95,DAY(AM112)),"0")</f>
        <v>45080</v>
      </c>
      <c r="AN113" s="1026" t="n">
        <f aca="false">IF(AL113&lt;=$AN$97,AQ112,0)</f>
        <v>32279.2507735396</v>
      </c>
      <c r="AO113" s="1026" t="n">
        <f aca="false">(AN113*$AN$93*1)/1200</f>
        <v>134.496878223082</v>
      </c>
      <c r="AP113" s="1022" t="n">
        <f aca="false">IF(AL113&lt;$AN$97,$AN$101-AO113,0)+IF(AL113=$AN$97,$AN$90+$AN$101-AO113,0)</f>
        <v>914.484520440213</v>
      </c>
      <c r="AQ113" s="1026" t="n">
        <f aca="false">AN113-AP113</f>
        <v>31364.7662530994</v>
      </c>
      <c r="AR113" s="1026" t="n">
        <f aca="false">IF(AL113&lt;=$AN$97,AR112+AO113,0)</f>
        <v>560.691847752545</v>
      </c>
      <c r="AS113" s="654" t="n">
        <f aca="false">IF(AL113&lt;=$AN$97,AS112+AP113,0)</f>
        <v>3635.23374690063</v>
      </c>
      <c r="AU113" s="1027" t="n">
        <f aca="false">AU112+1</f>
        <v>4</v>
      </c>
      <c r="AV113" s="1025" t="str">
        <f aca="false">IF(AU113&lt;=$AW$97,DATE(YEAR(AV112),MONTH(AV112)+12/$AW$95,DAY(AV112)),"0")</f>
        <v>0</v>
      </c>
      <c r="AW113" s="1026" t="n">
        <f aca="false">IF(AU113&lt;=$AW$97,AZ112,0)</f>
        <v>0</v>
      </c>
      <c r="AX113" s="1026" t="n">
        <f aca="false">(AW113*$AW$93*1)/1200</f>
        <v>0</v>
      </c>
      <c r="AY113" s="1022" t="n">
        <f aca="false">IF(AU113&lt;$AW$97,$AW$101-AX113,0)+IF(AU113=$AW$97,$AW$90+$AW$101-AX113,0)</f>
        <v>0</v>
      </c>
      <c r="AZ113" s="1026" t="n">
        <f aca="false">AW113-AY113</f>
        <v>0</v>
      </c>
      <c r="BA113" s="1026" t="n">
        <f aca="false">IF(AU113&lt;=$AW$97,BA112+AX113,0)</f>
        <v>0</v>
      </c>
      <c r="BB113" s="654" t="n">
        <f aca="false">IF(AU113&lt;=$AW$97,BB112+AY113,0)</f>
        <v>0</v>
      </c>
    </row>
    <row r="114" customFormat="false" ht="12.75" hidden="false" customHeight="false" outlineLevel="0" collapsed="false">
      <c r="B114" s="1024" t="n">
        <v>5</v>
      </c>
      <c r="C114" s="1025" t="n">
        <f aca="false">IF(B114&lt;=$D$97,DATE(YEAR(C113),MONTH(C113)+12/$D$94,DAY(C113)),"0")</f>
        <v>45110</v>
      </c>
      <c r="D114" s="1026" t="n">
        <f aca="false">IF(B114=1,$D$90,G113)</f>
        <v>147449.573717836</v>
      </c>
      <c r="E114" s="1026" t="n">
        <f aca="false">(D114*$D$92*1)/1200</f>
        <v>430.061256677021</v>
      </c>
      <c r="F114" s="1026" t="n">
        <f aca="false">IF(AND(B114&lt;=$D$97,B114&gt;$D$95),$D$101-E114,0)</f>
        <v>642.262555337738</v>
      </c>
      <c r="G114" s="1026" t="n">
        <f aca="false">D114-F114</f>
        <v>146807.311162498</v>
      </c>
      <c r="H114" s="1026" t="n">
        <f aca="false">IF(B114&lt;=$D$97,E114+H113,0)</f>
        <v>2168.93022257196</v>
      </c>
      <c r="I114" s="654" t="n">
        <f aca="false">IF(B114&lt;=$D$97,F114+I113,0)</f>
        <v>3192.68883750184</v>
      </c>
      <c r="K114" s="1027" t="n">
        <f aca="false">K113+1</f>
        <v>5</v>
      </c>
      <c r="L114" s="1025" t="n">
        <f aca="false">IF(K114&lt;=$M$97,DATE(YEAR(L113),MONTH(L113)+12/$M$94,DAY(L113)),"0")</f>
        <v>45110</v>
      </c>
      <c r="M114" s="1026" t="n">
        <f aca="false">IF(K114&lt;=$M$97,P113,0)</f>
        <v>14112.1964355301</v>
      </c>
      <c r="N114" s="1026" t="n">
        <f aca="false">(M114*$M$92*1)/1200</f>
        <v>58.8008184813754</v>
      </c>
      <c r="O114" s="1026" t="n">
        <f aca="false">IF(AND(K114&lt;=$M$97,K114&gt;$M$95),$M$101-N114,0)</f>
        <v>224.26768617879</v>
      </c>
      <c r="P114" s="1026" t="n">
        <f aca="false">M114-O114</f>
        <v>13887.9287493513</v>
      </c>
      <c r="Q114" s="1026" t="n">
        <f aca="false">IF(K114&lt;=$M$97,Q113+N114,0)</f>
        <v>303.271272652127</v>
      </c>
      <c r="R114" s="654" t="n">
        <f aca="false">IF(K114&lt;=$D$97,R113+O114,0)</f>
        <v>1112.0712506487</v>
      </c>
      <c r="T114" s="1027" t="n">
        <f aca="false">T113+1</f>
        <v>5</v>
      </c>
      <c r="U114" s="1025" t="str">
        <f aca="false">IF(T114&lt;=$V$97,DATE(YEAR(U113),MONTH(U113)+12/$V$94,DAY(U113)),"0")</f>
        <v>0</v>
      </c>
      <c r="V114" s="1026" t="n">
        <f aca="false">IF(T114&lt;=$V$97,Y113,0)</f>
        <v>0</v>
      </c>
      <c r="W114" s="1026" t="n">
        <f aca="false">(V114*$V$92*1)/1200</f>
        <v>0</v>
      </c>
      <c r="X114" s="1022" t="n">
        <f aca="false">IF(AND(T114&lt;=$V$97,T114&gt;$V$95),$V$101-W114,0)</f>
        <v>0</v>
      </c>
      <c r="Y114" s="1026" t="n">
        <f aca="false">V114-X114</f>
        <v>0</v>
      </c>
      <c r="Z114" s="1026" t="n">
        <f aca="false">IF(T114&lt;=$V$97,Z113+W114,0)</f>
        <v>0</v>
      </c>
      <c r="AA114" s="654" t="n">
        <f aca="false">IF(T114&lt;=$V$97,AA113+X114,0)</f>
        <v>0</v>
      </c>
      <c r="AB114" s="451"/>
      <c r="AC114" s="1027" t="n">
        <f aca="false">AC113+1</f>
        <v>5</v>
      </c>
      <c r="AD114" s="1025" t="n">
        <f aca="false">IF(AC114&lt;=$AE$97,DATE(YEAR(AD113),MONTH(AD113)+12/$AE$95,DAY(AD113)),"0")</f>
        <v>45080</v>
      </c>
      <c r="AE114" s="1026" t="n">
        <f aca="false">IF(AC114&lt;=$AE$97,AH113,0)</f>
        <v>0</v>
      </c>
      <c r="AF114" s="1026" t="n">
        <f aca="false">(AE114*$AE$93*1)/1200</f>
        <v>0</v>
      </c>
      <c r="AG114" s="1022" t="n">
        <f aca="false">IF(AC114&lt;$AE$97,$AE$101-AF114,0)+IF(AC114=$AE$97,$AE$90+$AE$101-AF114,0)</f>
        <v>0</v>
      </c>
      <c r="AH114" s="1026" t="n">
        <f aca="false">AE114-AG114</f>
        <v>0</v>
      </c>
      <c r="AI114" s="1026" t="n">
        <f aca="false">IF(AC114&lt;=$AE$97,AI113+AF114,0)</f>
        <v>0</v>
      </c>
      <c r="AJ114" s="654" t="n">
        <f aca="false">IF(AC114&lt;=$AE$97,AJ113+AG114,0)</f>
        <v>0</v>
      </c>
      <c r="AL114" s="1027" t="n">
        <f aca="false">AL113+1</f>
        <v>5</v>
      </c>
      <c r="AM114" s="1025" t="n">
        <f aca="false">IF(AL114&lt;=$AN$97,DATE(YEAR(AM113),MONTH(AM113)+12/$AN$95,DAY(AM113)),"0")</f>
        <v>45110</v>
      </c>
      <c r="AN114" s="1026" t="n">
        <f aca="false">IF(AL114&lt;=$AN$97,AQ113,0)</f>
        <v>31364.7662530994</v>
      </c>
      <c r="AO114" s="1026" t="n">
        <f aca="false">(AN114*$AN$93*1)/1200</f>
        <v>130.686526054581</v>
      </c>
      <c r="AP114" s="1022" t="n">
        <f aca="false">IF(AL114&lt;$AN$97,$AN$101-AO114,0)+IF(AL114=$AN$97,$AN$90+$AN$101-AO114,0)</f>
        <v>918.294872608714</v>
      </c>
      <c r="AQ114" s="1026" t="n">
        <f aca="false">AN114-AP114</f>
        <v>30446.4713804907</v>
      </c>
      <c r="AR114" s="1026" t="n">
        <f aca="false">IF(AL114&lt;=$AN$97,AR113+AO114,0)</f>
        <v>691.378373807126</v>
      </c>
      <c r="AS114" s="654" t="n">
        <f aca="false">IF(AL114&lt;=$AN$97,AS113+AP114,0)</f>
        <v>4553.52861950935</v>
      </c>
      <c r="AU114" s="1027" t="n">
        <f aca="false">AU113+1</f>
        <v>5</v>
      </c>
      <c r="AV114" s="1025" t="str">
        <f aca="false">IF(AU114&lt;=$AW$97,DATE(YEAR(AV113),MONTH(AV113)+12/$AW$95,DAY(AV113)),"0")</f>
        <v>0</v>
      </c>
      <c r="AW114" s="1026" t="n">
        <f aca="false">IF(AU114&lt;=$AW$97,AZ113,0)</f>
        <v>0</v>
      </c>
      <c r="AX114" s="1026" t="n">
        <f aca="false">(AW114*$AW$93*1)/1200</f>
        <v>0</v>
      </c>
      <c r="AY114" s="1022" t="n">
        <f aca="false">IF(AU114&lt;$AW$97,$AW$101-AX114,0)+IF(AU114=$AW$97,$AW$90+$AW$101-AX114,0)</f>
        <v>0</v>
      </c>
      <c r="AZ114" s="1026" t="n">
        <f aca="false">AW114-AY114</f>
        <v>0</v>
      </c>
      <c r="BA114" s="1026" t="n">
        <f aca="false">IF(AU114&lt;=$AW$97,BA113+AX114,0)</f>
        <v>0</v>
      </c>
      <c r="BB114" s="654" t="n">
        <f aca="false">IF(AU114&lt;=$AW$97,BB113+AY114,0)</f>
        <v>0</v>
      </c>
    </row>
    <row r="115" customFormat="false" ht="12.75" hidden="false" customHeight="false" outlineLevel="0" collapsed="false">
      <c r="B115" s="1024" t="n">
        <v>6</v>
      </c>
      <c r="C115" s="1025" t="n">
        <f aca="false">IF(B115&lt;=$D$97,DATE(YEAR(C114),MONTH(C114)+12/$D$94,DAY(C114)),"0")</f>
        <v>45141</v>
      </c>
      <c r="D115" s="1026" t="n">
        <f aca="false">IF(B115=1,$D$90,G114)</f>
        <v>146807.311162498</v>
      </c>
      <c r="E115" s="1026" t="n">
        <f aca="false">(D115*$D$92*1)/1200</f>
        <v>428.18799089062</v>
      </c>
      <c r="F115" s="1026" t="n">
        <f aca="false">IF(AND(B115&lt;=$D$97,B115&gt;$D$95),$D$101-E115,0)</f>
        <v>644.13582112414</v>
      </c>
      <c r="G115" s="1026" t="n">
        <f aca="false">D115-F115</f>
        <v>146163.175341374</v>
      </c>
      <c r="H115" s="1026" t="n">
        <f aca="false">IF(B115&lt;=$D$97,E115+H114,0)</f>
        <v>2597.11821346258</v>
      </c>
      <c r="I115" s="654" t="n">
        <f aca="false">IF(B115&lt;=$D$97,F115+I114,0)</f>
        <v>3836.82465862598</v>
      </c>
      <c r="K115" s="1027" t="n">
        <f aca="false">K114+1</f>
        <v>6</v>
      </c>
      <c r="L115" s="1025" t="n">
        <f aca="false">IF(K115&lt;=$M$97,DATE(YEAR(L114),MONTH(L114)+12/$M$94,DAY(L114)),"0")</f>
        <v>45141</v>
      </c>
      <c r="M115" s="1026" t="n">
        <f aca="false">IF(K115&lt;=$M$97,P114,0)</f>
        <v>13887.9287493513</v>
      </c>
      <c r="N115" s="1026" t="n">
        <f aca="false">(M115*$M$92*1)/1200</f>
        <v>57.8663697889638</v>
      </c>
      <c r="O115" s="1026" t="n">
        <f aca="false">IF(AND(K115&lt;=$M$97,K115&gt;$M$95),$M$101-N115,0)</f>
        <v>225.202134871201</v>
      </c>
      <c r="P115" s="1026" t="n">
        <f aca="false">M115-O115</f>
        <v>13662.7266144801</v>
      </c>
      <c r="Q115" s="1026" t="n">
        <f aca="false">IF(K115&lt;=$M$97,Q114+N115,0)</f>
        <v>361.137642441091</v>
      </c>
      <c r="R115" s="654" t="n">
        <f aca="false">IF(K115&lt;=$D$97,R114+O115,0)</f>
        <v>1337.2733855199</v>
      </c>
      <c r="T115" s="1027" t="n">
        <f aca="false">T114+1</f>
        <v>6</v>
      </c>
      <c r="U115" s="1025" t="str">
        <f aca="false">IF(T115&lt;=$V$97,DATE(YEAR(U114),MONTH(U114)+12/$V$94,DAY(U114)),"0")</f>
        <v>0</v>
      </c>
      <c r="V115" s="1026" t="n">
        <f aca="false">IF(T115&lt;=$V$97,Y114,0)</f>
        <v>0</v>
      </c>
      <c r="W115" s="1026" t="n">
        <f aca="false">(V115*$V$92*1)/1200</f>
        <v>0</v>
      </c>
      <c r="X115" s="1022" t="n">
        <f aca="false">IF(AND(T115&lt;=$V$97,T115&gt;$V$95),$V$101-W115,0)</f>
        <v>0</v>
      </c>
      <c r="Y115" s="1026" t="n">
        <f aca="false">V115-X115</f>
        <v>0</v>
      </c>
      <c r="Z115" s="1026" t="n">
        <f aca="false">IF(T115&lt;=$V$97,Z114+W115,0)</f>
        <v>0</v>
      </c>
      <c r="AA115" s="654" t="n">
        <f aca="false">IF(T115&lt;=$V$97,AA114+X115,0)</f>
        <v>0</v>
      </c>
      <c r="AB115" s="451"/>
      <c r="AC115" s="1027" t="n">
        <f aca="false">AC114+1</f>
        <v>6</v>
      </c>
      <c r="AD115" s="1025" t="n">
        <f aca="false">IF(AC115&lt;=$AE$97,DATE(YEAR(AD114),MONTH(AD114)+12/$AE$95,DAY(AD114)),"0")</f>
        <v>45110</v>
      </c>
      <c r="AE115" s="1026" t="n">
        <f aca="false">IF(AC115&lt;=$AE$97,AH114,0)</f>
        <v>0</v>
      </c>
      <c r="AF115" s="1026" t="n">
        <f aca="false">(AE115*$AE$93*1)/1200</f>
        <v>0</v>
      </c>
      <c r="AG115" s="1022" t="n">
        <f aca="false">IF(AC115&lt;$AE$97,$AE$101-AF115,0)+IF(AC115=$AE$97,$AE$90+$AE$101-AF115,0)</f>
        <v>0</v>
      </c>
      <c r="AH115" s="1026" t="n">
        <f aca="false">AE115-AG115</f>
        <v>0</v>
      </c>
      <c r="AI115" s="1026" t="n">
        <f aca="false">IF(AC115&lt;=$AE$97,AI114+AF115,0)</f>
        <v>0</v>
      </c>
      <c r="AJ115" s="654" t="n">
        <f aca="false">IF(AC115&lt;=$AE$97,AJ114+AG115,0)</f>
        <v>0</v>
      </c>
      <c r="AL115" s="1027" t="n">
        <f aca="false">AL114+1</f>
        <v>6</v>
      </c>
      <c r="AM115" s="1025" t="n">
        <f aca="false">IF(AL115&lt;=$AN$97,DATE(YEAR(AM114),MONTH(AM114)+12/$AN$95,DAY(AM114)),"0")</f>
        <v>45141</v>
      </c>
      <c r="AN115" s="1026" t="n">
        <f aca="false">IF(AL115&lt;=$AN$97,AQ114,0)</f>
        <v>30446.4713804907</v>
      </c>
      <c r="AO115" s="1026" t="n">
        <f aca="false">(AN115*$AN$93*1)/1200</f>
        <v>126.860297418711</v>
      </c>
      <c r="AP115" s="1022" t="n">
        <f aca="false">IF(AL115&lt;$AN$97,$AN$101-AO115,0)+IF(AL115=$AN$97,$AN$90+$AN$101-AO115,0)</f>
        <v>922.121101244584</v>
      </c>
      <c r="AQ115" s="1026" t="n">
        <f aca="false">AN115-AP115</f>
        <v>29524.3502792461</v>
      </c>
      <c r="AR115" s="1026" t="n">
        <f aca="false">IF(AL115&lt;=$AN$97,AR114+AO115,0)</f>
        <v>818.238671225837</v>
      </c>
      <c r="AS115" s="654" t="n">
        <f aca="false">IF(AL115&lt;=$AN$97,AS114+AP115,0)</f>
        <v>5475.64972075393</v>
      </c>
      <c r="AU115" s="1027" t="n">
        <f aca="false">AU114+1</f>
        <v>6</v>
      </c>
      <c r="AV115" s="1025" t="str">
        <f aca="false">IF(AU115&lt;=$AW$97,DATE(YEAR(AV114),MONTH(AV114)+12/$AW$95,DAY(AV114)),"0")</f>
        <v>0</v>
      </c>
      <c r="AW115" s="1026" t="n">
        <f aca="false">IF(AU115&lt;=$AW$97,AZ114,0)</f>
        <v>0</v>
      </c>
      <c r="AX115" s="1026" t="n">
        <f aca="false">(AW115*$AW$93*1)/1200</f>
        <v>0</v>
      </c>
      <c r="AY115" s="1022" t="n">
        <f aca="false">IF(AU115&lt;$AW$97,$AW$101-AX115,0)+IF(AU115=$AW$97,$AW$90+$AW$101-AX115,0)</f>
        <v>0</v>
      </c>
      <c r="AZ115" s="1026" t="n">
        <f aca="false">AW115-AY115</f>
        <v>0</v>
      </c>
      <c r="BA115" s="1026" t="n">
        <f aca="false">IF(AU115&lt;=$AW$97,BA114+AX115,0)</f>
        <v>0</v>
      </c>
      <c r="BB115" s="654" t="n">
        <f aca="false">IF(AU115&lt;=$AW$97,BB114+AY115,0)</f>
        <v>0</v>
      </c>
    </row>
    <row r="116" customFormat="false" ht="12.75" hidden="false" customHeight="false" outlineLevel="0" collapsed="false">
      <c r="B116" s="1024" t="n">
        <v>7</v>
      </c>
      <c r="C116" s="1025" t="n">
        <f aca="false">IF(B116&lt;=$D$97,DATE(YEAR(C115),MONTH(C115)+12/$D$94,DAY(C115)),"0")</f>
        <v>45172</v>
      </c>
      <c r="D116" s="1026" t="n">
        <f aca="false">IF(B116=1,$D$90,G115)</f>
        <v>146163.175341374</v>
      </c>
      <c r="E116" s="1026" t="n">
        <f aca="false">(D116*$D$92*1)/1200</f>
        <v>426.309261412341</v>
      </c>
      <c r="F116" s="1026" t="n">
        <f aca="false">IF(AND(B116&lt;=$D$97,B116&gt;$D$95),$D$101-E116,0)</f>
        <v>646.014550602419</v>
      </c>
      <c r="G116" s="1026" t="n">
        <f aca="false">D116-F116</f>
        <v>145517.160790772</v>
      </c>
      <c r="H116" s="1026" t="n">
        <f aca="false">IF(B116&lt;=$D$97,E116+H115,0)</f>
        <v>3023.42747487492</v>
      </c>
      <c r="I116" s="654" t="n">
        <f aca="false">IF(B116&lt;=$D$97,F116+I115,0)</f>
        <v>4482.83920922839</v>
      </c>
      <c r="K116" s="1027" t="n">
        <f aca="false">K115+1</f>
        <v>7</v>
      </c>
      <c r="L116" s="1025" t="n">
        <f aca="false">IF(K116&lt;=$M$97,DATE(YEAR(L115),MONTH(L115)+12/$M$94,DAY(L115)),"0")</f>
        <v>45172</v>
      </c>
      <c r="M116" s="1026" t="n">
        <f aca="false">IF(K116&lt;=$M$97,P115,0)</f>
        <v>13662.7266144801</v>
      </c>
      <c r="N116" s="1026" t="n">
        <f aca="false">(M116*$M$92*1)/1200</f>
        <v>56.9280275603338</v>
      </c>
      <c r="O116" s="1026" t="n">
        <f aca="false">IF(AND(K116&lt;=$M$97,K116&gt;$M$95),$M$101-N116,0)</f>
        <v>226.140477099831</v>
      </c>
      <c r="P116" s="1026" t="n">
        <f aca="false">M116-O116</f>
        <v>13436.5861373803</v>
      </c>
      <c r="Q116" s="1026" t="n">
        <f aca="false">IF(K116&lt;=$M$97,Q115+N116,0)</f>
        <v>418.065670001424</v>
      </c>
      <c r="R116" s="654" t="n">
        <f aca="false">IF(K116&lt;=$D$97,R115+O116,0)</f>
        <v>1563.41386261973</v>
      </c>
      <c r="T116" s="1027" t="n">
        <f aca="false">T115+1</f>
        <v>7</v>
      </c>
      <c r="U116" s="1025" t="str">
        <f aca="false">IF(T116&lt;=$V$97,DATE(YEAR(U115),MONTH(U115)+12/$V$94,DAY(U115)),"0")</f>
        <v>0</v>
      </c>
      <c r="V116" s="1026" t="n">
        <f aca="false">IF(T116&lt;=$V$97,Y115,0)</f>
        <v>0</v>
      </c>
      <c r="W116" s="1026" t="n">
        <f aca="false">(V116*$V$92*1)/1200</f>
        <v>0</v>
      </c>
      <c r="X116" s="1022" t="n">
        <f aca="false">IF(AND(T116&lt;=$V$97,T116&gt;$V$95),$V$101-W116,0)</f>
        <v>0</v>
      </c>
      <c r="Y116" s="1026" t="n">
        <f aca="false">V116-X116</f>
        <v>0</v>
      </c>
      <c r="Z116" s="1026" t="n">
        <f aca="false">IF(T116&lt;=$V$97,Z115+W116,0)</f>
        <v>0</v>
      </c>
      <c r="AA116" s="654" t="n">
        <f aca="false">IF(T116&lt;=$V$97,AA115+X116,0)</f>
        <v>0</v>
      </c>
      <c r="AB116" s="451"/>
      <c r="AC116" s="1027" t="n">
        <f aca="false">AC115+1</f>
        <v>7</v>
      </c>
      <c r="AD116" s="1025" t="n">
        <f aca="false">IF(AC116&lt;=$AE$97,DATE(YEAR(AD115),MONTH(AD115)+12/$AE$95,DAY(AD115)),"0")</f>
        <v>45141</v>
      </c>
      <c r="AE116" s="1026" t="n">
        <f aca="false">IF(AC116&lt;=$AE$97,AH115,0)</f>
        <v>0</v>
      </c>
      <c r="AF116" s="1026" t="n">
        <f aca="false">(AE116*$AE$93*1)/1200</f>
        <v>0</v>
      </c>
      <c r="AG116" s="1022" t="n">
        <f aca="false">IF(AC116&lt;$AE$97,$AE$101-AF116,0)+IF(AC116=$AE$97,$AE$90+$AE$101-AF116,0)</f>
        <v>0</v>
      </c>
      <c r="AH116" s="1026" t="n">
        <f aca="false">AE116-AG116</f>
        <v>0</v>
      </c>
      <c r="AI116" s="1026" t="n">
        <f aca="false">IF(AC116&lt;=$AE$97,AI115+AF116,0)</f>
        <v>0</v>
      </c>
      <c r="AJ116" s="654" t="n">
        <f aca="false">IF(AC116&lt;=$AE$97,AJ115+AG116,0)</f>
        <v>0</v>
      </c>
      <c r="AL116" s="1027" t="n">
        <f aca="false">AL115+1</f>
        <v>7</v>
      </c>
      <c r="AM116" s="1025" t="n">
        <f aca="false">IF(AL116&lt;=$AN$97,DATE(YEAR(AM115),MONTH(AM115)+12/$AN$95,DAY(AM115)),"0")</f>
        <v>45172</v>
      </c>
      <c r="AN116" s="1026" t="n">
        <f aca="false">IF(AL116&lt;=$AN$97,AQ115,0)</f>
        <v>29524.3502792461</v>
      </c>
      <c r="AO116" s="1026" t="n">
        <f aca="false">(AN116*$AN$93*1)/1200</f>
        <v>123.018126163525</v>
      </c>
      <c r="AP116" s="1022" t="n">
        <f aca="false">IF(AL116&lt;$AN$97,$AN$101-AO116,0)+IF(AL116=$AN$97,$AN$90+$AN$101-AO116,0)</f>
        <v>925.96327249977</v>
      </c>
      <c r="AQ116" s="1026" t="n">
        <f aca="false">AN116-AP116</f>
        <v>28598.3870067463</v>
      </c>
      <c r="AR116" s="1026" t="n">
        <f aca="false">IF(AL116&lt;=$AN$97,AR115+AO116,0)</f>
        <v>941.256797389362</v>
      </c>
      <c r="AS116" s="654" t="n">
        <f aca="false">IF(AL116&lt;=$AN$97,AS115+AP116,0)</f>
        <v>6401.6129932537</v>
      </c>
      <c r="AU116" s="1027" t="n">
        <f aca="false">AU115+1</f>
        <v>7</v>
      </c>
      <c r="AV116" s="1025" t="str">
        <f aca="false">IF(AU116&lt;=$AW$97,DATE(YEAR(AV115),MONTH(AV115)+12/$AW$95,DAY(AV115)),"0")</f>
        <v>0</v>
      </c>
      <c r="AW116" s="1026" t="n">
        <f aca="false">IF(AU116&lt;=$AW$97,AZ115,0)</f>
        <v>0</v>
      </c>
      <c r="AX116" s="1026" t="n">
        <f aca="false">(AW116*$AW$93*1)/1200</f>
        <v>0</v>
      </c>
      <c r="AY116" s="1022" t="n">
        <f aca="false">IF(AU116&lt;$AW$97,$AW$101-AX116,0)+IF(AU116=$AW$97,$AW$90+$AW$101-AX116,0)</f>
        <v>0</v>
      </c>
      <c r="AZ116" s="1026" t="n">
        <f aca="false">AW116-AY116</f>
        <v>0</v>
      </c>
      <c r="BA116" s="1026" t="n">
        <f aca="false">IF(AU116&lt;=$AW$97,BA115+AX116,0)</f>
        <v>0</v>
      </c>
      <c r="BB116" s="654" t="n">
        <f aca="false">IF(AU116&lt;=$AW$97,BB115+AY116,0)</f>
        <v>0</v>
      </c>
    </row>
    <row r="117" customFormat="false" ht="12.75" hidden="false" customHeight="false" outlineLevel="0" collapsed="false">
      <c r="B117" s="1024" t="n">
        <v>8</v>
      </c>
      <c r="C117" s="1025" t="n">
        <f aca="false">IF(B117&lt;=$D$97,DATE(YEAR(C116),MONTH(C116)+12/$D$94,DAY(C116)),"0")</f>
        <v>45202</v>
      </c>
      <c r="D117" s="1026" t="n">
        <f aca="false">IF(B117=1,$D$90,G116)</f>
        <v>145517.160790772</v>
      </c>
      <c r="E117" s="1026" t="n">
        <f aca="false">(D117*$D$92*1)/1200</f>
        <v>424.425052306417</v>
      </c>
      <c r="F117" s="1026" t="n">
        <f aca="false">IF(AND(B117&lt;=$D$97,B117&gt;$D$95),$D$101-E117,0)</f>
        <v>647.898759708342</v>
      </c>
      <c r="G117" s="1026" t="n">
        <f aca="false">D117-F117</f>
        <v>144869.262031063</v>
      </c>
      <c r="H117" s="1026" t="n">
        <f aca="false">IF(B117&lt;=$D$97,E117+H116,0)</f>
        <v>3447.85252718134</v>
      </c>
      <c r="I117" s="654" t="n">
        <f aca="false">IF(B117&lt;=$D$97,F117+I116,0)</f>
        <v>5130.73796893674</v>
      </c>
      <c r="K117" s="1027" t="n">
        <f aca="false">K116+1</f>
        <v>8</v>
      </c>
      <c r="L117" s="1025" t="n">
        <f aca="false">IF(K117&lt;=$M$97,DATE(YEAR(L116),MONTH(L116)+12/$M$94,DAY(L116)),"0")</f>
        <v>45202</v>
      </c>
      <c r="M117" s="1026" t="n">
        <f aca="false">IF(K117&lt;=$M$97,P116,0)</f>
        <v>13436.5861373803</v>
      </c>
      <c r="N117" s="1026" t="n">
        <f aca="false">(M117*$M$92*1)/1200</f>
        <v>55.9857755724178</v>
      </c>
      <c r="O117" s="1026" t="n">
        <f aca="false">IF(AND(K117&lt;=$M$97,K117&gt;$M$95),$M$101-N117,0)</f>
        <v>227.082729087747</v>
      </c>
      <c r="P117" s="1026" t="n">
        <f aca="false">M117-O117</f>
        <v>13209.5034082925</v>
      </c>
      <c r="Q117" s="1026" t="n">
        <f aca="false">IF(K117&lt;=$M$97,Q116+N117,0)</f>
        <v>474.051445573842</v>
      </c>
      <c r="R117" s="654" t="n">
        <f aca="false">IF(K117&lt;=$D$97,R116+O117,0)</f>
        <v>1790.49659170748</v>
      </c>
      <c r="T117" s="1027" t="n">
        <f aca="false">T116+1</f>
        <v>8</v>
      </c>
      <c r="U117" s="1025" t="str">
        <f aca="false">IF(T117&lt;=$V$97,DATE(YEAR(U116),MONTH(U116)+12/$V$94,DAY(U116)),"0")</f>
        <v>0</v>
      </c>
      <c r="V117" s="1026" t="n">
        <f aca="false">IF(T117&lt;=$V$97,Y116,0)</f>
        <v>0</v>
      </c>
      <c r="W117" s="1026" t="n">
        <f aca="false">(V117*$V$92*1)/1200</f>
        <v>0</v>
      </c>
      <c r="X117" s="1022" t="n">
        <f aca="false">IF(AND(T117&lt;=$V$97,T117&gt;$V$95),$V$101-W117,0)</f>
        <v>0</v>
      </c>
      <c r="Y117" s="1026" t="n">
        <f aca="false">V117-X117</f>
        <v>0</v>
      </c>
      <c r="Z117" s="1026" t="n">
        <f aca="false">IF(T117&lt;=$V$97,Z116+W117,0)</f>
        <v>0</v>
      </c>
      <c r="AA117" s="654" t="n">
        <f aca="false">IF(T117&lt;=$V$97,AA116+X117,0)</f>
        <v>0</v>
      </c>
      <c r="AB117" s="451"/>
      <c r="AC117" s="1027" t="n">
        <f aca="false">AC116+1</f>
        <v>8</v>
      </c>
      <c r="AD117" s="1025" t="n">
        <f aca="false">IF(AC117&lt;=$AE$97,DATE(YEAR(AD116),MONTH(AD116)+12/$AE$95,DAY(AD116)),"0")</f>
        <v>45172</v>
      </c>
      <c r="AE117" s="1026" t="n">
        <f aca="false">IF(AC117&lt;=$AE$97,AH116,0)</f>
        <v>0</v>
      </c>
      <c r="AF117" s="1026" t="n">
        <f aca="false">(AE117*$AE$93*1)/1200</f>
        <v>0</v>
      </c>
      <c r="AG117" s="1022" t="n">
        <f aca="false">IF(AC117&lt;$AE$97,$AE$101-AF117,0)+IF(AC117=$AE$97,$AE$90+$AE$101-AF117,0)</f>
        <v>0</v>
      </c>
      <c r="AH117" s="1026" t="n">
        <f aca="false">AE117-AG117</f>
        <v>0</v>
      </c>
      <c r="AI117" s="1026" t="n">
        <f aca="false">IF(AC117&lt;=$AE$97,AI116+AF117,0)</f>
        <v>0</v>
      </c>
      <c r="AJ117" s="654" t="n">
        <f aca="false">IF(AC117&lt;=$AE$97,AJ116+AG117,0)</f>
        <v>0</v>
      </c>
      <c r="AL117" s="1027" t="n">
        <f aca="false">AL116+1</f>
        <v>8</v>
      </c>
      <c r="AM117" s="1025" t="n">
        <f aca="false">IF(AL117&lt;=$AN$97,DATE(YEAR(AM116),MONTH(AM116)+12/$AN$95,DAY(AM116)),"0")</f>
        <v>45202</v>
      </c>
      <c r="AN117" s="1026" t="n">
        <f aca="false">IF(AL117&lt;=$AN$97,AQ116,0)</f>
        <v>28598.3870067463</v>
      </c>
      <c r="AO117" s="1026" t="n">
        <f aca="false">(AN117*$AN$93*1)/1200</f>
        <v>119.159945861443</v>
      </c>
      <c r="AP117" s="1022" t="n">
        <f aca="false">IF(AL117&lt;$AN$97,$AN$101-AO117,0)+IF(AL117=$AN$97,$AN$90+$AN$101-AO117,0)</f>
        <v>929.821452801852</v>
      </c>
      <c r="AQ117" s="1026" t="n">
        <f aca="false">AN117-AP117</f>
        <v>27668.5655539445</v>
      </c>
      <c r="AR117" s="1026" t="n">
        <f aca="false">IF(AL117&lt;=$AN$97,AR116+AO117,0)</f>
        <v>1060.41674325081</v>
      </c>
      <c r="AS117" s="654" t="n">
        <f aca="false">IF(AL117&lt;=$AN$97,AS116+AP117,0)</f>
        <v>7331.43444605555</v>
      </c>
      <c r="AU117" s="1027" t="n">
        <f aca="false">AU116+1</f>
        <v>8</v>
      </c>
      <c r="AV117" s="1025" t="str">
        <f aca="false">IF(AU117&lt;=$AW$97,DATE(YEAR(AV116),MONTH(AV116)+12/$AW$95,DAY(AV116)),"0")</f>
        <v>0</v>
      </c>
      <c r="AW117" s="1026" t="n">
        <f aca="false">IF(AU117&lt;=$AW$97,AZ116,0)</f>
        <v>0</v>
      </c>
      <c r="AX117" s="1026" t="n">
        <f aca="false">(AW117*$AW$93*1)/1200</f>
        <v>0</v>
      </c>
      <c r="AY117" s="1022" t="n">
        <f aca="false">IF(AU117&lt;$AW$97,$AW$101-AX117,0)+IF(AU117=$AW$97,$AW$90+$AW$101-AX117,0)</f>
        <v>0</v>
      </c>
      <c r="AZ117" s="1026" t="n">
        <f aca="false">AW117-AY117</f>
        <v>0</v>
      </c>
      <c r="BA117" s="1026" t="n">
        <f aca="false">IF(AU117&lt;=$AW$97,BA116+AX117,0)</f>
        <v>0</v>
      </c>
      <c r="BB117" s="654" t="n">
        <f aca="false">IF(AU117&lt;=$AW$97,BB116+AY117,0)</f>
        <v>0</v>
      </c>
    </row>
    <row r="118" customFormat="false" ht="12.75" hidden="false" customHeight="false" outlineLevel="0" collapsed="false">
      <c r="B118" s="1024" t="n">
        <v>9</v>
      </c>
      <c r="C118" s="1025" t="n">
        <f aca="false">IF(B118&lt;=$D$97,DATE(YEAR(C117),MONTH(C117)+12/$D$94,DAY(C117)),"0")</f>
        <v>45233</v>
      </c>
      <c r="D118" s="1026" t="n">
        <f aca="false">IF(B118=1,$D$90,G117)</f>
        <v>144869.262031063</v>
      </c>
      <c r="E118" s="1026" t="n">
        <f aca="false">(D118*$D$92*1)/1200</f>
        <v>422.535347590601</v>
      </c>
      <c r="F118" s="1026" t="n">
        <f aca="false">IF(AND(B118&lt;=$D$97,B118&gt;$D$95),$D$101-E118,0)</f>
        <v>649.788464424158</v>
      </c>
      <c r="G118" s="1026" t="n">
        <f aca="false">D118-F118</f>
        <v>144219.473566639</v>
      </c>
      <c r="H118" s="1026" t="n">
        <f aca="false">IF(B118&lt;=$D$97,E118+H117,0)</f>
        <v>3870.38787477194</v>
      </c>
      <c r="I118" s="654" t="n">
        <f aca="false">IF(B118&lt;=$D$97,F118+I117,0)</f>
        <v>5780.52643336089</v>
      </c>
      <c r="K118" s="1027" t="n">
        <f aca="false">K117+1</f>
        <v>9</v>
      </c>
      <c r="L118" s="1025" t="n">
        <f aca="false">IF(K118&lt;=$M$97,DATE(YEAR(L117),MONTH(L117)+12/$M$94,DAY(L117)),"0")</f>
        <v>45233</v>
      </c>
      <c r="M118" s="1026" t="n">
        <f aca="false">IF(K118&lt;=$M$97,P117,0)</f>
        <v>13209.5034082925</v>
      </c>
      <c r="N118" s="1026" t="n">
        <f aca="false">(M118*$M$92*1)/1200</f>
        <v>55.0395975345522</v>
      </c>
      <c r="O118" s="1026" t="n">
        <f aca="false">IF(AND(K118&lt;=$M$97,K118&gt;$M$95),$M$101-N118,0)</f>
        <v>228.028907125613</v>
      </c>
      <c r="P118" s="1026" t="n">
        <f aca="false">M118-O118</f>
        <v>12981.4745011669</v>
      </c>
      <c r="Q118" s="1026" t="n">
        <f aca="false">IF(K118&lt;=$M$97,Q117+N118,0)</f>
        <v>529.091043108394</v>
      </c>
      <c r="R118" s="654" t="n">
        <f aca="false">IF(K118&lt;=$D$97,R117+O118,0)</f>
        <v>2018.52549883309</v>
      </c>
      <c r="T118" s="1027" t="n">
        <f aca="false">T117+1</f>
        <v>9</v>
      </c>
      <c r="U118" s="1025" t="str">
        <f aca="false">IF(T118&lt;=$V$97,DATE(YEAR(U117),MONTH(U117)+12/$V$94,DAY(U117)),"0")</f>
        <v>0</v>
      </c>
      <c r="V118" s="1026" t="n">
        <f aca="false">IF(T118&lt;=$V$97,Y117,0)</f>
        <v>0</v>
      </c>
      <c r="W118" s="1026" t="n">
        <f aca="false">(V118*$V$92*1)/1200</f>
        <v>0</v>
      </c>
      <c r="X118" s="1022" t="n">
        <f aca="false">IF(AND(T118&lt;=$V$97,T118&gt;$V$95),$V$101-W118,0)</f>
        <v>0</v>
      </c>
      <c r="Y118" s="1026" t="n">
        <f aca="false">V118-X118</f>
        <v>0</v>
      </c>
      <c r="Z118" s="1026" t="n">
        <f aca="false">IF(T118&lt;=$V$97,Z117+W118,0)</f>
        <v>0</v>
      </c>
      <c r="AA118" s="654" t="n">
        <f aca="false">IF(T118&lt;=$V$97,AA117+X118,0)</f>
        <v>0</v>
      </c>
      <c r="AB118" s="451"/>
      <c r="AC118" s="1027" t="n">
        <f aca="false">AC117+1</f>
        <v>9</v>
      </c>
      <c r="AD118" s="1025" t="n">
        <f aca="false">IF(AC118&lt;=$AE$97,DATE(YEAR(AD117),MONTH(AD117)+12/$AE$95,DAY(AD117)),"0")</f>
        <v>45202</v>
      </c>
      <c r="AE118" s="1026" t="n">
        <f aca="false">IF(AC118&lt;=$AE$97,AH117,0)</f>
        <v>0</v>
      </c>
      <c r="AF118" s="1026" t="n">
        <f aca="false">(AE118*$AE$93*1)/1200</f>
        <v>0</v>
      </c>
      <c r="AG118" s="1022" t="n">
        <f aca="false">IF(AC118&lt;$AE$97,$AE$101-AF118,0)+IF(AC118=$AE$97,$AE$90+$AE$101-AF118,0)</f>
        <v>0</v>
      </c>
      <c r="AH118" s="1026" t="n">
        <f aca="false">AE118-AG118</f>
        <v>0</v>
      </c>
      <c r="AI118" s="1026" t="n">
        <f aca="false">IF(AC118&lt;=$AE$97,AI117+AF118,0)</f>
        <v>0</v>
      </c>
      <c r="AJ118" s="654" t="n">
        <f aca="false">IF(AC118&lt;=$AE$97,AJ117+AG118,0)</f>
        <v>0</v>
      </c>
      <c r="AL118" s="1027" t="n">
        <f aca="false">AL117+1</f>
        <v>9</v>
      </c>
      <c r="AM118" s="1025" t="n">
        <f aca="false">IF(AL118&lt;=$AN$97,DATE(YEAR(AM117),MONTH(AM117)+12/$AN$95,DAY(AM117)),"0")</f>
        <v>45233</v>
      </c>
      <c r="AN118" s="1026" t="n">
        <f aca="false">IF(AL118&lt;=$AN$97,AQ117,0)</f>
        <v>27668.5655539445</v>
      </c>
      <c r="AO118" s="1026" t="n">
        <f aca="false">(AN118*$AN$93*1)/1200</f>
        <v>115.285689808102</v>
      </c>
      <c r="AP118" s="1022" t="n">
        <f aca="false">IF(AL118&lt;$AN$97,$AN$101-AO118,0)+IF(AL118=$AN$97,$AN$90+$AN$101-AO118,0)</f>
        <v>933.695708855193</v>
      </c>
      <c r="AQ118" s="1026" t="n">
        <f aca="false">AN118-AP118</f>
        <v>26734.8698450893</v>
      </c>
      <c r="AR118" s="1026" t="n">
        <f aca="false">IF(AL118&lt;=$AN$97,AR117+AO118,0)</f>
        <v>1175.70243305891</v>
      </c>
      <c r="AS118" s="654" t="n">
        <f aca="false">IF(AL118&lt;=$AN$97,AS117+AP118,0)</f>
        <v>8265.13015491075</v>
      </c>
      <c r="AU118" s="1027" t="n">
        <f aca="false">AU117+1</f>
        <v>9</v>
      </c>
      <c r="AV118" s="1025" t="str">
        <f aca="false">IF(AU118&lt;=$AW$97,DATE(YEAR(AV117),MONTH(AV117)+12/$AW$95,DAY(AV117)),"0")</f>
        <v>0</v>
      </c>
      <c r="AW118" s="1026" t="n">
        <f aca="false">IF(AU118&lt;=$AW$97,AZ117,0)</f>
        <v>0</v>
      </c>
      <c r="AX118" s="1026" t="n">
        <f aca="false">(AW118*$AW$93*1)/1200</f>
        <v>0</v>
      </c>
      <c r="AY118" s="1022" t="n">
        <f aca="false">IF(AU118&lt;$AW$97,$AW$101-AX118,0)+IF(AU118=$AW$97,$AW$90+$AW$101-AX118,0)</f>
        <v>0</v>
      </c>
      <c r="AZ118" s="1026" t="n">
        <f aca="false">AW118-AY118</f>
        <v>0</v>
      </c>
      <c r="BA118" s="1026" t="n">
        <f aca="false">IF(AU118&lt;=$AW$97,BA117+AX118,0)</f>
        <v>0</v>
      </c>
      <c r="BB118" s="654" t="n">
        <f aca="false">IF(AU118&lt;=$AW$97,BB117+AY118,0)</f>
        <v>0</v>
      </c>
    </row>
    <row r="119" customFormat="false" ht="12.75" hidden="false" customHeight="false" outlineLevel="0" collapsed="false">
      <c r="B119" s="1024" t="n">
        <v>10</v>
      </c>
      <c r="C119" s="1025" t="n">
        <f aca="false">IF(B119&lt;=$D$97,DATE(YEAR(C118),MONTH(C118)+12/$D$94,DAY(C118)),"0")</f>
        <v>45263</v>
      </c>
      <c r="D119" s="1026" t="n">
        <f aca="false">IF(B119=1,$D$90,G118)</f>
        <v>144219.473566639</v>
      </c>
      <c r="E119" s="1026" t="n">
        <f aca="false">(D119*$D$92*1)/1200</f>
        <v>420.640131236031</v>
      </c>
      <c r="F119" s="1026" t="n">
        <f aca="false">IF(AND(B119&lt;=$D$97,B119&gt;$D$95),$D$101-E119,0)</f>
        <v>651.683680778729</v>
      </c>
      <c r="G119" s="1026" t="n">
        <f aca="false">D119-F119</f>
        <v>143567.78988586</v>
      </c>
      <c r="H119" s="1026" t="n">
        <f aca="false">IF(B119&lt;=$D$97,E119+H118,0)</f>
        <v>4291.02800600797</v>
      </c>
      <c r="I119" s="654" t="n">
        <f aca="false">IF(B119&lt;=$D$97,F119+I118,0)</f>
        <v>6432.21011413962</v>
      </c>
      <c r="K119" s="1027" t="n">
        <f aca="false">K118+1</f>
        <v>10</v>
      </c>
      <c r="L119" s="1025" t="n">
        <f aca="false">IF(K119&lt;=$M$97,DATE(YEAR(L118),MONTH(L118)+12/$M$94,DAY(L118)),"0")</f>
        <v>45263</v>
      </c>
      <c r="M119" s="1026" t="n">
        <f aca="false">IF(K119&lt;=$M$97,P118,0)</f>
        <v>12981.4745011669</v>
      </c>
      <c r="N119" s="1026" t="n">
        <f aca="false">(M119*$M$92*1)/1200</f>
        <v>54.0894770881955</v>
      </c>
      <c r="O119" s="1026" t="n">
        <f aca="false">IF(AND(K119&lt;=$M$97,K119&gt;$M$95),$M$101-N119,0)</f>
        <v>228.979027571969</v>
      </c>
      <c r="P119" s="1026" t="n">
        <f aca="false">M119-O119</f>
        <v>12752.4954735949</v>
      </c>
      <c r="Q119" s="1026" t="n">
        <f aca="false">IF(K119&lt;=$M$97,Q118+N119,0)</f>
        <v>583.18052019659</v>
      </c>
      <c r="R119" s="654" t="n">
        <f aca="false">IF(K119&lt;=$D$97,R118+O119,0)</f>
        <v>2247.50452640506</v>
      </c>
      <c r="T119" s="1027" t="n">
        <f aca="false">T118+1</f>
        <v>10</v>
      </c>
      <c r="U119" s="1025" t="str">
        <f aca="false">IF(T119&lt;=$V$97,DATE(YEAR(U118),MONTH(U118)+12/$V$94,DAY(U118)),"0")</f>
        <v>0</v>
      </c>
      <c r="V119" s="1026" t="n">
        <f aca="false">IF(T119&lt;=$V$97,Y118,0)</f>
        <v>0</v>
      </c>
      <c r="W119" s="1026" t="n">
        <f aca="false">(V119*$V$92*1)/1200</f>
        <v>0</v>
      </c>
      <c r="X119" s="1022" t="n">
        <f aca="false">IF(AND(T119&lt;=$V$97,T119&gt;$V$95),$V$101-W119,0)</f>
        <v>0</v>
      </c>
      <c r="Y119" s="1026" t="n">
        <f aca="false">V119-X119</f>
        <v>0</v>
      </c>
      <c r="Z119" s="1026" t="n">
        <f aca="false">IF(T119&lt;=$V$97,Z118+W119,0)</f>
        <v>0</v>
      </c>
      <c r="AA119" s="654" t="n">
        <f aca="false">IF(T119&lt;=$V$97,AA118+X119,0)</f>
        <v>0</v>
      </c>
      <c r="AB119" s="451"/>
      <c r="AC119" s="1027" t="n">
        <f aca="false">AC118+1</f>
        <v>10</v>
      </c>
      <c r="AD119" s="1025" t="n">
        <f aca="false">IF(AC119&lt;=$AE$97,DATE(YEAR(AD118),MONTH(AD118)+12/$AE$95,DAY(AD118)),"0")</f>
        <v>45233</v>
      </c>
      <c r="AE119" s="1026" t="n">
        <f aca="false">IF(AC119&lt;=$AE$97,AH118,0)</f>
        <v>0</v>
      </c>
      <c r="AF119" s="1026" t="n">
        <f aca="false">(AE119*$AE$93*1)/1200</f>
        <v>0</v>
      </c>
      <c r="AG119" s="1022" t="n">
        <f aca="false">IF(AC119&lt;$AE$97,$AE$101-AF119,0)+IF(AC119=$AE$97,$AE$90+$AE$101-AF119,0)</f>
        <v>0</v>
      </c>
      <c r="AH119" s="1026" t="n">
        <f aca="false">AE119-AG119</f>
        <v>0</v>
      </c>
      <c r="AI119" s="1026" t="n">
        <f aca="false">IF(AC119&lt;=$AE$97,AI118+AF119,0)</f>
        <v>0</v>
      </c>
      <c r="AJ119" s="654" t="n">
        <f aca="false">IF(AC119&lt;=$AE$97,AJ118+AG119,0)</f>
        <v>0</v>
      </c>
      <c r="AL119" s="1027" t="n">
        <f aca="false">AL118+1</f>
        <v>10</v>
      </c>
      <c r="AM119" s="1025" t="n">
        <f aca="false">IF(AL119&lt;=$AN$97,DATE(YEAR(AM118),MONTH(AM118)+12/$AN$95,DAY(AM118)),"0")</f>
        <v>45263</v>
      </c>
      <c r="AN119" s="1026" t="n">
        <f aca="false">IF(AL119&lt;=$AN$97,AQ118,0)</f>
        <v>26734.8698450893</v>
      </c>
      <c r="AO119" s="1026" t="n">
        <f aca="false">(AN119*$AN$93*1)/1200</f>
        <v>111.395291021205</v>
      </c>
      <c r="AP119" s="1022" t="n">
        <f aca="false">IF(AL119&lt;$AN$97,$AN$101-AO119,0)+IF(AL119=$AN$97,$AN$90+$AN$101-AO119,0)</f>
        <v>937.58610764209</v>
      </c>
      <c r="AQ119" s="1026" t="n">
        <f aca="false">AN119-AP119</f>
        <v>25797.2837374472</v>
      </c>
      <c r="AR119" s="1026" t="n">
        <f aca="false">IF(AL119&lt;=$AN$97,AR118+AO119,0)</f>
        <v>1287.09772408011</v>
      </c>
      <c r="AS119" s="654" t="n">
        <f aca="false">IF(AL119&lt;=$AN$97,AS118+AP119,0)</f>
        <v>9202.71626255283</v>
      </c>
      <c r="AU119" s="1027" t="n">
        <f aca="false">AU118+1</f>
        <v>10</v>
      </c>
      <c r="AV119" s="1025" t="str">
        <f aca="false">IF(AU119&lt;=$AW$97,DATE(YEAR(AV118),MONTH(AV118)+12/$AW$95,DAY(AV118)),"0")</f>
        <v>0</v>
      </c>
      <c r="AW119" s="1026" t="n">
        <f aca="false">IF(AU119&lt;=$AW$97,AZ118,0)</f>
        <v>0</v>
      </c>
      <c r="AX119" s="1026" t="n">
        <f aca="false">(AW119*$AW$93*1)/1200</f>
        <v>0</v>
      </c>
      <c r="AY119" s="1022" t="n">
        <f aca="false">IF(AU119&lt;$AW$97,$AW$101-AX119,0)+IF(AU119=$AW$97,$AW$90+$AW$101-AX119,0)</f>
        <v>0</v>
      </c>
      <c r="AZ119" s="1026" t="n">
        <f aca="false">AW119-AY119</f>
        <v>0</v>
      </c>
      <c r="BA119" s="1026" t="n">
        <f aca="false">IF(AU119&lt;=$AW$97,BA118+AX119,0)</f>
        <v>0</v>
      </c>
      <c r="BB119" s="654" t="n">
        <f aca="false">IF(AU119&lt;=$AW$97,BB118+AY119,0)</f>
        <v>0</v>
      </c>
    </row>
    <row r="120" customFormat="false" ht="12.75" hidden="false" customHeight="false" outlineLevel="0" collapsed="false">
      <c r="B120" s="1024" t="n">
        <v>11</v>
      </c>
      <c r="C120" s="1025" t="n">
        <f aca="false">IF(B120&lt;=$D$97,DATE(YEAR(C119),MONTH(C119)+12/$D$94,DAY(C119)),"0")</f>
        <v>45294</v>
      </c>
      <c r="D120" s="1026" t="n">
        <f aca="false">IF(B120=1,$D$90,G119)</f>
        <v>143567.78988586</v>
      </c>
      <c r="E120" s="1026" t="n">
        <f aca="false">(D120*$D$92*1)/1200</f>
        <v>418.739387167093</v>
      </c>
      <c r="F120" s="1026" t="n">
        <f aca="false">IF(AND(B120&lt;=$D$97,B120&gt;$D$95),$D$101-E120,0)</f>
        <v>653.584424847667</v>
      </c>
      <c r="G120" s="1026" t="n">
        <f aca="false">D120-F120</f>
        <v>142914.205461013</v>
      </c>
      <c r="H120" s="1026" t="n">
        <f aca="false">IF(B120&lt;=$D$97,E120+H119,0)</f>
        <v>4709.76739317506</v>
      </c>
      <c r="I120" s="654" t="n">
        <f aca="false">IF(B120&lt;=$D$97,F120+I119,0)</f>
        <v>7085.79453898729</v>
      </c>
      <c r="K120" s="1027" t="n">
        <f aca="false">K119+1</f>
        <v>11</v>
      </c>
      <c r="L120" s="1025" t="n">
        <f aca="false">IF(K120&lt;=$M$97,DATE(YEAR(L119),MONTH(L119)+12/$M$94,DAY(L119)),"0")</f>
        <v>45294</v>
      </c>
      <c r="M120" s="1026" t="n">
        <f aca="false">IF(K120&lt;=$M$97,P119,0)</f>
        <v>12752.4954735949</v>
      </c>
      <c r="N120" s="1026" t="n">
        <f aca="false">(M120*$M$92*1)/1200</f>
        <v>53.1353978066456</v>
      </c>
      <c r="O120" s="1026" t="n">
        <f aca="false">IF(AND(K120&lt;=$M$97,K120&gt;$M$95),$M$101-N120,0)</f>
        <v>229.933106853519</v>
      </c>
      <c r="P120" s="1026" t="n">
        <f aca="false">M120-O120</f>
        <v>12522.5623667414</v>
      </c>
      <c r="Q120" s="1026" t="n">
        <f aca="false">IF(K120&lt;=$M$97,Q119+N120,0)</f>
        <v>636.315918003236</v>
      </c>
      <c r="R120" s="654" t="n">
        <f aca="false">IF(K120&lt;=$D$97,R119+O120,0)</f>
        <v>2477.43763325858</v>
      </c>
      <c r="T120" s="1027" t="n">
        <f aca="false">T119+1</f>
        <v>11</v>
      </c>
      <c r="U120" s="1025" t="str">
        <f aca="false">IF(T120&lt;=$V$97,DATE(YEAR(U119),MONTH(U119)+12/$V$94,DAY(U119)),"0")</f>
        <v>0</v>
      </c>
      <c r="V120" s="1026" t="n">
        <f aca="false">IF(T120&lt;=$V$97,Y119,0)</f>
        <v>0</v>
      </c>
      <c r="W120" s="1026" t="n">
        <f aca="false">(V120*$V$92*1)/1200</f>
        <v>0</v>
      </c>
      <c r="X120" s="1022" t="n">
        <f aca="false">IF(AND(T120&lt;=$V$97,T120&gt;$V$95),$V$101-W120,0)</f>
        <v>0</v>
      </c>
      <c r="Y120" s="1026" t="n">
        <f aca="false">V120-X120</f>
        <v>0</v>
      </c>
      <c r="Z120" s="1026" t="n">
        <f aca="false">IF(T120&lt;=$V$97,Z119+W120,0)</f>
        <v>0</v>
      </c>
      <c r="AA120" s="654" t="n">
        <f aca="false">IF(T120&lt;=$V$97,AA119+X120,0)</f>
        <v>0</v>
      </c>
      <c r="AB120" s="451"/>
      <c r="AC120" s="1027" t="n">
        <f aca="false">AC119+1</f>
        <v>11</v>
      </c>
      <c r="AD120" s="1025" t="n">
        <f aca="false">IF(AC120&lt;=$AE$97,DATE(YEAR(AD119),MONTH(AD119)+12/$AE$95,DAY(AD119)),"0")</f>
        <v>45263</v>
      </c>
      <c r="AE120" s="1026" t="n">
        <f aca="false">IF(AC120&lt;=$AE$97,AH119,0)</f>
        <v>0</v>
      </c>
      <c r="AF120" s="1026" t="n">
        <f aca="false">(AE120*$AE$93*1)/1200</f>
        <v>0</v>
      </c>
      <c r="AG120" s="1022" t="n">
        <f aca="false">IF(AC120&lt;$AE$97,$AE$101-AF120,0)+IF(AC120=$AE$97,$AE$90+$AE$101-AF120,0)</f>
        <v>0</v>
      </c>
      <c r="AH120" s="1026" t="n">
        <f aca="false">AE120-AG120</f>
        <v>0</v>
      </c>
      <c r="AI120" s="1026" t="n">
        <f aca="false">IF(AC120&lt;=$AE$97,AI119+AF120,0)</f>
        <v>0</v>
      </c>
      <c r="AJ120" s="654" t="n">
        <f aca="false">IF(AC120&lt;=$AE$97,AJ119+AG120,0)</f>
        <v>0</v>
      </c>
      <c r="AL120" s="1027" t="n">
        <f aca="false">AL119+1</f>
        <v>11</v>
      </c>
      <c r="AM120" s="1025" t="n">
        <f aca="false">IF(AL120&lt;=$AN$97,DATE(YEAR(AM119),MONTH(AM119)+12/$AN$95,DAY(AM119)),"0")</f>
        <v>45294</v>
      </c>
      <c r="AN120" s="1026" t="n">
        <f aca="false">IF(AL120&lt;=$AN$97,AQ119,0)</f>
        <v>25797.2837374472</v>
      </c>
      <c r="AO120" s="1026" t="n">
        <f aca="false">(AN120*$AN$93*1)/1200</f>
        <v>107.488682239363</v>
      </c>
      <c r="AP120" s="1022" t="n">
        <f aca="false">IF(AL120&lt;$AN$97,$AN$101-AO120,0)+IF(AL120=$AN$97,$AN$90+$AN$101-AO120,0)</f>
        <v>941.492716423932</v>
      </c>
      <c r="AQ120" s="1026" t="n">
        <f aca="false">AN120-AP120</f>
        <v>24855.7910210232</v>
      </c>
      <c r="AR120" s="1026" t="n">
        <f aca="false">IF(AL120&lt;=$AN$97,AR119+AO120,0)</f>
        <v>1394.58640631948</v>
      </c>
      <c r="AS120" s="654" t="n">
        <f aca="false">IF(AL120&lt;=$AN$97,AS119+AP120,0)</f>
        <v>10144.2089789768</v>
      </c>
      <c r="AU120" s="1027" t="n">
        <f aca="false">AU119+1</f>
        <v>11</v>
      </c>
      <c r="AV120" s="1025" t="str">
        <f aca="false">IF(AU120&lt;=$AW$97,DATE(YEAR(AV119),MONTH(AV119)+12/$AW$95,DAY(AV119)),"0")</f>
        <v>0</v>
      </c>
      <c r="AW120" s="1026" t="n">
        <f aca="false">IF(AU120&lt;=$AW$97,AZ119,0)</f>
        <v>0</v>
      </c>
      <c r="AX120" s="1026" t="n">
        <f aca="false">(AW120*$AW$93*1)/1200</f>
        <v>0</v>
      </c>
      <c r="AY120" s="1022" t="n">
        <f aca="false">IF(AU120&lt;$AW$97,$AW$101-AX120,0)+IF(AU120=$AW$97,$AW$90+$AW$101-AX120,0)</f>
        <v>0</v>
      </c>
      <c r="AZ120" s="1026" t="n">
        <f aca="false">AW120-AY120</f>
        <v>0</v>
      </c>
      <c r="BA120" s="1026" t="n">
        <f aca="false">IF(AU120&lt;=$AW$97,BA119+AX120,0)</f>
        <v>0</v>
      </c>
      <c r="BB120" s="654" t="n">
        <f aca="false">IF(AU120&lt;=$AW$97,BB119+AY120,0)</f>
        <v>0</v>
      </c>
    </row>
    <row r="121" customFormat="false" ht="12.75" hidden="false" customHeight="false" outlineLevel="0" collapsed="false">
      <c r="B121" s="1027" t="n">
        <v>12</v>
      </c>
      <c r="C121" s="1025" t="n">
        <f aca="false">IF(B121&lt;=$D$97,DATE(YEAR(C120),MONTH(C120)+12/$D$94,DAY(C120)),"0")</f>
        <v>45325</v>
      </c>
      <c r="D121" s="1026" t="n">
        <f aca="false">IF(B121=1,$D$90,G120)</f>
        <v>142914.205461013</v>
      </c>
      <c r="E121" s="1026" t="n">
        <f aca="false">(D121*$D$92*1)/1200</f>
        <v>416.833099261287</v>
      </c>
      <c r="F121" s="1026" t="n">
        <f aca="false">IF(AND(B121&lt;=$D$97,B121&gt;$D$95),$D$101-E121,0)</f>
        <v>655.490712753472</v>
      </c>
      <c r="G121" s="1026" t="n">
        <f aca="false">D121-F121</f>
        <v>142258.714748259</v>
      </c>
      <c r="H121" s="1026" t="n">
        <f aca="false">IF(B121&lt;=$D$97,E121+H120,0)</f>
        <v>5126.60049243635</v>
      </c>
      <c r="I121" s="654" t="n">
        <f aca="false">IF(B121&lt;=$D$97,F121+I120,0)</f>
        <v>7741.28525174076</v>
      </c>
      <c r="J121" s="451"/>
      <c r="K121" s="1027" t="n">
        <f aca="false">K120+1</f>
        <v>12</v>
      </c>
      <c r="L121" s="1025" t="n">
        <f aca="false">IF(K121&lt;=$M$97,DATE(YEAR(L120),MONTH(L120)+12/$M$94,DAY(L120)),"0")</f>
        <v>45325</v>
      </c>
      <c r="M121" s="1026" t="n">
        <f aca="false">IF(K121&lt;=$M$97,P120,0)</f>
        <v>12522.5623667414</v>
      </c>
      <c r="N121" s="1026" t="n">
        <f aca="false">(M121*$M$92*1)/1200</f>
        <v>52.1773431947559</v>
      </c>
      <c r="O121" s="1026" t="n">
        <f aca="false">IF(AND(K121&lt;=$M$97,K121&gt;$M$95),$M$101-N121,0)</f>
        <v>230.891161465409</v>
      </c>
      <c r="P121" s="1026" t="n">
        <f aca="false">M121-O121</f>
        <v>12291.671205276</v>
      </c>
      <c r="Q121" s="1026" t="n">
        <f aca="false">IF(K121&lt;=$M$97,Q120+N121,0)</f>
        <v>688.493261197992</v>
      </c>
      <c r="R121" s="654" t="n">
        <f aca="false">IF(K121&lt;=$D$97,R120+O121,0)</f>
        <v>2708.32879472399</v>
      </c>
      <c r="S121" s="451"/>
      <c r="T121" s="1027" t="n">
        <f aca="false">T120+1</f>
        <v>12</v>
      </c>
      <c r="U121" s="1025" t="str">
        <f aca="false">IF(T121&lt;=$V$97,DATE(YEAR(U120),MONTH(U120)+12/$V$94,DAY(U120)),"0")</f>
        <v>0</v>
      </c>
      <c r="V121" s="1026" t="n">
        <f aca="false">IF(T121&lt;=$V$97,Y120,0)</f>
        <v>0</v>
      </c>
      <c r="W121" s="1026" t="n">
        <f aca="false">(V121*$V$92*1)/1200</f>
        <v>0</v>
      </c>
      <c r="X121" s="1022" t="n">
        <f aca="false">IF(AND(T121&lt;=$V$97,T121&gt;$V$95),$V$101-W121,0)</f>
        <v>0</v>
      </c>
      <c r="Y121" s="1026" t="n">
        <f aca="false">V121-X121</f>
        <v>0</v>
      </c>
      <c r="Z121" s="1026" t="n">
        <f aca="false">IF(T121&lt;=$V$97,Z120+W121,0)</f>
        <v>0</v>
      </c>
      <c r="AA121" s="654" t="n">
        <f aca="false">IF(T121&lt;=$V$97,AA120+X121,0)</f>
        <v>0</v>
      </c>
      <c r="AB121" s="451"/>
      <c r="AC121" s="1027" t="n">
        <f aca="false">AC120+1</f>
        <v>12</v>
      </c>
      <c r="AD121" s="1025" t="n">
        <f aca="false">IF(AC121&lt;=$AE$97,DATE(YEAR(AD120),MONTH(AD120)+12/$AE$95,DAY(AD120)),"0")</f>
        <v>45294</v>
      </c>
      <c r="AE121" s="1026" t="n">
        <f aca="false">IF(AC121&lt;=$AE$97,AH120,0)</f>
        <v>0</v>
      </c>
      <c r="AF121" s="1026" t="n">
        <f aca="false">(AE121*$AE$93*1)/1200</f>
        <v>0</v>
      </c>
      <c r="AG121" s="1022" t="n">
        <f aca="false">IF(AC121&lt;$AE$97,$AE$101-AF121,0)+IF(AC121=$AE$97,$AE$90+$AE$101-AF121,0)</f>
        <v>0</v>
      </c>
      <c r="AH121" s="1026" t="n">
        <f aca="false">AE121-AG121</f>
        <v>0</v>
      </c>
      <c r="AI121" s="1026" t="n">
        <f aca="false">IF(AC121&lt;=$AE$97,AI120+AF121,0)</f>
        <v>0</v>
      </c>
      <c r="AJ121" s="654" t="n">
        <f aca="false">IF(AC121&lt;=$AE$97,AJ120+AG121,0)</f>
        <v>0</v>
      </c>
      <c r="AL121" s="1027" t="n">
        <f aca="false">AL120+1</f>
        <v>12</v>
      </c>
      <c r="AM121" s="1025" t="n">
        <f aca="false">IF(AL121&lt;=$AN$97,DATE(YEAR(AM120),MONTH(AM120)+12/$AN$95,DAY(AM120)),"0")</f>
        <v>45325</v>
      </c>
      <c r="AN121" s="1026" t="n">
        <f aca="false">IF(AL121&lt;=$AN$97,AQ120,0)</f>
        <v>24855.7910210232</v>
      </c>
      <c r="AO121" s="1026" t="n">
        <f aca="false">(AN121*$AN$93*1)/1200</f>
        <v>103.56579592093</v>
      </c>
      <c r="AP121" s="1022" t="n">
        <f aca="false">IF(AL121&lt;$AN$97,$AN$101-AO121,0)+IF(AL121=$AN$97,$AN$90+$AN$101-AO121,0)</f>
        <v>945.415602742365</v>
      </c>
      <c r="AQ121" s="1026" t="n">
        <f aca="false">AN121-AP121</f>
        <v>23910.3754182809</v>
      </c>
      <c r="AR121" s="1026" t="n">
        <f aca="false">IF(AL121&lt;=$AN$97,AR120+AO121,0)</f>
        <v>1498.15220224041</v>
      </c>
      <c r="AS121" s="654" t="n">
        <f aca="false">IF(AL121&lt;=$AN$97,AS120+AP121,0)</f>
        <v>11089.6245817191</v>
      </c>
      <c r="AU121" s="1027" t="n">
        <f aca="false">AU120+1</f>
        <v>12</v>
      </c>
      <c r="AV121" s="1025" t="str">
        <f aca="false">IF(AU121&lt;=$AW$97,DATE(YEAR(AV120),MONTH(AV120)+12/$AW$95,DAY(AV120)),"0")</f>
        <v>0</v>
      </c>
      <c r="AW121" s="1026" t="n">
        <f aca="false">IF(AU121&lt;=$AW$97,AZ120,0)</f>
        <v>0</v>
      </c>
      <c r="AX121" s="1026" t="n">
        <f aca="false">(AW121*$AW$93*1)/1200</f>
        <v>0</v>
      </c>
      <c r="AY121" s="1022" t="n">
        <f aca="false">IF(AU121&lt;$AW$97,$AW$101-AX121,0)+IF(AU121=$AW$97,$AW$90+$AW$101-AX121,0)</f>
        <v>0</v>
      </c>
      <c r="AZ121" s="1026" t="n">
        <f aca="false">AW121-AY121</f>
        <v>0</v>
      </c>
      <c r="BA121" s="1026" t="n">
        <f aca="false">IF(AU121&lt;=$AW$97,BA120+AX121,0)</f>
        <v>0</v>
      </c>
      <c r="BB121" s="654" t="n">
        <f aca="false">IF(AU121&lt;=$AW$97,BB120+AY121,0)</f>
        <v>0</v>
      </c>
    </row>
    <row r="122" s="451" customFormat="true" ht="12.75" hidden="false" customHeight="false" outlineLevel="0" collapsed="false">
      <c r="B122" s="1024" t="n">
        <v>13</v>
      </c>
      <c r="C122" s="1025" t="n">
        <f aca="false">IF(B122&lt;=$D$97,DATE(YEAR(C121),MONTH(C121)+12/$D$94,DAY(C121)),"0")</f>
        <v>45354</v>
      </c>
      <c r="D122" s="1026" t="n">
        <f aca="false">IF(B122=1,$D$90,G121)</f>
        <v>142258.714748259</v>
      </c>
      <c r="E122" s="1026" t="n">
        <f aca="false">(D122*$D$92*1)/1200</f>
        <v>414.921251349089</v>
      </c>
      <c r="F122" s="1026" t="n">
        <f aca="false">IF(AND(B122&lt;=$D$97,B122&gt;$D$95),$D$101-E122,0)</f>
        <v>657.40256066567</v>
      </c>
      <c r="G122" s="1026" t="n">
        <f aca="false">D122-F122</f>
        <v>141601.312187594</v>
      </c>
      <c r="H122" s="1026" t="n">
        <f aca="false">IF(B122&lt;=$D$97,E122+H121,0)</f>
        <v>5541.52174378544</v>
      </c>
      <c r="I122" s="654" t="n">
        <f aca="false">IF(B122&lt;=$D$97,F122+I121,0)</f>
        <v>8398.68781240643</v>
      </c>
      <c r="K122" s="1027" t="n">
        <f aca="false">K121+1</f>
        <v>13</v>
      </c>
      <c r="L122" s="1025" t="n">
        <f aca="false">IF(K122&lt;=$M$97,DATE(YEAR(L121),MONTH(L121)+12/$M$94,DAY(L121)),"0")</f>
        <v>45354</v>
      </c>
      <c r="M122" s="1026" t="n">
        <f aca="false">IF(K122&lt;=$M$97,P121,0)</f>
        <v>12291.671205276</v>
      </c>
      <c r="N122" s="1026" t="n">
        <f aca="false">(M122*$M$92*1)/1200</f>
        <v>51.2152966886501</v>
      </c>
      <c r="O122" s="1026" t="n">
        <f aca="false">IF(AND(K122&lt;=$M$97,K122&gt;$M$95),$M$101-N122,0)</f>
        <v>231.853207971515</v>
      </c>
      <c r="P122" s="1026" t="n">
        <f aca="false">M122-O122</f>
        <v>12059.8179973045</v>
      </c>
      <c r="Q122" s="1026" t="n">
        <f aca="false">IF(K122&lt;=$M$97,Q121+N122,0)</f>
        <v>739.708557886642</v>
      </c>
      <c r="R122" s="654" t="n">
        <f aca="false">IF(K122&lt;=$D$97,R121+O122,0)</f>
        <v>2940.1820026955</v>
      </c>
      <c r="T122" s="1027" t="n">
        <f aca="false">T121+1</f>
        <v>13</v>
      </c>
      <c r="U122" s="1025" t="str">
        <f aca="false">IF(T122&lt;=$V$97,DATE(YEAR(U121),MONTH(U121)+12/$V$94,DAY(U121)),"0")</f>
        <v>0</v>
      </c>
      <c r="V122" s="1026" t="n">
        <f aca="false">IF(T122&lt;=$V$97,Y121,0)</f>
        <v>0</v>
      </c>
      <c r="W122" s="1026" t="n">
        <f aca="false">(V122*$V$92*1)/1200</f>
        <v>0</v>
      </c>
      <c r="X122" s="1022" t="n">
        <f aca="false">IF(AND(T122&lt;=$V$97,T122&gt;$V$95),$V$101-W122,0)</f>
        <v>0</v>
      </c>
      <c r="Y122" s="1026" t="n">
        <f aca="false">V122-X122</f>
        <v>0</v>
      </c>
      <c r="Z122" s="1026" t="n">
        <f aca="false">IF(T122&lt;=$V$97,Z121+W122,0)</f>
        <v>0</v>
      </c>
      <c r="AA122" s="654" t="n">
        <f aca="false">IF(T122&lt;=$V$97,AA121+X122,0)</f>
        <v>0</v>
      </c>
      <c r="AC122" s="1027" t="n">
        <f aca="false">AC121+1</f>
        <v>13</v>
      </c>
      <c r="AD122" s="1025" t="n">
        <f aca="false">IF(AC122&lt;=$AE$97,DATE(YEAR(AD121),MONTH(AD121)+12/$AE$95,DAY(AD121)),"0")</f>
        <v>45325</v>
      </c>
      <c r="AE122" s="1026" t="n">
        <f aca="false">IF(AC122&lt;=$AE$97,AH121,0)</f>
        <v>0</v>
      </c>
      <c r="AF122" s="1026" t="n">
        <f aca="false">(AE122*$AE$93*1)/1200</f>
        <v>0</v>
      </c>
      <c r="AG122" s="1022" t="n">
        <f aca="false">IF(AC122&lt;$AE$97,$AE$101-AF122,0)+IF(AC122=$AE$97,$AE$90+$AE$101-AF122,0)</f>
        <v>0</v>
      </c>
      <c r="AH122" s="1026" t="n">
        <f aca="false">AE122-AG122</f>
        <v>0</v>
      </c>
      <c r="AI122" s="1026" t="n">
        <f aca="false">IF(AC122&lt;=$AE$97,AI121+AF122,0)</f>
        <v>0</v>
      </c>
      <c r="AJ122" s="654" t="n">
        <f aca="false">IF(AC122&lt;=$AE$97,AJ121+AG122,0)</f>
        <v>0</v>
      </c>
      <c r="AL122" s="1027" t="n">
        <f aca="false">AL121+1</f>
        <v>13</v>
      </c>
      <c r="AM122" s="1025" t="n">
        <f aca="false">IF(AL122&lt;=$AN$97,DATE(YEAR(AM121),MONTH(AM121)+12/$AN$95,DAY(AM121)),"0")</f>
        <v>45354</v>
      </c>
      <c r="AN122" s="1026" t="n">
        <f aca="false">IF(AL122&lt;=$AN$97,AQ121,0)</f>
        <v>23910.3754182809</v>
      </c>
      <c r="AO122" s="1026" t="n">
        <f aca="false">(AN122*$AN$93*1)/1200</f>
        <v>99.626564242837</v>
      </c>
      <c r="AP122" s="1022" t="n">
        <f aca="false">IF(AL122&lt;$AN$97,$AN$101-AO122,0)+IF(AL122=$AN$97,$AN$90+$AN$101-AO122,0)</f>
        <v>949.354834420458</v>
      </c>
      <c r="AQ122" s="1026" t="n">
        <f aca="false">AN122-AP122</f>
        <v>22961.0205838604</v>
      </c>
      <c r="AR122" s="1026" t="n">
        <f aca="false">IF(AL122&lt;=$AN$97,AR121+AO122,0)</f>
        <v>1597.77876648324</v>
      </c>
      <c r="AS122" s="654" t="n">
        <f aca="false">IF(AL122&lt;=$AN$97,AS121+AP122,0)</f>
        <v>12038.9794161396</v>
      </c>
      <c r="AU122" s="1027" t="n">
        <f aca="false">AU121+1</f>
        <v>13</v>
      </c>
      <c r="AV122" s="1025" t="str">
        <f aca="false">IF(AU122&lt;=$AW$97,DATE(YEAR(AV121),MONTH(AV121)+12/$AW$95,DAY(AV121)),"0")</f>
        <v>0</v>
      </c>
      <c r="AW122" s="1026" t="n">
        <f aca="false">IF(AU122&lt;=$AW$97,AZ121,0)</f>
        <v>0</v>
      </c>
      <c r="AX122" s="1026" t="n">
        <f aca="false">(AW122*$AW$93*1)/1200</f>
        <v>0</v>
      </c>
      <c r="AY122" s="1022" t="n">
        <f aca="false">IF(AU122&lt;$AW$97,$AW$101-AX122,0)+IF(AU122=$AW$97,$AW$90+$AW$101-AX122,0)</f>
        <v>0</v>
      </c>
      <c r="AZ122" s="1026" t="n">
        <f aca="false">AW122-AY122</f>
        <v>0</v>
      </c>
      <c r="BA122" s="1026" t="n">
        <f aca="false">IF(AU122&lt;=$AW$97,BA121+AX122,0)</f>
        <v>0</v>
      </c>
      <c r="BB122" s="654" t="n">
        <f aca="false">IF(AU122&lt;=$AW$97,BB121+AY122,0)</f>
        <v>0</v>
      </c>
    </row>
    <row r="123" customFormat="false" ht="12.75" hidden="false" customHeight="false" outlineLevel="0" collapsed="false">
      <c r="B123" s="1024" t="n">
        <v>14</v>
      </c>
      <c r="C123" s="1025" t="n">
        <f aca="false">IF(B123&lt;=$D$97,DATE(YEAR(C122),MONTH(C122)+12/$D$94,DAY(C122)),"0")</f>
        <v>45385</v>
      </c>
      <c r="D123" s="1026" t="n">
        <f aca="false">IF(B123=1,$D$90,G122)</f>
        <v>141601.312187594</v>
      </c>
      <c r="E123" s="1026" t="n">
        <f aca="false">(D123*$D$92*1)/1200</f>
        <v>413.003827213815</v>
      </c>
      <c r="F123" s="1026" t="n">
        <f aca="false">IF(AND(B123&lt;=$D$97,B123&gt;$D$95),$D$101-E123,0)</f>
        <v>659.319984800945</v>
      </c>
      <c r="G123" s="1026" t="n">
        <f aca="false">D123-F123</f>
        <v>140941.992202793</v>
      </c>
      <c r="H123" s="1026" t="n">
        <f aca="false">IF(B123&lt;=$D$97,E123+H122,0)</f>
        <v>5954.52557099925</v>
      </c>
      <c r="I123" s="654" t="n">
        <f aca="false">IF(B123&lt;=$D$97,F123+I122,0)</f>
        <v>9058.00779720738</v>
      </c>
      <c r="K123" s="1027" t="n">
        <f aca="false">K122+1</f>
        <v>14</v>
      </c>
      <c r="L123" s="1025" t="n">
        <f aca="false">IF(K123&lt;=$M$97,DATE(YEAR(L122),MONTH(L122)+12/$M$94,DAY(L122)),"0")</f>
        <v>45385</v>
      </c>
      <c r="M123" s="1026" t="n">
        <f aca="false">IF(K123&lt;=$M$97,P122,0)</f>
        <v>12059.8179973045</v>
      </c>
      <c r="N123" s="1026" t="n">
        <f aca="false">(M123*$M$92*1)/1200</f>
        <v>50.2492416554354</v>
      </c>
      <c r="O123" s="1026" t="n">
        <f aca="false">IF(AND(K123&lt;=$M$97,K123&gt;$M$95),$M$101-N123,0)</f>
        <v>232.819263004729</v>
      </c>
      <c r="P123" s="1026" t="n">
        <f aca="false">M123-O123</f>
        <v>11826.9987342998</v>
      </c>
      <c r="Q123" s="1026" t="n">
        <f aca="false">IF(K123&lt;=$M$97,Q122+N123,0)</f>
        <v>789.957799542077</v>
      </c>
      <c r="R123" s="654" t="n">
        <f aca="false">IF(K123&lt;=$D$97,R122+O123,0)</f>
        <v>3173.00126570023</v>
      </c>
      <c r="T123" s="1027" t="n">
        <f aca="false">T122+1</f>
        <v>14</v>
      </c>
      <c r="U123" s="1025" t="str">
        <f aca="false">IF(T123&lt;=$V$97,DATE(YEAR(U122),MONTH(U122)+12/$V$94,DAY(U122)),"0")</f>
        <v>0</v>
      </c>
      <c r="V123" s="1026" t="n">
        <f aca="false">IF(T123&lt;=$V$97,Y122,0)</f>
        <v>0</v>
      </c>
      <c r="W123" s="1026" t="n">
        <f aca="false">(V123*$V$92*1)/1200</f>
        <v>0</v>
      </c>
      <c r="X123" s="1022" t="n">
        <f aca="false">IF(AND(T123&lt;=$V$97,T123&gt;$V$95),$V$101-W123,0)</f>
        <v>0</v>
      </c>
      <c r="Y123" s="1026" t="n">
        <f aca="false">V123-X123</f>
        <v>0</v>
      </c>
      <c r="Z123" s="1026" t="n">
        <f aca="false">IF(T123&lt;=$V$97,Z122+W123,0)</f>
        <v>0</v>
      </c>
      <c r="AA123" s="654" t="n">
        <f aca="false">IF(T123&lt;=$V$97,AA122+X123,0)</f>
        <v>0</v>
      </c>
      <c r="AB123" s="451"/>
      <c r="AC123" s="1027" t="n">
        <f aca="false">AC122+1</f>
        <v>14</v>
      </c>
      <c r="AD123" s="1025" t="n">
        <f aca="false">IF(AC123&lt;=$AE$97,DATE(YEAR(AD122),MONTH(AD122)+12/$AE$95,DAY(AD122)),"0")</f>
        <v>45354</v>
      </c>
      <c r="AE123" s="1026" t="n">
        <f aca="false">IF(AC123&lt;=$AE$97,AH122,0)</f>
        <v>0</v>
      </c>
      <c r="AF123" s="1026" t="n">
        <f aca="false">(AE123*$AE$93*1)/1200</f>
        <v>0</v>
      </c>
      <c r="AG123" s="1022" t="n">
        <f aca="false">IF(AC123&lt;$AE$97,$AE$101-AF123,0)+IF(AC123=$AE$97,$AE$90+$AE$101-AF123,0)</f>
        <v>0</v>
      </c>
      <c r="AH123" s="1026" t="n">
        <f aca="false">AE123-AG123</f>
        <v>0</v>
      </c>
      <c r="AI123" s="1026" t="n">
        <f aca="false">IF(AC123&lt;=$AE$97,AI122+AF123,0)</f>
        <v>0</v>
      </c>
      <c r="AJ123" s="654" t="n">
        <f aca="false">IF(AC123&lt;=$AE$97,AJ122+AG123,0)</f>
        <v>0</v>
      </c>
      <c r="AL123" s="1027" t="n">
        <f aca="false">AL122+1</f>
        <v>14</v>
      </c>
      <c r="AM123" s="1025" t="n">
        <f aca="false">IF(AL123&lt;=$AN$97,DATE(YEAR(AM122),MONTH(AM122)+12/$AN$95,DAY(AM122)),"0")</f>
        <v>45385</v>
      </c>
      <c r="AN123" s="1026" t="n">
        <f aca="false">IF(AL123&lt;=$AN$97,AQ122,0)</f>
        <v>22961.0205838604</v>
      </c>
      <c r="AO123" s="1026" t="n">
        <f aca="false">(AN123*$AN$93*1)/1200</f>
        <v>95.6709190994184</v>
      </c>
      <c r="AP123" s="1022" t="n">
        <f aca="false">IF(AL123&lt;$AN$97,$AN$101-AO123,0)+IF(AL123=$AN$97,$AN$90+$AN$101-AO123,0)</f>
        <v>953.310479563877</v>
      </c>
      <c r="AQ123" s="1026" t="n">
        <f aca="false">AN123-AP123</f>
        <v>22007.7101042965</v>
      </c>
      <c r="AR123" s="1026" t="n">
        <f aca="false">IF(AL123&lt;=$AN$97,AR122+AO123,0)</f>
        <v>1693.44968558266</v>
      </c>
      <c r="AS123" s="654" t="n">
        <f aca="false">IF(AL123&lt;=$AN$97,AS122+AP123,0)</f>
        <v>12992.2898957035</v>
      </c>
      <c r="AU123" s="1027" t="n">
        <f aca="false">AU122+1</f>
        <v>14</v>
      </c>
      <c r="AV123" s="1025" t="str">
        <f aca="false">IF(AU123&lt;=$AW$97,DATE(YEAR(AV122),MONTH(AV122)+12/$AW$95,DAY(AV122)),"0")</f>
        <v>0</v>
      </c>
      <c r="AW123" s="1026" t="n">
        <f aca="false">IF(AU123&lt;=$AW$97,AZ122,0)</f>
        <v>0</v>
      </c>
      <c r="AX123" s="1026" t="n">
        <f aca="false">(AW123*$AW$93*1)/1200</f>
        <v>0</v>
      </c>
      <c r="AY123" s="1022" t="n">
        <f aca="false">IF(AU123&lt;$AW$97,$AW$101-AX123,0)+IF(AU123=$AW$97,$AW$90+$AW$101-AX123,0)</f>
        <v>0</v>
      </c>
      <c r="AZ123" s="1026" t="n">
        <f aca="false">AW123-AY123</f>
        <v>0</v>
      </c>
      <c r="BA123" s="1026" t="n">
        <f aca="false">IF(AU123&lt;=$AW$97,BA122+AX123,0)</f>
        <v>0</v>
      </c>
      <c r="BB123" s="654" t="n">
        <f aca="false">IF(AU123&lt;=$AW$97,BB122+AY123,0)</f>
        <v>0</v>
      </c>
    </row>
    <row r="124" customFormat="false" ht="12.75" hidden="false" customHeight="false" outlineLevel="0" collapsed="false">
      <c r="B124" s="1024" t="n">
        <v>15</v>
      </c>
      <c r="C124" s="1025" t="n">
        <f aca="false">IF(B124&lt;=$D$97,DATE(YEAR(C123),MONTH(C123)+12/$D$94,DAY(C123)),"0")</f>
        <v>45415</v>
      </c>
      <c r="D124" s="1026" t="n">
        <f aca="false">IF(B124=1,$D$90,G123)</f>
        <v>140941.992202793</v>
      </c>
      <c r="E124" s="1026" t="n">
        <f aca="false">(D124*$D$92*1)/1200</f>
        <v>411.080810591479</v>
      </c>
      <c r="F124" s="1026" t="n">
        <f aca="false">IF(AND(B124&lt;=$D$97,B124&gt;$D$95),$D$101-E124,0)</f>
        <v>661.243001423281</v>
      </c>
      <c r="G124" s="1026" t="n">
        <f aca="false">D124-F124</f>
        <v>140280.749201369</v>
      </c>
      <c r="H124" s="1026" t="n">
        <f aca="false">IF(B124&lt;=$D$97,E124+H123,0)</f>
        <v>6365.60638159073</v>
      </c>
      <c r="I124" s="654" t="n">
        <f aca="false">IF(B124&lt;=$D$97,F124+I123,0)</f>
        <v>9719.25079863066</v>
      </c>
      <c r="K124" s="1027" t="n">
        <f aca="false">K123+1</f>
        <v>15</v>
      </c>
      <c r="L124" s="1025" t="n">
        <f aca="false">IF(K124&lt;=$M$97,DATE(YEAR(L123),MONTH(L123)+12/$M$94,DAY(L123)),"0")</f>
        <v>45415</v>
      </c>
      <c r="M124" s="1026" t="n">
        <f aca="false">IF(K124&lt;=$M$97,P123,0)</f>
        <v>11826.9987342998</v>
      </c>
      <c r="N124" s="1026" t="n">
        <f aca="false">(M124*$M$92*1)/1200</f>
        <v>49.2791613929157</v>
      </c>
      <c r="O124" s="1026" t="n">
        <f aca="false">IF(AND(K124&lt;=$M$97,K124&gt;$M$95),$M$101-N124,0)</f>
        <v>233.789343267249</v>
      </c>
      <c r="P124" s="1026" t="n">
        <f aca="false">M124-O124</f>
        <v>11593.2093910325</v>
      </c>
      <c r="Q124" s="1026" t="n">
        <f aca="false">IF(K124&lt;=$M$97,Q123+N124,0)</f>
        <v>839.236960934993</v>
      </c>
      <c r="R124" s="654" t="n">
        <f aca="false">IF(K124&lt;=$D$97,R123+O124,0)</f>
        <v>3406.79060896748</v>
      </c>
      <c r="T124" s="1027" t="n">
        <f aca="false">T123+1</f>
        <v>15</v>
      </c>
      <c r="U124" s="1025" t="str">
        <f aca="false">IF(T124&lt;=$V$97,DATE(YEAR(U123),MONTH(U123)+12/$V$94,DAY(U123)),"0")</f>
        <v>0</v>
      </c>
      <c r="V124" s="1026" t="n">
        <f aca="false">IF(T124&lt;=$V$97,Y123,0)</f>
        <v>0</v>
      </c>
      <c r="W124" s="1026" t="n">
        <f aca="false">(V124*$V$92*1)/1200</f>
        <v>0</v>
      </c>
      <c r="X124" s="1022" t="n">
        <f aca="false">IF(AND(T124&lt;=$V$97,T124&gt;$V$95),$V$101-W124,0)</f>
        <v>0</v>
      </c>
      <c r="Y124" s="1026" t="n">
        <f aca="false">V124-X124</f>
        <v>0</v>
      </c>
      <c r="Z124" s="1026" t="n">
        <f aca="false">IF(T124&lt;=$V$97,Z123+W124,0)</f>
        <v>0</v>
      </c>
      <c r="AA124" s="654" t="n">
        <f aca="false">IF(T124&lt;=$V$97,AA123+X124,0)</f>
        <v>0</v>
      </c>
      <c r="AB124" s="451"/>
      <c r="AC124" s="1027" t="n">
        <f aca="false">AC123+1</f>
        <v>15</v>
      </c>
      <c r="AD124" s="1025" t="n">
        <f aca="false">IF(AC124&lt;=$AE$97,DATE(YEAR(AD123),MONTH(AD123)+12/$AE$95,DAY(AD123)),"0")</f>
        <v>45385</v>
      </c>
      <c r="AE124" s="1026" t="n">
        <f aca="false">IF(AC124&lt;=$AE$97,AH123,0)</f>
        <v>0</v>
      </c>
      <c r="AF124" s="1026" t="n">
        <f aca="false">(AE124*$AE$93*1)/1200</f>
        <v>0</v>
      </c>
      <c r="AG124" s="1022" t="n">
        <f aca="false">IF(AC124&lt;$AE$97,$AE$101-AF124,0)+IF(AC124=$AE$97,$AE$90+$AE$101-AF124,0)</f>
        <v>0</v>
      </c>
      <c r="AH124" s="1026" t="n">
        <f aca="false">AE124-AG124</f>
        <v>0</v>
      </c>
      <c r="AI124" s="1026" t="n">
        <f aca="false">IF(AC124&lt;=$AE$97,AI123+AF124,0)</f>
        <v>0</v>
      </c>
      <c r="AJ124" s="654" t="n">
        <f aca="false">IF(AC124&lt;=$AE$97,AJ123+AG124,0)</f>
        <v>0</v>
      </c>
      <c r="AL124" s="1027" t="n">
        <f aca="false">AL123+1</f>
        <v>15</v>
      </c>
      <c r="AM124" s="1025" t="n">
        <f aca="false">IF(AL124&lt;=$AN$97,DATE(YEAR(AM123),MONTH(AM123)+12/$AN$95,DAY(AM123)),"0")</f>
        <v>45415</v>
      </c>
      <c r="AN124" s="1026" t="n">
        <f aca="false">IF(AL124&lt;=$AN$97,AQ123,0)</f>
        <v>22007.7101042965</v>
      </c>
      <c r="AO124" s="1026" t="n">
        <f aca="false">(AN124*$AN$93*1)/1200</f>
        <v>91.6987921012356</v>
      </c>
      <c r="AP124" s="1022" t="n">
        <f aca="false">IF(AL124&lt;$AN$97,$AN$101-AO124,0)+IF(AL124=$AN$97,$AN$90+$AN$101-AO124,0)</f>
        <v>957.282606562059</v>
      </c>
      <c r="AQ124" s="1026" t="n">
        <f aca="false">AN124-AP124</f>
        <v>21050.4274977345</v>
      </c>
      <c r="AR124" s="1026" t="n">
        <f aca="false">IF(AL124&lt;=$AN$97,AR123+AO124,0)</f>
        <v>1785.1484776839</v>
      </c>
      <c r="AS124" s="654" t="n">
        <f aca="false">IF(AL124&lt;=$AN$97,AS123+AP124,0)</f>
        <v>13949.5725022655</v>
      </c>
      <c r="AU124" s="1027" t="n">
        <f aca="false">AU123+1</f>
        <v>15</v>
      </c>
      <c r="AV124" s="1025" t="str">
        <f aca="false">IF(AU124&lt;=$AW$97,DATE(YEAR(AV123),MONTH(AV123)+12/$AW$95,DAY(AV123)),"0")</f>
        <v>0</v>
      </c>
      <c r="AW124" s="1026" t="n">
        <f aca="false">IF(AU124&lt;=$AW$97,AZ123,0)</f>
        <v>0</v>
      </c>
      <c r="AX124" s="1026" t="n">
        <f aca="false">(AW124*$AW$93*1)/1200</f>
        <v>0</v>
      </c>
      <c r="AY124" s="1022" t="n">
        <f aca="false">IF(AU124&lt;$AW$97,$AW$101-AX124,0)+IF(AU124=$AW$97,$AW$90+$AW$101-AX124,0)</f>
        <v>0</v>
      </c>
      <c r="AZ124" s="1026" t="n">
        <f aca="false">AW124-AY124</f>
        <v>0</v>
      </c>
      <c r="BA124" s="1026" t="n">
        <f aca="false">IF(AU124&lt;=$AW$97,BA123+AX124,0)</f>
        <v>0</v>
      </c>
      <c r="BB124" s="654" t="n">
        <f aca="false">IF(AU124&lt;=$AW$97,BB123+AY124,0)</f>
        <v>0</v>
      </c>
    </row>
    <row r="125" customFormat="false" ht="12.75" hidden="false" customHeight="false" outlineLevel="0" collapsed="false">
      <c r="B125" s="1024" t="n">
        <v>16</v>
      </c>
      <c r="C125" s="1025" t="n">
        <f aca="false">IF(B125&lt;=$D$97,DATE(YEAR(C124),MONTH(C124)+12/$D$94,DAY(C124)),"0")</f>
        <v>45446</v>
      </c>
      <c r="D125" s="1026" t="n">
        <f aca="false">IF(B125=1,$D$90,G124)</f>
        <v>140280.749201369</v>
      </c>
      <c r="E125" s="1026" t="n">
        <f aca="false">(D125*$D$92*1)/1200</f>
        <v>409.152185170661</v>
      </c>
      <c r="F125" s="1026" t="n">
        <f aca="false">IF(AND(B125&lt;=$D$97,B125&gt;$D$95),$D$101-E125,0)</f>
        <v>663.171626844099</v>
      </c>
      <c r="G125" s="1026" t="n">
        <f aca="false">D125-F125</f>
        <v>139617.577574525</v>
      </c>
      <c r="H125" s="1026" t="n">
        <f aca="false">IF(B125&lt;=$D$97,E125+H124,0)</f>
        <v>6774.75856676139</v>
      </c>
      <c r="I125" s="654" t="n">
        <f aca="false">IF(B125&lt;=$D$97,F125+I124,0)</f>
        <v>10382.4224254748</v>
      </c>
      <c r="K125" s="1027" t="n">
        <f aca="false">K124+1</f>
        <v>16</v>
      </c>
      <c r="L125" s="1025" t="n">
        <f aca="false">IF(K125&lt;=$M$97,DATE(YEAR(L124),MONTH(L124)+12/$M$94,DAY(L124)),"0")</f>
        <v>45446</v>
      </c>
      <c r="M125" s="1026" t="n">
        <f aca="false">IF(K125&lt;=$M$97,P124,0)</f>
        <v>11593.2093910325</v>
      </c>
      <c r="N125" s="1026" t="n">
        <f aca="false">(M125*$M$92*1)/1200</f>
        <v>48.3050391293022</v>
      </c>
      <c r="O125" s="1026" t="n">
        <f aca="false">IF(AND(K125&lt;=$M$97,K125&gt;$M$95),$M$101-N125,0)</f>
        <v>234.763465530863</v>
      </c>
      <c r="P125" s="1026" t="n">
        <f aca="false">M125-O125</f>
        <v>11358.4459255017</v>
      </c>
      <c r="Q125" s="1026" t="n">
        <f aca="false">IF(K125&lt;=$M$97,Q124+N125,0)</f>
        <v>887.542000064295</v>
      </c>
      <c r="R125" s="654" t="n">
        <f aca="false">IF(K125&lt;=$D$97,R124+O125,0)</f>
        <v>3641.55407449834</v>
      </c>
      <c r="T125" s="1027" t="n">
        <f aca="false">T124+1</f>
        <v>16</v>
      </c>
      <c r="U125" s="1025" t="str">
        <f aca="false">IF(T125&lt;=$V$97,DATE(YEAR(U124),MONTH(U124)+12/$V$94,DAY(U124)),"0")</f>
        <v>0</v>
      </c>
      <c r="V125" s="1026" t="n">
        <f aca="false">IF(T125&lt;=$V$97,Y124,0)</f>
        <v>0</v>
      </c>
      <c r="W125" s="1026" t="n">
        <f aca="false">(V125*$V$92*1)/1200</f>
        <v>0</v>
      </c>
      <c r="X125" s="1022" t="n">
        <f aca="false">IF(AND(T125&lt;=$V$97,T125&gt;$V$95),$V$101-W125,0)</f>
        <v>0</v>
      </c>
      <c r="Y125" s="1026" t="n">
        <f aca="false">V125-X125</f>
        <v>0</v>
      </c>
      <c r="Z125" s="1026" t="n">
        <f aca="false">IF(T125&lt;=$V$97,Z124+W125,0)</f>
        <v>0</v>
      </c>
      <c r="AA125" s="654" t="n">
        <f aca="false">IF(T125&lt;=$V$97,AA124+X125,0)</f>
        <v>0</v>
      </c>
      <c r="AB125" s="451"/>
      <c r="AC125" s="1027" t="n">
        <f aca="false">AC124+1</f>
        <v>16</v>
      </c>
      <c r="AD125" s="1025" t="n">
        <f aca="false">IF(AC125&lt;=$AE$97,DATE(YEAR(AD124),MONTH(AD124)+12/$AE$95,DAY(AD124)),"0")</f>
        <v>45415</v>
      </c>
      <c r="AE125" s="1026" t="n">
        <f aca="false">IF(AC125&lt;=$AE$97,AH124,0)</f>
        <v>0</v>
      </c>
      <c r="AF125" s="1026" t="n">
        <f aca="false">(AE125*$AE$93*1)/1200</f>
        <v>0</v>
      </c>
      <c r="AG125" s="1022" t="n">
        <f aca="false">IF(AC125&lt;$AE$97,$AE$101-AF125,0)+IF(AC125=$AE$97,$AE$90+$AE$101-AF125,0)</f>
        <v>0</v>
      </c>
      <c r="AH125" s="1026" t="n">
        <f aca="false">AE125-AG125</f>
        <v>0</v>
      </c>
      <c r="AI125" s="1026" t="n">
        <f aca="false">IF(AC125&lt;=$AE$97,AI124+AF125,0)</f>
        <v>0</v>
      </c>
      <c r="AJ125" s="654" t="n">
        <f aca="false">IF(AC125&lt;=$AE$97,AJ124+AG125,0)</f>
        <v>0</v>
      </c>
      <c r="AL125" s="1027" t="n">
        <f aca="false">AL124+1</f>
        <v>16</v>
      </c>
      <c r="AM125" s="1025" t="n">
        <f aca="false">IF(AL125&lt;=$AN$97,DATE(YEAR(AM124),MONTH(AM124)+12/$AN$95,DAY(AM124)),"0")</f>
        <v>45446</v>
      </c>
      <c r="AN125" s="1026" t="n">
        <f aca="false">IF(AL125&lt;=$AN$97,AQ124,0)</f>
        <v>21050.4274977345</v>
      </c>
      <c r="AO125" s="1026" t="n">
        <f aca="false">(AN125*$AN$93*1)/1200</f>
        <v>87.7101145738937</v>
      </c>
      <c r="AP125" s="1022" t="n">
        <f aca="false">IF(AL125&lt;$AN$97,$AN$101-AO125,0)+IF(AL125=$AN$97,$AN$90+$AN$101-AO125,0)</f>
        <v>961.271284089401</v>
      </c>
      <c r="AQ125" s="1026" t="n">
        <f aca="false">AN125-AP125</f>
        <v>20089.1562136451</v>
      </c>
      <c r="AR125" s="1026" t="n">
        <f aca="false">IF(AL125&lt;=$AN$97,AR124+AO125,0)</f>
        <v>1872.85859225779</v>
      </c>
      <c r="AS125" s="654" t="n">
        <f aca="false">IF(AL125&lt;=$AN$97,AS124+AP125,0)</f>
        <v>14910.8437863549</v>
      </c>
      <c r="AU125" s="1027" t="n">
        <f aca="false">AU124+1</f>
        <v>16</v>
      </c>
      <c r="AV125" s="1025" t="str">
        <f aca="false">IF(AU125&lt;=$AW$97,DATE(YEAR(AV124),MONTH(AV124)+12/$AW$95,DAY(AV124)),"0")</f>
        <v>0</v>
      </c>
      <c r="AW125" s="1026" t="n">
        <f aca="false">IF(AU125&lt;=$AW$97,AZ124,0)</f>
        <v>0</v>
      </c>
      <c r="AX125" s="1026" t="n">
        <f aca="false">(AW125*$AW$93*1)/1200</f>
        <v>0</v>
      </c>
      <c r="AY125" s="1022" t="n">
        <f aca="false">IF(AU125&lt;$AW$97,$AW$101-AX125,0)+IF(AU125=$AW$97,$AW$90+$AW$101-AX125,0)</f>
        <v>0</v>
      </c>
      <c r="AZ125" s="1026" t="n">
        <f aca="false">AW125-AY125</f>
        <v>0</v>
      </c>
      <c r="BA125" s="1026" t="n">
        <f aca="false">IF(AU125&lt;=$AW$97,BA124+AX125,0)</f>
        <v>0</v>
      </c>
      <c r="BB125" s="654" t="n">
        <f aca="false">IF(AU125&lt;=$AW$97,BB124+AY125,0)</f>
        <v>0</v>
      </c>
    </row>
    <row r="126" customFormat="false" ht="12.75" hidden="false" customHeight="false" outlineLevel="0" collapsed="false">
      <c r="B126" s="1024" t="n">
        <v>17</v>
      </c>
      <c r="C126" s="1025" t="n">
        <f aca="false">IF(B126&lt;=$D$97,DATE(YEAR(C125),MONTH(C125)+12/$D$94,DAY(C125)),"0")</f>
        <v>45476</v>
      </c>
      <c r="D126" s="1026" t="n">
        <f aca="false">IF(B126=1,$D$90,G125)</f>
        <v>139617.577574525</v>
      </c>
      <c r="E126" s="1026" t="n">
        <f aca="false">(D126*$D$92*1)/1200</f>
        <v>407.217934592365</v>
      </c>
      <c r="F126" s="1026" t="n">
        <f aca="false">IF(AND(B126&lt;=$D$97,B126&gt;$D$95),$D$101-E126,0)</f>
        <v>665.105877422394</v>
      </c>
      <c r="G126" s="1026" t="n">
        <f aca="false">D126-F126</f>
        <v>138952.471697103</v>
      </c>
      <c r="H126" s="1026" t="n">
        <f aca="false">IF(B126&lt;=$D$97,E126+H125,0)</f>
        <v>7181.97650135376</v>
      </c>
      <c r="I126" s="654" t="n">
        <f aca="false">IF(B126&lt;=$D$97,F126+I125,0)</f>
        <v>11047.5283028972</v>
      </c>
      <c r="K126" s="1027" t="n">
        <f aca="false">K125+1</f>
        <v>17</v>
      </c>
      <c r="L126" s="1025" t="n">
        <f aca="false">IF(K126&lt;=$M$97,DATE(YEAR(L125),MONTH(L125)+12/$M$94,DAY(L125)),"0")</f>
        <v>45476</v>
      </c>
      <c r="M126" s="1026" t="n">
        <f aca="false">IF(K126&lt;=$M$97,P125,0)</f>
        <v>11358.4459255017</v>
      </c>
      <c r="N126" s="1026" t="n">
        <f aca="false">(M126*$M$92*1)/1200</f>
        <v>47.3268580229236</v>
      </c>
      <c r="O126" s="1026" t="n">
        <f aca="false">IF(AND(K126&lt;=$M$97,K126&gt;$M$95),$M$101-N126,0)</f>
        <v>235.741646637241</v>
      </c>
      <c r="P126" s="1026" t="n">
        <f aca="false">M126-O126</f>
        <v>11122.7042788644</v>
      </c>
      <c r="Q126" s="1026" t="n">
        <f aca="false">IF(K126&lt;=$M$97,Q125+N126,0)</f>
        <v>934.868858087218</v>
      </c>
      <c r="R126" s="654" t="n">
        <f aca="false">IF(K126&lt;=$D$97,R125+O126,0)</f>
        <v>3877.29572113558</v>
      </c>
      <c r="T126" s="1027" t="n">
        <f aca="false">T125+1</f>
        <v>17</v>
      </c>
      <c r="U126" s="1025" t="str">
        <f aca="false">IF(T126&lt;=$V$97,DATE(YEAR(U125),MONTH(U125)+12/$V$94,DAY(U125)),"0")</f>
        <v>0</v>
      </c>
      <c r="V126" s="1026" t="n">
        <f aca="false">IF(T126&lt;=$V$97,Y125,0)</f>
        <v>0</v>
      </c>
      <c r="W126" s="1026" t="n">
        <f aca="false">(V126*$V$92*1)/1200</f>
        <v>0</v>
      </c>
      <c r="X126" s="1022" t="n">
        <f aca="false">IF(AND(T126&lt;=$V$97,T126&gt;$V$95),$V$101-W126,0)</f>
        <v>0</v>
      </c>
      <c r="Y126" s="1026" t="n">
        <f aca="false">V126-X126</f>
        <v>0</v>
      </c>
      <c r="Z126" s="1026" t="n">
        <f aca="false">IF(T126&lt;=$V$97,Z125+W126,0)</f>
        <v>0</v>
      </c>
      <c r="AA126" s="654" t="n">
        <f aca="false">IF(T126&lt;=$V$97,AA125+X126,0)</f>
        <v>0</v>
      </c>
      <c r="AB126" s="451"/>
      <c r="AC126" s="1027" t="n">
        <f aca="false">AC125+1</f>
        <v>17</v>
      </c>
      <c r="AD126" s="1025" t="n">
        <f aca="false">IF(AC126&lt;=$AE$97,DATE(YEAR(AD125),MONTH(AD125)+12/$AE$95,DAY(AD125)),"0")</f>
        <v>45446</v>
      </c>
      <c r="AE126" s="1026" t="n">
        <f aca="false">IF(AC126&lt;=$AE$97,AH125,0)</f>
        <v>0</v>
      </c>
      <c r="AF126" s="1026" t="n">
        <f aca="false">(AE126*$AE$93*1)/1200</f>
        <v>0</v>
      </c>
      <c r="AG126" s="1022" t="n">
        <f aca="false">IF(AC126&lt;$AE$97,$AE$101-AF126,0)+IF(AC126=$AE$97,$AE$90+$AE$101-AF126,0)</f>
        <v>0</v>
      </c>
      <c r="AH126" s="1026" t="n">
        <f aca="false">AE126-AG126</f>
        <v>0</v>
      </c>
      <c r="AI126" s="1026" t="n">
        <f aca="false">IF(AC126&lt;=$AE$97,AI125+AF126,0)</f>
        <v>0</v>
      </c>
      <c r="AJ126" s="654" t="n">
        <f aca="false">IF(AC126&lt;=$AE$97,AJ125+AG126,0)</f>
        <v>0</v>
      </c>
      <c r="AL126" s="1027" t="n">
        <f aca="false">AL125+1</f>
        <v>17</v>
      </c>
      <c r="AM126" s="1025" t="n">
        <f aca="false">IF(AL126&lt;=$AN$97,DATE(YEAR(AM125),MONTH(AM125)+12/$AN$95,DAY(AM125)),"0")</f>
        <v>45476</v>
      </c>
      <c r="AN126" s="1026" t="n">
        <f aca="false">IF(AL126&lt;=$AN$97,AQ125,0)</f>
        <v>20089.1562136451</v>
      </c>
      <c r="AO126" s="1026" t="n">
        <f aca="false">(AN126*$AN$93*1)/1200</f>
        <v>83.7048175568545</v>
      </c>
      <c r="AP126" s="1022" t="n">
        <f aca="false">IF(AL126&lt;$AN$97,$AN$101-AO126,0)+IF(AL126=$AN$97,$AN$90+$AN$101-AO126,0)</f>
        <v>965.27658110644</v>
      </c>
      <c r="AQ126" s="1026" t="n">
        <f aca="false">AN126-AP126</f>
        <v>19123.8796325386</v>
      </c>
      <c r="AR126" s="1026" t="n">
        <f aca="false">IF(AL126&lt;=$AN$97,AR125+AO126,0)</f>
        <v>1956.56340981464</v>
      </c>
      <c r="AS126" s="654" t="n">
        <f aca="false">IF(AL126&lt;=$AN$97,AS125+AP126,0)</f>
        <v>15876.1203674614</v>
      </c>
      <c r="AU126" s="1027" t="n">
        <f aca="false">AU125+1</f>
        <v>17</v>
      </c>
      <c r="AV126" s="1025" t="str">
        <f aca="false">IF(AU126&lt;=$AW$97,DATE(YEAR(AV125),MONTH(AV125)+12/$AW$95,DAY(AV125)),"0")</f>
        <v>0</v>
      </c>
      <c r="AW126" s="1026" t="n">
        <f aca="false">IF(AU126&lt;=$AW$97,AZ125,0)</f>
        <v>0</v>
      </c>
      <c r="AX126" s="1026" t="n">
        <f aca="false">(AW126*$AW$93*1)/1200</f>
        <v>0</v>
      </c>
      <c r="AY126" s="1022" t="n">
        <f aca="false">IF(AU126&lt;$AW$97,$AW$101-AX126,0)+IF(AU126=$AW$97,$AW$90+$AW$101-AX126,0)</f>
        <v>0</v>
      </c>
      <c r="AZ126" s="1026" t="n">
        <f aca="false">AW126-AY126</f>
        <v>0</v>
      </c>
      <c r="BA126" s="1026" t="n">
        <f aca="false">IF(AU126&lt;=$AW$97,BA125+AX126,0)</f>
        <v>0</v>
      </c>
      <c r="BB126" s="654" t="n">
        <f aca="false">IF(AU126&lt;=$AW$97,BB125+AY126,0)</f>
        <v>0</v>
      </c>
    </row>
    <row r="127" customFormat="false" ht="12.75" hidden="false" customHeight="false" outlineLevel="0" collapsed="false">
      <c r="B127" s="1024" t="n">
        <v>18</v>
      </c>
      <c r="C127" s="1025" t="n">
        <f aca="false">IF(B127&lt;=$D$97,DATE(YEAR(C126),MONTH(C126)+12/$D$94,DAY(C126)),"0")</f>
        <v>45507</v>
      </c>
      <c r="D127" s="1026" t="n">
        <f aca="false">IF(B127=1,$D$90,G126)</f>
        <v>138952.471697103</v>
      </c>
      <c r="E127" s="1026" t="n">
        <f aca="false">(D127*$D$92*1)/1200</f>
        <v>405.278042449883</v>
      </c>
      <c r="F127" s="1026" t="n">
        <f aca="false">IF(AND(B127&lt;=$D$97,B127&gt;$D$95),$D$101-E127,0)</f>
        <v>667.045769564876</v>
      </c>
      <c r="G127" s="1026" t="n">
        <f aca="false">D127-F127</f>
        <v>138285.425927538</v>
      </c>
      <c r="H127" s="1026" t="n">
        <f aca="false">IF(B127&lt;=$D$97,E127+H126,0)</f>
        <v>7587.25454380364</v>
      </c>
      <c r="I127" s="654" t="n">
        <f aca="false">IF(B127&lt;=$D$97,F127+I126,0)</f>
        <v>11714.574072462</v>
      </c>
      <c r="K127" s="1027" t="n">
        <f aca="false">K126+1</f>
        <v>18</v>
      </c>
      <c r="L127" s="1025" t="n">
        <f aca="false">IF(K127&lt;=$M$97,DATE(YEAR(L126),MONTH(L126)+12/$M$94,DAY(L126)),"0")</f>
        <v>45507</v>
      </c>
      <c r="M127" s="1026" t="n">
        <f aca="false">IF(K127&lt;=$M$97,P126,0)</f>
        <v>11122.7042788644</v>
      </c>
      <c r="N127" s="1026" t="n">
        <f aca="false">(M127*$M$92*1)/1200</f>
        <v>46.3446011619351</v>
      </c>
      <c r="O127" s="1026" t="n">
        <f aca="false">IF(AND(K127&lt;=$M$97,K127&gt;$M$95),$M$101-N127,0)</f>
        <v>236.72390349823</v>
      </c>
      <c r="P127" s="1026" t="n">
        <f aca="false">M127-O127</f>
        <v>10885.9803753662</v>
      </c>
      <c r="Q127" s="1026" t="n">
        <f aca="false">IF(K127&lt;=$M$97,Q126+N127,0)</f>
        <v>981.213459249154</v>
      </c>
      <c r="R127" s="654" t="n">
        <f aca="false">IF(K127&lt;=$D$97,R126+O127,0)</f>
        <v>4114.01962463381</v>
      </c>
      <c r="T127" s="1027" t="n">
        <f aca="false">T126+1</f>
        <v>18</v>
      </c>
      <c r="U127" s="1025" t="str">
        <f aca="false">IF(T127&lt;=$V$97,DATE(YEAR(U126),MONTH(U126)+12/$V$94,DAY(U126)),"0")</f>
        <v>0</v>
      </c>
      <c r="V127" s="1026" t="n">
        <f aca="false">IF(T127&lt;=$V$97,Y126,0)</f>
        <v>0</v>
      </c>
      <c r="W127" s="1026" t="n">
        <f aca="false">(V127*$V$92*1)/1200</f>
        <v>0</v>
      </c>
      <c r="X127" s="1022" t="n">
        <f aca="false">IF(AND(T127&lt;=$V$97,T127&gt;$V$95),$V$101-W127,0)</f>
        <v>0</v>
      </c>
      <c r="Y127" s="1026" t="n">
        <f aca="false">V127-X127</f>
        <v>0</v>
      </c>
      <c r="Z127" s="1026" t="n">
        <f aca="false">IF(T127&lt;=$V$97,Z126+W127,0)</f>
        <v>0</v>
      </c>
      <c r="AA127" s="654" t="n">
        <f aca="false">IF(T127&lt;=$V$97,AA126+X127,0)</f>
        <v>0</v>
      </c>
      <c r="AB127" s="451"/>
      <c r="AC127" s="1027" t="n">
        <f aca="false">AC126+1</f>
        <v>18</v>
      </c>
      <c r="AD127" s="1025" t="n">
        <f aca="false">IF(AC127&lt;=$AE$97,DATE(YEAR(AD126),MONTH(AD126)+12/$AE$95,DAY(AD126)),"0")</f>
        <v>45476</v>
      </c>
      <c r="AE127" s="1026" t="n">
        <f aca="false">IF(AC127&lt;=$AE$97,AH126,0)</f>
        <v>0</v>
      </c>
      <c r="AF127" s="1026" t="n">
        <f aca="false">(AE127*$AE$93*1)/1200</f>
        <v>0</v>
      </c>
      <c r="AG127" s="1022" t="n">
        <f aca="false">IF(AC127&lt;$AE$97,$AE$101-AF127,0)+IF(AC127=$AE$97,$AE$90+$AE$101-AF127,0)</f>
        <v>0</v>
      </c>
      <c r="AH127" s="1026" t="n">
        <f aca="false">AE127-AG127</f>
        <v>0</v>
      </c>
      <c r="AI127" s="1026" t="n">
        <f aca="false">IF(AC127&lt;=$AE$97,AI126+AF127,0)</f>
        <v>0</v>
      </c>
      <c r="AJ127" s="654" t="n">
        <f aca="false">IF(AC127&lt;=$AE$97,AJ126+AG127,0)</f>
        <v>0</v>
      </c>
      <c r="AL127" s="1027" t="n">
        <f aca="false">AL126+1</f>
        <v>18</v>
      </c>
      <c r="AM127" s="1025" t="n">
        <f aca="false">IF(AL127&lt;=$AN$97,DATE(YEAR(AM126),MONTH(AM126)+12/$AN$95,DAY(AM126)),"0")</f>
        <v>45507</v>
      </c>
      <c r="AN127" s="1026" t="n">
        <f aca="false">IF(AL127&lt;=$AN$97,AQ126,0)</f>
        <v>19123.8796325386</v>
      </c>
      <c r="AO127" s="1026" t="n">
        <f aca="false">(AN127*$AN$93*1)/1200</f>
        <v>79.6828318022443</v>
      </c>
      <c r="AP127" s="1022" t="n">
        <f aca="false">IF(AL127&lt;$AN$97,$AN$101-AO127,0)+IF(AL127=$AN$97,$AN$90+$AN$101-AO127,0)</f>
        <v>969.298566861051</v>
      </c>
      <c r="AQ127" s="1026" t="n">
        <f aca="false">AN127-AP127</f>
        <v>18154.5810656776</v>
      </c>
      <c r="AR127" s="1026" t="n">
        <f aca="false">IF(AL127&lt;=$AN$97,AR126+AO127,0)</f>
        <v>2036.24624161689</v>
      </c>
      <c r="AS127" s="654" t="n">
        <f aca="false">IF(AL127&lt;=$AN$97,AS126+AP127,0)</f>
        <v>16845.4189343224</v>
      </c>
      <c r="AU127" s="1027" t="n">
        <f aca="false">AU126+1</f>
        <v>18</v>
      </c>
      <c r="AV127" s="1025" t="str">
        <f aca="false">IF(AU127&lt;=$AW$97,DATE(YEAR(AV126),MONTH(AV126)+12/$AW$95,DAY(AV126)),"0")</f>
        <v>0</v>
      </c>
      <c r="AW127" s="1026" t="n">
        <f aca="false">IF(AU127&lt;=$AW$97,AZ126,0)</f>
        <v>0</v>
      </c>
      <c r="AX127" s="1026" t="n">
        <f aca="false">(AW127*$AW$93*1)/1200</f>
        <v>0</v>
      </c>
      <c r="AY127" s="1022" t="n">
        <f aca="false">IF(AU127&lt;$AW$97,$AW$101-AX127,0)+IF(AU127=$AW$97,$AW$90+$AW$101-AX127,0)</f>
        <v>0</v>
      </c>
      <c r="AZ127" s="1026" t="n">
        <f aca="false">AW127-AY127</f>
        <v>0</v>
      </c>
      <c r="BA127" s="1026" t="n">
        <f aca="false">IF(AU127&lt;=$AW$97,BA126+AX127,0)</f>
        <v>0</v>
      </c>
      <c r="BB127" s="654" t="n">
        <f aca="false">IF(AU127&lt;=$AW$97,BB126+AY127,0)</f>
        <v>0</v>
      </c>
    </row>
    <row r="128" customFormat="false" ht="12.75" hidden="false" customHeight="false" outlineLevel="0" collapsed="false">
      <c r="B128" s="1024" t="n">
        <v>19</v>
      </c>
      <c r="C128" s="1025" t="n">
        <f aca="false">IF(B128&lt;=$D$97,DATE(YEAR(C127),MONTH(C127)+12/$D$94,DAY(C127)),"0")</f>
        <v>45538</v>
      </c>
      <c r="D128" s="1026" t="n">
        <f aca="false">IF(B128=1,$D$90,G127)</f>
        <v>138285.425927538</v>
      </c>
      <c r="E128" s="1026" t="n">
        <f aca="false">(D128*$D$92*1)/1200</f>
        <v>403.332492288653</v>
      </c>
      <c r="F128" s="1026" t="n">
        <f aca="false">IF(AND(B128&lt;=$D$97,B128&gt;$D$95),$D$101-E128,0)</f>
        <v>668.991319726107</v>
      </c>
      <c r="G128" s="1026" t="n">
        <f aca="false">D128-F128</f>
        <v>137616.434607812</v>
      </c>
      <c r="H128" s="1026" t="n">
        <f aca="false">IF(B128&lt;=$D$97,E128+H127,0)</f>
        <v>7990.58703609229</v>
      </c>
      <c r="I128" s="654" t="n">
        <f aca="false">IF(B128&lt;=$D$97,F128+I127,0)</f>
        <v>12383.5653921881</v>
      </c>
      <c r="K128" s="1027" t="n">
        <f aca="false">K127+1</f>
        <v>19</v>
      </c>
      <c r="L128" s="1025" t="n">
        <f aca="false">IF(K128&lt;=$M$97,DATE(YEAR(L127),MONTH(L127)+12/$M$94,DAY(L127)),"0")</f>
        <v>45538</v>
      </c>
      <c r="M128" s="1026" t="n">
        <f aca="false">IF(K128&lt;=$M$97,P127,0)</f>
        <v>10885.9803753662</v>
      </c>
      <c r="N128" s="1026" t="n">
        <f aca="false">(M128*$M$92*1)/1200</f>
        <v>45.3582515640258</v>
      </c>
      <c r="O128" s="1026" t="n">
        <f aca="false">IF(AND(K128&lt;=$M$97,K128&gt;$M$95),$M$101-N128,0)</f>
        <v>237.710253096139</v>
      </c>
      <c r="P128" s="1026" t="n">
        <f aca="false">M128-O128</f>
        <v>10648.27012227</v>
      </c>
      <c r="Q128" s="1026" t="n">
        <f aca="false">IF(K128&lt;=$M$97,Q127+N128,0)</f>
        <v>1026.57171081318</v>
      </c>
      <c r="R128" s="654" t="n">
        <f aca="false">IF(K128&lt;=$D$97,R127+O128,0)</f>
        <v>4351.72987772995</v>
      </c>
      <c r="T128" s="1027" t="n">
        <f aca="false">T127+1</f>
        <v>19</v>
      </c>
      <c r="U128" s="1025" t="str">
        <f aca="false">IF(T128&lt;=$V$97,DATE(YEAR(U127),MONTH(U127)+12/$V$94,DAY(U127)),"0")</f>
        <v>0</v>
      </c>
      <c r="V128" s="1026" t="n">
        <f aca="false">IF(T128&lt;=$V$97,Y127,0)</f>
        <v>0</v>
      </c>
      <c r="W128" s="1026" t="n">
        <f aca="false">(V128*$V$92*1)/1200</f>
        <v>0</v>
      </c>
      <c r="X128" s="1022" t="n">
        <f aca="false">IF(AND(T128&lt;=$V$97,T128&gt;$V$95),$V$101-W128,0)</f>
        <v>0</v>
      </c>
      <c r="Y128" s="1026" t="n">
        <f aca="false">V128-X128</f>
        <v>0</v>
      </c>
      <c r="Z128" s="1026" t="n">
        <f aca="false">IF(T128&lt;=$V$97,Z127+W128,0)</f>
        <v>0</v>
      </c>
      <c r="AA128" s="654" t="n">
        <f aca="false">IF(T128&lt;=$V$97,AA127+X128,0)</f>
        <v>0</v>
      </c>
      <c r="AB128" s="451"/>
      <c r="AC128" s="1027" t="n">
        <f aca="false">AC127+1</f>
        <v>19</v>
      </c>
      <c r="AD128" s="1025" t="n">
        <f aca="false">IF(AC128&lt;=$AE$97,DATE(YEAR(AD127),MONTH(AD127)+12/$AE$95,DAY(AD127)),"0")</f>
        <v>45507</v>
      </c>
      <c r="AE128" s="1026" t="n">
        <f aca="false">IF(AC128&lt;=$AE$97,AH127,0)</f>
        <v>0</v>
      </c>
      <c r="AF128" s="1026" t="n">
        <f aca="false">(AE128*$AE$93*1)/1200</f>
        <v>0</v>
      </c>
      <c r="AG128" s="1022" t="n">
        <f aca="false">IF(AC128&lt;$AE$97,$AE$101-AF128,0)+IF(AC128=$AE$97,$AE$90+$AE$101-AF128,0)</f>
        <v>0</v>
      </c>
      <c r="AH128" s="1026" t="n">
        <f aca="false">AE128-AG128</f>
        <v>0</v>
      </c>
      <c r="AI128" s="1026" t="n">
        <f aca="false">IF(AC128&lt;=$AE$97,AI127+AF128,0)</f>
        <v>0</v>
      </c>
      <c r="AJ128" s="654" t="n">
        <f aca="false">IF(AC128&lt;=$AE$97,AJ127+AG128,0)</f>
        <v>0</v>
      </c>
      <c r="AL128" s="1027" t="n">
        <f aca="false">AL127+1</f>
        <v>19</v>
      </c>
      <c r="AM128" s="1025" t="n">
        <f aca="false">IF(AL128&lt;=$AN$97,DATE(YEAR(AM127),MONTH(AM127)+12/$AN$95,DAY(AM127)),"0")</f>
        <v>45538</v>
      </c>
      <c r="AN128" s="1026" t="n">
        <f aca="false">IF(AL128&lt;=$AN$97,AQ127,0)</f>
        <v>18154.5810656776</v>
      </c>
      <c r="AO128" s="1026" t="n">
        <f aca="false">(AN128*$AN$93*1)/1200</f>
        <v>75.6440877736566</v>
      </c>
      <c r="AP128" s="1022" t="n">
        <f aca="false">IF(AL128&lt;$AN$97,$AN$101-AO128,0)+IF(AL128=$AN$97,$AN$90+$AN$101-AO128,0)</f>
        <v>973.337310889638</v>
      </c>
      <c r="AQ128" s="1026" t="n">
        <f aca="false">AN128-AP128</f>
        <v>17181.243754788</v>
      </c>
      <c r="AR128" s="1026" t="n">
        <f aca="false">IF(AL128&lt;=$AN$97,AR127+AO128,0)</f>
        <v>2111.89032939055</v>
      </c>
      <c r="AS128" s="654" t="n">
        <f aca="false">IF(AL128&lt;=$AN$97,AS127+AP128,0)</f>
        <v>17818.7562452121</v>
      </c>
      <c r="AU128" s="1027" t="n">
        <f aca="false">AU127+1</f>
        <v>19</v>
      </c>
      <c r="AV128" s="1025" t="str">
        <f aca="false">IF(AU128&lt;=$AW$97,DATE(YEAR(AV127),MONTH(AV127)+12/$AW$95,DAY(AV127)),"0")</f>
        <v>0</v>
      </c>
      <c r="AW128" s="1026" t="n">
        <f aca="false">IF(AU128&lt;=$AW$97,AZ127,0)</f>
        <v>0</v>
      </c>
      <c r="AX128" s="1026" t="n">
        <f aca="false">(AW128*$AW$93*1)/1200</f>
        <v>0</v>
      </c>
      <c r="AY128" s="1022" t="n">
        <f aca="false">IF(AU128&lt;$AW$97,$AW$101-AX128,0)+IF(AU128=$AW$97,$AW$90+$AW$101-AX128,0)</f>
        <v>0</v>
      </c>
      <c r="AZ128" s="1026" t="n">
        <f aca="false">AW128-AY128</f>
        <v>0</v>
      </c>
      <c r="BA128" s="1026" t="n">
        <f aca="false">IF(AU128&lt;=$AW$97,BA127+AX128,0)</f>
        <v>0</v>
      </c>
      <c r="BB128" s="654" t="n">
        <f aca="false">IF(AU128&lt;=$AW$97,BB127+AY128,0)</f>
        <v>0</v>
      </c>
    </row>
    <row r="129" customFormat="false" ht="12.75" hidden="false" customHeight="false" outlineLevel="0" collapsed="false">
      <c r="B129" s="1024" t="n">
        <v>20</v>
      </c>
      <c r="C129" s="1025" t="n">
        <f aca="false">IF(B129&lt;=$D$97,DATE(YEAR(C128),MONTH(C128)+12/$D$94,DAY(C128)),"0")</f>
        <v>45568</v>
      </c>
      <c r="D129" s="1026" t="n">
        <f aca="false">IF(B129=1,$D$90,G128)</f>
        <v>137616.434607812</v>
      </c>
      <c r="E129" s="1026" t="n">
        <f aca="false">(D129*$D$92*1)/1200</f>
        <v>401.381267606118</v>
      </c>
      <c r="F129" s="1026" t="n">
        <f aca="false">IF(AND(B129&lt;=$D$97,B129&gt;$D$95),$D$101-E129,0)</f>
        <v>670.942544408641</v>
      </c>
      <c r="G129" s="1026" t="n">
        <f aca="false">D129-F129</f>
        <v>136945.492063403</v>
      </c>
      <c r="H129" s="1026" t="n">
        <f aca="false">IF(B129&lt;=$D$97,E129+H128,0)</f>
        <v>8391.96830369841</v>
      </c>
      <c r="I129" s="654" t="n">
        <f aca="false">IF(B129&lt;=$D$97,F129+I128,0)</f>
        <v>13054.5079365968</v>
      </c>
      <c r="K129" s="1027" t="n">
        <f aca="false">K128+1</f>
        <v>20</v>
      </c>
      <c r="L129" s="1025" t="n">
        <f aca="false">IF(K129&lt;=$M$97,DATE(YEAR(L128),MONTH(L128)+12/$M$94,DAY(L128)),"0")</f>
        <v>45568</v>
      </c>
      <c r="M129" s="1026" t="n">
        <f aca="false">IF(K129&lt;=$M$97,P128,0)</f>
        <v>10648.27012227</v>
      </c>
      <c r="N129" s="1026" t="n">
        <f aca="false">(M129*$M$92*1)/1200</f>
        <v>44.3677921761252</v>
      </c>
      <c r="O129" s="1026" t="n">
        <f aca="false">IF(AND(K129&lt;=$M$97,K129&gt;$M$95),$M$101-N129,0)</f>
        <v>238.70071248404</v>
      </c>
      <c r="P129" s="1026" t="n">
        <f aca="false">M129-O129</f>
        <v>10409.569409786</v>
      </c>
      <c r="Q129" s="1026" t="n">
        <f aca="false">IF(K129&lt;=$M$97,Q128+N129,0)</f>
        <v>1070.9395029893</v>
      </c>
      <c r="R129" s="654" t="n">
        <f aca="false">IF(K129&lt;=$D$97,R128+O129,0)</f>
        <v>4590.43059021399</v>
      </c>
      <c r="T129" s="1027" t="n">
        <f aca="false">T128+1</f>
        <v>20</v>
      </c>
      <c r="U129" s="1025" t="str">
        <f aca="false">IF(T129&lt;=$V$97,DATE(YEAR(U128),MONTH(U128)+12/$V$94,DAY(U128)),"0")</f>
        <v>0</v>
      </c>
      <c r="V129" s="1026" t="n">
        <f aca="false">IF(T129&lt;=$V$97,Y128,0)</f>
        <v>0</v>
      </c>
      <c r="W129" s="1026" t="n">
        <f aca="false">(V129*$V$92*1)/1200</f>
        <v>0</v>
      </c>
      <c r="X129" s="1022" t="n">
        <f aca="false">IF(AND(T129&lt;=$V$97,T129&gt;$V$95),$V$101-W129,0)</f>
        <v>0</v>
      </c>
      <c r="Y129" s="1026" t="n">
        <f aca="false">V129-X129</f>
        <v>0</v>
      </c>
      <c r="Z129" s="1026" t="n">
        <f aca="false">IF(T129&lt;=$V$97,Z128+W129,0)</f>
        <v>0</v>
      </c>
      <c r="AA129" s="654" t="n">
        <f aca="false">IF(T129&lt;=$V$97,AA128+X129,0)</f>
        <v>0</v>
      </c>
      <c r="AB129" s="451"/>
      <c r="AC129" s="1027" t="n">
        <f aca="false">AC128+1</f>
        <v>20</v>
      </c>
      <c r="AD129" s="1025" t="n">
        <f aca="false">IF(AC129&lt;=$AE$97,DATE(YEAR(AD128),MONTH(AD128)+12/$AE$95,DAY(AD128)),"0")</f>
        <v>45538</v>
      </c>
      <c r="AE129" s="1026" t="n">
        <f aca="false">IF(AC129&lt;=$AE$97,AH128,0)</f>
        <v>0</v>
      </c>
      <c r="AF129" s="1026" t="n">
        <f aca="false">(AE129*$AE$93*1)/1200</f>
        <v>0</v>
      </c>
      <c r="AG129" s="1022" t="n">
        <f aca="false">IF(AC129&lt;$AE$97,$AE$101-AF129,0)+IF(AC129=$AE$97,$AE$90+$AE$101-AF129,0)</f>
        <v>0</v>
      </c>
      <c r="AH129" s="1026" t="n">
        <f aca="false">AE129-AG129</f>
        <v>0</v>
      </c>
      <c r="AI129" s="1026" t="n">
        <f aca="false">IF(AC129&lt;=$AE$97,AI128+AF129,0)</f>
        <v>0</v>
      </c>
      <c r="AJ129" s="654" t="n">
        <f aca="false">IF(AC129&lt;=$AE$97,AJ128+AG129,0)</f>
        <v>0</v>
      </c>
      <c r="AL129" s="1027" t="n">
        <f aca="false">AL128+1</f>
        <v>20</v>
      </c>
      <c r="AM129" s="1025" t="n">
        <f aca="false">IF(AL129&lt;=$AN$97,DATE(YEAR(AM128),MONTH(AM128)+12/$AN$95,DAY(AM128)),"0")</f>
        <v>45568</v>
      </c>
      <c r="AN129" s="1026" t="n">
        <f aca="false">IF(AL129&lt;=$AN$97,AQ128,0)</f>
        <v>17181.243754788</v>
      </c>
      <c r="AO129" s="1026" t="n">
        <f aca="false">(AN129*$AN$93*1)/1200</f>
        <v>71.5885156449498</v>
      </c>
      <c r="AP129" s="1022" t="n">
        <f aca="false">IF(AL129&lt;$AN$97,$AN$101-AO129,0)+IF(AL129=$AN$97,$AN$90+$AN$101-AO129,0)</f>
        <v>977.392883018345</v>
      </c>
      <c r="AQ129" s="1026" t="n">
        <f aca="false">AN129-AP129</f>
        <v>16203.8508717696</v>
      </c>
      <c r="AR129" s="1026" t="n">
        <f aca="false">IF(AL129&lt;=$AN$97,AR128+AO129,0)</f>
        <v>2183.4788450355</v>
      </c>
      <c r="AS129" s="654" t="n">
        <f aca="false">IF(AL129&lt;=$AN$97,AS128+AP129,0)</f>
        <v>18796.1491282304</v>
      </c>
      <c r="AU129" s="1027" t="n">
        <f aca="false">AU128+1</f>
        <v>20</v>
      </c>
      <c r="AV129" s="1025" t="str">
        <f aca="false">IF(AU129&lt;=$AW$97,DATE(YEAR(AV128),MONTH(AV128)+12/$AW$95,DAY(AV128)),"0")</f>
        <v>0</v>
      </c>
      <c r="AW129" s="1026" t="n">
        <f aca="false">IF(AU129&lt;=$AW$97,AZ128,0)</f>
        <v>0</v>
      </c>
      <c r="AX129" s="1026" t="n">
        <f aca="false">(AW129*$AW$93*1)/1200</f>
        <v>0</v>
      </c>
      <c r="AY129" s="1022" t="n">
        <f aca="false">IF(AU129&lt;$AW$97,$AW$101-AX129,0)+IF(AU129=$AW$97,$AW$90+$AW$101-AX129,0)</f>
        <v>0</v>
      </c>
      <c r="AZ129" s="1026" t="n">
        <f aca="false">AW129-AY129</f>
        <v>0</v>
      </c>
      <c r="BA129" s="1026" t="n">
        <f aca="false">IF(AU129&lt;=$AW$97,BA128+AX129,0)</f>
        <v>0</v>
      </c>
      <c r="BB129" s="654" t="n">
        <f aca="false">IF(AU129&lt;=$AW$97,BB128+AY129,0)</f>
        <v>0</v>
      </c>
    </row>
    <row r="130" customFormat="false" ht="12.75" hidden="false" customHeight="false" outlineLevel="0" collapsed="false">
      <c r="B130" s="1024" t="n">
        <v>21</v>
      </c>
      <c r="C130" s="1025" t="n">
        <f aca="false">IF(B130&lt;=$D$97,DATE(YEAR(C129),MONTH(C129)+12/$D$94,DAY(C129)),"0")</f>
        <v>45599</v>
      </c>
      <c r="D130" s="1026" t="n">
        <f aca="false">IF(B130=1,$D$90,G129)</f>
        <v>136945.492063403</v>
      </c>
      <c r="E130" s="1026" t="n">
        <f aca="false">(D130*$D$92*1)/1200</f>
        <v>399.424351851593</v>
      </c>
      <c r="F130" s="1026" t="n">
        <f aca="false">IF(AND(B130&lt;=$D$97,B130&gt;$D$95),$D$101-E130,0)</f>
        <v>672.899460163167</v>
      </c>
      <c r="G130" s="1026" t="n">
        <f aca="false">D130-F130</f>
        <v>136272.59260324</v>
      </c>
      <c r="H130" s="1026" t="n">
        <f aca="false">IF(B130&lt;=$D$97,E130+H129,0)</f>
        <v>8791.39265555</v>
      </c>
      <c r="I130" s="654" t="n">
        <f aca="false">IF(B130&lt;=$D$97,F130+I129,0)</f>
        <v>13727.4073967599</v>
      </c>
      <c r="K130" s="1027" t="n">
        <f aca="false">K129+1</f>
        <v>21</v>
      </c>
      <c r="L130" s="1025" t="n">
        <f aca="false">IF(K130&lt;=$M$97,DATE(YEAR(L129),MONTH(L129)+12/$M$94,DAY(L129)),"0")</f>
        <v>45599</v>
      </c>
      <c r="M130" s="1026" t="n">
        <f aca="false">IF(K130&lt;=$M$97,P129,0)</f>
        <v>10409.569409786</v>
      </c>
      <c r="N130" s="1026" t="n">
        <f aca="false">(M130*$M$92*1)/1200</f>
        <v>43.3732058741084</v>
      </c>
      <c r="O130" s="1026" t="n">
        <f aca="false">IF(AND(K130&lt;=$M$97,K130&gt;$M$95),$M$101-N130,0)</f>
        <v>239.695298786057</v>
      </c>
      <c r="P130" s="1026" t="n">
        <f aca="false">M130-O130</f>
        <v>10169.8741109999</v>
      </c>
      <c r="Q130" s="1026" t="n">
        <f aca="false">IF(K130&lt;=$M$97,Q129+N130,0)</f>
        <v>1114.31270886341</v>
      </c>
      <c r="R130" s="654" t="n">
        <f aca="false">IF(K130&lt;=$D$97,R129+O130,0)</f>
        <v>4830.12588900005</v>
      </c>
      <c r="T130" s="1027" t="n">
        <f aca="false">T129+1</f>
        <v>21</v>
      </c>
      <c r="U130" s="1025" t="str">
        <f aca="false">IF(T130&lt;=$V$97,DATE(YEAR(U129),MONTH(U129)+12/$V$94,DAY(U129)),"0")</f>
        <v>0</v>
      </c>
      <c r="V130" s="1026" t="n">
        <f aca="false">IF(T130&lt;=$V$97,Y129,0)</f>
        <v>0</v>
      </c>
      <c r="W130" s="1026" t="n">
        <f aca="false">(V130*$V$92*1)/1200</f>
        <v>0</v>
      </c>
      <c r="X130" s="1022" t="n">
        <f aca="false">IF(AND(T130&lt;=$V$97,T130&gt;$V$95),$V$101-W130,0)</f>
        <v>0</v>
      </c>
      <c r="Y130" s="1026" t="n">
        <f aca="false">V130-X130</f>
        <v>0</v>
      </c>
      <c r="Z130" s="1026" t="n">
        <f aca="false">IF(T130&lt;=$V$97,Z129+W130,0)</f>
        <v>0</v>
      </c>
      <c r="AA130" s="654" t="n">
        <f aca="false">IF(T130&lt;=$V$97,AA129+X130,0)</f>
        <v>0</v>
      </c>
      <c r="AB130" s="451"/>
      <c r="AC130" s="1027" t="n">
        <f aca="false">AC129+1</f>
        <v>21</v>
      </c>
      <c r="AD130" s="1025" t="n">
        <f aca="false">IF(AC130&lt;=$AE$97,DATE(YEAR(AD129),MONTH(AD129)+12/$AE$95,DAY(AD129)),"0")</f>
        <v>45568</v>
      </c>
      <c r="AE130" s="1026" t="n">
        <f aca="false">IF(AC130&lt;=$AE$97,AH129,0)</f>
        <v>0</v>
      </c>
      <c r="AF130" s="1026" t="n">
        <f aca="false">(AE130*$AE$93*1)/1200</f>
        <v>0</v>
      </c>
      <c r="AG130" s="1022" t="n">
        <f aca="false">IF(AC130&lt;$AE$97,$AE$101-AF130,0)+IF(AC130=$AE$97,$AE$90+$AE$101-AF130,0)</f>
        <v>0</v>
      </c>
      <c r="AH130" s="1026" t="n">
        <f aca="false">AE130-AG130</f>
        <v>0</v>
      </c>
      <c r="AI130" s="1026" t="n">
        <f aca="false">IF(AC130&lt;=$AE$97,AI129+AF130,0)</f>
        <v>0</v>
      </c>
      <c r="AJ130" s="654" t="n">
        <f aca="false">IF(AC130&lt;=$AE$97,AJ129+AG130,0)</f>
        <v>0</v>
      </c>
      <c r="AL130" s="1027" t="n">
        <f aca="false">AL129+1</f>
        <v>21</v>
      </c>
      <c r="AM130" s="1025" t="n">
        <f aca="false">IF(AL130&lt;=$AN$97,DATE(YEAR(AM129),MONTH(AM129)+12/$AN$95,DAY(AM129)),"0")</f>
        <v>45599</v>
      </c>
      <c r="AN130" s="1026" t="n">
        <f aca="false">IF(AL130&lt;=$AN$97,AQ129,0)</f>
        <v>16203.8508717696</v>
      </c>
      <c r="AO130" s="1026" t="n">
        <f aca="false">(AN130*$AN$93*1)/1200</f>
        <v>67.51604529904</v>
      </c>
      <c r="AP130" s="1022" t="n">
        <f aca="false">IF(AL130&lt;$AN$97,$AN$101-AO130,0)+IF(AL130=$AN$97,$AN$90+$AN$101-AO130,0)</f>
        <v>981.465353364255</v>
      </c>
      <c r="AQ130" s="1026" t="n">
        <f aca="false">AN130-AP130</f>
        <v>15222.3855184054</v>
      </c>
      <c r="AR130" s="1026" t="n">
        <f aca="false">IF(AL130&lt;=$AN$97,AR129+AO130,0)</f>
        <v>2250.99489033454</v>
      </c>
      <c r="AS130" s="654" t="n">
        <f aca="false">IF(AL130&lt;=$AN$97,AS129+AP130,0)</f>
        <v>19777.6144815947</v>
      </c>
      <c r="AU130" s="1027" t="n">
        <f aca="false">AU129+1</f>
        <v>21</v>
      </c>
      <c r="AV130" s="1025" t="str">
        <f aca="false">IF(AU130&lt;=$AW$97,DATE(YEAR(AV129),MONTH(AV129)+12/$AW$95,DAY(AV129)),"0")</f>
        <v>0</v>
      </c>
      <c r="AW130" s="1026" t="n">
        <f aca="false">IF(AU130&lt;=$AW$97,AZ129,0)</f>
        <v>0</v>
      </c>
      <c r="AX130" s="1026" t="n">
        <f aca="false">(AW130*$AW$93*1)/1200</f>
        <v>0</v>
      </c>
      <c r="AY130" s="1022" t="n">
        <f aca="false">IF(AU130&lt;$AW$97,$AW$101-AX130,0)+IF(AU130=$AW$97,$AW$90+$AW$101-AX130,0)</f>
        <v>0</v>
      </c>
      <c r="AZ130" s="1026" t="n">
        <f aca="false">AW130-AY130</f>
        <v>0</v>
      </c>
      <c r="BA130" s="1026" t="n">
        <f aca="false">IF(AU130&lt;=$AW$97,BA129+AX130,0)</f>
        <v>0</v>
      </c>
      <c r="BB130" s="654" t="n">
        <f aca="false">IF(AU130&lt;=$AW$97,BB129+AY130,0)</f>
        <v>0</v>
      </c>
    </row>
    <row r="131" customFormat="false" ht="12.75" hidden="false" customHeight="false" outlineLevel="0" collapsed="false">
      <c r="B131" s="1024" t="n">
        <v>22</v>
      </c>
      <c r="C131" s="1025" t="n">
        <f aca="false">IF(B131&lt;=$D$97,DATE(YEAR(C130),MONTH(C130)+12/$D$94,DAY(C130)),"0")</f>
        <v>45629</v>
      </c>
      <c r="D131" s="1026" t="n">
        <f aca="false">IF(B131=1,$D$90,G130)</f>
        <v>136272.59260324</v>
      </c>
      <c r="E131" s="1026" t="n">
        <f aca="false">(D131*$D$92*1)/1200</f>
        <v>397.461728426117</v>
      </c>
      <c r="F131" s="1026" t="n">
        <f aca="false">IF(AND(B131&lt;=$D$97,B131&gt;$D$95),$D$101-E131,0)</f>
        <v>674.862083588643</v>
      </c>
      <c r="G131" s="1026" t="n">
        <f aca="false">D131-F131</f>
        <v>135597.730519651</v>
      </c>
      <c r="H131" s="1026" t="n">
        <f aca="false">IF(B131&lt;=$D$97,E131+H130,0)</f>
        <v>9188.85438397612</v>
      </c>
      <c r="I131" s="654" t="n">
        <f aca="false">IF(B131&lt;=$D$97,F131+I130,0)</f>
        <v>14402.2694803486</v>
      </c>
      <c r="K131" s="1027" t="n">
        <f aca="false">K130+1</f>
        <v>22</v>
      </c>
      <c r="L131" s="1025" t="n">
        <f aca="false">IF(K131&lt;=$M$97,DATE(YEAR(L130),MONTH(L130)+12/$M$94,DAY(L130)),"0")</f>
        <v>45629</v>
      </c>
      <c r="M131" s="1026" t="n">
        <f aca="false">IF(K131&lt;=$M$97,P130,0)</f>
        <v>10169.8741109999</v>
      </c>
      <c r="N131" s="1026" t="n">
        <f aca="false">(M131*$M$92*1)/1200</f>
        <v>42.3744754624998</v>
      </c>
      <c r="O131" s="1026" t="n">
        <f aca="false">IF(AND(K131&lt;=$M$97,K131&gt;$M$95),$M$101-N131,0)</f>
        <v>240.694029197665</v>
      </c>
      <c r="P131" s="1026" t="n">
        <f aca="false">M131-O131</f>
        <v>9929.18008180228</v>
      </c>
      <c r="Q131" s="1026" t="n">
        <f aca="false">IF(K131&lt;=$M$97,Q130+N131,0)</f>
        <v>1156.68718432591</v>
      </c>
      <c r="R131" s="654" t="n">
        <f aca="false">IF(K131&lt;=$D$97,R130+O131,0)</f>
        <v>5070.81991819771</v>
      </c>
      <c r="T131" s="1027" t="n">
        <f aca="false">T130+1</f>
        <v>22</v>
      </c>
      <c r="U131" s="1025" t="str">
        <f aca="false">IF(T131&lt;=$V$97,DATE(YEAR(U130),MONTH(U130)+12/$V$94,DAY(U130)),"0")</f>
        <v>0</v>
      </c>
      <c r="V131" s="1026" t="n">
        <f aca="false">IF(T131&lt;=$V$97,Y130,0)</f>
        <v>0</v>
      </c>
      <c r="W131" s="1026" t="n">
        <f aca="false">(V131*$V$92*1)/1200</f>
        <v>0</v>
      </c>
      <c r="X131" s="1022" t="n">
        <f aca="false">IF(AND(T131&lt;=$V$97,T131&gt;$V$95),$V$101-W131,0)</f>
        <v>0</v>
      </c>
      <c r="Y131" s="1026" t="n">
        <f aca="false">V131-X131</f>
        <v>0</v>
      </c>
      <c r="Z131" s="1026" t="n">
        <f aca="false">IF(T131&lt;=$V$97,Z130+W131,0)</f>
        <v>0</v>
      </c>
      <c r="AA131" s="654" t="n">
        <f aca="false">IF(T131&lt;=$V$97,AA130+X131,0)</f>
        <v>0</v>
      </c>
      <c r="AB131" s="451"/>
      <c r="AC131" s="1027" t="n">
        <f aca="false">AC130+1</f>
        <v>22</v>
      </c>
      <c r="AD131" s="1025" t="n">
        <f aca="false">IF(AC131&lt;=$AE$97,DATE(YEAR(AD130),MONTH(AD130)+12/$AE$95,DAY(AD130)),"0")</f>
        <v>45599</v>
      </c>
      <c r="AE131" s="1026" t="n">
        <f aca="false">IF(AC131&lt;=$AE$97,AH130,0)</f>
        <v>0</v>
      </c>
      <c r="AF131" s="1026" t="n">
        <f aca="false">(AE131*$AE$93*1)/1200</f>
        <v>0</v>
      </c>
      <c r="AG131" s="1022" t="n">
        <f aca="false">IF(AC131&lt;$AE$97,$AE$101-AF131,0)+IF(AC131=$AE$97,$AE$90+$AE$101-AF131,0)</f>
        <v>0</v>
      </c>
      <c r="AH131" s="1026" t="n">
        <f aca="false">AE131-AG131</f>
        <v>0</v>
      </c>
      <c r="AI131" s="1026" t="n">
        <f aca="false">IF(AC131&lt;=$AE$97,AI130+AF131,0)</f>
        <v>0</v>
      </c>
      <c r="AJ131" s="654" t="n">
        <f aca="false">IF(AC131&lt;=$AE$97,AJ130+AG131,0)</f>
        <v>0</v>
      </c>
      <c r="AL131" s="1027" t="n">
        <f aca="false">AL130+1</f>
        <v>22</v>
      </c>
      <c r="AM131" s="1025" t="n">
        <f aca="false">IF(AL131&lt;=$AN$97,DATE(YEAR(AM130),MONTH(AM130)+12/$AN$95,DAY(AM130)),"0")</f>
        <v>45629</v>
      </c>
      <c r="AN131" s="1026" t="n">
        <f aca="false">IF(AL131&lt;=$AN$97,AQ130,0)</f>
        <v>15222.3855184054</v>
      </c>
      <c r="AO131" s="1026" t="n">
        <f aca="false">(AN131*$AN$93*1)/1200</f>
        <v>63.426606326689</v>
      </c>
      <c r="AP131" s="1022" t="n">
        <f aca="false">IF(AL131&lt;$AN$97,$AN$101-AO131,0)+IF(AL131=$AN$97,$AN$90+$AN$101-AO131,0)</f>
        <v>985.554792336606</v>
      </c>
      <c r="AQ131" s="1026" t="n">
        <f aca="false">AN131-AP131</f>
        <v>14236.8307260687</v>
      </c>
      <c r="AR131" s="1026" t="n">
        <f aca="false">IF(AL131&lt;=$AN$97,AR130+AO131,0)</f>
        <v>2314.42149666123</v>
      </c>
      <c r="AS131" s="654" t="n">
        <f aca="false">IF(AL131&lt;=$AN$97,AS130+AP131,0)</f>
        <v>20763.1692739313</v>
      </c>
      <c r="AU131" s="1027" t="n">
        <f aca="false">AU130+1</f>
        <v>22</v>
      </c>
      <c r="AV131" s="1025" t="str">
        <f aca="false">IF(AU131&lt;=$AW$97,DATE(YEAR(AV130),MONTH(AV130)+12/$AW$95,DAY(AV130)),"0")</f>
        <v>0</v>
      </c>
      <c r="AW131" s="1026" t="n">
        <f aca="false">IF(AU131&lt;=$AW$97,AZ130,0)</f>
        <v>0</v>
      </c>
      <c r="AX131" s="1026" t="n">
        <f aca="false">(AW131*$AW$93*1)/1200</f>
        <v>0</v>
      </c>
      <c r="AY131" s="1022" t="n">
        <f aca="false">IF(AU131&lt;$AW$97,$AW$101-AX131,0)+IF(AU131=$AW$97,$AW$90+$AW$101-AX131,0)</f>
        <v>0</v>
      </c>
      <c r="AZ131" s="1026" t="n">
        <f aca="false">AW131-AY131</f>
        <v>0</v>
      </c>
      <c r="BA131" s="1026" t="n">
        <f aca="false">IF(AU131&lt;=$AW$97,BA130+AX131,0)</f>
        <v>0</v>
      </c>
      <c r="BB131" s="654" t="n">
        <f aca="false">IF(AU131&lt;=$AW$97,BB130+AY131,0)</f>
        <v>0</v>
      </c>
    </row>
    <row r="132" customFormat="false" ht="12.75" hidden="false" customHeight="false" outlineLevel="0" collapsed="false">
      <c r="B132" s="1024" t="n">
        <v>23</v>
      </c>
      <c r="C132" s="1025" t="n">
        <f aca="false">IF(B132&lt;=$D$97,DATE(YEAR(C131),MONTH(C131)+12/$D$94,DAY(C131)),"0")</f>
        <v>45660</v>
      </c>
      <c r="D132" s="1026" t="n">
        <f aca="false">IF(B132=1,$D$90,G131)</f>
        <v>135597.730519651</v>
      </c>
      <c r="E132" s="1026" t="n">
        <f aca="false">(D132*$D$92*1)/1200</f>
        <v>395.493380682317</v>
      </c>
      <c r="F132" s="1026" t="n">
        <f aca="false">IF(AND(B132&lt;=$D$97,B132&gt;$D$95),$D$101-E132,0)</f>
        <v>676.830431332443</v>
      </c>
      <c r="G132" s="1026" t="n">
        <f aca="false">D132-F132</f>
        <v>134920.900088319</v>
      </c>
      <c r="H132" s="1026" t="n">
        <f aca="false">IF(B132&lt;=$D$97,E132+H131,0)</f>
        <v>9584.34776465844</v>
      </c>
      <c r="I132" s="654" t="n">
        <f aca="false">IF(B132&lt;=$D$97,F132+I131,0)</f>
        <v>15079.099911681</v>
      </c>
      <c r="K132" s="1027" t="n">
        <f aca="false">K131+1</f>
        <v>23</v>
      </c>
      <c r="L132" s="1025" t="n">
        <f aca="false">IF(K132&lt;=$M$97,DATE(YEAR(L131),MONTH(L131)+12/$M$94,DAY(L131)),"0")</f>
        <v>45660</v>
      </c>
      <c r="M132" s="1026" t="n">
        <f aca="false">IF(K132&lt;=$M$97,P131,0)</f>
        <v>9929.18008180228</v>
      </c>
      <c r="N132" s="1026" t="n">
        <f aca="false">(M132*$M$92*1)/1200</f>
        <v>41.3715836741762</v>
      </c>
      <c r="O132" s="1026" t="n">
        <f aca="false">IF(AND(K132&lt;=$M$97,K132&gt;$M$95),$M$101-N132,0)</f>
        <v>241.696920985989</v>
      </c>
      <c r="P132" s="1026" t="n">
        <f aca="false">M132-O132</f>
        <v>9687.4831608163</v>
      </c>
      <c r="Q132" s="1026" t="n">
        <f aca="false">IF(K132&lt;=$M$97,Q131+N132,0)</f>
        <v>1198.05876800009</v>
      </c>
      <c r="R132" s="654" t="n">
        <f aca="false">IF(K132&lt;=$D$97,R131+O132,0)</f>
        <v>5312.5168391837</v>
      </c>
      <c r="T132" s="1027" t="n">
        <f aca="false">T131+1</f>
        <v>23</v>
      </c>
      <c r="U132" s="1025" t="str">
        <f aca="false">IF(T132&lt;=$V$97,DATE(YEAR(U131),MONTH(U131)+12/$V$94,DAY(U131)),"0")</f>
        <v>0</v>
      </c>
      <c r="V132" s="1026" t="n">
        <f aca="false">IF(T132&lt;=$V$97,Y131,0)</f>
        <v>0</v>
      </c>
      <c r="W132" s="1026" t="n">
        <f aca="false">(V132*$V$92*1)/1200</f>
        <v>0</v>
      </c>
      <c r="X132" s="1022" t="n">
        <f aca="false">IF(AND(T132&lt;=$V$97,T132&gt;$V$95),$V$101-W132,0)</f>
        <v>0</v>
      </c>
      <c r="Y132" s="1026" t="n">
        <f aca="false">V132-X132</f>
        <v>0</v>
      </c>
      <c r="Z132" s="1026" t="n">
        <f aca="false">IF(T132&lt;=$V$97,Z131+W132,0)</f>
        <v>0</v>
      </c>
      <c r="AA132" s="654" t="n">
        <f aca="false">IF(T132&lt;=$V$97,AA131+X132,0)</f>
        <v>0</v>
      </c>
      <c r="AB132" s="451"/>
      <c r="AC132" s="1027" t="n">
        <f aca="false">AC131+1</f>
        <v>23</v>
      </c>
      <c r="AD132" s="1025" t="n">
        <f aca="false">IF(AC132&lt;=$AE$97,DATE(YEAR(AD131),MONTH(AD131)+12/$AE$95,DAY(AD131)),"0")</f>
        <v>45629</v>
      </c>
      <c r="AE132" s="1026" t="n">
        <f aca="false">IF(AC132&lt;=$AE$97,AH131,0)</f>
        <v>0</v>
      </c>
      <c r="AF132" s="1026" t="n">
        <f aca="false">(AE132*$AE$93*1)/1200</f>
        <v>0</v>
      </c>
      <c r="AG132" s="1022" t="n">
        <f aca="false">IF(AC132&lt;$AE$97,$AE$101-AF132,0)+IF(AC132=$AE$97,$AE$90+$AE$101-AF132,0)</f>
        <v>0</v>
      </c>
      <c r="AH132" s="1026" t="n">
        <f aca="false">AE132-AG132</f>
        <v>0</v>
      </c>
      <c r="AI132" s="1026" t="n">
        <f aca="false">IF(AC132&lt;=$AE$97,AI131+AF132,0)</f>
        <v>0</v>
      </c>
      <c r="AJ132" s="654" t="n">
        <f aca="false">IF(AC132&lt;=$AE$97,AJ131+AG132,0)</f>
        <v>0</v>
      </c>
      <c r="AL132" s="1027" t="n">
        <f aca="false">AL131+1</f>
        <v>23</v>
      </c>
      <c r="AM132" s="1025" t="n">
        <f aca="false">IF(AL132&lt;=$AN$97,DATE(YEAR(AM131),MONTH(AM131)+12/$AN$95,DAY(AM131)),"0")</f>
        <v>45660</v>
      </c>
      <c r="AN132" s="1026" t="n">
        <f aca="false">IF(AL132&lt;=$AN$97,AQ131,0)</f>
        <v>14236.8307260687</v>
      </c>
      <c r="AO132" s="1026" t="n">
        <f aca="false">(AN132*$AN$93*1)/1200</f>
        <v>59.3201280252864</v>
      </c>
      <c r="AP132" s="1022" t="n">
        <f aca="false">IF(AL132&lt;$AN$97,$AN$101-AO132,0)+IF(AL132=$AN$97,$AN$90+$AN$101-AO132,0)</f>
        <v>989.661270638008</v>
      </c>
      <c r="AQ132" s="1026" t="n">
        <f aca="false">AN132-AP132</f>
        <v>13247.1694554307</v>
      </c>
      <c r="AR132" s="1026" t="n">
        <f aca="false">IF(AL132&lt;=$AN$97,AR131+AO132,0)</f>
        <v>2373.74162468651</v>
      </c>
      <c r="AS132" s="654" t="n">
        <f aca="false">IF(AL132&lt;=$AN$97,AS131+AP132,0)</f>
        <v>21752.8305445693</v>
      </c>
      <c r="AU132" s="1027" t="n">
        <f aca="false">AU131+1</f>
        <v>23</v>
      </c>
      <c r="AV132" s="1025" t="str">
        <f aca="false">IF(AU132&lt;=$AW$97,DATE(YEAR(AV131),MONTH(AV131)+12/$AW$95,DAY(AV131)),"0")</f>
        <v>0</v>
      </c>
      <c r="AW132" s="1026" t="n">
        <f aca="false">IF(AU132&lt;=$AW$97,AZ131,0)</f>
        <v>0</v>
      </c>
      <c r="AX132" s="1026" t="n">
        <f aca="false">(AW132*$AW$93*1)/1200</f>
        <v>0</v>
      </c>
      <c r="AY132" s="1022" t="n">
        <f aca="false">IF(AU132&lt;$AW$97,$AW$101-AX132,0)+IF(AU132=$AW$97,$AW$90+$AW$101-AX132,0)</f>
        <v>0</v>
      </c>
      <c r="AZ132" s="1026" t="n">
        <f aca="false">AW132-AY132</f>
        <v>0</v>
      </c>
      <c r="BA132" s="1026" t="n">
        <f aca="false">IF(AU132&lt;=$AW$97,BA131+AX132,0)</f>
        <v>0</v>
      </c>
      <c r="BB132" s="654" t="n">
        <f aca="false">IF(AU132&lt;=$AW$97,BB131+AY132,0)</f>
        <v>0</v>
      </c>
    </row>
    <row r="133" customFormat="false" ht="12.75" hidden="false" customHeight="false" outlineLevel="0" collapsed="false">
      <c r="B133" s="1027" t="n">
        <v>24</v>
      </c>
      <c r="C133" s="1025" t="n">
        <f aca="false">IF(B133&lt;=$D$97,DATE(YEAR(C132),MONTH(C132)+12/$D$94,DAY(C132)),"0")</f>
        <v>45691</v>
      </c>
      <c r="D133" s="1026" t="n">
        <f aca="false">IF(B133=1,$D$90,G132)</f>
        <v>134920.900088319</v>
      </c>
      <c r="E133" s="1026" t="n">
        <f aca="false">(D133*$D$92*1)/1200</f>
        <v>393.519291924264</v>
      </c>
      <c r="F133" s="1026" t="n">
        <f aca="false">IF(AND(B133&lt;=$D$97,B133&gt;$D$95),$D$101-E133,0)</f>
        <v>678.804520090496</v>
      </c>
      <c r="G133" s="1026" t="n">
        <f aca="false">D133-F133</f>
        <v>134242.095568229</v>
      </c>
      <c r="H133" s="1026" t="n">
        <f aca="false">IF(B133&lt;=$D$97,E133+H132,0)</f>
        <v>9977.8670565827</v>
      </c>
      <c r="I133" s="654" t="n">
        <f aca="false">IF(B133&lt;=$D$97,F133+I132,0)</f>
        <v>15757.9044317715</v>
      </c>
      <c r="J133" s="451"/>
      <c r="K133" s="1027" t="n">
        <f aca="false">K132+1</f>
        <v>24</v>
      </c>
      <c r="L133" s="1025" t="n">
        <f aca="false">IF(K133&lt;=$M$97,DATE(YEAR(L132),MONTH(L132)+12/$M$94,DAY(L132)),"0")</f>
        <v>45691</v>
      </c>
      <c r="M133" s="1026" t="n">
        <f aca="false">IF(K133&lt;=$M$97,P132,0)</f>
        <v>9687.4831608163</v>
      </c>
      <c r="N133" s="1026" t="n">
        <f aca="false">(M133*$M$92*1)/1200</f>
        <v>40.3645131700679</v>
      </c>
      <c r="O133" s="1026" t="n">
        <f aca="false">IF(AND(K133&lt;=$M$97,K133&gt;$M$95),$M$101-N133,0)</f>
        <v>242.703991490097</v>
      </c>
      <c r="P133" s="1026" t="n">
        <f aca="false">M133-O133</f>
        <v>9444.7791693262</v>
      </c>
      <c r="Q133" s="1026" t="n">
        <f aca="false">IF(K133&lt;=$M$97,Q132+N133,0)</f>
        <v>1238.42328117016</v>
      </c>
      <c r="R133" s="654" t="n">
        <f aca="false">IF(K133&lt;=$D$97,R132+O133,0)</f>
        <v>5555.2208306738</v>
      </c>
      <c r="S133" s="451"/>
      <c r="T133" s="1027" t="n">
        <f aca="false">T132+1</f>
        <v>24</v>
      </c>
      <c r="U133" s="1025" t="str">
        <f aca="false">IF(T133&lt;=$V$97,DATE(YEAR(U132),MONTH(U132)+12/$V$94,DAY(U132)),"0")</f>
        <v>0</v>
      </c>
      <c r="V133" s="1026" t="n">
        <f aca="false">IF(T133&lt;=$V$97,Y132,0)</f>
        <v>0</v>
      </c>
      <c r="W133" s="1026" t="n">
        <f aca="false">(V133*$V$92*1)/1200</f>
        <v>0</v>
      </c>
      <c r="X133" s="1022" t="n">
        <f aca="false">IF(AND(T133&lt;=$V$97,T133&gt;$V$95),$V$101-W133,0)</f>
        <v>0</v>
      </c>
      <c r="Y133" s="1026" t="n">
        <f aca="false">V133-X133</f>
        <v>0</v>
      </c>
      <c r="Z133" s="1026" t="n">
        <f aca="false">IF(T133&lt;=$V$97,Z132+W133,0)</f>
        <v>0</v>
      </c>
      <c r="AA133" s="654" t="n">
        <f aca="false">IF(T133&lt;=$V$97,AA132+X133,0)</f>
        <v>0</v>
      </c>
      <c r="AB133" s="451"/>
      <c r="AC133" s="1027" t="n">
        <f aca="false">AC132+1</f>
        <v>24</v>
      </c>
      <c r="AD133" s="1025" t="n">
        <f aca="false">IF(AC133&lt;=$AE$97,DATE(YEAR(AD132),MONTH(AD132)+12/$AE$95,DAY(AD132)),"0")</f>
        <v>45660</v>
      </c>
      <c r="AE133" s="1026" t="n">
        <f aca="false">IF(AC133&lt;=$AE$97,AH132,0)</f>
        <v>0</v>
      </c>
      <c r="AF133" s="1026" t="n">
        <f aca="false">(AE133*$AE$93*1)/1200</f>
        <v>0</v>
      </c>
      <c r="AG133" s="1022" t="n">
        <f aca="false">IF(AC133&lt;$AE$97,$AE$101-AF133,0)+IF(AC133=$AE$97,$AE$90+$AE$101-AF133,0)</f>
        <v>0</v>
      </c>
      <c r="AH133" s="1026" t="n">
        <f aca="false">AE133-AG133</f>
        <v>0</v>
      </c>
      <c r="AI133" s="1026" t="n">
        <f aca="false">IF(AC133&lt;=$AE$97,AI132+AF133,0)</f>
        <v>0</v>
      </c>
      <c r="AJ133" s="654" t="n">
        <f aca="false">IF(AC133&lt;=$AE$97,AJ132+AG133,0)</f>
        <v>0</v>
      </c>
      <c r="AL133" s="1027" t="n">
        <f aca="false">AL132+1</f>
        <v>24</v>
      </c>
      <c r="AM133" s="1025" t="n">
        <f aca="false">IF(AL133&lt;=$AN$97,DATE(YEAR(AM132),MONTH(AM132)+12/$AN$95,DAY(AM132)),"0")</f>
        <v>45691</v>
      </c>
      <c r="AN133" s="1026" t="n">
        <f aca="false">IF(AL133&lt;=$AN$97,AQ132,0)</f>
        <v>13247.1694554307</v>
      </c>
      <c r="AO133" s="1026" t="n">
        <f aca="false">(AN133*$AN$93*1)/1200</f>
        <v>55.1965393976281</v>
      </c>
      <c r="AP133" s="1022" t="n">
        <f aca="false">IF(AL133&lt;$AN$97,$AN$101-AO133,0)+IF(AL133=$AN$97,$AN$90+$AN$101-AO133,0)</f>
        <v>993.784859265667</v>
      </c>
      <c r="AQ133" s="1026" t="n">
        <f aca="false">AN133-AP133</f>
        <v>12253.3845961651</v>
      </c>
      <c r="AR133" s="1026" t="n">
        <f aca="false">IF(AL133&lt;=$AN$97,AR132+AO133,0)</f>
        <v>2428.93816408414</v>
      </c>
      <c r="AS133" s="654" t="n">
        <f aca="false">IF(AL133&lt;=$AN$97,AS132+AP133,0)</f>
        <v>22746.6154038349</v>
      </c>
      <c r="AU133" s="1027" t="n">
        <f aca="false">AU132+1</f>
        <v>24</v>
      </c>
      <c r="AV133" s="1025" t="str">
        <f aca="false">IF(AU133&lt;=$AW$97,DATE(YEAR(AV132),MONTH(AV132)+12/$AW$95,DAY(AV132)),"0")</f>
        <v>0</v>
      </c>
      <c r="AW133" s="1026" t="n">
        <f aca="false">IF(AU133&lt;=$AW$97,AZ132,0)</f>
        <v>0</v>
      </c>
      <c r="AX133" s="1026" t="n">
        <f aca="false">(AW133*$AW$93*1)/1200</f>
        <v>0</v>
      </c>
      <c r="AY133" s="1022" t="n">
        <f aca="false">IF(AU133&lt;$AW$97,$AW$101-AX133,0)+IF(AU133=$AW$97,$AW$90+$AW$101-AX133,0)</f>
        <v>0</v>
      </c>
      <c r="AZ133" s="1026" t="n">
        <f aca="false">AW133-AY133</f>
        <v>0</v>
      </c>
      <c r="BA133" s="1026" t="n">
        <f aca="false">IF(AU133&lt;=$AW$97,BA132+AX133,0)</f>
        <v>0</v>
      </c>
      <c r="BB133" s="654" t="n">
        <f aca="false">IF(AU133&lt;=$AW$97,BB132+AY133,0)</f>
        <v>0</v>
      </c>
    </row>
    <row r="134" s="451" customFormat="true" ht="12.75" hidden="false" customHeight="false" outlineLevel="0" collapsed="false">
      <c r="B134" s="1024" t="n">
        <v>25</v>
      </c>
      <c r="C134" s="1025" t="n">
        <f aca="false">IF(B134&lt;=$D$97,DATE(YEAR(C133),MONTH(C133)+12/$D$94,DAY(C133)),"0")</f>
        <v>45719</v>
      </c>
      <c r="D134" s="1026" t="n">
        <f aca="false">IF(B134=1,$D$90,G133)</f>
        <v>134242.095568229</v>
      </c>
      <c r="E134" s="1026" t="n">
        <f aca="false">(D134*$D$92*1)/1200</f>
        <v>391.539445407333</v>
      </c>
      <c r="F134" s="1026" t="n">
        <f aca="false">IF(AND(B134&lt;=$D$97,B134&gt;$D$95),$D$101-E134,0)</f>
        <v>680.784366607426</v>
      </c>
      <c r="G134" s="1026" t="n">
        <f aca="false">D134-F134</f>
        <v>133561.311201621</v>
      </c>
      <c r="H134" s="1026" t="n">
        <f aca="false">IF(B134&lt;=$D$97,E134+H133,0)</f>
        <v>10369.40650199</v>
      </c>
      <c r="I134" s="654" t="n">
        <f aca="false">IF(B134&lt;=$D$97,F134+I133,0)</f>
        <v>16438.688798379</v>
      </c>
      <c r="K134" s="1027" t="n">
        <f aca="false">K133+1</f>
        <v>25</v>
      </c>
      <c r="L134" s="1025" t="n">
        <f aca="false">IF(K134&lt;=$M$97,DATE(YEAR(L133),MONTH(L133)+12/$M$94,DAY(L133)),"0")</f>
        <v>45719</v>
      </c>
      <c r="M134" s="1026" t="n">
        <f aca="false">IF(K134&lt;=$M$97,P133,0)</f>
        <v>9444.7791693262</v>
      </c>
      <c r="N134" s="1026" t="n">
        <f aca="false">(M134*$M$92*1)/1200</f>
        <v>39.3532465388592</v>
      </c>
      <c r="O134" s="1026" t="n">
        <f aca="false">IF(AND(K134&lt;=$M$97,K134&gt;$M$95),$M$101-N134,0)</f>
        <v>243.715258121306</v>
      </c>
      <c r="P134" s="1026" t="n">
        <f aca="false">M134-O134</f>
        <v>9201.06391120489</v>
      </c>
      <c r="Q134" s="1026" t="n">
        <f aca="false">IF(K134&lt;=$M$97,Q133+N134,0)</f>
        <v>1277.77652770902</v>
      </c>
      <c r="R134" s="654" t="n">
        <f aca="false">IF(K134&lt;=$D$97,R133+O134,0)</f>
        <v>5798.93608879511</v>
      </c>
      <c r="T134" s="1027" t="n">
        <f aca="false">T133+1</f>
        <v>25</v>
      </c>
      <c r="U134" s="1025" t="str">
        <f aca="false">IF(T134&lt;=$V$97,DATE(YEAR(U133),MONTH(U133)+12/$V$94,DAY(U133)),"0")</f>
        <v>0</v>
      </c>
      <c r="V134" s="1026" t="n">
        <f aca="false">IF(T134&lt;=$V$97,Y133,0)</f>
        <v>0</v>
      </c>
      <c r="W134" s="1026" t="n">
        <f aca="false">(V134*$V$92*1)/1200</f>
        <v>0</v>
      </c>
      <c r="X134" s="1022" t="n">
        <f aca="false">IF(AND(T134&lt;=$V$97,T134&gt;$V$95),$V$101-W134,0)</f>
        <v>0</v>
      </c>
      <c r="Y134" s="1026" t="n">
        <f aca="false">V134-X134</f>
        <v>0</v>
      </c>
      <c r="Z134" s="1026" t="n">
        <f aca="false">IF(T134&lt;=$V$97,Z133+W134,0)</f>
        <v>0</v>
      </c>
      <c r="AA134" s="654" t="n">
        <f aca="false">IF(T134&lt;=$V$97,AA133+X134,0)</f>
        <v>0</v>
      </c>
      <c r="AC134" s="1027" t="n">
        <f aca="false">AC133+1</f>
        <v>25</v>
      </c>
      <c r="AD134" s="1025" t="n">
        <f aca="false">IF(AC134&lt;=$AE$97,DATE(YEAR(AD133),MONTH(AD133)+12/$AE$95,DAY(AD133)),"0")</f>
        <v>45691</v>
      </c>
      <c r="AE134" s="1026" t="n">
        <f aca="false">IF(AC134&lt;=$AE$97,AH133,0)</f>
        <v>0</v>
      </c>
      <c r="AF134" s="1026" t="n">
        <f aca="false">(AE134*$AE$93*1)/1200</f>
        <v>0</v>
      </c>
      <c r="AG134" s="1022" t="n">
        <f aca="false">IF(AC134&lt;$AE$97,$AE$101-AF134,0)+IF(AC134=$AE$97,$AE$90+$AE$101-AF134,0)</f>
        <v>0</v>
      </c>
      <c r="AH134" s="1026" t="n">
        <f aca="false">AE134-AG134</f>
        <v>0</v>
      </c>
      <c r="AI134" s="1026" t="n">
        <f aca="false">IF(AC134&lt;=$AE$97,AI133+AF134,0)</f>
        <v>0</v>
      </c>
      <c r="AJ134" s="654" t="n">
        <f aca="false">IF(AC134&lt;=$AE$97,AJ133+AG134,0)</f>
        <v>0</v>
      </c>
      <c r="AL134" s="1027" t="n">
        <f aca="false">AL133+1</f>
        <v>25</v>
      </c>
      <c r="AM134" s="1025" t="n">
        <f aca="false">IF(AL134&lt;=$AN$97,DATE(YEAR(AM133),MONTH(AM133)+12/$AN$95,DAY(AM133)),"0")</f>
        <v>45719</v>
      </c>
      <c r="AN134" s="1026" t="n">
        <f aca="false">IF(AL134&lt;=$AN$97,AQ133,0)</f>
        <v>12253.3845961651</v>
      </c>
      <c r="AO134" s="1026" t="n">
        <f aca="false">(AN134*$AN$93*1)/1200</f>
        <v>51.0557691506878</v>
      </c>
      <c r="AP134" s="1022" t="n">
        <f aca="false">IF(AL134&lt;$AN$97,$AN$101-AO134,0)+IF(AL134=$AN$97,$AN$90+$AN$101-AO134,0)</f>
        <v>997.925629512607</v>
      </c>
      <c r="AQ134" s="1026" t="n">
        <f aca="false">AN134-AP134</f>
        <v>11255.4589666525</v>
      </c>
      <c r="AR134" s="1026" t="n">
        <f aca="false">IF(AL134&lt;=$AN$97,AR133+AO134,0)</f>
        <v>2479.99393323483</v>
      </c>
      <c r="AS134" s="654" t="n">
        <f aca="false">IF(AL134&lt;=$AN$97,AS133+AP134,0)</f>
        <v>23744.5410333475</v>
      </c>
      <c r="AU134" s="1027" t="n">
        <f aca="false">AU133+1</f>
        <v>25</v>
      </c>
      <c r="AV134" s="1025" t="str">
        <f aca="false">IF(AU134&lt;=$AW$97,DATE(YEAR(AV133),MONTH(AV133)+12/$AW$95,DAY(AV133)),"0")</f>
        <v>0</v>
      </c>
      <c r="AW134" s="1026" t="n">
        <f aca="false">IF(AU134&lt;=$AW$97,AZ133,0)</f>
        <v>0</v>
      </c>
      <c r="AX134" s="1026" t="n">
        <f aca="false">(AW134*$AW$93*1)/1200</f>
        <v>0</v>
      </c>
      <c r="AY134" s="1022" t="n">
        <f aca="false">IF(AU134&lt;$AW$97,$AW$101-AX134,0)+IF(AU134=$AW$97,$AW$90+$AW$101-AX134,0)</f>
        <v>0</v>
      </c>
      <c r="AZ134" s="1026" t="n">
        <f aca="false">AW134-AY134</f>
        <v>0</v>
      </c>
      <c r="BA134" s="1026" t="n">
        <f aca="false">IF(AU134&lt;=$AW$97,BA133+AX134,0)</f>
        <v>0</v>
      </c>
      <c r="BB134" s="654" t="n">
        <f aca="false">IF(AU134&lt;=$AW$97,BB133+AY134,0)</f>
        <v>0</v>
      </c>
    </row>
    <row r="135" customFormat="false" ht="12.75" hidden="false" customHeight="false" outlineLevel="0" collapsed="false">
      <c r="B135" s="1024" t="n">
        <v>26</v>
      </c>
      <c r="C135" s="1025" t="n">
        <f aca="false">IF(B135&lt;=$D$97,DATE(YEAR(C134),MONTH(C134)+12/$D$94,DAY(C134)),"0")</f>
        <v>45750</v>
      </c>
      <c r="D135" s="1026" t="n">
        <f aca="false">IF(B135=1,$D$90,G134)</f>
        <v>133561.311201621</v>
      </c>
      <c r="E135" s="1026" t="n">
        <f aca="false">(D135*$D$92*1)/1200</f>
        <v>389.553824338062</v>
      </c>
      <c r="F135" s="1026" t="n">
        <f aca="false">IF(AND(B135&lt;=$D$97,B135&gt;$D$95),$D$101-E135,0)</f>
        <v>682.769987676698</v>
      </c>
      <c r="G135" s="1026" t="n">
        <f aca="false">D135-F135</f>
        <v>132878.541213944</v>
      </c>
      <c r="H135" s="1026" t="n">
        <f aca="false">IF(B135&lt;=$D$97,E135+H134,0)</f>
        <v>10758.9603263281</v>
      </c>
      <c r="I135" s="654" t="n">
        <f aca="false">IF(B135&lt;=$D$97,F135+I134,0)</f>
        <v>17121.4587860557</v>
      </c>
      <c r="K135" s="1027" t="n">
        <f aca="false">K134+1</f>
        <v>26</v>
      </c>
      <c r="L135" s="1025" t="n">
        <f aca="false">IF(K135&lt;=$M$97,DATE(YEAR(L134),MONTH(L134)+12/$M$94,DAY(L134)),"0")</f>
        <v>45750</v>
      </c>
      <c r="M135" s="1026" t="n">
        <f aca="false">IF(K135&lt;=$M$97,P134,0)</f>
        <v>9201.06391120489</v>
      </c>
      <c r="N135" s="1026" t="n">
        <f aca="false">(M135*$M$92*1)/1200</f>
        <v>38.3377662966871</v>
      </c>
      <c r="O135" s="1026" t="n">
        <f aca="false">IF(AND(K135&lt;=$M$97,K135&gt;$M$95),$M$101-N135,0)</f>
        <v>244.730738363478</v>
      </c>
      <c r="P135" s="1026" t="n">
        <f aca="false">M135-O135</f>
        <v>8956.33317284141</v>
      </c>
      <c r="Q135" s="1026" t="n">
        <f aca="false">IF(K135&lt;=$M$97,Q134+N135,0)</f>
        <v>1316.1142940057</v>
      </c>
      <c r="R135" s="654" t="n">
        <f aca="false">IF(K135&lt;=$D$97,R134+O135,0)</f>
        <v>6043.66682715858</v>
      </c>
      <c r="T135" s="1027" t="n">
        <f aca="false">T134+1</f>
        <v>26</v>
      </c>
      <c r="U135" s="1025" t="str">
        <f aca="false">IF(T135&lt;=$V$97,DATE(YEAR(U134),MONTH(U134)+12/$V$94,DAY(U134)),"0")</f>
        <v>0</v>
      </c>
      <c r="V135" s="1026" t="n">
        <f aca="false">IF(T135&lt;=$V$97,Y134,0)</f>
        <v>0</v>
      </c>
      <c r="W135" s="1026" t="n">
        <f aca="false">(V135*$V$92*1)/1200</f>
        <v>0</v>
      </c>
      <c r="X135" s="1022" t="n">
        <f aca="false">IF(AND(T135&lt;=$V$97,T135&gt;$V$95),$V$101-W135,0)</f>
        <v>0</v>
      </c>
      <c r="Y135" s="1026" t="n">
        <f aca="false">V135-X135</f>
        <v>0</v>
      </c>
      <c r="Z135" s="1026" t="n">
        <f aca="false">IF(T135&lt;=$V$97,Z134+W135,0)</f>
        <v>0</v>
      </c>
      <c r="AA135" s="654" t="n">
        <f aca="false">IF(T135&lt;=$V$97,AA134+X135,0)</f>
        <v>0</v>
      </c>
      <c r="AB135" s="451"/>
      <c r="AC135" s="1027" t="n">
        <f aca="false">AC134+1</f>
        <v>26</v>
      </c>
      <c r="AD135" s="1025" t="n">
        <f aca="false">IF(AC135&lt;=$AE$97,DATE(YEAR(AD134),MONTH(AD134)+12/$AE$95,DAY(AD134)),"0")</f>
        <v>45719</v>
      </c>
      <c r="AE135" s="1026" t="n">
        <f aca="false">IF(AC135&lt;=$AE$97,AH134,0)</f>
        <v>0</v>
      </c>
      <c r="AF135" s="1026" t="n">
        <f aca="false">(AE135*$AE$93*1)/1200</f>
        <v>0</v>
      </c>
      <c r="AG135" s="1022" t="n">
        <f aca="false">IF(AC135&lt;$AE$97,$AE$101-AF135,0)+IF(AC135=$AE$97,$AE$90+$AE$101-AF135,0)</f>
        <v>0</v>
      </c>
      <c r="AH135" s="1026" t="n">
        <f aca="false">AE135-AG135</f>
        <v>0</v>
      </c>
      <c r="AI135" s="1026" t="n">
        <f aca="false">IF(AC135&lt;=$AE$97,AI134+AF135,0)</f>
        <v>0</v>
      </c>
      <c r="AJ135" s="654" t="n">
        <f aca="false">IF(AC135&lt;=$AE$97,AJ134+AG135,0)</f>
        <v>0</v>
      </c>
      <c r="AL135" s="1027" t="n">
        <f aca="false">AL134+1</f>
        <v>26</v>
      </c>
      <c r="AM135" s="1025" t="n">
        <f aca="false">IF(AL135&lt;=$AN$97,DATE(YEAR(AM134),MONTH(AM134)+12/$AN$95,DAY(AM134)),"0")</f>
        <v>45750</v>
      </c>
      <c r="AN135" s="1026" t="n">
        <f aca="false">IF(AL135&lt;=$AN$97,AQ134,0)</f>
        <v>11255.4589666525</v>
      </c>
      <c r="AO135" s="1026" t="n">
        <f aca="false">(AN135*$AN$93*1)/1200</f>
        <v>46.8977456943853</v>
      </c>
      <c r="AP135" s="1022" t="n">
        <f aca="false">IF(AL135&lt;$AN$97,$AN$101-AO135,0)+IF(AL135=$AN$97,$AN$90+$AN$101-AO135,0)</f>
        <v>1002.08365296891</v>
      </c>
      <c r="AQ135" s="1026" t="n">
        <f aca="false">AN135-AP135</f>
        <v>10253.3753136836</v>
      </c>
      <c r="AR135" s="1026" t="n">
        <f aca="false">IF(AL135&lt;=$AN$97,AR134+AO135,0)</f>
        <v>2526.89167892921</v>
      </c>
      <c r="AS135" s="654" t="n">
        <f aca="false">IF(AL135&lt;=$AN$97,AS134+AP135,0)</f>
        <v>24746.6246863165</v>
      </c>
      <c r="AU135" s="1027" t="n">
        <f aca="false">AU134+1</f>
        <v>26</v>
      </c>
      <c r="AV135" s="1025" t="str">
        <f aca="false">IF(AU135&lt;=$AW$97,DATE(YEAR(AV134),MONTH(AV134)+12/$AW$95,DAY(AV134)),"0")</f>
        <v>0</v>
      </c>
      <c r="AW135" s="1026" t="n">
        <f aca="false">IF(AU135&lt;=$AW$97,AZ134,0)</f>
        <v>0</v>
      </c>
      <c r="AX135" s="1026" t="n">
        <f aca="false">(AW135*$AW$93*1)/1200</f>
        <v>0</v>
      </c>
      <c r="AY135" s="1022" t="n">
        <f aca="false">IF(AU135&lt;$AW$97,$AW$101-AX135,0)+IF(AU135=$AW$97,$AW$90+$AW$101-AX135,0)</f>
        <v>0</v>
      </c>
      <c r="AZ135" s="1026" t="n">
        <f aca="false">AW135-AY135</f>
        <v>0</v>
      </c>
      <c r="BA135" s="1026" t="n">
        <f aca="false">IF(AU135&lt;=$AW$97,BA134+AX135,0)</f>
        <v>0</v>
      </c>
      <c r="BB135" s="654" t="n">
        <f aca="false">IF(AU135&lt;=$AW$97,BB134+AY135,0)</f>
        <v>0</v>
      </c>
    </row>
    <row r="136" customFormat="false" ht="12.75" hidden="false" customHeight="false" outlineLevel="0" collapsed="false">
      <c r="B136" s="1024" t="n">
        <v>27</v>
      </c>
      <c r="C136" s="1025" t="n">
        <f aca="false">IF(B136&lt;=$D$97,DATE(YEAR(C135),MONTH(C135)+12/$D$94,DAY(C135)),"0")</f>
        <v>45780</v>
      </c>
      <c r="D136" s="1026" t="n">
        <f aca="false">IF(B136=1,$D$90,G135)</f>
        <v>132878.541213944</v>
      </c>
      <c r="E136" s="1026" t="n">
        <f aca="false">(D136*$D$92*1)/1200</f>
        <v>387.562411874004</v>
      </c>
      <c r="F136" s="1026" t="n">
        <f aca="false">IF(AND(B136&lt;=$D$97,B136&gt;$D$95),$D$101-E136,0)</f>
        <v>684.761400140755</v>
      </c>
      <c r="G136" s="1026" t="n">
        <f aca="false">D136-F136</f>
        <v>132193.779813804</v>
      </c>
      <c r="H136" s="1026" t="n">
        <f aca="false">IF(B136&lt;=$D$97,E136+H135,0)</f>
        <v>11146.5227382021</v>
      </c>
      <c r="I136" s="654" t="n">
        <f aca="false">IF(B136&lt;=$D$97,F136+I135,0)</f>
        <v>17806.2201861964</v>
      </c>
      <c r="K136" s="1027" t="n">
        <f aca="false">K135+1</f>
        <v>27</v>
      </c>
      <c r="L136" s="1025" t="n">
        <f aca="false">IF(K136&lt;=$M$97,DATE(YEAR(L135),MONTH(L135)+12/$M$94,DAY(L135)),"0")</f>
        <v>45780</v>
      </c>
      <c r="M136" s="1026" t="n">
        <f aca="false">IF(K136&lt;=$M$97,P135,0)</f>
        <v>8956.33317284141</v>
      </c>
      <c r="N136" s="1026" t="n">
        <f aca="false">(M136*$M$92*1)/1200</f>
        <v>37.3180548868392</v>
      </c>
      <c r="O136" s="1026" t="n">
        <f aca="false">IF(AND(K136&lt;=$M$97,K136&gt;$M$95),$M$101-N136,0)</f>
        <v>245.750449773326</v>
      </c>
      <c r="P136" s="1026" t="n">
        <f aca="false">M136-O136</f>
        <v>8710.58272306809</v>
      </c>
      <c r="Q136" s="1026" t="n">
        <f aca="false">IF(K136&lt;=$M$97,Q135+N136,0)</f>
        <v>1353.43234889254</v>
      </c>
      <c r="R136" s="654" t="n">
        <f aca="false">IF(K136&lt;=$D$97,R135+O136,0)</f>
        <v>6289.41727693191</v>
      </c>
      <c r="T136" s="1027" t="n">
        <f aca="false">T135+1</f>
        <v>27</v>
      </c>
      <c r="U136" s="1025" t="str">
        <f aca="false">IF(T136&lt;=$V$97,DATE(YEAR(U135),MONTH(U135)+12/$V$94,DAY(U135)),"0")</f>
        <v>0</v>
      </c>
      <c r="V136" s="1026" t="n">
        <f aca="false">IF(T136&lt;=$V$97,Y135,0)</f>
        <v>0</v>
      </c>
      <c r="W136" s="1026" t="n">
        <f aca="false">(V136*$V$92*1)/1200</f>
        <v>0</v>
      </c>
      <c r="X136" s="1022" t="n">
        <f aca="false">IF(AND(T136&lt;=$V$97,T136&gt;$V$95),$V$101-W136,0)</f>
        <v>0</v>
      </c>
      <c r="Y136" s="1026" t="n">
        <f aca="false">V136-X136</f>
        <v>0</v>
      </c>
      <c r="Z136" s="1026" t="n">
        <f aca="false">IF(T136&lt;=$V$97,Z135+W136,0)</f>
        <v>0</v>
      </c>
      <c r="AA136" s="654" t="n">
        <f aca="false">IF(T136&lt;=$V$97,AA135+X136,0)</f>
        <v>0</v>
      </c>
      <c r="AB136" s="451"/>
      <c r="AC136" s="1027" t="n">
        <f aca="false">AC135+1</f>
        <v>27</v>
      </c>
      <c r="AD136" s="1025" t="n">
        <f aca="false">IF(AC136&lt;=$AE$97,DATE(YEAR(AD135),MONTH(AD135)+12/$AE$95,DAY(AD135)),"0")</f>
        <v>45750</v>
      </c>
      <c r="AE136" s="1026" t="n">
        <f aca="false">IF(AC136&lt;=$AE$97,AH135,0)</f>
        <v>0</v>
      </c>
      <c r="AF136" s="1026" t="n">
        <f aca="false">(AE136*$AE$93*1)/1200</f>
        <v>0</v>
      </c>
      <c r="AG136" s="1022" t="n">
        <f aca="false">IF(AC136&lt;$AE$97,$AE$101-AF136,0)+IF(AC136=$AE$97,$AE$90+$AE$101-AF136,0)</f>
        <v>0</v>
      </c>
      <c r="AH136" s="1026" t="n">
        <f aca="false">AE136-AG136</f>
        <v>0</v>
      </c>
      <c r="AI136" s="1026" t="n">
        <f aca="false">IF(AC136&lt;=$AE$97,AI135+AF136,0)</f>
        <v>0</v>
      </c>
      <c r="AJ136" s="654" t="n">
        <f aca="false">IF(AC136&lt;=$AE$97,AJ135+AG136,0)</f>
        <v>0</v>
      </c>
      <c r="AL136" s="1027" t="n">
        <f aca="false">AL135+1</f>
        <v>27</v>
      </c>
      <c r="AM136" s="1025" t="n">
        <f aca="false">IF(AL136&lt;=$AN$97,DATE(YEAR(AM135),MONTH(AM135)+12/$AN$95,DAY(AM135)),"0")</f>
        <v>45780</v>
      </c>
      <c r="AN136" s="1026" t="n">
        <f aca="false">IF(AL136&lt;=$AN$97,AQ135,0)</f>
        <v>10253.3753136836</v>
      </c>
      <c r="AO136" s="1026" t="n">
        <f aca="false">(AN136*$AN$93*1)/1200</f>
        <v>42.7223971403482</v>
      </c>
      <c r="AP136" s="1022" t="n">
        <f aca="false">IF(AL136&lt;$AN$97,$AN$101-AO136,0)+IF(AL136=$AN$97,$AN$90+$AN$101-AO136,0)</f>
        <v>1006.25900152295</v>
      </c>
      <c r="AQ136" s="1026" t="n">
        <f aca="false">AN136-AP136</f>
        <v>9247.11631216061</v>
      </c>
      <c r="AR136" s="1026" t="n">
        <f aca="false">IF(AL136&lt;=$AN$97,AR135+AO136,0)</f>
        <v>2569.61407606956</v>
      </c>
      <c r="AS136" s="654" t="n">
        <f aca="false">IF(AL136&lt;=$AN$97,AS135+AP136,0)</f>
        <v>25752.8836878394</v>
      </c>
      <c r="AU136" s="1027" t="n">
        <f aca="false">AU135+1</f>
        <v>27</v>
      </c>
      <c r="AV136" s="1025" t="str">
        <f aca="false">IF(AU136&lt;=$AW$97,DATE(YEAR(AV135),MONTH(AV135)+12/$AW$95,DAY(AV135)),"0")</f>
        <v>0</v>
      </c>
      <c r="AW136" s="1026" t="n">
        <f aca="false">IF(AU136&lt;=$AW$97,AZ135,0)</f>
        <v>0</v>
      </c>
      <c r="AX136" s="1026" t="n">
        <f aca="false">(AW136*$AW$93*1)/1200</f>
        <v>0</v>
      </c>
      <c r="AY136" s="1022" t="n">
        <f aca="false">IF(AU136&lt;$AW$97,$AW$101-AX136,0)+IF(AU136=$AW$97,$AW$90+$AW$101-AX136,0)</f>
        <v>0</v>
      </c>
      <c r="AZ136" s="1026" t="n">
        <f aca="false">AW136-AY136</f>
        <v>0</v>
      </c>
      <c r="BA136" s="1026" t="n">
        <f aca="false">IF(AU136&lt;=$AW$97,BA135+AX136,0)</f>
        <v>0</v>
      </c>
      <c r="BB136" s="654" t="n">
        <f aca="false">IF(AU136&lt;=$AW$97,BB135+AY136,0)</f>
        <v>0</v>
      </c>
    </row>
    <row r="137" customFormat="false" ht="12.75" hidden="false" customHeight="false" outlineLevel="0" collapsed="false">
      <c r="B137" s="1024" t="n">
        <v>28</v>
      </c>
      <c r="C137" s="1025" t="n">
        <f aca="false">IF(B137&lt;=$D$97,DATE(YEAR(C136),MONTH(C136)+12/$D$94,DAY(C136)),"0")</f>
        <v>45811</v>
      </c>
      <c r="D137" s="1026" t="n">
        <f aca="false">IF(B137=1,$D$90,G136)</f>
        <v>132193.779813804</v>
      </c>
      <c r="E137" s="1026" t="n">
        <f aca="false">(D137*$D$92*1)/1200</f>
        <v>385.565191123594</v>
      </c>
      <c r="F137" s="1026" t="n">
        <f aca="false">IF(AND(B137&lt;=$D$97,B137&gt;$D$95),$D$101-E137,0)</f>
        <v>686.758620891166</v>
      </c>
      <c r="G137" s="1026" t="n">
        <f aca="false">D137-F137</f>
        <v>131507.021192912</v>
      </c>
      <c r="H137" s="1026" t="n">
        <f aca="false">IF(B137&lt;=$D$97,E137+H136,0)</f>
        <v>11532.0879293257</v>
      </c>
      <c r="I137" s="654" t="n">
        <f aca="false">IF(B137&lt;=$D$97,F137+I136,0)</f>
        <v>18492.9788070876</v>
      </c>
      <c r="K137" s="1027" t="n">
        <f aca="false">K136+1</f>
        <v>28</v>
      </c>
      <c r="L137" s="1025" t="n">
        <f aca="false">IF(K137&lt;=$M$97,DATE(YEAR(L136),MONTH(L136)+12/$M$94,DAY(L136)),"0")</f>
        <v>45811</v>
      </c>
      <c r="M137" s="1026" t="n">
        <f aca="false">IF(K137&lt;=$M$97,P136,0)</f>
        <v>8710.58272306809</v>
      </c>
      <c r="N137" s="1026" t="n">
        <f aca="false">(M137*$M$92*1)/1200</f>
        <v>36.2940946794504</v>
      </c>
      <c r="O137" s="1026" t="n">
        <f aca="false">IF(AND(K137&lt;=$M$97,K137&gt;$M$95),$M$101-N137,0)</f>
        <v>246.774409980715</v>
      </c>
      <c r="P137" s="1026" t="n">
        <f aca="false">M137-O137</f>
        <v>8463.80831308737</v>
      </c>
      <c r="Q137" s="1026" t="n">
        <f aca="false">IF(K137&lt;=$M$97,Q136+N137,0)</f>
        <v>1389.72644357199</v>
      </c>
      <c r="R137" s="654" t="n">
        <f aca="false">IF(K137&lt;=$D$97,R136+O137,0)</f>
        <v>6536.19168691262</v>
      </c>
      <c r="T137" s="1027" t="n">
        <f aca="false">T136+1</f>
        <v>28</v>
      </c>
      <c r="U137" s="1025" t="str">
        <f aca="false">IF(T137&lt;=$V$97,DATE(YEAR(U136),MONTH(U136)+12/$V$94,DAY(U136)),"0")</f>
        <v>0</v>
      </c>
      <c r="V137" s="1026" t="n">
        <f aca="false">IF(T137&lt;=$V$97,Y136,0)</f>
        <v>0</v>
      </c>
      <c r="W137" s="1026" t="n">
        <f aca="false">(V137*$V$92*1)/1200</f>
        <v>0</v>
      </c>
      <c r="X137" s="1022" t="n">
        <f aca="false">IF(AND(T137&lt;=$V$97,T137&gt;$V$95),$V$101-W137,0)</f>
        <v>0</v>
      </c>
      <c r="Y137" s="1026" t="n">
        <f aca="false">V137-X137</f>
        <v>0</v>
      </c>
      <c r="Z137" s="1026" t="n">
        <f aca="false">IF(T137&lt;=$V$97,Z136+W137,0)</f>
        <v>0</v>
      </c>
      <c r="AA137" s="654" t="n">
        <f aca="false">IF(T137&lt;=$V$97,AA136+X137,0)</f>
        <v>0</v>
      </c>
      <c r="AB137" s="451"/>
      <c r="AC137" s="1027" t="n">
        <f aca="false">AC136+1</f>
        <v>28</v>
      </c>
      <c r="AD137" s="1025" t="n">
        <f aca="false">IF(AC137&lt;=$AE$97,DATE(YEAR(AD136),MONTH(AD136)+12/$AE$95,DAY(AD136)),"0")</f>
        <v>45780</v>
      </c>
      <c r="AE137" s="1026" t="n">
        <f aca="false">IF(AC137&lt;=$AE$97,AH136,0)</f>
        <v>0</v>
      </c>
      <c r="AF137" s="1026" t="n">
        <f aca="false">(AE137*$AE$93*1)/1200</f>
        <v>0</v>
      </c>
      <c r="AG137" s="1022" t="n">
        <f aca="false">IF(AC137&lt;$AE$97,$AE$101-AF137,0)+IF(AC137=$AE$97,$AE$90+$AE$101-AF137,0)</f>
        <v>0</v>
      </c>
      <c r="AH137" s="1026" t="n">
        <f aca="false">AE137-AG137</f>
        <v>0</v>
      </c>
      <c r="AI137" s="1026" t="n">
        <f aca="false">IF(AC137&lt;=$AE$97,AI136+AF137,0)</f>
        <v>0</v>
      </c>
      <c r="AJ137" s="654" t="n">
        <f aca="false">IF(AC137&lt;=$AE$97,AJ136+AG137,0)</f>
        <v>0</v>
      </c>
      <c r="AL137" s="1027" t="n">
        <f aca="false">AL136+1</f>
        <v>28</v>
      </c>
      <c r="AM137" s="1025" t="n">
        <f aca="false">IF(AL137&lt;=$AN$97,DATE(YEAR(AM136),MONTH(AM136)+12/$AN$95,DAY(AM136)),"0")</f>
        <v>45811</v>
      </c>
      <c r="AN137" s="1026" t="n">
        <f aca="false">IF(AL137&lt;=$AN$97,AQ136,0)</f>
        <v>9247.11631216061</v>
      </c>
      <c r="AO137" s="1026" t="n">
        <f aca="false">(AN137*$AN$93*1)/1200</f>
        <v>38.5296513006692</v>
      </c>
      <c r="AP137" s="1022" t="n">
        <f aca="false">IF(AL137&lt;$AN$97,$AN$101-AO137,0)+IF(AL137=$AN$97,$AN$90+$AN$101-AO137,0)</f>
        <v>1010.45174736263</v>
      </c>
      <c r="AQ137" s="1026" t="n">
        <f aca="false">AN137-AP137</f>
        <v>8236.66456479798</v>
      </c>
      <c r="AR137" s="1026" t="n">
        <f aca="false">IF(AL137&lt;=$AN$97,AR136+AO137,0)</f>
        <v>2608.14372737023</v>
      </c>
      <c r="AS137" s="654" t="n">
        <f aca="false">IF(AL137&lt;=$AN$97,AS136+AP137,0)</f>
        <v>26763.335435202</v>
      </c>
      <c r="AU137" s="1027" t="n">
        <f aca="false">AU136+1</f>
        <v>28</v>
      </c>
      <c r="AV137" s="1025" t="str">
        <f aca="false">IF(AU137&lt;=$AW$97,DATE(YEAR(AV136),MONTH(AV136)+12/$AW$95,DAY(AV136)),"0")</f>
        <v>0</v>
      </c>
      <c r="AW137" s="1026" t="n">
        <f aca="false">IF(AU137&lt;=$AW$97,AZ136,0)</f>
        <v>0</v>
      </c>
      <c r="AX137" s="1026" t="n">
        <f aca="false">(AW137*$AW$93*1)/1200</f>
        <v>0</v>
      </c>
      <c r="AY137" s="1022" t="n">
        <f aca="false">IF(AU137&lt;$AW$97,$AW$101-AX137,0)+IF(AU137=$AW$97,$AW$90+$AW$101-AX137,0)</f>
        <v>0</v>
      </c>
      <c r="AZ137" s="1026" t="n">
        <f aca="false">AW137-AY137</f>
        <v>0</v>
      </c>
      <c r="BA137" s="1026" t="n">
        <f aca="false">IF(AU137&lt;=$AW$97,BA136+AX137,0)</f>
        <v>0</v>
      </c>
      <c r="BB137" s="654" t="n">
        <f aca="false">IF(AU137&lt;=$AW$97,BB136+AY137,0)</f>
        <v>0</v>
      </c>
    </row>
    <row r="138" customFormat="false" ht="12.75" hidden="false" customHeight="false" outlineLevel="0" collapsed="false">
      <c r="B138" s="1024" t="n">
        <v>29</v>
      </c>
      <c r="C138" s="1025" t="n">
        <f aca="false">IF(B138&lt;=$D$97,DATE(YEAR(C137),MONTH(C137)+12/$D$94,DAY(C137)),"0")</f>
        <v>45841</v>
      </c>
      <c r="D138" s="1026" t="n">
        <f aca="false">IF(B138=1,$D$90,G137)</f>
        <v>131507.021192912</v>
      </c>
      <c r="E138" s="1026" t="n">
        <f aca="false">(D138*$D$92*1)/1200</f>
        <v>383.562145145995</v>
      </c>
      <c r="F138" s="1026" t="n">
        <f aca="false">IF(AND(B138&lt;=$D$97,B138&gt;$D$95),$D$101-E138,0)</f>
        <v>688.761666868765</v>
      </c>
      <c r="G138" s="1026" t="n">
        <f aca="false">D138-F138</f>
        <v>130818.259526044</v>
      </c>
      <c r="H138" s="1026" t="n">
        <f aca="false">IF(B138&lt;=$D$97,E138+H137,0)</f>
        <v>11915.6500744717</v>
      </c>
      <c r="I138" s="654" t="n">
        <f aca="false">IF(B138&lt;=$D$97,F138+I137,0)</f>
        <v>19181.7404739563</v>
      </c>
      <c r="K138" s="1027" t="n">
        <f aca="false">K137+1</f>
        <v>29</v>
      </c>
      <c r="L138" s="1025" t="n">
        <f aca="false">IF(K138&lt;=$M$97,DATE(YEAR(L137),MONTH(L137)+12/$M$94,DAY(L137)),"0")</f>
        <v>45841</v>
      </c>
      <c r="M138" s="1026" t="n">
        <f aca="false">IF(K138&lt;=$M$97,P137,0)</f>
        <v>8463.80831308737</v>
      </c>
      <c r="N138" s="1026" t="n">
        <f aca="false">(M138*$M$92*1)/1200</f>
        <v>35.2658679711974</v>
      </c>
      <c r="O138" s="1026" t="n">
        <f aca="false">IF(AND(K138&lt;=$M$97,K138&gt;$M$95),$M$101-N138,0)</f>
        <v>247.802636688967</v>
      </c>
      <c r="P138" s="1026" t="n">
        <f aca="false">M138-O138</f>
        <v>8216.00567639841</v>
      </c>
      <c r="Q138" s="1026" t="n">
        <f aca="false">IF(K138&lt;=$M$97,Q137+N138,0)</f>
        <v>1424.99231154319</v>
      </c>
      <c r="R138" s="654" t="n">
        <f aca="false">IF(K138&lt;=$D$97,R137+O138,0)</f>
        <v>6783.99432360159</v>
      </c>
      <c r="T138" s="1027" t="n">
        <f aca="false">T137+1</f>
        <v>29</v>
      </c>
      <c r="U138" s="1025" t="str">
        <f aca="false">IF(T138&lt;=$V$97,DATE(YEAR(U137),MONTH(U137)+12/$V$94,DAY(U137)),"0")</f>
        <v>0</v>
      </c>
      <c r="V138" s="1026" t="n">
        <f aca="false">IF(T138&lt;=$V$97,Y137,0)</f>
        <v>0</v>
      </c>
      <c r="W138" s="1026" t="n">
        <f aca="false">(V138*$V$92*1)/1200</f>
        <v>0</v>
      </c>
      <c r="X138" s="1022" t="n">
        <f aca="false">IF(AND(T138&lt;=$V$97,T138&gt;$V$95),$V$101-W138,0)</f>
        <v>0</v>
      </c>
      <c r="Y138" s="1026" t="n">
        <f aca="false">V138-X138</f>
        <v>0</v>
      </c>
      <c r="Z138" s="1026" t="n">
        <f aca="false">IF(T138&lt;=$V$97,Z137+W138,0)</f>
        <v>0</v>
      </c>
      <c r="AA138" s="654" t="n">
        <f aca="false">IF(T138&lt;=$V$97,AA137+X138,0)</f>
        <v>0</v>
      </c>
      <c r="AB138" s="451"/>
      <c r="AC138" s="1027" t="n">
        <f aca="false">AC137+1</f>
        <v>29</v>
      </c>
      <c r="AD138" s="1025" t="n">
        <f aca="false">IF(AC138&lt;=$AE$97,DATE(YEAR(AD137),MONTH(AD137)+12/$AE$95,DAY(AD137)),"0")</f>
        <v>45811</v>
      </c>
      <c r="AE138" s="1026" t="n">
        <f aca="false">IF(AC138&lt;=$AE$97,AH137,0)</f>
        <v>0</v>
      </c>
      <c r="AF138" s="1026" t="n">
        <f aca="false">(AE138*$AE$93*1)/1200</f>
        <v>0</v>
      </c>
      <c r="AG138" s="1022" t="n">
        <f aca="false">IF(AC138&lt;$AE$97,$AE$101-AF138,0)+IF(AC138=$AE$97,$AE$90+$AE$101-AF138,0)</f>
        <v>0</v>
      </c>
      <c r="AH138" s="1026" t="n">
        <f aca="false">AE138-AG138</f>
        <v>0</v>
      </c>
      <c r="AI138" s="1026" t="n">
        <f aca="false">IF(AC138&lt;=$AE$97,AI137+AF138,0)</f>
        <v>0</v>
      </c>
      <c r="AJ138" s="654" t="n">
        <f aca="false">IF(AC138&lt;=$AE$97,AJ137+AG138,0)</f>
        <v>0</v>
      </c>
      <c r="AL138" s="1027" t="n">
        <f aca="false">AL137+1</f>
        <v>29</v>
      </c>
      <c r="AM138" s="1025" t="n">
        <f aca="false">IF(AL138&lt;=$AN$97,DATE(YEAR(AM137),MONTH(AM137)+12/$AN$95,DAY(AM137)),"0")</f>
        <v>45841</v>
      </c>
      <c r="AN138" s="1026" t="n">
        <f aca="false">IF(AL138&lt;=$AN$97,AQ137,0)</f>
        <v>8236.66456479798</v>
      </c>
      <c r="AO138" s="1026" t="n">
        <f aca="false">(AN138*$AN$93*1)/1200</f>
        <v>34.3194356866583</v>
      </c>
      <c r="AP138" s="1022" t="n">
        <f aca="false">IF(AL138&lt;$AN$97,$AN$101-AO138,0)+IF(AL138=$AN$97,$AN$90+$AN$101-AO138,0)</f>
        <v>1014.66196297664</v>
      </c>
      <c r="AQ138" s="1026" t="n">
        <f aca="false">AN138-AP138</f>
        <v>7222.00260182135</v>
      </c>
      <c r="AR138" s="1026" t="n">
        <f aca="false">IF(AL138&lt;=$AN$97,AR137+AO138,0)</f>
        <v>2642.46316305689</v>
      </c>
      <c r="AS138" s="654" t="n">
        <f aca="false">IF(AL138&lt;=$AN$97,AS137+AP138,0)</f>
        <v>27777.9973981787</v>
      </c>
      <c r="AU138" s="1027" t="n">
        <f aca="false">AU137+1</f>
        <v>29</v>
      </c>
      <c r="AV138" s="1025" t="str">
        <f aca="false">IF(AU138&lt;=$AW$97,DATE(YEAR(AV137),MONTH(AV137)+12/$AW$95,DAY(AV137)),"0")</f>
        <v>0</v>
      </c>
      <c r="AW138" s="1026" t="n">
        <f aca="false">IF(AU138&lt;=$AW$97,AZ137,0)</f>
        <v>0</v>
      </c>
      <c r="AX138" s="1026" t="n">
        <f aca="false">(AW138*$AW$93*1)/1200</f>
        <v>0</v>
      </c>
      <c r="AY138" s="1022" t="n">
        <f aca="false">IF(AU138&lt;$AW$97,$AW$101-AX138,0)+IF(AU138=$AW$97,$AW$90+$AW$101-AX138,0)</f>
        <v>0</v>
      </c>
      <c r="AZ138" s="1026" t="n">
        <f aca="false">AW138-AY138</f>
        <v>0</v>
      </c>
      <c r="BA138" s="1026" t="n">
        <f aca="false">IF(AU138&lt;=$AW$97,BA137+AX138,0)</f>
        <v>0</v>
      </c>
      <c r="BB138" s="654" t="n">
        <f aca="false">IF(AU138&lt;=$AW$97,BB137+AY138,0)</f>
        <v>0</v>
      </c>
    </row>
    <row r="139" customFormat="false" ht="12.75" hidden="false" customHeight="false" outlineLevel="0" collapsed="false">
      <c r="B139" s="1024" t="n">
        <v>30</v>
      </c>
      <c r="C139" s="1025" t="n">
        <f aca="false">IF(B139&lt;=$D$97,DATE(YEAR(C138),MONTH(C138)+12/$D$94,DAY(C138)),"0")</f>
        <v>45872</v>
      </c>
      <c r="D139" s="1026" t="n">
        <f aca="false">IF(B139=1,$D$90,G138)</f>
        <v>130818.259526044</v>
      </c>
      <c r="E139" s="1026" t="n">
        <f aca="false">(D139*$D$92*1)/1200</f>
        <v>381.553256950961</v>
      </c>
      <c r="F139" s="1026" t="n">
        <f aca="false">IF(AND(B139&lt;=$D$97,B139&gt;$D$95),$D$101-E139,0)</f>
        <v>690.770555063799</v>
      </c>
      <c r="G139" s="1026" t="n">
        <f aca="false">D139-F139</f>
        <v>130127.48897098</v>
      </c>
      <c r="H139" s="1026" t="n">
        <f aca="false">IF(B139&lt;=$D$97,E139+H138,0)</f>
        <v>12297.2033314227</v>
      </c>
      <c r="I139" s="654" t="n">
        <f aca="false">IF(B139&lt;=$D$97,F139+I138,0)</f>
        <v>19872.5110290201</v>
      </c>
      <c r="K139" s="1027" t="n">
        <f aca="false">K138+1</f>
        <v>30</v>
      </c>
      <c r="L139" s="1025" t="n">
        <f aca="false">IF(K139&lt;=$M$97,DATE(YEAR(L138),MONTH(L138)+12/$M$94,DAY(L138)),"0")</f>
        <v>45872</v>
      </c>
      <c r="M139" s="1026" t="n">
        <f aca="false">IF(K139&lt;=$M$97,P138,0)</f>
        <v>8216.00567639841</v>
      </c>
      <c r="N139" s="1026" t="n">
        <f aca="false">(M139*$M$92*1)/1200</f>
        <v>34.2333569849934</v>
      </c>
      <c r="O139" s="1026" t="n">
        <f aca="false">IF(AND(K139&lt;=$M$97,K139&gt;$M$95),$M$101-N139,0)</f>
        <v>248.835147675172</v>
      </c>
      <c r="P139" s="1026" t="n">
        <f aca="false">M139-O139</f>
        <v>7967.17052872323</v>
      </c>
      <c r="Q139" s="1026" t="n">
        <f aca="false">IF(K139&lt;=$M$97,Q138+N139,0)</f>
        <v>1459.22566852818</v>
      </c>
      <c r="R139" s="654" t="n">
        <f aca="false">IF(K139&lt;=$D$97,R138+O139,0)</f>
        <v>7032.82947127676</v>
      </c>
      <c r="T139" s="1027" t="n">
        <f aca="false">T138+1</f>
        <v>30</v>
      </c>
      <c r="U139" s="1025" t="str">
        <f aca="false">IF(T139&lt;=$V$97,DATE(YEAR(U138),MONTH(U138)+12/$V$94,DAY(U138)),"0")</f>
        <v>0</v>
      </c>
      <c r="V139" s="1026" t="n">
        <f aca="false">IF(T139&lt;=$V$97,Y138,0)</f>
        <v>0</v>
      </c>
      <c r="W139" s="1026" t="n">
        <f aca="false">(V139*$V$92*1)/1200</f>
        <v>0</v>
      </c>
      <c r="X139" s="1022" t="n">
        <f aca="false">IF(AND(T139&lt;=$V$97,T139&gt;$V$95),$V$101-W139,0)</f>
        <v>0</v>
      </c>
      <c r="Y139" s="1026" t="n">
        <f aca="false">V139-X139</f>
        <v>0</v>
      </c>
      <c r="Z139" s="1026" t="n">
        <f aca="false">IF(T139&lt;=$V$97,Z138+W139,0)</f>
        <v>0</v>
      </c>
      <c r="AA139" s="654" t="n">
        <f aca="false">IF(T139&lt;=$V$97,AA138+X139,0)</f>
        <v>0</v>
      </c>
      <c r="AB139" s="451"/>
      <c r="AC139" s="1027" t="n">
        <f aca="false">AC138+1</f>
        <v>30</v>
      </c>
      <c r="AD139" s="1025" t="n">
        <f aca="false">IF(AC139&lt;=$AE$97,DATE(YEAR(AD138),MONTH(AD138)+12/$AE$95,DAY(AD138)),"0")</f>
        <v>45841</v>
      </c>
      <c r="AE139" s="1026" t="n">
        <f aca="false">IF(AC139&lt;=$AE$97,AH138,0)</f>
        <v>0</v>
      </c>
      <c r="AF139" s="1026" t="n">
        <f aca="false">(AE139*$AE$93*1)/1200</f>
        <v>0</v>
      </c>
      <c r="AG139" s="1022" t="n">
        <f aca="false">IF(AC139&lt;$AE$97,$AE$101-AF139,0)+IF(AC139=$AE$97,$AE$90+$AE$101-AF139,0)</f>
        <v>0</v>
      </c>
      <c r="AH139" s="1026" t="n">
        <f aca="false">AE139-AG139</f>
        <v>0</v>
      </c>
      <c r="AI139" s="1026" t="n">
        <f aca="false">IF(AC139&lt;=$AE$97,AI138+AF139,0)</f>
        <v>0</v>
      </c>
      <c r="AJ139" s="654" t="n">
        <f aca="false">IF(AC139&lt;=$AE$97,AJ138+AG139,0)</f>
        <v>0</v>
      </c>
      <c r="AL139" s="1027" t="n">
        <f aca="false">AL138+1</f>
        <v>30</v>
      </c>
      <c r="AM139" s="1025" t="n">
        <f aca="false">IF(AL139&lt;=$AN$97,DATE(YEAR(AM138),MONTH(AM138)+12/$AN$95,DAY(AM138)),"0")</f>
        <v>45872</v>
      </c>
      <c r="AN139" s="1026" t="n">
        <f aca="false">IF(AL139&lt;=$AN$97,AQ138,0)</f>
        <v>7222.00260182135</v>
      </c>
      <c r="AO139" s="1026" t="n">
        <f aca="false">(AN139*$AN$93*1)/1200</f>
        <v>30.0916775075889</v>
      </c>
      <c r="AP139" s="1022" t="n">
        <f aca="false">IF(AL139&lt;$AN$97,$AN$101-AO139,0)+IF(AL139=$AN$97,$AN$90+$AN$101-AO139,0)</f>
        <v>1018.88972115571</v>
      </c>
      <c r="AQ139" s="1026" t="n">
        <f aca="false">AN139-AP139</f>
        <v>6203.11288066564</v>
      </c>
      <c r="AR139" s="1026" t="n">
        <f aca="false">IF(AL139&lt;=$AN$97,AR138+AO139,0)</f>
        <v>2672.55484056448</v>
      </c>
      <c r="AS139" s="654" t="n">
        <f aca="false">IF(AL139&lt;=$AN$97,AS138+AP139,0)</f>
        <v>28796.8871193344</v>
      </c>
      <c r="AU139" s="1027" t="n">
        <f aca="false">AU138+1</f>
        <v>30</v>
      </c>
      <c r="AV139" s="1025" t="str">
        <f aca="false">IF(AU139&lt;=$AW$97,DATE(YEAR(AV138),MONTH(AV138)+12/$AW$95,DAY(AV138)),"0")</f>
        <v>0</v>
      </c>
      <c r="AW139" s="1026" t="n">
        <f aca="false">IF(AU139&lt;=$AW$97,AZ138,0)</f>
        <v>0</v>
      </c>
      <c r="AX139" s="1026" t="n">
        <f aca="false">(AW139*$AW$93*1)/1200</f>
        <v>0</v>
      </c>
      <c r="AY139" s="1022" t="n">
        <f aca="false">IF(AU139&lt;$AW$97,$AW$101-AX139,0)+IF(AU139=$AW$97,$AW$90+$AW$101-AX139,0)</f>
        <v>0</v>
      </c>
      <c r="AZ139" s="1026" t="n">
        <f aca="false">AW139-AY139</f>
        <v>0</v>
      </c>
      <c r="BA139" s="1026" t="n">
        <f aca="false">IF(AU139&lt;=$AW$97,BA138+AX139,0)</f>
        <v>0</v>
      </c>
      <c r="BB139" s="654" t="n">
        <f aca="false">IF(AU139&lt;=$AW$97,BB138+AY139,0)</f>
        <v>0</v>
      </c>
    </row>
    <row r="140" customFormat="false" ht="12.75" hidden="false" customHeight="false" outlineLevel="0" collapsed="false">
      <c r="B140" s="1024" t="n">
        <v>31</v>
      </c>
      <c r="C140" s="1025" t="n">
        <f aca="false">IF(B140&lt;=$D$97,DATE(YEAR(C139),MONTH(C139)+12/$D$94,DAY(C139)),"0")</f>
        <v>45903</v>
      </c>
      <c r="D140" s="1026" t="n">
        <f aca="false">IF(B140=1,$D$90,G139)</f>
        <v>130127.48897098</v>
      </c>
      <c r="E140" s="1026" t="n">
        <f aca="false">(D140*$D$92*1)/1200</f>
        <v>379.538509498691</v>
      </c>
      <c r="F140" s="1026" t="n">
        <f aca="false">IF(AND(B140&lt;=$D$97,B140&gt;$D$95),$D$101-E140,0)</f>
        <v>692.785302516068</v>
      </c>
      <c r="G140" s="1026" t="n">
        <f aca="false">D140-F140</f>
        <v>129434.703668464</v>
      </c>
      <c r="H140" s="1026" t="n">
        <f aca="false">IF(B140&lt;=$D$97,E140+H139,0)</f>
        <v>12676.7418409213</v>
      </c>
      <c r="I140" s="654" t="n">
        <f aca="false">IF(B140&lt;=$D$97,F140+I139,0)</f>
        <v>20565.2963315362</v>
      </c>
      <c r="K140" s="1027" t="n">
        <f aca="false">K139+1</f>
        <v>31</v>
      </c>
      <c r="L140" s="1025" t="n">
        <f aca="false">IF(K140&lt;=$M$97,DATE(YEAR(L139),MONTH(L139)+12/$M$94,DAY(L139)),"0")</f>
        <v>45903</v>
      </c>
      <c r="M140" s="1026" t="n">
        <f aca="false">IF(K140&lt;=$M$97,P139,0)</f>
        <v>7967.17052872323</v>
      </c>
      <c r="N140" s="1026" t="n">
        <f aca="false">(M140*$M$92*1)/1200</f>
        <v>33.1965438696801</v>
      </c>
      <c r="O140" s="1026" t="n">
        <f aca="false">IF(AND(K140&lt;=$M$97,K140&gt;$M$95),$M$101-N140,0)</f>
        <v>249.871960790485</v>
      </c>
      <c r="P140" s="1026" t="n">
        <f aca="false">M140-O140</f>
        <v>7717.29856793275</v>
      </c>
      <c r="Q140" s="1026" t="n">
        <f aca="false">IF(K140&lt;=$M$97,Q139+N140,0)</f>
        <v>1492.42221239786</v>
      </c>
      <c r="R140" s="654" t="n">
        <f aca="false">IF(K140&lt;=$D$97,R139+O140,0)</f>
        <v>7282.70143206725</v>
      </c>
      <c r="T140" s="1027" t="n">
        <f aca="false">T139+1</f>
        <v>31</v>
      </c>
      <c r="U140" s="1025" t="str">
        <f aca="false">IF(T140&lt;=$V$97,DATE(YEAR(U139),MONTH(U139)+12/$V$94,DAY(U139)),"0")</f>
        <v>0</v>
      </c>
      <c r="V140" s="1026" t="n">
        <f aca="false">IF(T140&lt;=$V$97,Y139,0)</f>
        <v>0</v>
      </c>
      <c r="W140" s="1026" t="n">
        <f aca="false">(V140*$V$92*1)/1200</f>
        <v>0</v>
      </c>
      <c r="X140" s="1022" t="n">
        <f aca="false">IF(AND(T140&lt;=$V$97,T140&gt;$V$95),$V$101-W140,0)</f>
        <v>0</v>
      </c>
      <c r="Y140" s="1026" t="n">
        <f aca="false">V140-X140</f>
        <v>0</v>
      </c>
      <c r="Z140" s="1026" t="n">
        <f aca="false">IF(T140&lt;=$V$97,Z139+W140,0)</f>
        <v>0</v>
      </c>
      <c r="AA140" s="654" t="n">
        <f aca="false">IF(T140&lt;=$V$97,AA139+X140,0)</f>
        <v>0</v>
      </c>
      <c r="AB140" s="451"/>
      <c r="AC140" s="1027" t="n">
        <f aca="false">AC139+1</f>
        <v>31</v>
      </c>
      <c r="AD140" s="1025" t="n">
        <f aca="false">IF(AC140&lt;=$AE$97,DATE(YEAR(AD139),MONTH(AD139)+12/$AE$95,DAY(AD139)),"0")</f>
        <v>45872</v>
      </c>
      <c r="AE140" s="1026" t="n">
        <f aca="false">IF(AC140&lt;=$AE$97,AH139,0)</f>
        <v>0</v>
      </c>
      <c r="AF140" s="1026" t="n">
        <f aca="false">(AE140*$AE$93*1)/1200</f>
        <v>0</v>
      </c>
      <c r="AG140" s="1022" t="n">
        <f aca="false">IF(AC140&lt;$AE$97,$AE$101-AF140,0)+IF(AC140=$AE$97,$AE$90+$AE$101-AF140,0)</f>
        <v>0</v>
      </c>
      <c r="AH140" s="1026" t="n">
        <f aca="false">AE140-AG140</f>
        <v>0</v>
      </c>
      <c r="AI140" s="1026" t="n">
        <f aca="false">IF(AC140&lt;=$AE$97,AI139+AF140,0)</f>
        <v>0</v>
      </c>
      <c r="AJ140" s="654" t="n">
        <f aca="false">IF(AC140&lt;=$AE$97,AJ139+AG140,0)</f>
        <v>0</v>
      </c>
      <c r="AL140" s="1027" t="n">
        <f aca="false">AL139+1</f>
        <v>31</v>
      </c>
      <c r="AM140" s="1025" t="n">
        <f aca="false">IF(AL140&lt;=$AN$97,DATE(YEAR(AM139),MONTH(AM139)+12/$AN$95,DAY(AM139)),"0")</f>
        <v>45903</v>
      </c>
      <c r="AN140" s="1026" t="n">
        <f aca="false">IF(AL140&lt;=$AN$97,AQ139,0)</f>
        <v>6203.11288066564</v>
      </c>
      <c r="AO140" s="1026" t="n">
        <f aca="false">(AN140*$AN$93*1)/1200</f>
        <v>25.8463036694402</v>
      </c>
      <c r="AP140" s="1022" t="n">
        <f aca="false">IF(AL140&lt;$AN$97,$AN$101-AO140,0)+IF(AL140=$AN$97,$AN$90+$AN$101-AO140,0)</f>
        <v>1023.13509499385</v>
      </c>
      <c r="AQ140" s="1026" t="n">
        <f aca="false">AN140-AP140</f>
        <v>5179.97778567179</v>
      </c>
      <c r="AR140" s="1026" t="n">
        <f aca="false">IF(AL140&lt;=$AN$97,AR139+AO140,0)</f>
        <v>2698.40114423392</v>
      </c>
      <c r="AS140" s="654" t="n">
        <f aca="false">IF(AL140&lt;=$AN$97,AS139+AP140,0)</f>
        <v>29820.0222143282</v>
      </c>
      <c r="AU140" s="1027" t="n">
        <f aca="false">AU139+1</f>
        <v>31</v>
      </c>
      <c r="AV140" s="1025" t="str">
        <f aca="false">IF(AU140&lt;=$AW$97,DATE(YEAR(AV139),MONTH(AV139)+12/$AW$95,DAY(AV139)),"0")</f>
        <v>0</v>
      </c>
      <c r="AW140" s="1026" t="n">
        <f aca="false">IF(AU140&lt;=$AW$97,AZ139,0)</f>
        <v>0</v>
      </c>
      <c r="AX140" s="1026" t="n">
        <f aca="false">(AW140*$AW$93*1)/1200</f>
        <v>0</v>
      </c>
      <c r="AY140" s="1022" t="n">
        <f aca="false">IF(AU140&lt;$AW$97,$AW$101-AX140,0)+IF(AU140=$AW$97,$AW$90+$AW$101-AX140,0)</f>
        <v>0</v>
      </c>
      <c r="AZ140" s="1026" t="n">
        <f aca="false">AW140-AY140</f>
        <v>0</v>
      </c>
      <c r="BA140" s="1026" t="n">
        <f aca="false">IF(AU140&lt;=$AW$97,BA139+AX140,0)</f>
        <v>0</v>
      </c>
      <c r="BB140" s="654" t="n">
        <f aca="false">IF(AU140&lt;=$AW$97,BB139+AY140,0)</f>
        <v>0</v>
      </c>
    </row>
    <row r="141" customFormat="false" ht="12.75" hidden="false" customHeight="false" outlineLevel="0" collapsed="false">
      <c r="B141" s="1024" t="n">
        <v>32</v>
      </c>
      <c r="C141" s="1025" t="n">
        <f aca="false">IF(B141&lt;=$D$97,DATE(YEAR(C140),MONTH(C140)+12/$D$94,DAY(C140)),"0")</f>
        <v>45933</v>
      </c>
      <c r="D141" s="1026" t="n">
        <f aca="false">IF(B141=1,$D$90,G140)</f>
        <v>129434.703668464</v>
      </c>
      <c r="E141" s="1026" t="n">
        <f aca="false">(D141*$D$92*1)/1200</f>
        <v>377.517885699686</v>
      </c>
      <c r="F141" s="1026" t="n">
        <f aca="false">IF(AND(B141&lt;=$D$97,B141&gt;$D$95),$D$101-E141,0)</f>
        <v>694.805926315073</v>
      </c>
      <c r="G141" s="1026" t="n">
        <f aca="false">D141-F141</f>
        <v>128739.897742149</v>
      </c>
      <c r="H141" s="1026" t="n">
        <f aca="false">IF(B141&lt;=$D$97,E141+H140,0)</f>
        <v>13054.259726621</v>
      </c>
      <c r="I141" s="654" t="n">
        <f aca="false">IF(B141&lt;=$D$97,F141+I140,0)</f>
        <v>21260.1022578513</v>
      </c>
      <c r="K141" s="1027" t="n">
        <f aca="false">K140+1</f>
        <v>32</v>
      </c>
      <c r="L141" s="1025" t="n">
        <f aca="false">IF(K141&lt;=$M$97,DATE(YEAR(L140),MONTH(L140)+12/$M$94,DAY(L140)),"0")</f>
        <v>45933</v>
      </c>
      <c r="M141" s="1026" t="n">
        <f aca="false">IF(K141&lt;=$M$97,P140,0)</f>
        <v>7717.29856793275</v>
      </c>
      <c r="N141" s="1026" t="n">
        <f aca="false">(M141*$M$92*1)/1200</f>
        <v>32.1554106997198</v>
      </c>
      <c r="O141" s="1026" t="n">
        <f aca="false">IF(AND(K141&lt;=$M$97,K141&gt;$M$95),$M$101-N141,0)</f>
        <v>250.913093960445</v>
      </c>
      <c r="P141" s="1026" t="n">
        <f aca="false">M141-O141</f>
        <v>7466.3854739723</v>
      </c>
      <c r="Q141" s="1026" t="n">
        <f aca="false">IF(K141&lt;=$M$97,Q140+N141,0)</f>
        <v>1524.57762309758</v>
      </c>
      <c r="R141" s="654" t="n">
        <f aca="false">IF(K141&lt;=$D$97,R140+O141,0)</f>
        <v>7533.61452602769</v>
      </c>
      <c r="T141" s="1027" t="n">
        <f aca="false">T140+1</f>
        <v>32</v>
      </c>
      <c r="U141" s="1025" t="str">
        <f aca="false">IF(T141&lt;=$V$97,DATE(YEAR(U140),MONTH(U140)+12/$V$94,DAY(U140)),"0")</f>
        <v>0</v>
      </c>
      <c r="V141" s="1026" t="n">
        <f aca="false">IF(T141&lt;=$V$97,Y140,0)</f>
        <v>0</v>
      </c>
      <c r="W141" s="1026" t="n">
        <f aca="false">(V141*$V$92*1)/1200</f>
        <v>0</v>
      </c>
      <c r="X141" s="1022" t="n">
        <f aca="false">IF(AND(T141&lt;=$V$97,T141&gt;$V$95),$V$101-W141,0)</f>
        <v>0</v>
      </c>
      <c r="Y141" s="1026" t="n">
        <f aca="false">V141-X141</f>
        <v>0</v>
      </c>
      <c r="Z141" s="1026" t="n">
        <f aca="false">IF(T141&lt;=$V$97,Z140+W141,0)</f>
        <v>0</v>
      </c>
      <c r="AA141" s="654" t="n">
        <f aca="false">IF(T141&lt;=$V$97,AA140+X141,0)</f>
        <v>0</v>
      </c>
      <c r="AB141" s="451"/>
      <c r="AC141" s="1027" t="n">
        <f aca="false">AC140+1</f>
        <v>32</v>
      </c>
      <c r="AD141" s="1025" t="n">
        <f aca="false">IF(AC141&lt;=$AE$97,DATE(YEAR(AD140),MONTH(AD140)+12/$AE$95,DAY(AD140)),"0")</f>
        <v>45903</v>
      </c>
      <c r="AE141" s="1026" t="n">
        <f aca="false">IF(AC141&lt;=$AE$97,AH140,0)</f>
        <v>0</v>
      </c>
      <c r="AF141" s="1026" t="n">
        <f aca="false">(AE141*$AE$93*1)/1200</f>
        <v>0</v>
      </c>
      <c r="AG141" s="1022" t="n">
        <f aca="false">IF(AC141&lt;$AE$97,$AE$101-AF141,0)+IF(AC141=$AE$97,$AE$90+$AE$101-AF141,0)</f>
        <v>0</v>
      </c>
      <c r="AH141" s="1026" t="n">
        <f aca="false">AE141-AG141</f>
        <v>0</v>
      </c>
      <c r="AI141" s="1026" t="n">
        <f aca="false">IF(AC141&lt;=$AE$97,AI140+AF141,0)</f>
        <v>0</v>
      </c>
      <c r="AJ141" s="654" t="n">
        <f aca="false">IF(AC141&lt;=$AE$97,AJ140+AG141,0)</f>
        <v>0</v>
      </c>
      <c r="AL141" s="1027" t="n">
        <f aca="false">AL140+1</f>
        <v>32</v>
      </c>
      <c r="AM141" s="1025" t="n">
        <f aca="false">IF(AL141&lt;=$AN$97,DATE(YEAR(AM140),MONTH(AM140)+12/$AN$95,DAY(AM140)),"0")</f>
        <v>45933</v>
      </c>
      <c r="AN141" s="1026" t="n">
        <f aca="false">IF(AL141&lt;=$AN$97,AQ140,0)</f>
        <v>5179.97778567179</v>
      </c>
      <c r="AO141" s="1026" t="n">
        <f aca="false">(AN141*$AN$93*1)/1200</f>
        <v>21.5832407736324</v>
      </c>
      <c r="AP141" s="1022" t="n">
        <f aca="false">IF(AL141&lt;$AN$97,$AN$101-AO141,0)+IF(AL141=$AN$97,$AN$90+$AN$101-AO141,0)</f>
        <v>1027.39815788966</v>
      </c>
      <c r="AQ141" s="1026" t="n">
        <f aca="false">AN141-AP141</f>
        <v>4152.57962778212</v>
      </c>
      <c r="AR141" s="1026" t="n">
        <f aca="false">IF(AL141&lt;=$AN$97,AR140+AO141,0)</f>
        <v>2719.98438500755</v>
      </c>
      <c r="AS141" s="654" t="n">
        <f aca="false">IF(AL141&lt;=$AN$97,AS140+AP141,0)</f>
        <v>30847.4203722179</v>
      </c>
      <c r="AU141" s="1027" t="n">
        <f aca="false">AU140+1</f>
        <v>32</v>
      </c>
      <c r="AV141" s="1025" t="str">
        <f aca="false">IF(AU141&lt;=$AW$97,DATE(YEAR(AV140),MONTH(AV140)+12/$AW$95,DAY(AV140)),"0")</f>
        <v>0</v>
      </c>
      <c r="AW141" s="1026" t="n">
        <f aca="false">IF(AU141&lt;=$AW$97,AZ140,0)</f>
        <v>0</v>
      </c>
      <c r="AX141" s="1026" t="n">
        <f aca="false">(AW141*$AW$93*1)/1200</f>
        <v>0</v>
      </c>
      <c r="AY141" s="1022" t="n">
        <f aca="false">IF(AU141&lt;$AW$97,$AW$101-AX141,0)+IF(AU141=$AW$97,$AW$90+$AW$101-AX141,0)</f>
        <v>0</v>
      </c>
      <c r="AZ141" s="1026" t="n">
        <f aca="false">AW141-AY141</f>
        <v>0</v>
      </c>
      <c r="BA141" s="1026" t="n">
        <f aca="false">IF(AU141&lt;=$AW$97,BA140+AX141,0)</f>
        <v>0</v>
      </c>
      <c r="BB141" s="654" t="n">
        <f aca="false">IF(AU141&lt;=$AW$97,BB140+AY141,0)</f>
        <v>0</v>
      </c>
    </row>
    <row r="142" customFormat="false" ht="12.75" hidden="false" customHeight="false" outlineLevel="0" collapsed="false">
      <c r="B142" s="1024" t="n">
        <v>33</v>
      </c>
      <c r="C142" s="1025" t="n">
        <f aca="false">IF(B142&lt;=$D$97,DATE(YEAR(C141),MONTH(C141)+12/$D$94,DAY(C141)),"0")</f>
        <v>45964</v>
      </c>
      <c r="D142" s="1026" t="n">
        <f aca="false">IF(B142=1,$D$90,G141)</f>
        <v>128739.897742149</v>
      </c>
      <c r="E142" s="1026" t="n">
        <f aca="false">(D142*$D$92*1)/1200</f>
        <v>375.4913684146</v>
      </c>
      <c r="F142" s="1026" t="n">
        <f aca="false">IF(AND(B142&lt;=$D$97,B142&gt;$D$95),$D$101-E142,0)</f>
        <v>696.832443600159</v>
      </c>
      <c r="G142" s="1026" t="n">
        <f aca="false">D142-F142</f>
        <v>128043.065298549</v>
      </c>
      <c r="H142" s="1026" t="n">
        <f aca="false">IF(B142&lt;=$D$97,E142+H141,0)</f>
        <v>13429.7510950356</v>
      </c>
      <c r="I142" s="654" t="n">
        <f aca="false">IF(B142&lt;=$D$97,F142+I141,0)</f>
        <v>21956.9347014514</v>
      </c>
      <c r="K142" s="1027" t="n">
        <f aca="false">K141+1</f>
        <v>33</v>
      </c>
      <c r="L142" s="1025" t="n">
        <f aca="false">IF(K142&lt;=$M$97,DATE(YEAR(L141),MONTH(L141)+12/$M$94,DAY(L141)),"0")</f>
        <v>45964</v>
      </c>
      <c r="M142" s="1026" t="n">
        <f aca="false">IF(K142&lt;=$M$97,P141,0)</f>
        <v>7466.3854739723</v>
      </c>
      <c r="N142" s="1026" t="n">
        <f aca="false">(M142*$M$92*1)/1200</f>
        <v>31.1099394748846</v>
      </c>
      <c r="O142" s="1026" t="n">
        <f aca="false">IF(AND(K142&lt;=$M$97,K142&gt;$M$95),$M$101-N142,0)</f>
        <v>251.95856518528</v>
      </c>
      <c r="P142" s="1026" t="n">
        <f aca="false">M142-O142</f>
        <v>7214.42690878702</v>
      </c>
      <c r="Q142" s="1026" t="n">
        <f aca="false">IF(K142&lt;=$M$97,Q141+N142,0)</f>
        <v>1555.68756257247</v>
      </c>
      <c r="R142" s="654" t="n">
        <f aca="false">IF(K142&lt;=$D$97,R141+O142,0)</f>
        <v>7785.57309121297</v>
      </c>
      <c r="T142" s="1027" t="n">
        <f aca="false">T141+1</f>
        <v>33</v>
      </c>
      <c r="U142" s="1025" t="str">
        <f aca="false">IF(T142&lt;=$V$97,DATE(YEAR(U141),MONTH(U141)+12/$V$94,DAY(U141)),"0")</f>
        <v>0</v>
      </c>
      <c r="V142" s="1026" t="n">
        <f aca="false">IF(T142&lt;=$V$97,Y141,0)</f>
        <v>0</v>
      </c>
      <c r="W142" s="1026" t="n">
        <f aca="false">(V142*$V$92*1)/1200</f>
        <v>0</v>
      </c>
      <c r="X142" s="1022" t="n">
        <f aca="false">IF(AND(T142&lt;=$V$97,T142&gt;$V$95),$V$101-W142,0)</f>
        <v>0</v>
      </c>
      <c r="Y142" s="1026" t="n">
        <f aca="false">V142-X142</f>
        <v>0</v>
      </c>
      <c r="Z142" s="1026" t="n">
        <f aca="false">IF(T142&lt;=$V$97,Z141+W142,0)</f>
        <v>0</v>
      </c>
      <c r="AA142" s="654" t="n">
        <f aca="false">IF(T142&lt;=$V$97,AA141+X142,0)</f>
        <v>0</v>
      </c>
      <c r="AB142" s="451"/>
      <c r="AC142" s="1027" t="n">
        <f aca="false">AC141+1</f>
        <v>33</v>
      </c>
      <c r="AD142" s="1025" t="n">
        <f aca="false">IF(AC142&lt;=$AE$97,DATE(YEAR(AD141),MONTH(AD141)+12/$AE$95,DAY(AD141)),"0")</f>
        <v>45933</v>
      </c>
      <c r="AE142" s="1026" t="n">
        <f aca="false">IF(AC142&lt;=$AE$97,AH141,0)</f>
        <v>0</v>
      </c>
      <c r="AF142" s="1026" t="n">
        <f aca="false">(AE142*$AE$93*1)/1200</f>
        <v>0</v>
      </c>
      <c r="AG142" s="1022" t="n">
        <f aca="false">IF(AC142&lt;$AE$97,$AE$101-AF142,0)+IF(AC142=$AE$97,$AE$90+$AE$101-AF142,0)</f>
        <v>0</v>
      </c>
      <c r="AH142" s="1026" t="n">
        <f aca="false">AE142-AG142</f>
        <v>0</v>
      </c>
      <c r="AI142" s="1026" t="n">
        <f aca="false">IF(AC142&lt;=$AE$97,AI141+AF142,0)</f>
        <v>0</v>
      </c>
      <c r="AJ142" s="654" t="n">
        <f aca="false">IF(AC142&lt;=$AE$97,AJ141+AG142,0)</f>
        <v>0</v>
      </c>
      <c r="AL142" s="1027" t="n">
        <f aca="false">AL141+1</f>
        <v>33</v>
      </c>
      <c r="AM142" s="1025" t="n">
        <f aca="false">IF(AL142&lt;=$AN$97,DATE(YEAR(AM141),MONTH(AM141)+12/$AN$95,DAY(AM141)),"0")</f>
        <v>45964</v>
      </c>
      <c r="AN142" s="1026" t="n">
        <f aca="false">IF(AL142&lt;=$AN$97,AQ141,0)</f>
        <v>4152.57962778212</v>
      </c>
      <c r="AO142" s="1026" t="n">
        <f aca="false">(AN142*$AN$93*1)/1200</f>
        <v>17.3024151157588</v>
      </c>
      <c r="AP142" s="1022" t="n">
        <f aca="false">IF(AL142&lt;$AN$97,$AN$101-AO142,0)+IF(AL142=$AN$97,$AN$90+$AN$101-AO142,0)</f>
        <v>1031.67898354754</v>
      </c>
      <c r="AQ142" s="1026" t="n">
        <f aca="false">AN142-AP142</f>
        <v>3120.90064423459</v>
      </c>
      <c r="AR142" s="1026" t="n">
        <f aca="false">IF(AL142&lt;=$AN$97,AR141+AO142,0)</f>
        <v>2737.28680012331</v>
      </c>
      <c r="AS142" s="654" t="n">
        <f aca="false">IF(AL142&lt;=$AN$97,AS141+AP142,0)</f>
        <v>31879.0993557654</v>
      </c>
      <c r="AU142" s="1027" t="n">
        <f aca="false">AU141+1</f>
        <v>33</v>
      </c>
      <c r="AV142" s="1025" t="str">
        <f aca="false">IF(AU142&lt;=$AW$97,DATE(YEAR(AV141),MONTH(AV141)+12/$AW$95,DAY(AV141)),"0")</f>
        <v>0</v>
      </c>
      <c r="AW142" s="1026" t="n">
        <f aca="false">IF(AU142&lt;=$AW$97,AZ141,0)</f>
        <v>0</v>
      </c>
      <c r="AX142" s="1026" t="n">
        <f aca="false">(AW142*$AW$93*1)/1200</f>
        <v>0</v>
      </c>
      <c r="AY142" s="1022" t="n">
        <f aca="false">IF(AU142&lt;$AW$97,$AW$101-AX142,0)+IF(AU142=$AW$97,$AW$90+$AW$101-AX142,0)</f>
        <v>0</v>
      </c>
      <c r="AZ142" s="1026" t="n">
        <f aca="false">AW142-AY142</f>
        <v>0</v>
      </c>
      <c r="BA142" s="1026" t="n">
        <f aca="false">IF(AU142&lt;=$AW$97,BA141+AX142,0)</f>
        <v>0</v>
      </c>
      <c r="BB142" s="654" t="n">
        <f aca="false">IF(AU142&lt;=$AW$97,BB141+AY142,0)</f>
        <v>0</v>
      </c>
    </row>
    <row r="143" customFormat="false" ht="12.75" hidden="false" customHeight="false" outlineLevel="0" collapsed="false">
      <c r="B143" s="1024" t="n">
        <v>34</v>
      </c>
      <c r="C143" s="1025" t="n">
        <f aca="false">IF(B143&lt;=$D$97,DATE(YEAR(C142),MONTH(C142)+12/$D$94,DAY(C142)),"0")</f>
        <v>45994</v>
      </c>
      <c r="D143" s="1026" t="n">
        <f aca="false">IF(B143=1,$D$90,G142)</f>
        <v>128043.065298549</v>
      </c>
      <c r="E143" s="1026" t="n">
        <f aca="false">(D143*$D$92*1)/1200</f>
        <v>373.4589404541</v>
      </c>
      <c r="F143" s="1026" t="n">
        <f aca="false">IF(AND(B143&lt;=$D$97,B143&gt;$D$95),$D$101-E143,0)</f>
        <v>698.864871560659</v>
      </c>
      <c r="G143" s="1026" t="n">
        <f aca="false">D143-F143</f>
        <v>127344.200426988</v>
      </c>
      <c r="H143" s="1026" t="n">
        <f aca="false">IF(B143&lt;=$D$97,E143+H142,0)</f>
        <v>13803.2100354897</v>
      </c>
      <c r="I143" s="654" t="n">
        <f aca="false">IF(B143&lt;=$D$97,F143+I142,0)</f>
        <v>22655.7995730121</v>
      </c>
      <c r="K143" s="1027" t="n">
        <f aca="false">K142+1</f>
        <v>34</v>
      </c>
      <c r="L143" s="1025" t="n">
        <f aca="false">IF(K143&lt;=$M$97,DATE(YEAR(L142),MONTH(L142)+12/$M$94,DAY(L142)),"0")</f>
        <v>45994</v>
      </c>
      <c r="M143" s="1026" t="n">
        <f aca="false">IF(K143&lt;=$M$97,P142,0)</f>
        <v>7214.42690878702</v>
      </c>
      <c r="N143" s="1026" t="n">
        <f aca="false">(M143*$M$92*1)/1200</f>
        <v>30.0601121199459</v>
      </c>
      <c r="O143" s="1026" t="n">
        <f aca="false">IF(AND(K143&lt;=$M$97,K143&gt;$M$95),$M$101-N143,0)</f>
        <v>253.008392540219</v>
      </c>
      <c r="P143" s="1026" t="n">
        <f aca="false">M143-O143</f>
        <v>6961.41851624681</v>
      </c>
      <c r="Q143" s="1026" t="n">
        <f aca="false">IF(K143&lt;=$M$97,Q142+N143,0)</f>
        <v>1585.74767469241</v>
      </c>
      <c r="R143" s="654" t="n">
        <f aca="false">IF(K143&lt;=$D$97,R142+O143,0)</f>
        <v>8038.58148375319</v>
      </c>
      <c r="T143" s="1027" t="n">
        <f aca="false">T142+1</f>
        <v>34</v>
      </c>
      <c r="U143" s="1025" t="str">
        <f aca="false">IF(T143&lt;=$V$97,DATE(YEAR(U142),MONTH(U142)+12/$V$94,DAY(U142)),"0")</f>
        <v>0</v>
      </c>
      <c r="V143" s="1026" t="n">
        <f aca="false">IF(T143&lt;=$V$97,Y142,0)</f>
        <v>0</v>
      </c>
      <c r="W143" s="1026" t="n">
        <f aca="false">(V143*$V$92*1)/1200</f>
        <v>0</v>
      </c>
      <c r="X143" s="1022" t="n">
        <f aca="false">IF(AND(T143&lt;=$V$97,T143&gt;$V$95),$V$101-W143,0)</f>
        <v>0</v>
      </c>
      <c r="Y143" s="1026" t="n">
        <f aca="false">V143-X143</f>
        <v>0</v>
      </c>
      <c r="Z143" s="1026" t="n">
        <f aca="false">IF(T143&lt;=$V$97,Z142+W143,0)</f>
        <v>0</v>
      </c>
      <c r="AA143" s="654" t="n">
        <f aca="false">IF(T143&lt;=$V$97,AA142+X143,0)</f>
        <v>0</v>
      </c>
      <c r="AB143" s="451"/>
      <c r="AC143" s="1027" t="n">
        <f aca="false">AC142+1</f>
        <v>34</v>
      </c>
      <c r="AD143" s="1025" t="n">
        <f aca="false">IF(AC143&lt;=$AE$97,DATE(YEAR(AD142),MONTH(AD142)+12/$AE$95,DAY(AD142)),"0")</f>
        <v>45964</v>
      </c>
      <c r="AE143" s="1026" t="n">
        <f aca="false">IF(AC143&lt;=$AE$97,AH142,0)</f>
        <v>0</v>
      </c>
      <c r="AF143" s="1026" t="n">
        <f aca="false">(AE143*$AE$93*1)/1200</f>
        <v>0</v>
      </c>
      <c r="AG143" s="1022" t="n">
        <f aca="false">IF(AC143&lt;$AE$97,$AE$101-AF143,0)+IF(AC143=$AE$97,$AE$90+$AE$101-AF143,0)</f>
        <v>0</v>
      </c>
      <c r="AH143" s="1026" t="n">
        <f aca="false">AE143-AG143</f>
        <v>0</v>
      </c>
      <c r="AI143" s="1026" t="n">
        <f aca="false">IF(AC143&lt;=$AE$97,AI142+AF143,0)</f>
        <v>0</v>
      </c>
      <c r="AJ143" s="654" t="n">
        <f aca="false">IF(AC143&lt;=$AE$97,AJ142+AG143,0)</f>
        <v>0</v>
      </c>
      <c r="AL143" s="1027" t="n">
        <f aca="false">AL142+1</f>
        <v>34</v>
      </c>
      <c r="AM143" s="1025" t="n">
        <f aca="false">IF(AL143&lt;=$AN$97,DATE(YEAR(AM142),MONTH(AM142)+12/$AN$95,DAY(AM142)),"0")</f>
        <v>45994</v>
      </c>
      <c r="AN143" s="1026" t="n">
        <f aca="false">IF(AL143&lt;=$AN$97,AQ142,0)</f>
        <v>3120.90064423459</v>
      </c>
      <c r="AO143" s="1026" t="n">
        <f aca="false">(AN143*$AN$93*1)/1200</f>
        <v>13.0037526843108</v>
      </c>
      <c r="AP143" s="1022" t="n">
        <f aca="false">IF(AL143&lt;$AN$97,$AN$101-AO143,0)+IF(AL143=$AN$97,$AN$90+$AN$101-AO143,0)</f>
        <v>1035.97764597898</v>
      </c>
      <c r="AQ143" s="1026" t="n">
        <f aca="false">AN143-AP143</f>
        <v>2084.9229982556</v>
      </c>
      <c r="AR143" s="1026" t="n">
        <f aca="false">IF(AL143&lt;=$AN$97,AR142+AO143,0)</f>
        <v>2750.29055280762</v>
      </c>
      <c r="AS143" s="654" t="n">
        <f aca="false">IF(AL143&lt;=$AN$97,AS142+AP143,0)</f>
        <v>32915.0770017444</v>
      </c>
      <c r="AU143" s="1027" t="n">
        <f aca="false">AU142+1</f>
        <v>34</v>
      </c>
      <c r="AV143" s="1025" t="str">
        <f aca="false">IF(AU143&lt;=$AW$97,DATE(YEAR(AV142),MONTH(AV142)+12/$AW$95,DAY(AV142)),"0")</f>
        <v>0</v>
      </c>
      <c r="AW143" s="1026" t="n">
        <f aca="false">IF(AU143&lt;=$AW$97,AZ142,0)</f>
        <v>0</v>
      </c>
      <c r="AX143" s="1026" t="n">
        <f aca="false">(AW143*$AW$93*1)/1200</f>
        <v>0</v>
      </c>
      <c r="AY143" s="1022" t="n">
        <f aca="false">IF(AU143&lt;$AW$97,$AW$101-AX143,0)+IF(AU143=$AW$97,$AW$90+$AW$101-AX143,0)</f>
        <v>0</v>
      </c>
      <c r="AZ143" s="1026" t="n">
        <f aca="false">AW143-AY143</f>
        <v>0</v>
      </c>
      <c r="BA143" s="1026" t="n">
        <f aca="false">IF(AU143&lt;=$AW$97,BA142+AX143,0)</f>
        <v>0</v>
      </c>
      <c r="BB143" s="654" t="n">
        <f aca="false">IF(AU143&lt;=$AW$97,BB142+AY143,0)</f>
        <v>0</v>
      </c>
    </row>
    <row r="144" customFormat="false" ht="12.75" hidden="false" customHeight="false" outlineLevel="0" collapsed="false">
      <c r="B144" s="1024" t="n">
        <v>35</v>
      </c>
      <c r="C144" s="1025" t="n">
        <f aca="false">IF(B144&lt;=$D$97,DATE(YEAR(C143),MONTH(C143)+12/$D$94,DAY(C143)),"0")</f>
        <v>46025</v>
      </c>
      <c r="D144" s="1026" t="n">
        <f aca="false">IF(B144=1,$D$90,G143)</f>
        <v>127344.200426988</v>
      </c>
      <c r="E144" s="1026" t="n">
        <f aca="false">(D144*$D$92*1)/1200</f>
        <v>371.420584578715</v>
      </c>
      <c r="F144" s="1026" t="n">
        <f aca="false">IF(AND(B144&lt;=$D$97,B144&gt;$D$95),$D$101-E144,0)</f>
        <v>700.903227436045</v>
      </c>
      <c r="G144" s="1026" t="n">
        <f aca="false">D144-F144</f>
        <v>126643.297199552</v>
      </c>
      <c r="H144" s="1026" t="n">
        <f aca="false">IF(B144&lt;=$D$97,E144+H143,0)</f>
        <v>14174.6306200684</v>
      </c>
      <c r="I144" s="654" t="n">
        <f aca="false">IF(B144&lt;=$D$97,F144+I143,0)</f>
        <v>23356.7028004481</v>
      </c>
      <c r="K144" s="1027" t="n">
        <f aca="false">K143+1</f>
        <v>35</v>
      </c>
      <c r="L144" s="1025" t="n">
        <f aca="false">IF(K144&lt;=$M$97,DATE(YEAR(L143),MONTH(L143)+12/$M$94,DAY(L143)),"0")</f>
        <v>46025</v>
      </c>
      <c r="M144" s="1026" t="n">
        <f aca="false">IF(K144&lt;=$M$97,P143,0)</f>
        <v>6961.41851624681</v>
      </c>
      <c r="N144" s="1026" t="n">
        <f aca="false">(M144*$M$92*1)/1200</f>
        <v>29.0059104843617</v>
      </c>
      <c r="O144" s="1026" t="n">
        <f aca="false">IF(AND(K144&lt;=$M$97,K144&gt;$M$95),$M$101-N144,0)</f>
        <v>254.062594175803</v>
      </c>
      <c r="P144" s="1026" t="n">
        <f aca="false">M144-O144</f>
        <v>6707.355922071</v>
      </c>
      <c r="Q144" s="1026" t="n">
        <f aca="false">IF(K144&lt;=$M$97,Q143+N144,0)</f>
        <v>1614.75358517678</v>
      </c>
      <c r="R144" s="654" t="n">
        <f aca="false">IF(K144&lt;=$D$97,R143+O144,0)</f>
        <v>8292.64407792899</v>
      </c>
      <c r="T144" s="1027" t="n">
        <f aca="false">T143+1</f>
        <v>35</v>
      </c>
      <c r="U144" s="1025" t="str">
        <f aca="false">IF(T144&lt;=$V$97,DATE(YEAR(U143),MONTH(U143)+12/$V$94,DAY(U143)),"0")</f>
        <v>0</v>
      </c>
      <c r="V144" s="1026" t="n">
        <f aca="false">IF(T144&lt;=$V$97,Y143,0)</f>
        <v>0</v>
      </c>
      <c r="W144" s="1026" t="n">
        <f aca="false">(V144*$V$92*1)/1200</f>
        <v>0</v>
      </c>
      <c r="X144" s="1022" t="n">
        <f aca="false">IF(AND(T144&lt;=$V$97,T144&gt;$V$95),$V$101-W144,0)</f>
        <v>0</v>
      </c>
      <c r="Y144" s="1026" t="n">
        <f aca="false">V144-X144</f>
        <v>0</v>
      </c>
      <c r="Z144" s="1026" t="n">
        <f aca="false">IF(T144&lt;=$V$97,Z143+W144,0)</f>
        <v>0</v>
      </c>
      <c r="AA144" s="654" t="n">
        <f aca="false">IF(T144&lt;=$V$97,AA143+X144,0)</f>
        <v>0</v>
      </c>
      <c r="AB144" s="451"/>
      <c r="AC144" s="1027" t="n">
        <f aca="false">AC143+1</f>
        <v>35</v>
      </c>
      <c r="AD144" s="1025" t="n">
        <f aca="false">IF(AC144&lt;=$AE$97,DATE(YEAR(AD143),MONTH(AD143)+12/$AE$95,DAY(AD143)),"0")</f>
        <v>45994</v>
      </c>
      <c r="AE144" s="1026" t="n">
        <f aca="false">IF(AC144&lt;=$AE$97,AH143,0)</f>
        <v>0</v>
      </c>
      <c r="AF144" s="1026" t="n">
        <f aca="false">(AE144*$AE$93*1)/1200</f>
        <v>0</v>
      </c>
      <c r="AG144" s="1022" t="n">
        <f aca="false">IF(AC144&lt;$AE$97,$AE$101-AF144,0)+IF(AC144=$AE$97,$AE$90+$AE$101-AF144,0)</f>
        <v>0</v>
      </c>
      <c r="AH144" s="1026" t="n">
        <f aca="false">AE144-AG144</f>
        <v>0</v>
      </c>
      <c r="AI144" s="1026" t="n">
        <f aca="false">IF(AC144&lt;=$AE$97,AI143+AF144,0)</f>
        <v>0</v>
      </c>
      <c r="AJ144" s="654" t="n">
        <f aca="false">IF(AC144&lt;=$AE$97,AJ143+AG144,0)</f>
        <v>0</v>
      </c>
      <c r="AL144" s="1027" t="n">
        <f aca="false">AL143+1</f>
        <v>35</v>
      </c>
      <c r="AM144" s="1025" t="n">
        <f aca="false">IF(AL144&lt;=$AN$97,DATE(YEAR(AM143),MONTH(AM143)+12/$AN$95,DAY(AM143)),"0")</f>
        <v>46025</v>
      </c>
      <c r="AN144" s="1026" t="n">
        <f aca="false">IF(AL144&lt;=$AN$97,AQ143,0)</f>
        <v>2084.9229982556</v>
      </c>
      <c r="AO144" s="1026" t="n">
        <f aca="false">(AN144*$AN$93*1)/1200</f>
        <v>8.68717915939834</v>
      </c>
      <c r="AP144" s="1022" t="n">
        <f aca="false">IF(AL144&lt;$AN$97,$AN$101-AO144,0)+IF(AL144=$AN$97,$AN$90+$AN$101-AO144,0)</f>
        <v>1040.2942195039</v>
      </c>
      <c r="AQ144" s="1026" t="n">
        <f aca="false">AN144-AP144</f>
        <v>1044.62877875171</v>
      </c>
      <c r="AR144" s="1026" t="n">
        <f aca="false">IF(AL144&lt;=$AN$97,AR143+AO144,0)</f>
        <v>2758.97773196702</v>
      </c>
      <c r="AS144" s="654" t="n">
        <f aca="false">IF(AL144&lt;=$AN$97,AS143+AP144,0)</f>
        <v>33955.3712212483</v>
      </c>
      <c r="AU144" s="1027" t="n">
        <f aca="false">AU143+1</f>
        <v>35</v>
      </c>
      <c r="AV144" s="1025" t="str">
        <f aca="false">IF(AU144&lt;=$AW$97,DATE(YEAR(AV143),MONTH(AV143)+12/$AW$95,DAY(AV143)),"0")</f>
        <v>0</v>
      </c>
      <c r="AW144" s="1026" t="n">
        <f aca="false">IF(AU144&lt;=$AW$97,AZ143,0)</f>
        <v>0</v>
      </c>
      <c r="AX144" s="1026" t="n">
        <f aca="false">(AW144*$AW$93*1)/1200</f>
        <v>0</v>
      </c>
      <c r="AY144" s="1022" t="n">
        <f aca="false">IF(AU144&lt;$AW$97,$AW$101-AX144,0)+IF(AU144=$AW$97,$AW$90+$AW$101-AX144,0)</f>
        <v>0</v>
      </c>
      <c r="AZ144" s="1026" t="n">
        <f aca="false">AW144-AY144</f>
        <v>0</v>
      </c>
      <c r="BA144" s="1026" t="n">
        <f aca="false">IF(AU144&lt;=$AW$97,BA143+AX144,0)</f>
        <v>0</v>
      </c>
      <c r="BB144" s="654" t="n">
        <f aca="false">IF(AU144&lt;=$AW$97,BB143+AY144,0)</f>
        <v>0</v>
      </c>
    </row>
    <row r="145" customFormat="false" ht="12.75" hidden="false" customHeight="false" outlineLevel="0" collapsed="false">
      <c r="B145" s="1027" t="n">
        <v>36</v>
      </c>
      <c r="C145" s="1025" t="n">
        <f aca="false">IF(B145&lt;=$D$97,DATE(YEAR(C144),MONTH(C144)+12/$D$94,DAY(C144)),"0")</f>
        <v>46056</v>
      </c>
      <c r="D145" s="1026" t="n">
        <f aca="false">IF(B145=1,$D$90,G144)</f>
        <v>126643.297199552</v>
      </c>
      <c r="E145" s="1026" t="n">
        <f aca="false">(D145*$D$92*1)/1200</f>
        <v>369.376283498693</v>
      </c>
      <c r="F145" s="1026" t="n">
        <f aca="false">IF(AND(B145&lt;=$D$97,B145&gt;$D$95),$D$101-E145,0)</f>
        <v>702.947528516066</v>
      </c>
      <c r="G145" s="1026" t="n">
        <f aca="false">D145-F145</f>
        <v>125940.349671036</v>
      </c>
      <c r="H145" s="1026" t="n">
        <f aca="false">IF(B145&lt;=$D$97,E145+H144,0)</f>
        <v>14544.0069035671</v>
      </c>
      <c r="I145" s="654" t="n">
        <f aca="false">IF(B145&lt;=$D$97,F145+I144,0)</f>
        <v>24059.6503289642</v>
      </c>
      <c r="J145" s="451"/>
      <c r="K145" s="1027" t="n">
        <f aca="false">K144+1</f>
        <v>36</v>
      </c>
      <c r="L145" s="1025" t="n">
        <f aca="false">IF(K145&lt;=$M$97,DATE(YEAR(L144),MONTH(L144)+12/$M$94,DAY(L144)),"0")</f>
        <v>46056</v>
      </c>
      <c r="M145" s="1026" t="n">
        <f aca="false">IF(K145&lt;=$M$97,P144,0)</f>
        <v>6707.355922071</v>
      </c>
      <c r="N145" s="1026" t="n">
        <f aca="false">(M145*$M$92*1)/1200</f>
        <v>27.9473163419625</v>
      </c>
      <c r="O145" s="1026" t="n">
        <f aca="false">IF(AND(K145&lt;=$M$97,K145&gt;$M$95),$M$101-N145,0)</f>
        <v>255.121188318202</v>
      </c>
      <c r="P145" s="1026" t="n">
        <f aca="false">M145-O145</f>
        <v>6452.2347337528</v>
      </c>
      <c r="Q145" s="1026" t="n">
        <f aca="false">IF(K145&lt;=$M$97,Q144+N145,0)</f>
        <v>1642.70090151874</v>
      </c>
      <c r="R145" s="654" t="n">
        <f aca="false">IF(K145&lt;=$D$97,R144+O145,0)</f>
        <v>8547.7652662472</v>
      </c>
      <c r="S145" s="451"/>
      <c r="T145" s="1027" t="n">
        <f aca="false">T144+1</f>
        <v>36</v>
      </c>
      <c r="U145" s="1025" t="str">
        <f aca="false">IF(T145&lt;=$V$97,DATE(YEAR(U144),MONTH(U144)+12/$V$94,DAY(U144)),"0")</f>
        <v>0</v>
      </c>
      <c r="V145" s="1026" t="n">
        <f aca="false">IF(T145&lt;=$V$97,Y144,0)</f>
        <v>0</v>
      </c>
      <c r="W145" s="1026" t="n">
        <f aca="false">(V145*$V$92*1)/1200</f>
        <v>0</v>
      </c>
      <c r="X145" s="1022" t="n">
        <f aca="false">IF(AND(T145&lt;=$V$97,T145&gt;$V$95),$V$101-W145,0)</f>
        <v>0</v>
      </c>
      <c r="Y145" s="1026" t="n">
        <f aca="false">V145-X145</f>
        <v>0</v>
      </c>
      <c r="Z145" s="1026" t="n">
        <f aca="false">IF(T145&lt;=$V$97,Z144+W145,0)</f>
        <v>0</v>
      </c>
      <c r="AA145" s="654" t="n">
        <f aca="false">IF(T145&lt;=$V$97,AA144+X145,0)</f>
        <v>0</v>
      </c>
      <c r="AB145" s="451"/>
      <c r="AC145" s="1027" t="n">
        <f aca="false">AC144+1</f>
        <v>36</v>
      </c>
      <c r="AD145" s="1025" t="n">
        <f aca="false">IF(AC145&lt;=$AE$97,DATE(YEAR(AD144),MONTH(AD144)+12/$AE$95,DAY(AD144)),"0")</f>
        <v>46025</v>
      </c>
      <c r="AE145" s="1026" t="n">
        <f aca="false">IF(AC145&lt;=$AE$97,AH144,0)</f>
        <v>0</v>
      </c>
      <c r="AF145" s="1026" t="n">
        <f aca="false">(AE145*$AE$93*1)/1200</f>
        <v>0</v>
      </c>
      <c r="AG145" s="1022" t="n">
        <f aca="false">IF(AC145&lt;$AE$97,$AE$101-AF145,0)+IF(AC145=$AE$97,$AE$90+$AE$101-AF145,0)</f>
        <v>0</v>
      </c>
      <c r="AH145" s="1026" t="n">
        <f aca="false">AE145-AG145</f>
        <v>0</v>
      </c>
      <c r="AI145" s="1026" t="n">
        <f aca="false">IF(AC145&lt;=$AE$97,AI144+AF145,0)</f>
        <v>0</v>
      </c>
      <c r="AJ145" s="654" t="n">
        <f aca="false">IF(AC145&lt;=$AE$97,AJ144+AG145,0)</f>
        <v>0</v>
      </c>
      <c r="AL145" s="1027" t="n">
        <f aca="false">AL144+1</f>
        <v>36</v>
      </c>
      <c r="AM145" s="1025" t="n">
        <f aca="false">IF(AL145&lt;=$AN$97,DATE(YEAR(AM144),MONTH(AM144)+12/$AN$95,DAY(AM144)),"0")</f>
        <v>46056</v>
      </c>
      <c r="AN145" s="1026" t="n">
        <f aca="false">IF(AL145&lt;=$AN$97,AQ144,0)</f>
        <v>1044.62877875171</v>
      </c>
      <c r="AO145" s="1026" t="n">
        <f aca="false">(AN145*$AN$93*1)/1200</f>
        <v>4.35261991146544</v>
      </c>
      <c r="AP145" s="1022" t="n">
        <f aca="false">IF(AL145&lt;$AN$97,$AN$101-AO145,0)+IF(AL145=$AN$97,$AN$90+$AN$101-AO145,0)</f>
        <v>1044.62877875183</v>
      </c>
      <c r="AQ145" s="1026" t="n">
        <f aca="false">AN145-AP145</f>
        <v>-1.23463905765675E-010</v>
      </c>
      <c r="AR145" s="1026" t="n">
        <f aca="false">IF(AL145&lt;=$AN$97,AR144+AO145,0)</f>
        <v>2763.33035187848</v>
      </c>
      <c r="AS145" s="654" t="n">
        <f aca="false">IF(AL145&lt;=$AN$97,AS144+AP145,0)</f>
        <v>35000.0000000001</v>
      </c>
      <c r="AU145" s="1027" t="n">
        <f aca="false">AU144+1</f>
        <v>36</v>
      </c>
      <c r="AV145" s="1025" t="str">
        <f aca="false">IF(AU145&lt;=$AW$97,DATE(YEAR(AV144),MONTH(AV144)+12/$AW$95,DAY(AV144)),"0")</f>
        <v>0</v>
      </c>
      <c r="AW145" s="1026" t="n">
        <f aca="false">IF(AU145&lt;=$AW$97,AZ144,0)</f>
        <v>0</v>
      </c>
      <c r="AX145" s="1026" t="n">
        <f aca="false">(AW145*$AW$93*1)/1200</f>
        <v>0</v>
      </c>
      <c r="AY145" s="1022" t="n">
        <f aca="false">IF(AU145&lt;$AW$97,$AW$101-AX145,0)+IF(AU145=$AW$97,$AW$90+$AW$101-AX145,0)</f>
        <v>0</v>
      </c>
      <c r="AZ145" s="1026" t="n">
        <f aca="false">AW145-AY145</f>
        <v>0</v>
      </c>
      <c r="BA145" s="1026" t="n">
        <f aca="false">IF(AU145&lt;=$AW$97,BA144+AX145,0)</f>
        <v>0</v>
      </c>
      <c r="BB145" s="654" t="n">
        <f aca="false">IF(AU145&lt;=$AW$97,BB144+AY145,0)</f>
        <v>0</v>
      </c>
    </row>
    <row r="146" s="451" customFormat="true" ht="12.75" hidden="false" customHeight="false" outlineLevel="0" collapsed="false">
      <c r="B146" s="1024" t="n">
        <v>37</v>
      </c>
      <c r="C146" s="1025" t="n">
        <f aca="false">IF(B146&lt;=$D$97,DATE(YEAR(C145),MONTH(C145)+12/$D$94,DAY(C145)),"0")</f>
        <v>46084</v>
      </c>
      <c r="D146" s="1026" t="n">
        <f aca="false">IF(B146=1,$D$90,G145)</f>
        <v>125940.349671036</v>
      </c>
      <c r="E146" s="1026" t="n">
        <f aca="false">(D146*$D$92*1)/1200</f>
        <v>367.326019873854</v>
      </c>
      <c r="F146" s="1026" t="n">
        <f aca="false">IF(AND(B146&lt;=$D$97,B146&gt;$D$95),$D$101-E146,0)</f>
        <v>704.997792140905</v>
      </c>
      <c r="G146" s="1026" t="n">
        <f aca="false">D146-F146</f>
        <v>125235.351878895</v>
      </c>
      <c r="H146" s="1026" t="n">
        <f aca="false">IF(B146&lt;=$D$97,E146+H145,0)</f>
        <v>14911.332923441</v>
      </c>
      <c r="I146" s="654" t="n">
        <f aca="false">IF(B146&lt;=$D$97,F146+I145,0)</f>
        <v>24764.6481211051</v>
      </c>
      <c r="K146" s="1027" t="n">
        <f aca="false">K145+1</f>
        <v>37</v>
      </c>
      <c r="L146" s="1025" t="n">
        <f aca="false">IF(K146&lt;=$M$97,DATE(YEAR(L145),MONTH(L145)+12/$M$94,DAY(L145)),"0")</f>
        <v>46084</v>
      </c>
      <c r="M146" s="1026" t="n">
        <f aca="false">IF(K146&lt;=$M$97,P145,0)</f>
        <v>6452.2347337528</v>
      </c>
      <c r="N146" s="1026" t="n">
        <f aca="false">(M146*$M$92*1)/1200</f>
        <v>26.8843113906367</v>
      </c>
      <c r="O146" s="1026" t="n">
        <f aca="false">IF(AND(K146&lt;=$M$97,K146&gt;$M$95),$M$101-N146,0)</f>
        <v>256.184193269528</v>
      </c>
      <c r="P146" s="1026" t="n">
        <f aca="false">M146-O146</f>
        <v>6196.05054048327</v>
      </c>
      <c r="Q146" s="1026" t="n">
        <f aca="false">IF(K146&lt;=$M$97,Q145+N146,0)</f>
        <v>1669.58521290938</v>
      </c>
      <c r="R146" s="654" t="n">
        <f aca="false">IF(K146&lt;=$D$97,R145+O146,0)</f>
        <v>8803.94945951672</v>
      </c>
      <c r="T146" s="1027" t="n">
        <f aca="false">T145+1</f>
        <v>37</v>
      </c>
      <c r="U146" s="1025" t="str">
        <f aca="false">IF(T146&lt;=$V$97,DATE(YEAR(U145),MONTH(U145)+12/$V$94,DAY(U145)),"0")</f>
        <v>0</v>
      </c>
      <c r="V146" s="1026" t="n">
        <f aca="false">IF(T146&lt;=$V$97,Y145,0)</f>
        <v>0</v>
      </c>
      <c r="W146" s="1026" t="n">
        <f aca="false">(V146*$V$92*1)/1200</f>
        <v>0</v>
      </c>
      <c r="X146" s="1022" t="n">
        <f aca="false">IF(AND(T146&lt;=$V$97,T146&gt;$V$95),$V$101-W146,0)</f>
        <v>0</v>
      </c>
      <c r="Y146" s="1026" t="n">
        <f aca="false">V146-X146</f>
        <v>0</v>
      </c>
      <c r="Z146" s="1026" t="n">
        <f aca="false">IF(T146&lt;=$V$97,Z145+W146,0)</f>
        <v>0</v>
      </c>
      <c r="AA146" s="654" t="n">
        <f aca="false">IF(T146&lt;=$V$97,AA145+X146,0)</f>
        <v>0</v>
      </c>
      <c r="AC146" s="1027" t="n">
        <f aca="false">AC145+1</f>
        <v>37</v>
      </c>
      <c r="AD146" s="1025" t="str">
        <f aca="false">IF(AC146&lt;=$AE$97,DATE(YEAR(AD145),MONTH(AD145)+12/$AE$95,DAY(AD145)),"0")</f>
        <v>0</v>
      </c>
      <c r="AE146" s="1026" t="n">
        <f aca="false">IF(AC146&lt;=$AE$97,AH145,0)</f>
        <v>0</v>
      </c>
      <c r="AF146" s="1026" t="n">
        <f aca="false">(AE146*$AE$93*1)/1200</f>
        <v>0</v>
      </c>
      <c r="AG146" s="1022" t="n">
        <f aca="false">IF(AC146&lt;$AE$97,$AE$101-AF146,0)+IF(AC146=$AE$97,$AE$90+$AE$101-AF146,0)</f>
        <v>0</v>
      </c>
      <c r="AH146" s="1026" t="n">
        <f aca="false">AE146-AG146</f>
        <v>0</v>
      </c>
      <c r="AI146" s="1026" t="n">
        <f aca="false">IF(AC146&lt;=$AE$97,AI145+AF146,0)</f>
        <v>0</v>
      </c>
      <c r="AJ146" s="654" t="n">
        <f aca="false">IF(AC146&lt;=$AE$97,AJ145+AG146,0)</f>
        <v>0</v>
      </c>
      <c r="AL146" s="1027" t="n">
        <f aca="false">AL145+1</f>
        <v>37</v>
      </c>
      <c r="AM146" s="1025" t="str">
        <f aca="false">IF(AL146&lt;=$AN$97,DATE(YEAR(AM145),MONTH(AM145)+12/$AN$95,DAY(AM145)),"0")</f>
        <v>0</v>
      </c>
      <c r="AN146" s="1026" t="n">
        <f aca="false">IF(AL146&lt;=$AN$97,AQ145,0)</f>
        <v>0</v>
      </c>
      <c r="AO146" s="1026" t="n">
        <f aca="false">(AN146*$AN$93*1)/1200</f>
        <v>0</v>
      </c>
      <c r="AP146" s="1022" t="n">
        <f aca="false">IF(AL146&lt;$AN$97,$AN$101-AO146,0)+IF(AL146=$AN$97,$AN$90+$AN$101-AO146,0)</f>
        <v>0</v>
      </c>
      <c r="AQ146" s="1026" t="n">
        <f aca="false">AN146-AP146</f>
        <v>0</v>
      </c>
      <c r="AR146" s="1026" t="n">
        <f aca="false">IF(AL146&lt;=$AN$97,AR145+AO146,0)</f>
        <v>0</v>
      </c>
      <c r="AS146" s="654" t="n">
        <f aca="false">IF(AL146&lt;=$AN$97,AS145+AP146,0)</f>
        <v>0</v>
      </c>
      <c r="AU146" s="1027" t="n">
        <f aca="false">AU145+1</f>
        <v>37</v>
      </c>
      <c r="AV146" s="1025" t="str">
        <f aca="false">IF(AU146&lt;=$AW$97,DATE(YEAR(AV145),MONTH(AV145)+12/$AW$95,DAY(AV145)),"0")</f>
        <v>0</v>
      </c>
      <c r="AW146" s="1026" t="n">
        <f aca="false">IF(AU146&lt;=$AW$97,AZ145,0)</f>
        <v>0</v>
      </c>
      <c r="AX146" s="1026" t="n">
        <f aca="false">(AW146*$AW$93*1)/1200</f>
        <v>0</v>
      </c>
      <c r="AY146" s="1022" t="n">
        <f aca="false">IF(AU146&lt;$AW$97,$AW$101-AX146,0)+IF(AU146=$AW$97,$AW$90+$AW$101-AX146,0)</f>
        <v>0</v>
      </c>
      <c r="AZ146" s="1026" t="n">
        <f aca="false">AW146-AY146</f>
        <v>0</v>
      </c>
      <c r="BA146" s="1026" t="n">
        <f aca="false">IF(AU146&lt;=$AW$97,BA145+AX146,0)</f>
        <v>0</v>
      </c>
      <c r="BB146" s="654" t="n">
        <f aca="false">IF(AU146&lt;=$AW$97,BB145+AY146,0)</f>
        <v>0</v>
      </c>
    </row>
    <row r="147" customFormat="false" ht="12.75" hidden="false" customHeight="false" outlineLevel="0" collapsed="false">
      <c r="B147" s="1024" t="n">
        <v>38</v>
      </c>
      <c r="C147" s="1025" t="n">
        <f aca="false">IF(B147&lt;=$D$97,DATE(YEAR(C146),MONTH(C146)+12/$D$94,DAY(C146)),"0")</f>
        <v>46115</v>
      </c>
      <c r="D147" s="1026" t="n">
        <f aca="false">IF(B147=1,$D$90,G146)</f>
        <v>125235.351878895</v>
      </c>
      <c r="E147" s="1026" t="n">
        <f aca="false">(D147*$D$92*1)/1200</f>
        <v>365.269776313443</v>
      </c>
      <c r="F147" s="1026" t="n">
        <f aca="false">IF(AND(B147&lt;=$D$97,B147&gt;$D$95),$D$101-E147,0)</f>
        <v>707.054035701316</v>
      </c>
      <c r="G147" s="1026" t="n">
        <f aca="false">D147-F147</f>
        <v>124528.297843194</v>
      </c>
      <c r="H147" s="1026" t="n">
        <f aca="false">IF(B147&lt;=$D$97,E147+H146,0)</f>
        <v>15276.6026997544</v>
      </c>
      <c r="I147" s="654" t="n">
        <f aca="false">IF(B147&lt;=$D$97,F147+I146,0)</f>
        <v>25471.7021568064</v>
      </c>
      <c r="K147" s="1027" t="n">
        <f aca="false">K146+1</f>
        <v>38</v>
      </c>
      <c r="L147" s="1025" t="n">
        <f aca="false">IF(K147&lt;=$M$97,DATE(YEAR(L146),MONTH(L146)+12/$M$94,DAY(L146)),"0")</f>
        <v>46115</v>
      </c>
      <c r="M147" s="1026" t="n">
        <f aca="false">IF(K147&lt;=$M$97,P146,0)</f>
        <v>6196.05054048327</v>
      </c>
      <c r="N147" s="1026" t="n">
        <f aca="false">(M147*$M$92*1)/1200</f>
        <v>25.8168772520136</v>
      </c>
      <c r="O147" s="1026" t="n">
        <f aca="false">IF(AND(K147&lt;=$M$97,K147&gt;$M$95),$M$101-N147,0)</f>
        <v>257.251627408151</v>
      </c>
      <c r="P147" s="1026" t="n">
        <f aca="false">M147-O147</f>
        <v>5938.79891307512</v>
      </c>
      <c r="Q147" s="1026" t="n">
        <f aca="false">IF(K147&lt;=$M$97,Q146+N147,0)</f>
        <v>1695.40209016139</v>
      </c>
      <c r="R147" s="654" t="n">
        <f aca="false">IF(K147&lt;=$D$97,R146+O147,0)</f>
        <v>9061.20108692488</v>
      </c>
      <c r="T147" s="1027" t="n">
        <f aca="false">T146+1</f>
        <v>38</v>
      </c>
      <c r="U147" s="1025" t="str">
        <f aca="false">IF(T147&lt;=$V$97,DATE(YEAR(U146),MONTH(U146)+12/$V$94,DAY(U146)),"0")</f>
        <v>0</v>
      </c>
      <c r="V147" s="1026" t="n">
        <f aca="false">IF(T147&lt;=$V$97,Y146,0)</f>
        <v>0</v>
      </c>
      <c r="W147" s="1026" t="n">
        <f aca="false">(V147*$V$92*1)/1200</f>
        <v>0</v>
      </c>
      <c r="X147" s="1022" t="n">
        <f aca="false">IF(AND(T147&lt;=$V$97,T147&gt;$V$95),$V$101-W147,0)</f>
        <v>0</v>
      </c>
      <c r="Y147" s="1026" t="n">
        <f aca="false">V147-X147</f>
        <v>0</v>
      </c>
      <c r="Z147" s="1026" t="n">
        <f aca="false">IF(T147&lt;=$V$97,Z146+W147,0)</f>
        <v>0</v>
      </c>
      <c r="AA147" s="654" t="n">
        <f aca="false">IF(T147&lt;=$V$97,AA146+X147,0)</f>
        <v>0</v>
      </c>
      <c r="AB147" s="451"/>
      <c r="AC147" s="1027" t="n">
        <f aca="false">AC146+1</f>
        <v>38</v>
      </c>
      <c r="AD147" s="1025" t="str">
        <f aca="false">IF(AC147&lt;=$AE$97,DATE(YEAR(AD146),MONTH(AD146)+12/$AE$95,DAY(AD146)),"0")</f>
        <v>0</v>
      </c>
      <c r="AE147" s="1026" t="n">
        <f aca="false">IF(AC147&lt;=$AE$97,AH146,0)</f>
        <v>0</v>
      </c>
      <c r="AF147" s="1026" t="n">
        <f aca="false">(AE147*$AE$93*1)/1200</f>
        <v>0</v>
      </c>
      <c r="AG147" s="1022" t="n">
        <f aca="false">IF(AC147&lt;$AE$97,$AE$101-AF147,0)+IF(AC147=$AE$97,$AE$90+$AE$101-AF147,0)</f>
        <v>0</v>
      </c>
      <c r="AH147" s="1026" t="n">
        <f aca="false">AE147-AG147</f>
        <v>0</v>
      </c>
      <c r="AI147" s="1026" t="n">
        <f aca="false">IF(AC147&lt;=$AE$97,AI146+AF147,0)</f>
        <v>0</v>
      </c>
      <c r="AJ147" s="654" t="n">
        <f aca="false">IF(AC147&lt;=$AE$97,AJ146+AG147,0)</f>
        <v>0</v>
      </c>
      <c r="AL147" s="1027" t="n">
        <f aca="false">AL146+1</f>
        <v>38</v>
      </c>
      <c r="AM147" s="1025" t="str">
        <f aca="false">IF(AL147&lt;=$AN$97,DATE(YEAR(AM146),MONTH(AM146)+12/$AN$95,DAY(AM146)),"0")</f>
        <v>0</v>
      </c>
      <c r="AN147" s="1026" t="n">
        <f aca="false">IF(AL147&lt;=$AN$97,AQ146,0)</f>
        <v>0</v>
      </c>
      <c r="AO147" s="1026" t="n">
        <f aca="false">(AN147*$AN$93*1)/1200</f>
        <v>0</v>
      </c>
      <c r="AP147" s="1022" t="n">
        <f aca="false">IF(AL147&lt;$AN$97,$AN$101-AO147,0)+IF(AL147=$AN$97,$AN$90+$AN$101-AO147,0)</f>
        <v>0</v>
      </c>
      <c r="AQ147" s="1026" t="n">
        <f aca="false">AN147-AP147</f>
        <v>0</v>
      </c>
      <c r="AR147" s="1026" t="n">
        <f aca="false">IF(AL147&lt;=$AN$97,AR146+AO147,0)</f>
        <v>0</v>
      </c>
      <c r="AS147" s="654" t="n">
        <f aca="false">IF(AL147&lt;=$AN$97,AS146+AP147,0)</f>
        <v>0</v>
      </c>
      <c r="AU147" s="1027" t="n">
        <f aca="false">AU146+1</f>
        <v>38</v>
      </c>
      <c r="AV147" s="1025" t="str">
        <f aca="false">IF(AU147&lt;=$AW$97,DATE(YEAR(AV146),MONTH(AV146)+12/$AW$95,DAY(AV146)),"0")</f>
        <v>0</v>
      </c>
      <c r="AW147" s="1026" t="n">
        <f aca="false">IF(AU147&lt;=$AW$97,AZ146,0)</f>
        <v>0</v>
      </c>
      <c r="AX147" s="1026" t="n">
        <f aca="false">(AW147*$AW$93*1)/1200</f>
        <v>0</v>
      </c>
      <c r="AY147" s="1022" t="n">
        <f aca="false">IF(AU147&lt;$AW$97,$AW$101-AX147,0)+IF(AU147=$AW$97,$AW$90+$AW$101-AX147,0)</f>
        <v>0</v>
      </c>
      <c r="AZ147" s="1026" t="n">
        <f aca="false">AW147-AY147</f>
        <v>0</v>
      </c>
      <c r="BA147" s="1026" t="n">
        <f aca="false">IF(AU147&lt;=$AW$97,BA146+AX147,0)</f>
        <v>0</v>
      </c>
      <c r="BB147" s="654" t="n">
        <f aca="false">IF(AU147&lt;=$AW$97,BB146+AY147,0)</f>
        <v>0</v>
      </c>
    </row>
    <row r="148" customFormat="false" ht="12.75" hidden="false" customHeight="false" outlineLevel="0" collapsed="false">
      <c r="B148" s="1024" t="n">
        <v>39</v>
      </c>
      <c r="C148" s="1025" t="n">
        <f aca="false">IF(B148&lt;=$D$97,DATE(YEAR(C147),MONTH(C147)+12/$D$94,DAY(C147)),"0")</f>
        <v>46145</v>
      </c>
      <c r="D148" s="1026" t="n">
        <f aca="false">IF(B148=1,$D$90,G147)</f>
        <v>124528.297843194</v>
      </c>
      <c r="E148" s="1026" t="n">
        <f aca="false">(D148*$D$92*1)/1200</f>
        <v>363.207535375981</v>
      </c>
      <c r="F148" s="1026" t="n">
        <f aca="false">IF(AND(B148&lt;=$D$97,B148&gt;$D$95),$D$101-E148,0)</f>
        <v>709.116276638778</v>
      </c>
      <c r="G148" s="1026" t="n">
        <f aca="false">D148-F148</f>
        <v>123819.181566555</v>
      </c>
      <c r="H148" s="1026" t="n">
        <f aca="false">IF(B148&lt;=$D$97,E148+H147,0)</f>
        <v>15639.8102351304</v>
      </c>
      <c r="I148" s="654" t="n">
        <f aca="false">IF(B148&lt;=$D$97,F148+I147,0)</f>
        <v>26180.8184334452</v>
      </c>
      <c r="K148" s="1027" t="n">
        <f aca="false">K147+1</f>
        <v>39</v>
      </c>
      <c r="L148" s="1025" t="n">
        <f aca="false">IF(K148&lt;=$M$97,DATE(YEAR(L147),MONTH(L147)+12/$M$94,DAY(L147)),"0")</f>
        <v>46145</v>
      </c>
      <c r="M148" s="1026" t="n">
        <f aca="false">IF(K148&lt;=$M$97,P147,0)</f>
        <v>5938.79891307512</v>
      </c>
      <c r="N148" s="1026" t="n">
        <f aca="false">(M148*$M$92*1)/1200</f>
        <v>24.7449954711463</v>
      </c>
      <c r="O148" s="1026" t="n">
        <f aca="false">IF(AND(K148&lt;=$M$97,K148&gt;$M$95),$M$101-N148,0)</f>
        <v>258.323509189019</v>
      </c>
      <c r="P148" s="1026" t="n">
        <f aca="false">M148-O148</f>
        <v>5680.4754038861</v>
      </c>
      <c r="Q148" s="1026" t="n">
        <f aca="false">IF(K148&lt;=$M$97,Q147+N148,0)</f>
        <v>1720.14708563254</v>
      </c>
      <c r="R148" s="654" t="n">
        <f aca="false">IF(K148&lt;=$D$97,R147+O148,0)</f>
        <v>9319.52459611389</v>
      </c>
      <c r="T148" s="1027" t="n">
        <f aca="false">T147+1</f>
        <v>39</v>
      </c>
      <c r="U148" s="1025" t="str">
        <f aca="false">IF(T148&lt;=$V$97,DATE(YEAR(U147),MONTH(U147)+12/$V$94,DAY(U147)),"0")</f>
        <v>0</v>
      </c>
      <c r="V148" s="1026" t="n">
        <f aca="false">IF(T148&lt;=$V$97,Y147,0)</f>
        <v>0</v>
      </c>
      <c r="W148" s="1026" t="n">
        <f aca="false">(V148*$V$92*1)/1200</f>
        <v>0</v>
      </c>
      <c r="X148" s="1022" t="n">
        <f aca="false">IF(AND(T148&lt;=$V$97,T148&gt;$V$95),$V$101-W148,0)</f>
        <v>0</v>
      </c>
      <c r="Y148" s="1026" t="n">
        <f aca="false">V148-X148</f>
        <v>0</v>
      </c>
      <c r="Z148" s="1026" t="n">
        <f aca="false">IF(T148&lt;=$V$97,Z147+W148,0)</f>
        <v>0</v>
      </c>
      <c r="AA148" s="654" t="n">
        <f aca="false">IF(T148&lt;=$V$97,AA147+X148,0)</f>
        <v>0</v>
      </c>
      <c r="AB148" s="451"/>
      <c r="AC148" s="1027" t="n">
        <f aca="false">AC147+1</f>
        <v>39</v>
      </c>
      <c r="AD148" s="1025" t="str">
        <f aca="false">IF(AC148&lt;=$AE$97,DATE(YEAR(AD147),MONTH(AD147)+12/$AE$95,DAY(AD147)),"0")</f>
        <v>0</v>
      </c>
      <c r="AE148" s="1026" t="n">
        <f aca="false">IF(AC148&lt;=$AE$97,AH147,0)</f>
        <v>0</v>
      </c>
      <c r="AF148" s="1026" t="n">
        <f aca="false">(AE148*$AE$93*1)/1200</f>
        <v>0</v>
      </c>
      <c r="AG148" s="1022" t="n">
        <f aca="false">IF(AC148&lt;$AE$97,$AE$101-AF148,0)+IF(AC148=$AE$97,$AE$90+$AE$101-AF148,0)</f>
        <v>0</v>
      </c>
      <c r="AH148" s="1026" t="n">
        <f aca="false">AE148-AG148</f>
        <v>0</v>
      </c>
      <c r="AI148" s="1026" t="n">
        <f aca="false">IF(AC148&lt;=$AE$97,AI147+AF148,0)</f>
        <v>0</v>
      </c>
      <c r="AJ148" s="654" t="n">
        <f aca="false">IF(AC148&lt;=$AE$97,AJ147+AG148,0)</f>
        <v>0</v>
      </c>
      <c r="AL148" s="1027" t="n">
        <f aca="false">AL147+1</f>
        <v>39</v>
      </c>
      <c r="AM148" s="1025" t="str">
        <f aca="false">IF(AL148&lt;=$AN$97,DATE(YEAR(AM147),MONTH(AM147)+12/$AN$95,DAY(AM147)),"0")</f>
        <v>0</v>
      </c>
      <c r="AN148" s="1026" t="n">
        <f aca="false">IF(AL148&lt;=$AN$97,AQ147,0)</f>
        <v>0</v>
      </c>
      <c r="AO148" s="1026" t="n">
        <f aca="false">(AN148*$AN$93*1)/1200</f>
        <v>0</v>
      </c>
      <c r="AP148" s="1022" t="n">
        <f aca="false">IF(AL148&lt;$AN$97,$AN$101-AO148,0)+IF(AL148=$AN$97,$AN$90+$AN$101-AO148,0)</f>
        <v>0</v>
      </c>
      <c r="AQ148" s="1026" t="n">
        <f aca="false">AN148-AP148</f>
        <v>0</v>
      </c>
      <c r="AR148" s="1026" t="n">
        <f aca="false">IF(AL148&lt;=$AN$97,AR147+AO148,0)</f>
        <v>0</v>
      </c>
      <c r="AS148" s="654" t="n">
        <f aca="false">IF(AL148&lt;=$AN$97,AS147+AP148,0)</f>
        <v>0</v>
      </c>
      <c r="AU148" s="1027" t="n">
        <f aca="false">AU147+1</f>
        <v>39</v>
      </c>
      <c r="AV148" s="1025" t="str">
        <f aca="false">IF(AU148&lt;=$AW$97,DATE(YEAR(AV147),MONTH(AV147)+12/$AW$95,DAY(AV147)),"0")</f>
        <v>0</v>
      </c>
      <c r="AW148" s="1026" t="n">
        <f aca="false">IF(AU148&lt;=$AW$97,AZ147,0)</f>
        <v>0</v>
      </c>
      <c r="AX148" s="1026" t="n">
        <f aca="false">(AW148*$AW$93*1)/1200</f>
        <v>0</v>
      </c>
      <c r="AY148" s="1022" t="n">
        <f aca="false">IF(AU148&lt;$AW$97,$AW$101-AX148,0)+IF(AU148=$AW$97,$AW$90+$AW$101-AX148,0)</f>
        <v>0</v>
      </c>
      <c r="AZ148" s="1026" t="n">
        <f aca="false">AW148-AY148</f>
        <v>0</v>
      </c>
      <c r="BA148" s="1026" t="n">
        <f aca="false">IF(AU148&lt;=$AW$97,BA147+AX148,0)</f>
        <v>0</v>
      </c>
      <c r="BB148" s="654" t="n">
        <f aca="false">IF(AU148&lt;=$AW$97,BB147+AY148,0)</f>
        <v>0</v>
      </c>
    </row>
    <row r="149" customFormat="false" ht="12.75" hidden="false" customHeight="false" outlineLevel="0" collapsed="false">
      <c r="B149" s="1024" t="n">
        <v>40</v>
      </c>
      <c r="C149" s="1025" t="n">
        <f aca="false">IF(B149&lt;=$D$97,DATE(YEAR(C148),MONTH(C148)+12/$D$94,DAY(C148)),"0")</f>
        <v>46176</v>
      </c>
      <c r="D149" s="1026" t="n">
        <f aca="false">IF(B149=1,$D$90,G148)</f>
        <v>123819.181566555</v>
      </c>
      <c r="E149" s="1026" t="n">
        <f aca="false">(D149*$D$92*1)/1200</f>
        <v>361.139279569118</v>
      </c>
      <c r="F149" s="1026" t="n">
        <f aca="false">IF(AND(B149&lt;=$D$97,B149&gt;$D$95),$D$101-E149,0)</f>
        <v>711.184532445641</v>
      </c>
      <c r="G149" s="1026" t="n">
        <f aca="false">D149-F149</f>
        <v>123107.997034109</v>
      </c>
      <c r="H149" s="1026" t="n">
        <f aca="false">IF(B149&lt;=$D$97,E149+H148,0)</f>
        <v>16000.9495146995</v>
      </c>
      <c r="I149" s="654" t="n">
        <f aca="false">IF(B149&lt;=$D$97,F149+I148,0)</f>
        <v>26892.0029658908</v>
      </c>
      <c r="K149" s="1027" t="n">
        <f aca="false">K148+1</f>
        <v>40</v>
      </c>
      <c r="L149" s="1025" t="n">
        <f aca="false">IF(K149&lt;=$M$97,DATE(YEAR(L148),MONTH(L148)+12/$M$94,DAY(L148)),"0")</f>
        <v>46176</v>
      </c>
      <c r="M149" s="1026" t="n">
        <f aca="false">IF(K149&lt;=$M$97,P148,0)</f>
        <v>5680.4754038861</v>
      </c>
      <c r="N149" s="1026" t="n">
        <f aca="false">(M149*$M$92*1)/1200</f>
        <v>23.6686475161921</v>
      </c>
      <c r="O149" s="1026" t="n">
        <f aca="false">IF(AND(K149&lt;=$M$97,K149&gt;$M$95),$M$101-N149,0)</f>
        <v>259.399857143973</v>
      </c>
      <c r="P149" s="1026" t="n">
        <f aca="false">M149-O149</f>
        <v>5421.07554674213</v>
      </c>
      <c r="Q149" s="1026" t="n">
        <f aca="false">IF(K149&lt;=$M$97,Q148+N149,0)</f>
        <v>1743.81573314873</v>
      </c>
      <c r="R149" s="654" t="n">
        <f aca="false">IF(K149&lt;=$D$97,R148+O149,0)</f>
        <v>9578.92445325787</v>
      </c>
      <c r="T149" s="1027" t="n">
        <f aca="false">T148+1</f>
        <v>40</v>
      </c>
      <c r="U149" s="1025" t="str">
        <f aca="false">IF(T149&lt;=$V$97,DATE(YEAR(U148),MONTH(U148)+12/$V$94,DAY(U148)),"0")</f>
        <v>0</v>
      </c>
      <c r="V149" s="1026" t="n">
        <f aca="false">IF(T149&lt;=$V$97,Y148,0)</f>
        <v>0</v>
      </c>
      <c r="W149" s="1026" t="n">
        <f aca="false">(V149*$V$92*1)/1200</f>
        <v>0</v>
      </c>
      <c r="X149" s="1022" t="n">
        <f aca="false">IF(AND(T149&lt;=$V$97,T149&gt;$V$95),$V$101-W149,0)</f>
        <v>0</v>
      </c>
      <c r="Y149" s="1026" t="n">
        <f aca="false">V149-X149</f>
        <v>0</v>
      </c>
      <c r="Z149" s="1026" t="n">
        <f aca="false">IF(T149&lt;=$V$97,Z148+W149,0)</f>
        <v>0</v>
      </c>
      <c r="AA149" s="654" t="n">
        <f aca="false">IF(T149&lt;=$V$97,AA148+X149,0)</f>
        <v>0</v>
      </c>
      <c r="AB149" s="451"/>
      <c r="AC149" s="1027" t="n">
        <f aca="false">AC148+1</f>
        <v>40</v>
      </c>
      <c r="AD149" s="1025" t="str">
        <f aca="false">IF(AC149&lt;=$AE$97,DATE(YEAR(AD148),MONTH(AD148)+12/$AE$95,DAY(AD148)),"0")</f>
        <v>0</v>
      </c>
      <c r="AE149" s="1026" t="n">
        <f aca="false">IF(AC149&lt;=$AE$97,AH148,0)</f>
        <v>0</v>
      </c>
      <c r="AF149" s="1026" t="n">
        <f aca="false">(AE149*$AE$93*1)/1200</f>
        <v>0</v>
      </c>
      <c r="AG149" s="1022" t="n">
        <f aca="false">IF(AC149&lt;$AE$97,$AE$101-AF149,0)+IF(AC149=$AE$97,$AE$90+$AE$101-AF149,0)</f>
        <v>0</v>
      </c>
      <c r="AH149" s="1026" t="n">
        <f aca="false">AE149-AG149</f>
        <v>0</v>
      </c>
      <c r="AI149" s="1026" t="n">
        <f aca="false">IF(AC149&lt;=$AE$97,AI148+AF149,0)</f>
        <v>0</v>
      </c>
      <c r="AJ149" s="654" t="n">
        <f aca="false">IF(AC149&lt;=$AE$97,AJ148+AG149,0)</f>
        <v>0</v>
      </c>
      <c r="AL149" s="1027" t="n">
        <f aca="false">AL148+1</f>
        <v>40</v>
      </c>
      <c r="AM149" s="1025" t="str">
        <f aca="false">IF(AL149&lt;=$AN$97,DATE(YEAR(AM148),MONTH(AM148)+12/$AN$95,DAY(AM148)),"0")</f>
        <v>0</v>
      </c>
      <c r="AN149" s="1026" t="n">
        <f aca="false">IF(AL149&lt;=$AN$97,AQ148,0)</f>
        <v>0</v>
      </c>
      <c r="AO149" s="1026" t="n">
        <f aca="false">(AN149*$AN$93*1)/1200</f>
        <v>0</v>
      </c>
      <c r="AP149" s="1022" t="n">
        <f aca="false">IF(AL149&lt;$AN$97,$AN$101-AO149,0)+IF(AL149=$AN$97,$AN$90+$AN$101-AO149,0)</f>
        <v>0</v>
      </c>
      <c r="AQ149" s="1026" t="n">
        <f aca="false">AN149-AP149</f>
        <v>0</v>
      </c>
      <c r="AR149" s="1026" t="n">
        <f aca="false">IF(AL149&lt;=$AN$97,AR148+AO149,0)</f>
        <v>0</v>
      </c>
      <c r="AS149" s="654" t="n">
        <f aca="false">IF(AL149&lt;=$AN$97,AS148+AP149,0)</f>
        <v>0</v>
      </c>
      <c r="AU149" s="1027" t="n">
        <f aca="false">AU148+1</f>
        <v>40</v>
      </c>
      <c r="AV149" s="1025" t="str">
        <f aca="false">IF(AU149&lt;=$AW$97,DATE(YEAR(AV148),MONTH(AV148)+12/$AW$95,DAY(AV148)),"0")</f>
        <v>0</v>
      </c>
      <c r="AW149" s="1026" t="n">
        <f aca="false">IF(AU149&lt;=$AW$97,AZ148,0)</f>
        <v>0</v>
      </c>
      <c r="AX149" s="1026" t="n">
        <f aca="false">(AW149*$AW$93*1)/1200</f>
        <v>0</v>
      </c>
      <c r="AY149" s="1022" t="n">
        <f aca="false">IF(AU149&lt;$AW$97,$AW$101-AX149,0)+IF(AU149=$AW$97,$AW$90+$AW$101-AX149,0)</f>
        <v>0</v>
      </c>
      <c r="AZ149" s="1026" t="n">
        <f aca="false">AW149-AY149</f>
        <v>0</v>
      </c>
      <c r="BA149" s="1026" t="n">
        <f aca="false">IF(AU149&lt;=$AW$97,BA148+AX149,0)</f>
        <v>0</v>
      </c>
      <c r="BB149" s="654" t="n">
        <f aca="false">IF(AU149&lt;=$AW$97,BB148+AY149,0)</f>
        <v>0</v>
      </c>
    </row>
    <row r="150" customFormat="false" ht="12.75" hidden="false" customHeight="false" outlineLevel="0" collapsed="false">
      <c r="B150" s="1024" t="n">
        <v>41</v>
      </c>
      <c r="C150" s="1025" t="n">
        <f aca="false">IF(B150&lt;=$D$97,DATE(YEAR(C149),MONTH(C149)+12/$D$94,DAY(C149)),"0")</f>
        <v>46206</v>
      </c>
      <c r="D150" s="1026" t="n">
        <f aca="false">IF(B150=1,$D$90,G149)</f>
        <v>123107.997034109</v>
      </c>
      <c r="E150" s="1026" t="n">
        <f aca="false">(D150*$D$92*1)/1200</f>
        <v>359.064991349485</v>
      </c>
      <c r="F150" s="1026" t="n">
        <f aca="false">IF(AND(B150&lt;=$D$97,B150&gt;$D$95),$D$101-E150,0)</f>
        <v>713.258820665274</v>
      </c>
      <c r="G150" s="1026" t="n">
        <f aca="false">D150-F150</f>
        <v>122394.738213444</v>
      </c>
      <c r="H150" s="1026" t="n">
        <f aca="false">IF(B150&lt;=$D$97,E150+H149,0)</f>
        <v>16360.014506049</v>
      </c>
      <c r="I150" s="654" t="n">
        <f aca="false">IF(B150&lt;=$D$97,F150+I149,0)</f>
        <v>27605.2617865561</v>
      </c>
      <c r="K150" s="1027" t="n">
        <f aca="false">K149+1</f>
        <v>41</v>
      </c>
      <c r="L150" s="1025" t="n">
        <f aca="false">IF(K150&lt;=$M$97,DATE(YEAR(L149),MONTH(L149)+12/$M$94,DAY(L149)),"0")</f>
        <v>46206</v>
      </c>
      <c r="M150" s="1026" t="n">
        <f aca="false">IF(K150&lt;=$M$97,P149,0)</f>
        <v>5421.07554674213</v>
      </c>
      <c r="N150" s="1026" t="n">
        <f aca="false">(M150*$M$92*1)/1200</f>
        <v>22.5878147780922</v>
      </c>
      <c r="O150" s="1026" t="n">
        <f aca="false">IF(AND(K150&lt;=$M$97,K150&gt;$M$95),$M$101-N150,0)</f>
        <v>260.480689882073</v>
      </c>
      <c r="P150" s="1026" t="n">
        <f aca="false">M150-O150</f>
        <v>5160.59485686006</v>
      </c>
      <c r="Q150" s="1026" t="n">
        <f aca="false">IF(K150&lt;=$M$97,Q149+N150,0)</f>
        <v>1766.40354792682</v>
      </c>
      <c r="R150" s="654" t="n">
        <f aca="false">IF(K150&lt;=$D$97,R149+O150,0)</f>
        <v>9839.40514313994</v>
      </c>
      <c r="T150" s="1027" t="n">
        <f aca="false">T149+1</f>
        <v>41</v>
      </c>
      <c r="U150" s="1025" t="str">
        <f aca="false">IF(T150&lt;=$V$97,DATE(YEAR(U149),MONTH(U149)+12/$V$94,DAY(U149)),"0")</f>
        <v>0</v>
      </c>
      <c r="V150" s="1026" t="n">
        <f aca="false">IF(T150&lt;=$V$97,Y149,0)</f>
        <v>0</v>
      </c>
      <c r="W150" s="1026" t="n">
        <f aca="false">(V150*$V$92*1)/1200</f>
        <v>0</v>
      </c>
      <c r="X150" s="1022" t="n">
        <f aca="false">IF(AND(T150&lt;=$V$97,T150&gt;$V$95),$V$101-W150,0)</f>
        <v>0</v>
      </c>
      <c r="Y150" s="1026" t="n">
        <f aca="false">V150-X150</f>
        <v>0</v>
      </c>
      <c r="Z150" s="1026" t="n">
        <f aca="false">IF(T150&lt;=$V$97,Z149+W150,0)</f>
        <v>0</v>
      </c>
      <c r="AA150" s="654" t="n">
        <f aca="false">IF(T150&lt;=$V$97,AA149+X150,0)</f>
        <v>0</v>
      </c>
      <c r="AB150" s="451"/>
      <c r="AC150" s="1027" t="n">
        <f aca="false">AC149+1</f>
        <v>41</v>
      </c>
      <c r="AD150" s="1025" t="str">
        <f aca="false">IF(AC150&lt;=$AE$97,DATE(YEAR(AD149),MONTH(AD149)+12/$AE$95,DAY(AD149)),"0")</f>
        <v>0</v>
      </c>
      <c r="AE150" s="1026" t="n">
        <f aca="false">IF(AC150&lt;=$AE$97,AH149,0)</f>
        <v>0</v>
      </c>
      <c r="AF150" s="1026" t="n">
        <f aca="false">(AE150*$AE$93*1)/1200</f>
        <v>0</v>
      </c>
      <c r="AG150" s="1022" t="n">
        <f aca="false">IF(AC150&lt;$AE$97,$AE$101-AF150,0)+IF(AC150=$AE$97,$AE$90+$AE$101-AF150,0)</f>
        <v>0</v>
      </c>
      <c r="AH150" s="1026" t="n">
        <f aca="false">AE150-AG150</f>
        <v>0</v>
      </c>
      <c r="AI150" s="1026" t="n">
        <f aca="false">IF(AC150&lt;=$AE$97,AI149+AF150,0)</f>
        <v>0</v>
      </c>
      <c r="AJ150" s="654" t="n">
        <f aca="false">IF(AC150&lt;=$AE$97,AJ149+AG150,0)</f>
        <v>0</v>
      </c>
      <c r="AL150" s="1027" t="n">
        <f aca="false">AL149+1</f>
        <v>41</v>
      </c>
      <c r="AM150" s="1025" t="str">
        <f aca="false">IF(AL150&lt;=$AN$97,DATE(YEAR(AM149),MONTH(AM149)+12/$AN$95,DAY(AM149)),"0")</f>
        <v>0</v>
      </c>
      <c r="AN150" s="1026" t="n">
        <f aca="false">IF(AL150&lt;=$AN$97,AQ149,0)</f>
        <v>0</v>
      </c>
      <c r="AO150" s="1026" t="n">
        <f aca="false">(AN150*$AN$93*1)/1200</f>
        <v>0</v>
      </c>
      <c r="AP150" s="1022" t="n">
        <f aca="false">IF(AL150&lt;$AN$97,$AN$101-AO150,0)+IF(AL150=$AN$97,$AN$90+$AN$101-AO150,0)</f>
        <v>0</v>
      </c>
      <c r="AQ150" s="1026" t="n">
        <f aca="false">AN150-AP150</f>
        <v>0</v>
      </c>
      <c r="AR150" s="1026" t="n">
        <f aca="false">IF(AL150&lt;=$AN$97,AR149+AO150,0)</f>
        <v>0</v>
      </c>
      <c r="AS150" s="654" t="n">
        <f aca="false">IF(AL150&lt;=$AN$97,AS149+AP150,0)</f>
        <v>0</v>
      </c>
      <c r="AU150" s="1027" t="n">
        <f aca="false">AU149+1</f>
        <v>41</v>
      </c>
      <c r="AV150" s="1025" t="str">
        <f aca="false">IF(AU150&lt;=$AW$97,DATE(YEAR(AV149),MONTH(AV149)+12/$AW$95,DAY(AV149)),"0")</f>
        <v>0</v>
      </c>
      <c r="AW150" s="1026" t="n">
        <f aca="false">IF(AU150&lt;=$AW$97,AZ149,0)</f>
        <v>0</v>
      </c>
      <c r="AX150" s="1026" t="n">
        <f aca="false">(AW150*$AW$93*1)/1200</f>
        <v>0</v>
      </c>
      <c r="AY150" s="1022" t="n">
        <f aca="false">IF(AU150&lt;$AW$97,$AW$101-AX150,0)+IF(AU150=$AW$97,$AW$90+$AW$101-AX150,0)</f>
        <v>0</v>
      </c>
      <c r="AZ150" s="1026" t="n">
        <f aca="false">AW150-AY150</f>
        <v>0</v>
      </c>
      <c r="BA150" s="1026" t="n">
        <f aca="false">IF(AU150&lt;=$AW$97,BA149+AX150,0)</f>
        <v>0</v>
      </c>
      <c r="BB150" s="654" t="n">
        <f aca="false">IF(AU150&lt;=$AW$97,BB149+AY150,0)</f>
        <v>0</v>
      </c>
    </row>
    <row r="151" customFormat="false" ht="12.75" hidden="false" customHeight="false" outlineLevel="0" collapsed="false">
      <c r="B151" s="1024" t="n">
        <v>42</v>
      </c>
      <c r="C151" s="1025" t="n">
        <f aca="false">IF(B151&lt;=$D$97,DATE(YEAR(C150),MONTH(C150)+12/$D$94,DAY(C150)),"0")</f>
        <v>46237</v>
      </c>
      <c r="D151" s="1026" t="n">
        <f aca="false">IF(B151=1,$D$90,G150)</f>
        <v>122394.738213444</v>
      </c>
      <c r="E151" s="1026" t="n">
        <f aca="false">(D151*$D$92*1)/1200</f>
        <v>356.984653122545</v>
      </c>
      <c r="F151" s="1026" t="n">
        <f aca="false">IF(AND(B151&lt;=$D$97,B151&gt;$D$95),$D$101-E151,0)</f>
        <v>715.339158892215</v>
      </c>
      <c r="G151" s="1026" t="n">
        <f aca="false">D151-F151</f>
        <v>121679.399054552</v>
      </c>
      <c r="H151" s="1026" t="n">
        <f aca="false">IF(B151&lt;=$D$97,E151+H150,0)</f>
        <v>16716.9991591716</v>
      </c>
      <c r="I151" s="654" t="n">
        <f aca="false">IF(B151&lt;=$D$97,F151+I150,0)</f>
        <v>28320.6009454483</v>
      </c>
      <c r="K151" s="1027" t="n">
        <f aca="false">K150+1</f>
        <v>42</v>
      </c>
      <c r="L151" s="1025" t="n">
        <f aca="false">IF(K151&lt;=$M$97,DATE(YEAR(L150),MONTH(L150)+12/$M$94,DAY(L150)),"0")</f>
        <v>46237</v>
      </c>
      <c r="M151" s="1026" t="n">
        <f aca="false">IF(K151&lt;=$M$97,P150,0)</f>
        <v>5160.59485686006</v>
      </c>
      <c r="N151" s="1026" t="n">
        <f aca="false">(M151*$M$92*1)/1200</f>
        <v>21.5024785702502</v>
      </c>
      <c r="O151" s="1026" t="n">
        <f aca="false">IF(AND(K151&lt;=$M$97,K151&gt;$M$95),$M$101-N151,0)</f>
        <v>261.566026089915</v>
      </c>
      <c r="P151" s="1026" t="n">
        <f aca="false">M151-O151</f>
        <v>4899.02883077014</v>
      </c>
      <c r="Q151" s="1026" t="n">
        <f aca="false">IF(K151&lt;=$M$97,Q150+N151,0)</f>
        <v>1787.90602649707</v>
      </c>
      <c r="R151" s="654" t="n">
        <f aca="false">IF(K151&lt;=$D$97,R150+O151,0)</f>
        <v>10100.9711692299</v>
      </c>
      <c r="T151" s="1027" t="n">
        <f aca="false">T150+1</f>
        <v>42</v>
      </c>
      <c r="U151" s="1025" t="str">
        <f aca="false">IF(T151&lt;=$V$97,DATE(YEAR(U150),MONTH(U150)+12/$V$94,DAY(U150)),"0")</f>
        <v>0</v>
      </c>
      <c r="V151" s="1026" t="n">
        <f aca="false">IF(T151&lt;=$V$97,Y150,0)</f>
        <v>0</v>
      </c>
      <c r="W151" s="1026" t="n">
        <f aca="false">(V151*$V$92*1)/1200</f>
        <v>0</v>
      </c>
      <c r="X151" s="1022" t="n">
        <f aca="false">IF(AND(T151&lt;=$V$97,T151&gt;$V$95),$V$101-W151,0)</f>
        <v>0</v>
      </c>
      <c r="Y151" s="1026" t="n">
        <f aca="false">V151-X151</f>
        <v>0</v>
      </c>
      <c r="Z151" s="1026" t="n">
        <f aca="false">IF(T151&lt;=$V$97,Z150+W151,0)</f>
        <v>0</v>
      </c>
      <c r="AA151" s="654" t="n">
        <f aca="false">IF(T151&lt;=$V$97,AA150+X151,0)</f>
        <v>0</v>
      </c>
      <c r="AB151" s="451"/>
      <c r="AC151" s="1027" t="n">
        <f aca="false">AC150+1</f>
        <v>42</v>
      </c>
      <c r="AD151" s="1025" t="str">
        <f aca="false">IF(AC151&lt;=$AE$97,DATE(YEAR(AD150),MONTH(AD150)+12/$AE$95,DAY(AD150)),"0")</f>
        <v>0</v>
      </c>
      <c r="AE151" s="1026" t="n">
        <f aca="false">IF(AC151&lt;=$AE$97,AH150,0)</f>
        <v>0</v>
      </c>
      <c r="AF151" s="1026" t="n">
        <f aca="false">(AE151*$AE$93*1)/1200</f>
        <v>0</v>
      </c>
      <c r="AG151" s="1022" t="n">
        <f aca="false">IF(AC151&lt;$AE$97,$AE$101-AF151,0)+IF(AC151=$AE$97,$AE$90+$AE$101-AF151,0)</f>
        <v>0</v>
      </c>
      <c r="AH151" s="1026" t="n">
        <f aca="false">AE151-AG151</f>
        <v>0</v>
      </c>
      <c r="AI151" s="1026" t="n">
        <f aca="false">IF(AC151&lt;=$AE$97,AI150+AF151,0)</f>
        <v>0</v>
      </c>
      <c r="AJ151" s="654" t="n">
        <f aca="false">IF(AC151&lt;=$AE$97,AJ150+AG151,0)</f>
        <v>0</v>
      </c>
      <c r="AL151" s="1027" t="n">
        <f aca="false">AL150+1</f>
        <v>42</v>
      </c>
      <c r="AM151" s="1025" t="str">
        <f aca="false">IF(AL151&lt;=$AN$97,DATE(YEAR(AM150),MONTH(AM150)+12/$AN$95,DAY(AM150)),"0")</f>
        <v>0</v>
      </c>
      <c r="AN151" s="1026" t="n">
        <f aca="false">IF(AL151&lt;=$AN$97,AQ150,0)</f>
        <v>0</v>
      </c>
      <c r="AO151" s="1026" t="n">
        <f aca="false">(AN151*$AN$93*1)/1200</f>
        <v>0</v>
      </c>
      <c r="AP151" s="1022" t="n">
        <f aca="false">IF(AL151&lt;$AN$97,$AN$101-AO151,0)+IF(AL151=$AN$97,$AN$90+$AN$101-AO151,0)</f>
        <v>0</v>
      </c>
      <c r="AQ151" s="1026" t="n">
        <f aca="false">AN151-AP151</f>
        <v>0</v>
      </c>
      <c r="AR151" s="1026" t="n">
        <f aca="false">IF(AL151&lt;=$AN$97,AR150+AO151,0)</f>
        <v>0</v>
      </c>
      <c r="AS151" s="654" t="n">
        <f aca="false">IF(AL151&lt;=$AN$97,AS150+AP151,0)</f>
        <v>0</v>
      </c>
      <c r="AU151" s="1027" t="n">
        <f aca="false">AU150+1</f>
        <v>42</v>
      </c>
      <c r="AV151" s="1025" t="str">
        <f aca="false">IF(AU151&lt;=$AW$97,DATE(YEAR(AV150),MONTH(AV150)+12/$AW$95,DAY(AV150)),"0")</f>
        <v>0</v>
      </c>
      <c r="AW151" s="1026" t="n">
        <f aca="false">IF(AU151&lt;=$AW$97,AZ150,0)</f>
        <v>0</v>
      </c>
      <c r="AX151" s="1026" t="n">
        <f aca="false">(AW151*$AW$93*1)/1200</f>
        <v>0</v>
      </c>
      <c r="AY151" s="1022" t="n">
        <f aca="false">IF(AU151&lt;$AW$97,$AW$101-AX151,0)+IF(AU151=$AW$97,$AW$90+$AW$101-AX151,0)</f>
        <v>0</v>
      </c>
      <c r="AZ151" s="1026" t="n">
        <f aca="false">AW151-AY151</f>
        <v>0</v>
      </c>
      <c r="BA151" s="1026" t="n">
        <f aca="false">IF(AU151&lt;=$AW$97,BA150+AX151,0)</f>
        <v>0</v>
      </c>
      <c r="BB151" s="654" t="n">
        <f aca="false">IF(AU151&lt;=$AW$97,BB150+AY151,0)</f>
        <v>0</v>
      </c>
    </row>
    <row r="152" customFormat="false" ht="12.75" hidden="false" customHeight="false" outlineLevel="0" collapsed="false">
      <c r="B152" s="1024" t="n">
        <v>43</v>
      </c>
      <c r="C152" s="1025" t="n">
        <f aca="false">IF(B152&lt;=$D$97,DATE(YEAR(C151),MONTH(C151)+12/$D$94,DAY(C151)),"0")</f>
        <v>46268</v>
      </c>
      <c r="D152" s="1026" t="n">
        <f aca="false">IF(B152=1,$D$90,G151)</f>
        <v>121679.399054552</v>
      </c>
      <c r="E152" s="1026" t="n">
        <f aca="false">(D152*$D$92*1)/1200</f>
        <v>354.898247242442</v>
      </c>
      <c r="F152" s="1026" t="n">
        <f aca="false">IF(AND(B152&lt;=$D$97,B152&gt;$D$95),$D$101-E152,0)</f>
        <v>717.425564772317</v>
      </c>
      <c r="G152" s="1026" t="n">
        <f aca="false">D152-F152</f>
        <v>120961.973489779</v>
      </c>
      <c r="H152" s="1026" t="n">
        <f aca="false">IF(B152&lt;=$D$97,E152+H151,0)</f>
        <v>17071.897406414</v>
      </c>
      <c r="I152" s="654" t="n">
        <f aca="false">IF(B152&lt;=$D$97,F152+I151,0)</f>
        <v>29038.0265102207</v>
      </c>
      <c r="K152" s="1027" t="n">
        <f aca="false">K151+1</f>
        <v>43</v>
      </c>
      <c r="L152" s="1025" t="n">
        <f aca="false">IF(K152&lt;=$M$97,DATE(YEAR(L151),MONTH(L151)+12/$M$94,DAY(L151)),"0")</f>
        <v>46268</v>
      </c>
      <c r="M152" s="1026" t="n">
        <f aca="false">IF(K152&lt;=$M$97,P151,0)</f>
        <v>4899.02883077014</v>
      </c>
      <c r="N152" s="1026" t="n">
        <f aca="false">(M152*$M$92*1)/1200</f>
        <v>20.4126201282089</v>
      </c>
      <c r="O152" s="1026" t="n">
        <f aca="false">IF(AND(K152&lt;=$M$97,K152&gt;$M$95),$M$101-N152,0)</f>
        <v>262.655884531956</v>
      </c>
      <c r="P152" s="1026" t="n">
        <f aca="false">M152-O152</f>
        <v>4636.37294623819</v>
      </c>
      <c r="Q152" s="1026" t="n">
        <f aca="false">IF(K152&lt;=$M$97,Q151+N152,0)</f>
        <v>1808.31864662528</v>
      </c>
      <c r="R152" s="654" t="n">
        <f aca="false">IF(K152&lt;=$D$97,R151+O152,0)</f>
        <v>10363.6270537618</v>
      </c>
      <c r="T152" s="1027" t="n">
        <f aca="false">T151+1</f>
        <v>43</v>
      </c>
      <c r="U152" s="1025" t="str">
        <f aca="false">IF(T152&lt;=$V$97,DATE(YEAR(U151),MONTH(U151)+12/$V$94,DAY(U151)),"0")</f>
        <v>0</v>
      </c>
      <c r="V152" s="1026" t="n">
        <f aca="false">IF(T152&lt;=$V$97,Y151,0)</f>
        <v>0</v>
      </c>
      <c r="W152" s="1026" t="n">
        <f aca="false">(V152*$V$92*1)/1200</f>
        <v>0</v>
      </c>
      <c r="X152" s="1022" t="n">
        <f aca="false">IF(AND(T152&lt;=$V$97,T152&gt;$V$95),$V$101-W152,0)</f>
        <v>0</v>
      </c>
      <c r="Y152" s="1026" t="n">
        <f aca="false">V152-X152</f>
        <v>0</v>
      </c>
      <c r="Z152" s="1026" t="n">
        <f aca="false">IF(T152&lt;=$V$97,Z151+W152,0)</f>
        <v>0</v>
      </c>
      <c r="AA152" s="654" t="n">
        <f aca="false">IF(T152&lt;=$V$97,AA151+X152,0)</f>
        <v>0</v>
      </c>
      <c r="AB152" s="451"/>
      <c r="AC152" s="1027" t="n">
        <f aca="false">AC151+1</f>
        <v>43</v>
      </c>
      <c r="AD152" s="1025" t="str">
        <f aca="false">IF(AC152&lt;=$AE$97,DATE(YEAR(AD151),MONTH(AD151)+12/$AE$95,DAY(AD151)),"0")</f>
        <v>0</v>
      </c>
      <c r="AE152" s="1026" t="n">
        <f aca="false">IF(AC152&lt;=$AE$97,AH151,0)</f>
        <v>0</v>
      </c>
      <c r="AF152" s="1026" t="n">
        <f aca="false">(AE152*$AE$93*1)/1200</f>
        <v>0</v>
      </c>
      <c r="AG152" s="1022" t="n">
        <f aca="false">IF(AC152&lt;$AE$97,$AE$101-AF152,0)+IF(AC152=$AE$97,$AE$90+$AE$101-AF152,0)</f>
        <v>0</v>
      </c>
      <c r="AH152" s="1026" t="n">
        <f aca="false">AE152-AG152</f>
        <v>0</v>
      </c>
      <c r="AI152" s="1026" t="n">
        <f aca="false">IF(AC152&lt;=$AE$97,AI151+AF152,0)</f>
        <v>0</v>
      </c>
      <c r="AJ152" s="654" t="n">
        <f aca="false">IF(AC152&lt;=$AE$97,AJ151+AG152,0)</f>
        <v>0</v>
      </c>
      <c r="AL152" s="1027" t="n">
        <f aca="false">AL151+1</f>
        <v>43</v>
      </c>
      <c r="AM152" s="1025" t="str">
        <f aca="false">IF(AL152&lt;=$AN$97,DATE(YEAR(AM151),MONTH(AM151)+12/$AN$95,DAY(AM151)),"0")</f>
        <v>0</v>
      </c>
      <c r="AN152" s="1026" t="n">
        <f aca="false">IF(AL152&lt;=$AN$97,AQ151,0)</f>
        <v>0</v>
      </c>
      <c r="AO152" s="1026" t="n">
        <f aca="false">(AN152*$AN$93*1)/1200</f>
        <v>0</v>
      </c>
      <c r="AP152" s="1022" t="n">
        <f aca="false">IF(AL152&lt;$AN$97,$AN$101-AO152,0)+IF(AL152=$AN$97,$AN$90+$AN$101-AO152,0)</f>
        <v>0</v>
      </c>
      <c r="AQ152" s="1026" t="n">
        <f aca="false">AN152-AP152</f>
        <v>0</v>
      </c>
      <c r="AR152" s="1026" t="n">
        <f aca="false">IF(AL152&lt;=$AN$97,AR151+AO152,0)</f>
        <v>0</v>
      </c>
      <c r="AS152" s="654" t="n">
        <f aca="false">IF(AL152&lt;=$AN$97,AS151+AP152,0)</f>
        <v>0</v>
      </c>
      <c r="AU152" s="1027" t="n">
        <f aca="false">AU151+1</f>
        <v>43</v>
      </c>
      <c r="AV152" s="1025" t="str">
        <f aca="false">IF(AU152&lt;=$AW$97,DATE(YEAR(AV151),MONTH(AV151)+12/$AW$95,DAY(AV151)),"0")</f>
        <v>0</v>
      </c>
      <c r="AW152" s="1026" t="n">
        <f aca="false">IF(AU152&lt;=$AW$97,AZ151,0)</f>
        <v>0</v>
      </c>
      <c r="AX152" s="1026" t="n">
        <f aca="false">(AW152*$AW$93*1)/1200</f>
        <v>0</v>
      </c>
      <c r="AY152" s="1022" t="n">
        <f aca="false">IF(AU152&lt;$AW$97,$AW$101-AX152,0)+IF(AU152=$AW$97,$AW$90+$AW$101-AX152,0)</f>
        <v>0</v>
      </c>
      <c r="AZ152" s="1026" t="n">
        <f aca="false">AW152-AY152</f>
        <v>0</v>
      </c>
      <c r="BA152" s="1026" t="n">
        <f aca="false">IF(AU152&lt;=$AW$97,BA151+AX152,0)</f>
        <v>0</v>
      </c>
      <c r="BB152" s="654" t="n">
        <f aca="false">IF(AU152&lt;=$AW$97,BB151+AY152,0)</f>
        <v>0</v>
      </c>
    </row>
    <row r="153" customFormat="false" ht="12.75" hidden="false" customHeight="false" outlineLevel="0" collapsed="false">
      <c r="B153" s="1024" t="n">
        <v>44</v>
      </c>
      <c r="C153" s="1025" t="n">
        <f aca="false">IF(B153&lt;=$D$97,DATE(YEAR(C152),MONTH(C152)+12/$D$94,DAY(C152)),"0")</f>
        <v>46298</v>
      </c>
      <c r="D153" s="1026" t="n">
        <f aca="false">IF(B153=1,$D$90,G152)</f>
        <v>120961.973489779</v>
      </c>
      <c r="E153" s="1026" t="n">
        <f aca="false">(D153*$D$92*1)/1200</f>
        <v>352.805756011857</v>
      </c>
      <c r="F153" s="1026" t="n">
        <f aca="false">IF(AND(B153&lt;=$D$97,B153&gt;$D$95),$D$101-E153,0)</f>
        <v>719.518056002903</v>
      </c>
      <c r="G153" s="1026" t="n">
        <f aca="false">D153-F153</f>
        <v>120242.455433776</v>
      </c>
      <c r="H153" s="1026" t="n">
        <f aca="false">IF(B153&lt;=$D$97,E153+H152,0)</f>
        <v>17424.7031624259</v>
      </c>
      <c r="I153" s="654" t="n">
        <f aca="false">IF(B153&lt;=$D$97,F153+I152,0)</f>
        <v>29757.5445662236</v>
      </c>
      <c r="K153" s="1027" t="n">
        <f aca="false">K152+1</f>
        <v>44</v>
      </c>
      <c r="L153" s="1025" t="n">
        <f aca="false">IF(K153&lt;=$M$97,DATE(YEAR(L152),MONTH(L152)+12/$M$94,DAY(L152)),"0")</f>
        <v>46298</v>
      </c>
      <c r="M153" s="1026" t="n">
        <f aca="false">IF(K153&lt;=$M$97,P152,0)</f>
        <v>4636.37294623819</v>
      </c>
      <c r="N153" s="1026" t="n">
        <f aca="false">(M153*$M$92*1)/1200</f>
        <v>19.3182206093258</v>
      </c>
      <c r="O153" s="1026" t="n">
        <f aca="false">IF(AND(K153&lt;=$M$97,K153&gt;$M$95),$M$101-N153,0)</f>
        <v>263.750284050839</v>
      </c>
      <c r="P153" s="1026" t="n">
        <f aca="false">M153-O153</f>
        <v>4372.62266218735</v>
      </c>
      <c r="Q153" s="1026" t="n">
        <f aca="false">IF(K153&lt;=$M$97,Q152+N153,0)</f>
        <v>1827.6368672346</v>
      </c>
      <c r="R153" s="654" t="n">
        <f aca="false">IF(K153&lt;=$D$97,R152+O153,0)</f>
        <v>10627.3773378127</v>
      </c>
      <c r="T153" s="1027" t="n">
        <f aca="false">T152+1</f>
        <v>44</v>
      </c>
      <c r="U153" s="1025" t="str">
        <f aca="false">IF(T153&lt;=$V$97,DATE(YEAR(U152),MONTH(U152)+12/$V$94,DAY(U152)),"0")</f>
        <v>0</v>
      </c>
      <c r="V153" s="1026" t="n">
        <f aca="false">IF(T153&lt;=$V$97,Y152,0)</f>
        <v>0</v>
      </c>
      <c r="W153" s="1026" t="n">
        <f aca="false">(V153*$V$92*1)/1200</f>
        <v>0</v>
      </c>
      <c r="X153" s="1022" t="n">
        <f aca="false">IF(AND(T153&lt;=$V$97,T153&gt;$V$95),$V$101-W153,0)</f>
        <v>0</v>
      </c>
      <c r="Y153" s="1026" t="n">
        <f aca="false">V153-X153</f>
        <v>0</v>
      </c>
      <c r="Z153" s="1026" t="n">
        <f aca="false">IF(T153&lt;=$V$97,Z152+W153,0)</f>
        <v>0</v>
      </c>
      <c r="AA153" s="654" t="n">
        <f aca="false">IF(T153&lt;=$V$97,AA152+X153,0)</f>
        <v>0</v>
      </c>
      <c r="AB153" s="451"/>
      <c r="AC153" s="1027" t="n">
        <f aca="false">AC152+1</f>
        <v>44</v>
      </c>
      <c r="AD153" s="1025" t="str">
        <f aca="false">IF(AC153&lt;=$AE$97,DATE(YEAR(AD152),MONTH(AD152)+12/$AE$95,DAY(AD152)),"0")</f>
        <v>0</v>
      </c>
      <c r="AE153" s="1026" t="n">
        <f aca="false">IF(AC153&lt;=$AE$97,AH152,0)</f>
        <v>0</v>
      </c>
      <c r="AF153" s="1026" t="n">
        <f aca="false">(AE153*$AE$93*1)/1200</f>
        <v>0</v>
      </c>
      <c r="AG153" s="1022" t="n">
        <f aca="false">IF(AC153&lt;$AE$97,$AE$101-AF153,0)+IF(AC153=$AE$97,$AE$90+$AE$101-AF153,0)</f>
        <v>0</v>
      </c>
      <c r="AH153" s="1026" t="n">
        <f aca="false">AE153-AG153</f>
        <v>0</v>
      </c>
      <c r="AI153" s="1026" t="n">
        <f aca="false">IF(AC153&lt;=$AE$97,AI152+AF153,0)</f>
        <v>0</v>
      </c>
      <c r="AJ153" s="654" t="n">
        <f aca="false">IF(AC153&lt;=$AE$97,AJ152+AG153,0)</f>
        <v>0</v>
      </c>
      <c r="AL153" s="1027" t="n">
        <f aca="false">AL152+1</f>
        <v>44</v>
      </c>
      <c r="AM153" s="1025" t="str">
        <f aca="false">IF(AL153&lt;=$AN$97,DATE(YEAR(AM152),MONTH(AM152)+12/$AN$95,DAY(AM152)),"0")</f>
        <v>0</v>
      </c>
      <c r="AN153" s="1026" t="n">
        <f aca="false">IF(AL153&lt;=$AN$97,AQ152,0)</f>
        <v>0</v>
      </c>
      <c r="AO153" s="1026" t="n">
        <f aca="false">(AN153*$AN$93*1)/1200</f>
        <v>0</v>
      </c>
      <c r="AP153" s="1022" t="n">
        <f aca="false">IF(AL153&lt;$AN$97,$AN$101-AO153,0)+IF(AL153=$AN$97,$AN$90+$AN$101-AO153,0)</f>
        <v>0</v>
      </c>
      <c r="AQ153" s="1026" t="n">
        <f aca="false">AN153-AP153</f>
        <v>0</v>
      </c>
      <c r="AR153" s="1026" t="n">
        <f aca="false">IF(AL153&lt;=$AN$97,AR152+AO153,0)</f>
        <v>0</v>
      </c>
      <c r="AS153" s="654" t="n">
        <f aca="false">IF(AL153&lt;=$AN$97,AS152+AP153,0)</f>
        <v>0</v>
      </c>
      <c r="AU153" s="1027" t="n">
        <f aca="false">AU152+1</f>
        <v>44</v>
      </c>
      <c r="AV153" s="1025" t="str">
        <f aca="false">IF(AU153&lt;=$AW$97,DATE(YEAR(AV152),MONTH(AV152)+12/$AW$95,DAY(AV152)),"0")</f>
        <v>0</v>
      </c>
      <c r="AW153" s="1026" t="n">
        <f aca="false">IF(AU153&lt;=$AW$97,AZ152,0)</f>
        <v>0</v>
      </c>
      <c r="AX153" s="1026" t="n">
        <f aca="false">(AW153*$AW$93*1)/1200</f>
        <v>0</v>
      </c>
      <c r="AY153" s="1022" t="n">
        <f aca="false">IF(AU153&lt;$AW$97,$AW$101-AX153,0)+IF(AU153=$AW$97,$AW$90+$AW$101-AX153,0)</f>
        <v>0</v>
      </c>
      <c r="AZ153" s="1026" t="n">
        <f aca="false">AW153-AY153</f>
        <v>0</v>
      </c>
      <c r="BA153" s="1026" t="n">
        <f aca="false">IF(AU153&lt;=$AW$97,BA152+AX153,0)</f>
        <v>0</v>
      </c>
      <c r="BB153" s="654" t="n">
        <f aca="false">IF(AU153&lt;=$AW$97,BB152+AY153,0)</f>
        <v>0</v>
      </c>
    </row>
    <row r="154" customFormat="false" ht="12.75" hidden="false" customHeight="false" outlineLevel="0" collapsed="false">
      <c r="B154" s="1024" t="n">
        <v>45</v>
      </c>
      <c r="C154" s="1025" t="n">
        <f aca="false">IF(B154&lt;=$D$97,DATE(YEAR(C153),MONTH(C153)+12/$D$94,DAY(C153)),"0")</f>
        <v>46329</v>
      </c>
      <c r="D154" s="1026" t="n">
        <f aca="false">IF(B154=1,$D$90,G153)</f>
        <v>120242.455433776</v>
      </c>
      <c r="E154" s="1026" t="n">
        <f aca="false">(D154*$D$92*1)/1200</f>
        <v>350.707161681848</v>
      </c>
      <c r="F154" s="1026" t="n">
        <f aca="false">IF(AND(B154&lt;=$D$97,B154&gt;$D$95),$D$101-E154,0)</f>
        <v>721.616650332911</v>
      </c>
      <c r="G154" s="1026" t="n">
        <f aca="false">D154-F154</f>
        <v>119520.838783444</v>
      </c>
      <c r="H154" s="1026" t="n">
        <f aca="false">IF(B154&lt;=$D$97,E154+H153,0)</f>
        <v>17775.4103241077</v>
      </c>
      <c r="I154" s="654" t="n">
        <f aca="false">IF(B154&lt;=$D$97,F154+I153,0)</f>
        <v>30479.1612165565</v>
      </c>
      <c r="K154" s="1027" t="n">
        <f aca="false">K153+1</f>
        <v>45</v>
      </c>
      <c r="L154" s="1025" t="n">
        <f aca="false">IF(K154&lt;=$M$97,DATE(YEAR(L153),MONTH(L153)+12/$M$94,DAY(L153)),"0")</f>
        <v>46329</v>
      </c>
      <c r="M154" s="1026" t="n">
        <f aca="false">IF(K154&lt;=$M$97,P153,0)</f>
        <v>4372.62266218735</v>
      </c>
      <c r="N154" s="1026" t="n">
        <f aca="false">(M154*$M$92*1)/1200</f>
        <v>18.2192610924473</v>
      </c>
      <c r="O154" s="1026" t="n">
        <f aca="false">IF(AND(K154&lt;=$M$97,K154&gt;$M$95),$M$101-N154,0)</f>
        <v>264.849243567718</v>
      </c>
      <c r="P154" s="1026" t="n">
        <f aca="false">M154-O154</f>
        <v>4107.77341861963</v>
      </c>
      <c r="Q154" s="1026" t="n">
        <f aca="false">IF(K154&lt;=$M$97,Q153+N154,0)</f>
        <v>1845.85612832705</v>
      </c>
      <c r="R154" s="654" t="n">
        <f aca="false">IF(K154&lt;=$D$97,R153+O154,0)</f>
        <v>10892.2265813804</v>
      </c>
      <c r="T154" s="1027" t="n">
        <f aca="false">T153+1</f>
        <v>45</v>
      </c>
      <c r="U154" s="1025" t="str">
        <f aca="false">IF(T154&lt;=$V$97,DATE(YEAR(U153),MONTH(U153)+12/$V$94,DAY(U153)),"0")</f>
        <v>0</v>
      </c>
      <c r="V154" s="1026" t="n">
        <f aca="false">IF(T154&lt;=$V$97,Y153,0)</f>
        <v>0</v>
      </c>
      <c r="W154" s="1026" t="n">
        <f aca="false">(V154*$V$92*1)/1200</f>
        <v>0</v>
      </c>
      <c r="X154" s="1022" t="n">
        <f aca="false">IF(AND(T154&lt;=$V$97,T154&gt;$V$95),$V$101-W154,0)</f>
        <v>0</v>
      </c>
      <c r="Y154" s="1026" t="n">
        <f aca="false">V154-X154</f>
        <v>0</v>
      </c>
      <c r="Z154" s="1026" t="n">
        <f aca="false">IF(T154&lt;=$V$97,Z153+W154,0)</f>
        <v>0</v>
      </c>
      <c r="AA154" s="654" t="n">
        <f aca="false">IF(T154&lt;=$V$97,AA153+X154,0)</f>
        <v>0</v>
      </c>
      <c r="AB154" s="451"/>
      <c r="AC154" s="1027" t="n">
        <f aca="false">AC153+1</f>
        <v>45</v>
      </c>
      <c r="AD154" s="1025" t="str">
        <f aca="false">IF(AC154&lt;=$AE$97,DATE(YEAR(AD153),MONTH(AD153)+12/$AE$95,DAY(AD153)),"0")</f>
        <v>0</v>
      </c>
      <c r="AE154" s="1026" t="n">
        <f aca="false">IF(AC154&lt;=$AE$97,AH153,0)</f>
        <v>0</v>
      </c>
      <c r="AF154" s="1026" t="n">
        <f aca="false">(AE154*$AE$93*1)/1200</f>
        <v>0</v>
      </c>
      <c r="AG154" s="1022" t="n">
        <f aca="false">IF(AC154&lt;$AE$97,$AE$101-AF154,0)+IF(AC154=$AE$97,$AE$90+$AE$101-AF154,0)</f>
        <v>0</v>
      </c>
      <c r="AH154" s="1026" t="n">
        <f aca="false">AE154-AG154</f>
        <v>0</v>
      </c>
      <c r="AI154" s="1026" t="n">
        <f aca="false">IF(AC154&lt;=$AE$97,AI153+AF154,0)</f>
        <v>0</v>
      </c>
      <c r="AJ154" s="654" t="n">
        <f aca="false">IF(AC154&lt;=$AE$97,AJ153+AG154,0)</f>
        <v>0</v>
      </c>
      <c r="AL154" s="1027" t="n">
        <f aca="false">AL153+1</f>
        <v>45</v>
      </c>
      <c r="AM154" s="1025" t="str">
        <f aca="false">IF(AL154&lt;=$AN$97,DATE(YEAR(AM153),MONTH(AM153)+12/$AN$95,DAY(AM153)),"0")</f>
        <v>0</v>
      </c>
      <c r="AN154" s="1026" t="n">
        <f aca="false">IF(AL154&lt;=$AN$97,AQ153,0)</f>
        <v>0</v>
      </c>
      <c r="AO154" s="1026" t="n">
        <f aca="false">(AN154*$AN$93*1)/1200</f>
        <v>0</v>
      </c>
      <c r="AP154" s="1022" t="n">
        <f aca="false">IF(AL154&lt;$AN$97,$AN$101-AO154,0)+IF(AL154=$AN$97,$AN$90+$AN$101-AO154,0)</f>
        <v>0</v>
      </c>
      <c r="AQ154" s="1026" t="n">
        <f aca="false">AN154-AP154</f>
        <v>0</v>
      </c>
      <c r="AR154" s="1026" t="n">
        <f aca="false">IF(AL154&lt;=$AN$97,AR153+AO154,0)</f>
        <v>0</v>
      </c>
      <c r="AS154" s="654" t="n">
        <f aca="false">IF(AL154&lt;=$AN$97,AS153+AP154,0)</f>
        <v>0</v>
      </c>
      <c r="AU154" s="1027" t="n">
        <f aca="false">AU153+1</f>
        <v>45</v>
      </c>
      <c r="AV154" s="1025" t="str">
        <f aca="false">IF(AU154&lt;=$AW$97,DATE(YEAR(AV153),MONTH(AV153)+12/$AW$95,DAY(AV153)),"0")</f>
        <v>0</v>
      </c>
      <c r="AW154" s="1026" t="n">
        <f aca="false">IF(AU154&lt;=$AW$97,AZ153,0)</f>
        <v>0</v>
      </c>
      <c r="AX154" s="1026" t="n">
        <f aca="false">(AW154*$AW$93*1)/1200</f>
        <v>0</v>
      </c>
      <c r="AY154" s="1022" t="n">
        <f aca="false">IF(AU154&lt;$AW$97,$AW$101-AX154,0)+IF(AU154=$AW$97,$AW$90+$AW$101-AX154,0)</f>
        <v>0</v>
      </c>
      <c r="AZ154" s="1026" t="n">
        <f aca="false">AW154-AY154</f>
        <v>0</v>
      </c>
      <c r="BA154" s="1026" t="n">
        <f aca="false">IF(AU154&lt;=$AW$97,BA153+AX154,0)</f>
        <v>0</v>
      </c>
      <c r="BB154" s="654" t="n">
        <f aca="false">IF(AU154&lt;=$AW$97,BB153+AY154,0)</f>
        <v>0</v>
      </c>
    </row>
    <row r="155" customFormat="false" ht="12.75" hidden="false" customHeight="false" outlineLevel="0" collapsed="false">
      <c r="B155" s="1024" t="n">
        <v>46</v>
      </c>
      <c r="C155" s="1025" t="n">
        <f aca="false">IF(B155&lt;=$D$97,DATE(YEAR(C154),MONTH(C154)+12/$D$94,DAY(C154)),"0")</f>
        <v>46359</v>
      </c>
      <c r="D155" s="1026" t="n">
        <f aca="false">IF(B155=1,$D$90,G154)</f>
        <v>119520.838783444</v>
      </c>
      <c r="E155" s="1026" t="n">
        <f aca="false">(D155*$D$92*1)/1200</f>
        <v>348.60244645171</v>
      </c>
      <c r="F155" s="1026" t="n">
        <f aca="false">IF(AND(B155&lt;=$D$97,B155&gt;$D$95),$D$101-E155,0)</f>
        <v>723.721365563049</v>
      </c>
      <c r="G155" s="1026" t="n">
        <f aca="false">D155-F155</f>
        <v>118797.117417881</v>
      </c>
      <c r="H155" s="1026" t="n">
        <f aca="false">IF(B155&lt;=$D$97,E155+H154,0)</f>
        <v>18124.0127705594</v>
      </c>
      <c r="I155" s="654" t="n">
        <f aca="false">IF(B155&lt;=$D$97,F155+I154,0)</f>
        <v>31202.8825821195</v>
      </c>
      <c r="K155" s="1027" t="n">
        <f aca="false">K154+1</f>
        <v>46</v>
      </c>
      <c r="L155" s="1025" t="n">
        <f aca="false">IF(K155&lt;=$M$97,DATE(YEAR(L154),MONTH(L154)+12/$M$94,DAY(L154)),"0")</f>
        <v>46359</v>
      </c>
      <c r="M155" s="1026" t="n">
        <f aca="false">IF(K155&lt;=$M$97,P154,0)</f>
        <v>4107.77341861963</v>
      </c>
      <c r="N155" s="1026" t="n">
        <f aca="false">(M155*$M$92*1)/1200</f>
        <v>17.1157225775818</v>
      </c>
      <c r="O155" s="1026" t="n">
        <f aca="false">IF(AND(K155&lt;=$M$97,K155&gt;$M$95),$M$101-N155,0)</f>
        <v>265.952782082583</v>
      </c>
      <c r="P155" s="1026" t="n">
        <f aca="false">M155-O155</f>
        <v>3841.82063653705</v>
      </c>
      <c r="Q155" s="1026" t="n">
        <f aca="false">IF(K155&lt;=$M$97,Q154+N155,0)</f>
        <v>1862.97185090463</v>
      </c>
      <c r="R155" s="654" t="n">
        <f aca="false">IF(K155&lt;=$D$97,R154+O155,0)</f>
        <v>11158.179363463</v>
      </c>
      <c r="T155" s="1027" t="n">
        <f aca="false">T154+1</f>
        <v>46</v>
      </c>
      <c r="U155" s="1025" t="str">
        <f aca="false">IF(T155&lt;=$V$97,DATE(YEAR(U154),MONTH(U154)+12/$V$94,DAY(U154)),"0")</f>
        <v>0</v>
      </c>
      <c r="V155" s="1026" t="n">
        <f aca="false">IF(T155&lt;=$V$97,Y154,0)</f>
        <v>0</v>
      </c>
      <c r="W155" s="1026" t="n">
        <f aca="false">(V155*$V$92*1)/1200</f>
        <v>0</v>
      </c>
      <c r="X155" s="1022" t="n">
        <f aca="false">IF(AND(T155&lt;=$V$97,T155&gt;$V$95),$V$101-W155,0)</f>
        <v>0</v>
      </c>
      <c r="Y155" s="1026" t="n">
        <f aca="false">V155-X155</f>
        <v>0</v>
      </c>
      <c r="Z155" s="1026" t="n">
        <f aca="false">IF(T155&lt;=$V$97,Z154+W155,0)</f>
        <v>0</v>
      </c>
      <c r="AA155" s="654" t="n">
        <f aca="false">IF(T155&lt;=$V$97,AA154+X155,0)</f>
        <v>0</v>
      </c>
      <c r="AB155" s="451"/>
      <c r="AC155" s="1027" t="n">
        <f aca="false">AC154+1</f>
        <v>46</v>
      </c>
      <c r="AD155" s="1025" t="str">
        <f aca="false">IF(AC155&lt;=$AE$97,DATE(YEAR(AD154),MONTH(AD154)+12/$AE$95,DAY(AD154)),"0")</f>
        <v>0</v>
      </c>
      <c r="AE155" s="1026" t="n">
        <f aca="false">IF(AC155&lt;=$AE$97,AH154,0)</f>
        <v>0</v>
      </c>
      <c r="AF155" s="1026" t="n">
        <f aca="false">(AE155*$AE$93*1)/1200</f>
        <v>0</v>
      </c>
      <c r="AG155" s="1022" t="n">
        <f aca="false">IF(AC155&lt;$AE$97,$AE$101-AF155,0)+IF(AC155=$AE$97,$AE$90+$AE$101-AF155,0)</f>
        <v>0</v>
      </c>
      <c r="AH155" s="1026" t="n">
        <f aca="false">AE155-AG155</f>
        <v>0</v>
      </c>
      <c r="AI155" s="1026" t="n">
        <f aca="false">IF(AC155&lt;=$AE$97,AI154+AF155,0)</f>
        <v>0</v>
      </c>
      <c r="AJ155" s="654" t="n">
        <f aca="false">IF(AC155&lt;=$AE$97,AJ154+AG155,0)</f>
        <v>0</v>
      </c>
      <c r="AL155" s="1027" t="n">
        <f aca="false">AL154+1</f>
        <v>46</v>
      </c>
      <c r="AM155" s="1025" t="str">
        <f aca="false">IF(AL155&lt;=$AN$97,DATE(YEAR(AM154),MONTH(AM154)+12/$AN$95,DAY(AM154)),"0")</f>
        <v>0</v>
      </c>
      <c r="AN155" s="1026" t="n">
        <f aca="false">IF(AL155&lt;=$AN$97,AQ154,0)</f>
        <v>0</v>
      </c>
      <c r="AO155" s="1026" t="n">
        <f aca="false">(AN155*$AN$93*1)/1200</f>
        <v>0</v>
      </c>
      <c r="AP155" s="1022" t="n">
        <f aca="false">IF(AL155&lt;$AN$97,$AN$101-AO155,0)+IF(AL155=$AN$97,$AN$90+$AN$101-AO155,0)</f>
        <v>0</v>
      </c>
      <c r="AQ155" s="1026" t="n">
        <f aca="false">AN155-AP155</f>
        <v>0</v>
      </c>
      <c r="AR155" s="1026" t="n">
        <f aca="false">IF(AL155&lt;=$AN$97,AR154+AO155,0)</f>
        <v>0</v>
      </c>
      <c r="AS155" s="654" t="n">
        <f aca="false">IF(AL155&lt;=$AN$97,AS154+AP155,0)</f>
        <v>0</v>
      </c>
      <c r="AU155" s="1027" t="n">
        <f aca="false">AU154+1</f>
        <v>46</v>
      </c>
      <c r="AV155" s="1025" t="str">
        <f aca="false">IF(AU155&lt;=$AW$97,DATE(YEAR(AV154),MONTH(AV154)+12/$AW$95,DAY(AV154)),"0")</f>
        <v>0</v>
      </c>
      <c r="AW155" s="1026" t="n">
        <f aca="false">IF(AU155&lt;=$AW$97,AZ154,0)</f>
        <v>0</v>
      </c>
      <c r="AX155" s="1026" t="n">
        <f aca="false">(AW155*$AW$93*1)/1200</f>
        <v>0</v>
      </c>
      <c r="AY155" s="1022" t="n">
        <f aca="false">IF(AU155&lt;$AW$97,$AW$101-AX155,0)+IF(AU155=$AW$97,$AW$90+$AW$101-AX155,0)</f>
        <v>0</v>
      </c>
      <c r="AZ155" s="1026" t="n">
        <f aca="false">AW155-AY155</f>
        <v>0</v>
      </c>
      <c r="BA155" s="1026" t="n">
        <f aca="false">IF(AU155&lt;=$AW$97,BA154+AX155,0)</f>
        <v>0</v>
      </c>
      <c r="BB155" s="654" t="n">
        <f aca="false">IF(AU155&lt;=$AW$97,BB154+AY155,0)</f>
        <v>0</v>
      </c>
    </row>
    <row r="156" customFormat="false" ht="12.75" hidden="false" customHeight="false" outlineLevel="0" collapsed="false">
      <c r="B156" s="1024" t="n">
        <v>47</v>
      </c>
      <c r="C156" s="1025" t="n">
        <f aca="false">IF(B156&lt;=$D$97,DATE(YEAR(C155),MONTH(C155)+12/$D$94,DAY(C155)),"0")</f>
        <v>46390</v>
      </c>
      <c r="D156" s="1026" t="n">
        <f aca="false">IF(B156=1,$D$90,G155)</f>
        <v>118797.117417881</v>
      </c>
      <c r="E156" s="1026" t="n">
        <f aca="false">(D156*$D$92*1)/1200</f>
        <v>346.491592468818</v>
      </c>
      <c r="F156" s="1026" t="n">
        <f aca="false">IF(AND(B156&lt;=$D$97,B156&gt;$D$95),$D$101-E156,0)</f>
        <v>725.832219545941</v>
      </c>
      <c r="G156" s="1026" t="n">
        <f aca="false">D156-F156</f>
        <v>118071.285198335</v>
      </c>
      <c r="H156" s="1026" t="n">
        <f aca="false">IF(B156&lt;=$D$97,E156+H155,0)</f>
        <v>18470.5043630282</v>
      </c>
      <c r="I156" s="654" t="n">
        <f aca="false">IF(B156&lt;=$D$97,F156+I155,0)</f>
        <v>31928.7148016655</v>
      </c>
      <c r="K156" s="1027" t="n">
        <f aca="false">K155+1</f>
        <v>47</v>
      </c>
      <c r="L156" s="1025" t="n">
        <f aca="false">IF(K156&lt;=$M$97,DATE(YEAR(L155),MONTH(L155)+12/$M$94,DAY(L155)),"0")</f>
        <v>46390</v>
      </c>
      <c r="M156" s="1026" t="n">
        <f aca="false">IF(K156&lt;=$M$97,P155,0)</f>
        <v>3841.82063653705</v>
      </c>
      <c r="N156" s="1026" t="n">
        <f aca="false">(M156*$M$92*1)/1200</f>
        <v>16.007585985571</v>
      </c>
      <c r="O156" s="1026" t="n">
        <f aca="false">IF(AND(K156&lt;=$M$97,K156&gt;$M$95),$M$101-N156,0)</f>
        <v>267.060918674594</v>
      </c>
      <c r="P156" s="1026" t="n">
        <f aca="false">M156-O156</f>
        <v>3574.75971786245</v>
      </c>
      <c r="Q156" s="1026" t="n">
        <f aca="false">IF(K156&lt;=$M$97,Q155+N156,0)</f>
        <v>1878.9794368902</v>
      </c>
      <c r="R156" s="654" t="n">
        <f aca="false">IF(K156&lt;=$D$97,R155+O156,0)</f>
        <v>11425.2402821375</v>
      </c>
      <c r="T156" s="1027" t="n">
        <f aca="false">T155+1</f>
        <v>47</v>
      </c>
      <c r="U156" s="1025" t="str">
        <f aca="false">IF(T156&lt;=$V$97,DATE(YEAR(U155),MONTH(U155)+12/$V$94,DAY(U155)),"0")</f>
        <v>0</v>
      </c>
      <c r="V156" s="1026" t="n">
        <f aca="false">IF(T156&lt;=$V$97,Y155,0)</f>
        <v>0</v>
      </c>
      <c r="W156" s="1026" t="n">
        <f aca="false">(V156*$V$92*1)/1200</f>
        <v>0</v>
      </c>
      <c r="X156" s="1022" t="n">
        <f aca="false">IF(AND(T156&lt;=$V$97,T156&gt;$V$95),$V$101-W156,0)</f>
        <v>0</v>
      </c>
      <c r="Y156" s="1026" t="n">
        <f aca="false">V156-X156</f>
        <v>0</v>
      </c>
      <c r="Z156" s="1026" t="n">
        <f aca="false">IF(T156&lt;=$V$97,Z155+W156,0)</f>
        <v>0</v>
      </c>
      <c r="AA156" s="654" t="n">
        <f aca="false">IF(T156&lt;=$V$97,AA155+X156,0)</f>
        <v>0</v>
      </c>
      <c r="AB156" s="451"/>
      <c r="AC156" s="1027" t="n">
        <f aca="false">AC155+1</f>
        <v>47</v>
      </c>
      <c r="AD156" s="1025" t="str">
        <f aca="false">IF(AC156&lt;=$AE$97,DATE(YEAR(AD155),MONTH(AD155)+12/$AE$95,DAY(AD155)),"0")</f>
        <v>0</v>
      </c>
      <c r="AE156" s="1026" t="n">
        <f aca="false">IF(AC156&lt;=$AE$97,AH155,0)</f>
        <v>0</v>
      </c>
      <c r="AF156" s="1026" t="n">
        <f aca="false">(AE156*$AE$93*1)/1200</f>
        <v>0</v>
      </c>
      <c r="AG156" s="1022" t="n">
        <f aca="false">IF(AC156&lt;$AE$97,$AE$101-AF156,0)+IF(AC156=$AE$97,$AE$90+$AE$101-AF156,0)</f>
        <v>0</v>
      </c>
      <c r="AH156" s="1026" t="n">
        <f aca="false">AE156-AG156</f>
        <v>0</v>
      </c>
      <c r="AI156" s="1026" t="n">
        <f aca="false">IF(AC156&lt;=$AE$97,AI155+AF156,0)</f>
        <v>0</v>
      </c>
      <c r="AJ156" s="654" t="n">
        <f aca="false">IF(AC156&lt;=$AE$97,AJ155+AG156,0)</f>
        <v>0</v>
      </c>
      <c r="AL156" s="1027" t="n">
        <f aca="false">AL155+1</f>
        <v>47</v>
      </c>
      <c r="AM156" s="1025" t="str">
        <f aca="false">IF(AL156&lt;=$AN$97,DATE(YEAR(AM155),MONTH(AM155)+12/$AN$95,DAY(AM155)),"0")</f>
        <v>0</v>
      </c>
      <c r="AN156" s="1026" t="n">
        <f aca="false">IF(AL156&lt;=$AN$97,AQ155,0)</f>
        <v>0</v>
      </c>
      <c r="AO156" s="1026" t="n">
        <f aca="false">(AN156*$AN$93*1)/1200</f>
        <v>0</v>
      </c>
      <c r="AP156" s="1022" t="n">
        <f aca="false">IF(AL156&lt;$AN$97,$AN$101-AO156,0)+IF(AL156=$AN$97,$AN$90+$AN$101-AO156,0)</f>
        <v>0</v>
      </c>
      <c r="AQ156" s="1026" t="n">
        <f aca="false">AN156-AP156</f>
        <v>0</v>
      </c>
      <c r="AR156" s="1026" t="n">
        <f aca="false">IF(AL156&lt;=$AN$97,AR155+AO156,0)</f>
        <v>0</v>
      </c>
      <c r="AS156" s="654" t="n">
        <f aca="false">IF(AL156&lt;=$AN$97,AS155+AP156,0)</f>
        <v>0</v>
      </c>
      <c r="AU156" s="1027" t="n">
        <f aca="false">AU155+1</f>
        <v>47</v>
      </c>
      <c r="AV156" s="1025" t="str">
        <f aca="false">IF(AU156&lt;=$AW$97,DATE(YEAR(AV155),MONTH(AV155)+12/$AW$95,DAY(AV155)),"0")</f>
        <v>0</v>
      </c>
      <c r="AW156" s="1026" t="n">
        <f aca="false">IF(AU156&lt;=$AW$97,AZ155,0)</f>
        <v>0</v>
      </c>
      <c r="AX156" s="1026" t="n">
        <f aca="false">(AW156*$AW$93*1)/1200</f>
        <v>0</v>
      </c>
      <c r="AY156" s="1022" t="n">
        <f aca="false">IF(AU156&lt;$AW$97,$AW$101-AX156,0)+IF(AU156=$AW$97,$AW$90+$AW$101-AX156,0)</f>
        <v>0</v>
      </c>
      <c r="AZ156" s="1026" t="n">
        <f aca="false">AW156-AY156</f>
        <v>0</v>
      </c>
      <c r="BA156" s="1026" t="n">
        <f aca="false">IF(AU156&lt;=$AW$97,BA155+AX156,0)</f>
        <v>0</v>
      </c>
      <c r="BB156" s="654" t="n">
        <f aca="false">IF(AU156&lt;=$AW$97,BB155+AY156,0)</f>
        <v>0</v>
      </c>
    </row>
    <row r="157" customFormat="false" ht="12.75" hidden="false" customHeight="false" outlineLevel="0" collapsed="false">
      <c r="B157" s="1024" t="n">
        <v>48</v>
      </c>
      <c r="C157" s="1025" t="n">
        <f aca="false">IF(B157&lt;=$D$97,DATE(YEAR(C156),MONTH(C156)+12/$D$94,DAY(C156)),"0")</f>
        <v>46421</v>
      </c>
      <c r="D157" s="1026" t="n">
        <f aca="false">IF(B157=1,$D$90,G156)</f>
        <v>118071.285198335</v>
      </c>
      <c r="E157" s="1026" t="n">
        <f aca="false">(D157*$D$92*1)/1200</f>
        <v>344.374581828476</v>
      </c>
      <c r="F157" s="1026" t="n">
        <f aca="false">IF(AND(B157&lt;=$D$97,B157&gt;$D$95),$D$101-E157,0)</f>
        <v>727.949230186284</v>
      </c>
      <c r="G157" s="1026" t="n">
        <f aca="false">D157-F157</f>
        <v>117343.335968148</v>
      </c>
      <c r="H157" s="1026" t="n">
        <f aca="false">IF(B157&lt;=$D$97,E157+H156,0)</f>
        <v>18814.8789448567</v>
      </c>
      <c r="I157" s="654" t="n">
        <f aca="false">IF(B157&lt;=$D$97,F157+I156,0)</f>
        <v>32656.6640318517</v>
      </c>
      <c r="K157" s="1027" t="n">
        <f aca="false">K156+1</f>
        <v>48</v>
      </c>
      <c r="L157" s="1025" t="n">
        <f aca="false">IF(K157&lt;=$M$97,DATE(YEAR(L156),MONTH(L156)+12/$M$94,DAY(L156)),"0")</f>
        <v>46421</v>
      </c>
      <c r="M157" s="1026" t="n">
        <f aca="false">IF(K157&lt;=$M$97,P156,0)</f>
        <v>3574.75971786245</v>
      </c>
      <c r="N157" s="1026" t="n">
        <f aca="false">(M157*$M$92*1)/1200</f>
        <v>14.8948321577602</v>
      </c>
      <c r="O157" s="1026" t="n">
        <f aca="false">IF(AND(K157&lt;=$M$97,K157&gt;$M$95),$M$101-N157,0)</f>
        <v>268.173672502405</v>
      </c>
      <c r="P157" s="1026" t="n">
        <f aca="false">M157-O157</f>
        <v>3306.58604536005</v>
      </c>
      <c r="Q157" s="1026" t="n">
        <f aca="false">IF(K157&lt;=$M$97,Q156+N157,0)</f>
        <v>1893.87426904797</v>
      </c>
      <c r="R157" s="654" t="n">
        <f aca="false">IF(K157&lt;=$D$97,R156+O157,0)</f>
        <v>11693.4139546399</v>
      </c>
      <c r="T157" s="1027" t="n">
        <f aca="false">T156+1</f>
        <v>48</v>
      </c>
      <c r="U157" s="1025" t="str">
        <f aca="false">IF(T157&lt;=$V$97,DATE(YEAR(U156),MONTH(U156)+12/$V$94,DAY(U156)),"0")</f>
        <v>0</v>
      </c>
      <c r="V157" s="1026" t="n">
        <f aca="false">IF(T157&lt;=$V$97,Y156,0)</f>
        <v>0</v>
      </c>
      <c r="W157" s="1026" t="n">
        <f aca="false">(V157*$V$92*1)/1200</f>
        <v>0</v>
      </c>
      <c r="X157" s="1022" t="n">
        <f aca="false">IF(AND(T157&lt;=$V$97,T157&gt;$V$95),$V$101-W157,0)</f>
        <v>0</v>
      </c>
      <c r="Y157" s="1026" t="n">
        <f aca="false">V157-X157</f>
        <v>0</v>
      </c>
      <c r="Z157" s="1026" t="n">
        <f aca="false">IF(T157&lt;=$V$97,Z156+W157,0)</f>
        <v>0</v>
      </c>
      <c r="AA157" s="654" t="n">
        <f aca="false">IF(T157&lt;=$V$97,AA156+X157,0)</f>
        <v>0</v>
      </c>
      <c r="AB157" s="451"/>
      <c r="AC157" s="1027" t="n">
        <f aca="false">AC156+1</f>
        <v>48</v>
      </c>
      <c r="AD157" s="1025" t="str">
        <f aca="false">IF(AC157&lt;=$AE$97,DATE(YEAR(AD156),MONTH(AD156)+12/$AE$95,DAY(AD156)),"0")</f>
        <v>0</v>
      </c>
      <c r="AE157" s="1026" t="n">
        <f aca="false">IF(AC157&lt;=$AE$97,AH156,0)</f>
        <v>0</v>
      </c>
      <c r="AF157" s="1026" t="n">
        <f aca="false">(AE157*$AE$93*1)/1200</f>
        <v>0</v>
      </c>
      <c r="AG157" s="1022" t="n">
        <f aca="false">IF(AC157&lt;$AE$97,$AE$101-AF157,0)+IF(AC157=$AE$97,$AE$90+$AE$101-AF157,0)</f>
        <v>0</v>
      </c>
      <c r="AH157" s="1026" t="n">
        <f aca="false">AE157-AG157</f>
        <v>0</v>
      </c>
      <c r="AI157" s="1026" t="n">
        <f aca="false">IF(AC157&lt;=$AE$97,AI156+AF157,0)</f>
        <v>0</v>
      </c>
      <c r="AJ157" s="654" t="n">
        <f aca="false">IF(AC157&lt;=$AE$97,AJ156+AG157,0)</f>
        <v>0</v>
      </c>
      <c r="AL157" s="1027" t="n">
        <f aca="false">AL156+1</f>
        <v>48</v>
      </c>
      <c r="AM157" s="1025" t="str">
        <f aca="false">IF(AL157&lt;=$AN$97,DATE(YEAR(AM156),MONTH(AM156)+12/$AN$95,DAY(AM156)),"0")</f>
        <v>0</v>
      </c>
      <c r="AN157" s="1026" t="n">
        <f aca="false">IF(AL157&lt;=$AN$97,AQ156,0)</f>
        <v>0</v>
      </c>
      <c r="AO157" s="1026" t="n">
        <f aca="false">(AN157*$AN$93*1)/1200</f>
        <v>0</v>
      </c>
      <c r="AP157" s="1022" t="n">
        <f aca="false">IF(AL157&lt;$AN$97,$AN$101-AO157,0)+IF(AL157=$AN$97,$AN$90+$AN$101-AO157,0)</f>
        <v>0</v>
      </c>
      <c r="AQ157" s="1026" t="n">
        <f aca="false">AN157-AP157</f>
        <v>0</v>
      </c>
      <c r="AR157" s="1026" t="n">
        <f aca="false">IF(AL157&lt;=$AN$97,AR156+AO157,0)</f>
        <v>0</v>
      </c>
      <c r="AS157" s="654" t="n">
        <f aca="false">IF(AL157&lt;=$AN$97,AS156+AP157,0)</f>
        <v>0</v>
      </c>
      <c r="AU157" s="1027" t="n">
        <f aca="false">AU156+1</f>
        <v>48</v>
      </c>
      <c r="AV157" s="1025" t="str">
        <f aca="false">IF(AU157&lt;=$AW$97,DATE(YEAR(AV156),MONTH(AV156)+12/$AW$95,DAY(AV156)),"0")</f>
        <v>0</v>
      </c>
      <c r="AW157" s="1026" t="n">
        <f aca="false">IF(AU157&lt;=$AW$97,AZ156,0)</f>
        <v>0</v>
      </c>
      <c r="AX157" s="1026" t="n">
        <f aca="false">(AW157*$AW$93*1)/1200</f>
        <v>0</v>
      </c>
      <c r="AY157" s="1022" t="n">
        <f aca="false">IF(AU157&lt;$AW$97,$AW$101-AX157,0)+IF(AU157=$AW$97,$AW$90+$AW$101-AX157,0)</f>
        <v>0</v>
      </c>
      <c r="AZ157" s="1026" t="n">
        <f aca="false">AW157-AY157</f>
        <v>0</v>
      </c>
      <c r="BA157" s="1026" t="n">
        <f aca="false">IF(AU157&lt;=$AW$97,BA156+AX157,0)</f>
        <v>0</v>
      </c>
      <c r="BB157" s="654" t="n">
        <f aca="false">IF(AU157&lt;=$AW$97,BB156+AY157,0)</f>
        <v>0</v>
      </c>
    </row>
    <row r="158" customFormat="false" ht="12.75" hidden="false" customHeight="false" outlineLevel="0" collapsed="false">
      <c r="B158" s="1024" t="n">
        <v>49</v>
      </c>
      <c r="C158" s="1025" t="n">
        <f aca="false">IF(B158&lt;=$D$97,DATE(YEAR(C157),MONTH(C157)+12/$D$94,DAY(C157)),"0")</f>
        <v>46449</v>
      </c>
      <c r="D158" s="1026" t="n">
        <f aca="false">IF(B158=1,$D$90,G157)</f>
        <v>117343.335968148</v>
      </c>
      <c r="E158" s="1026" t="n">
        <f aca="false">(D158*$D$92*1)/1200</f>
        <v>342.251396573766</v>
      </c>
      <c r="F158" s="1026" t="n">
        <f aca="false">IF(AND(B158&lt;=$D$97,B158&gt;$D$95),$D$101-E158,0)</f>
        <v>730.072415440994</v>
      </c>
      <c r="G158" s="1026" t="n">
        <f aca="false">D158-F158</f>
        <v>116613.263552707</v>
      </c>
      <c r="H158" s="1026" t="n">
        <f aca="false">IF(B158&lt;=$D$97,E158+H157,0)</f>
        <v>19157.1303414305</v>
      </c>
      <c r="I158" s="654" t="n">
        <f aca="false">IF(B158&lt;=$D$97,F158+I157,0)</f>
        <v>33386.7364472927</v>
      </c>
      <c r="K158" s="1027" t="n">
        <f aca="false">K157+1</f>
        <v>49</v>
      </c>
      <c r="L158" s="1025" t="n">
        <f aca="false">IF(K158&lt;=$M$97,DATE(YEAR(L157),MONTH(L157)+12/$M$94,DAY(L157)),"0")</f>
        <v>46449</v>
      </c>
      <c r="M158" s="1026" t="n">
        <f aca="false">IF(K158&lt;=$M$97,P157,0)</f>
        <v>3306.58604536005</v>
      </c>
      <c r="N158" s="1026" t="n">
        <f aca="false">(M158*$M$92*1)/1200</f>
        <v>13.7774418556669</v>
      </c>
      <c r="O158" s="1026" t="n">
        <f aca="false">IF(AND(K158&lt;=$M$97,K158&gt;$M$95),$M$101-N158,0)</f>
        <v>269.291062804498</v>
      </c>
      <c r="P158" s="1026" t="n">
        <f aca="false">M158-O158</f>
        <v>3037.29498255555</v>
      </c>
      <c r="Q158" s="1026" t="n">
        <f aca="false">IF(K158&lt;=$M$97,Q157+N158,0)</f>
        <v>1907.65171090363</v>
      </c>
      <c r="R158" s="654" t="n">
        <f aca="false">IF(K158&lt;=$D$97,R157+O158,0)</f>
        <v>11962.7050174444</v>
      </c>
      <c r="T158" s="1027" t="n">
        <f aca="false">T157+1</f>
        <v>49</v>
      </c>
      <c r="U158" s="1025" t="str">
        <f aca="false">IF(T158&lt;=$V$97,DATE(YEAR(U157),MONTH(U157)+12/$V$94,DAY(U157)),"0")</f>
        <v>0</v>
      </c>
      <c r="V158" s="1026" t="n">
        <f aca="false">IF(T158&lt;=$V$97,Y157,0)</f>
        <v>0</v>
      </c>
      <c r="W158" s="1026" t="n">
        <f aca="false">(V158*$V$92*1)/1200</f>
        <v>0</v>
      </c>
      <c r="X158" s="1022" t="n">
        <f aca="false">IF(AND(T158&lt;=$V$97,T158&gt;$V$95),$V$101-W158,0)</f>
        <v>0</v>
      </c>
      <c r="Y158" s="1026" t="n">
        <f aca="false">V158-X158</f>
        <v>0</v>
      </c>
      <c r="Z158" s="1026" t="n">
        <f aca="false">IF(T158&lt;=$V$97,Z157+W158,0)</f>
        <v>0</v>
      </c>
      <c r="AA158" s="654" t="n">
        <f aca="false">IF(T158&lt;=$V$97,AA157+X158,0)</f>
        <v>0</v>
      </c>
      <c r="AB158" s="451"/>
      <c r="AC158" s="1027" t="n">
        <f aca="false">AC157+1</f>
        <v>49</v>
      </c>
      <c r="AD158" s="1025" t="str">
        <f aca="false">IF(AC158&lt;=$AE$97,DATE(YEAR(AD157),MONTH(AD157)+12/$AE$95,DAY(AD157)),"0")</f>
        <v>0</v>
      </c>
      <c r="AE158" s="1026" t="n">
        <f aca="false">IF(AC158&lt;=$AE$97,AH157,0)</f>
        <v>0</v>
      </c>
      <c r="AF158" s="1026" t="n">
        <f aca="false">(AE158*$AE$93*1)/1200</f>
        <v>0</v>
      </c>
      <c r="AG158" s="1022" t="n">
        <f aca="false">IF(AC158&lt;$AE$97,$AE$101-AF158,0)+IF(AC158=$AE$97,$AE$90+$AE$101-AF158,0)</f>
        <v>0</v>
      </c>
      <c r="AH158" s="1026" t="n">
        <f aca="false">AE158-AG158</f>
        <v>0</v>
      </c>
      <c r="AI158" s="1026" t="n">
        <f aca="false">IF(AC158&lt;=$AE$97,AI157+AF158,0)</f>
        <v>0</v>
      </c>
      <c r="AJ158" s="654" t="n">
        <f aca="false">IF(AC158&lt;=$AE$97,AJ157+AG158,0)</f>
        <v>0</v>
      </c>
      <c r="AL158" s="1027" t="n">
        <f aca="false">AL157+1</f>
        <v>49</v>
      </c>
      <c r="AM158" s="1025" t="str">
        <f aca="false">IF(AL158&lt;=$AN$97,DATE(YEAR(AM157),MONTH(AM157)+12/$AN$95,DAY(AM157)),"0")</f>
        <v>0</v>
      </c>
      <c r="AN158" s="1026" t="n">
        <f aca="false">IF(AL158&lt;=$AN$97,AQ157,0)</f>
        <v>0</v>
      </c>
      <c r="AO158" s="1026" t="n">
        <f aca="false">(AN158*$AN$93*1)/1200</f>
        <v>0</v>
      </c>
      <c r="AP158" s="1022" t="n">
        <f aca="false">IF(AL158&lt;$AN$97,$AN$101-AO158,0)+IF(AL158=$AN$97,$AN$90+$AN$101-AO158,0)</f>
        <v>0</v>
      </c>
      <c r="AQ158" s="1026" t="n">
        <f aca="false">AN158-AP158</f>
        <v>0</v>
      </c>
      <c r="AR158" s="1026" t="n">
        <f aca="false">IF(AL158&lt;=$AN$97,AR157+AO158,0)</f>
        <v>0</v>
      </c>
      <c r="AS158" s="654" t="n">
        <f aca="false">IF(AL158&lt;=$AN$97,AS157+AP158,0)</f>
        <v>0</v>
      </c>
      <c r="AU158" s="1027" t="n">
        <f aca="false">AU157+1</f>
        <v>49</v>
      </c>
      <c r="AV158" s="1025" t="str">
        <f aca="false">IF(AU158&lt;=$AW$97,DATE(YEAR(AV157),MONTH(AV157)+12/$AW$95,DAY(AV157)),"0")</f>
        <v>0</v>
      </c>
      <c r="AW158" s="1026" t="n">
        <f aca="false">IF(AU158&lt;=$AW$97,AZ157,0)</f>
        <v>0</v>
      </c>
      <c r="AX158" s="1026" t="n">
        <f aca="false">(AW158*$AW$93*1)/1200</f>
        <v>0</v>
      </c>
      <c r="AY158" s="1022" t="n">
        <f aca="false">IF(AU158&lt;$AW$97,$AW$101-AX158,0)+IF(AU158=$AW$97,$AW$90+$AW$101-AX158,0)</f>
        <v>0</v>
      </c>
      <c r="AZ158" s="1026" t="n">
        <f aca="false">AW158-AY158</f>
        <v>0</v>
      </c>
      <c r="BA158" s="1026" t="n">
        <f aca="false">IF(AU158&lt;=$AW$97,BA157+AX158,0)</f>
        <v>0</v>
      </c>
      <c r="BB158" s="654" t="n">
        <f aca="false">IF(AU158&lt;=$AW$97,BB157+AY158,0)</f>
        <v>0</v>
      </c>
    </row>
    <row r="159" customFormat="false" ht="12.75" hidden="false" customHeight="false" outlineLevel="0" collapsed="false">
      <c r="B159" s="1024" t="n">
        <v>50</v>
      </c>
      <c r="C159" s="1025" t="n">
        <f aca="false">IF(B159&lt;=$D$97,DATE(YEAR(C158),MONTH(C158)+12/$D$94,DAY(C158)),"0")</f>
        <v>46480</v>
      </c>
      <c r="D159" s="1026" t="n">
        <f aca="false">IF(B159=1,$D$90,G158)</f>
        <v>116613.263552707</v>
      </c>
      <c r="E159" s="1026" t="n">
        <f aca="false">(D159*$D$92*1)/1200</f>
        <v>340.122018695396</v>
      </c>
      <c r="F159" s="1026" t="n">
        <f aca="false">IF(AND(B159&lt;=$D$97,B159&gt;$D$95),$D$101-E159,0)</f>
        <v>732.201793319363</v>
      </c>
      <c r="G159" s="1026" t="n">
        <f aca="false">D159-F159</f>
        <v>115881.061759388</v>
      </c>
      <c r="H159" s="1026" t="n">
        <f aca="false">IF(B159&lt;=$D$97,E159+H158,0)</f>
        <v>19497.2523601259</v>
      </c>
      <c r="I159" s="654" t="n">
        <f aca="false">IF(B159&lt;=$D$97,F159+I158,0)</f>
        <v>34118.9382406121</v>
      </c>
      <c r="K159" s="1027" t="n">
        <f aca="false">K158+1</f>
        <v>50</v>
      </c>
      <c r="L159" s="1025" t="n">
        <f aca="false">IF(K159&lt;=$M$97,DATE(YEAR(L158),MONTH(L158)+12/$M$94,DAY(L158)),"0")</f>
        <v>46480</v>
      </c>
      <c r="M159" s="1026" t="n">
        <f aca="false">IF(K159&lt;=$M$97,P158,0)</f>
        <v>3037.29498255555</v>
      </c>
      <c r="N159" s="1026" t="n">
        <f aca="false">(M159*$M$92*1)/1200</f>
        <v>12.6553957606481</v>
      </c>
      <c r="O159" s="1026" t="n">
        <f aca="false">IF(AND(K159&lt;=$M$97,K159&gt;$M$95),$M$101-N159,0)</f>
        <v>270.413108899517</v>
      </c>
      <c r="P159" s="1026" t="n">
        <f aca="false">M159-O159</f>
        <v>2766.88187365603</v>
      </c>
      <c r="Q159" s="1026" t="n">
        <f aca="false">IF(K159&lt;=$M$97,Q158+N159,0)</f>
        <v>1920.30710666428</v>
      </c>
      <c r="R159" s="654" t="n">
        <f aca="false">IF(K159&lt;=$D$97,R158+O159,0)</f>
        <v>12233.118126344</v>
      </c>
      <c r="T159" s="1027" t="n">
        <f aca="false">T158+1</f>
        <v>50</v>
      </c>
      <c r="U159" s="1025" t="str">
        <f aca="false">IF(T159&lt;=$V$97,DATE(YEAR(U158),MONTH(U158)+12/$V$94,DAY(U158)),"0")</f>
        <v>0</v>
      </c>
      <c r="V159" s="1026" t="n">
        <f aca="false">IF(T159&lt;=$V$97,Y158,0)</f>
        <v>0</v>
      </c>
      <c r="W159" s="1026" t="n">
        <f aca="false">(V159*$V$92*1)/1200</f>
        <v>0</v>
      </c>
      <c r="X159" s="1022" t="n">
        <f aca="false">IF(AND(T159&lt;=$V$97,T159&gt;$V$95),$V$101-W159,0)</f>
        <v>0</v>
      </c>
      <c r="Y159" s="1026" t="n">
        <f aca="false">V159-X159</f>
        <v>0</v>
      </c>
      <c r="Z159" s="1026" t="n">
        <f aca="false">IF(T159&lt;=$V$97,Z158+W159,0)</f>
        <v>0</v>
      </c>
      <c r="AA159" s="654" t="n">
        <f aca="false">IF(T159&lt;=$V$97,AA158+X159,0)</f>
        <v>0</v>
      </c>
      <c r="AB159" s="451"/>
      <c r="AC159" s="1027" t="n">
        <f aca="false">AC158+1</f>
        <v>50</v>
      </c>
      <c r="AD159" s="1025" t="str">
        <f aca="false">IF(AC159&lt;=$AE$97,DATE(YEAR(AD158),MONTH(AD158)+12/$AE$95,DAY(AD158)),"0")</f>
        <v>0</v>
      </c>
      <c r="AE159" s="1026" t="n">
        <f aca="false">IF(AC159&lt;=$AE$97,AH158,0)</f>
        <v>0</v>
      </c>
      <c r="AF159" s="1026" t="n">
        <f aca="false">(AE159*$AE$93*1)/1200</f>
        <v>0</v>
      </c>
      <c r="AG159" s="1022" t="n">
        <f aca="false">IF(AC159&lt;$AE$97,$AE$101-AF159,0)+IF(AC159=$AE$97,$AE$90+$AE$101-AF159,0)</f>
        <v>0</v>
      </c>
      <c r="AH159" s="1026" t="n">
        <f aca="false">AE159-AG159</f>
        <v>0</v>
      </c>
      <c r="AI159" s="1026" t="n">
        <f aca="false">IF(AC159&lt;=$AE$97,AI158+AF159,0)</f>
        <v>0</v>
      </c>
      <c r="AJ159" s="654" t="n">
        <f aca="false">IF(AC159&lt;=$AE$97,AJ158+AG159,0)</f>
        <v>0</v>
      </c>
      <c r="AL159" s="1027" t="n">
        <f aca="false">AL158+1</f>
        <v>50</v>
      </c>
      <c r="AM159" s="1025" t="str">
        <f aca="false">IF(AL159&lt;=$AN$97,DATE(YEAR(AM158),MONTH(AM158)+12/$AN$95,DAY(AM158)),"0")</f>
        <v>0</v>
      </c>
      <c r="AN159" s="1026" t="n">
        <f aca="false">IF(AL159&lt;=$AN$97,AQ158,0)</f>
        <v>0</v>
      </c>
      <c r="AO159" s="1026" t="n">
        <f aca="false">(AN159*$AN$93*1)/1200</f>
        <v>0</v>
      </c>
      <c r="AP159" s="1022" t="n">
        <f aca="false">IF(AL159&lt;$AN$97,$AN$101-AO159,0)+IF(AL159=$AN$97,$AN$90+$AN$101-AO159,0)</f>
        <v>0</v>
      </c>
      <c r="AQ159" s="1026" t="n">
        <f aca="false">AN159-AP159</f>
        <v>0</v>
      </c>
      <c r="AR159" s="1026" t="n">
        <f aca="false">IF(AL159&lt;=$AN$97,AR158+AO159,0)</f>
        <v>0</v>
      </c>
      <c r="AS159" s="654" t="n">
        <f aca="false">IF(AL159&lt;=$AN$97,AS158+AP159,0)</f>
        <v>0</v>
      </c>
      <c r="AU159" s="1027" t="n">
        <f aca="false">AU158+1</f>
        <v>50</v>
      </c>
      <c r="AV159" s="1025" t="str">
        <f aca="false">IF(AU159&lt;=$AW$97,DATE(YEAR(AV158),MONTH(AV158)+12/$AW$95,DAY(AV158)),"0")</f>
        <v>0</v>
      </c>
      <c r="AW159" s="1026" t="n">
        <f aca="false">IF(AU159&lt;=$AW$97,AZ158,0)</f>
        <v>0</v>
      </c>
      <c r="AX159" s="1026" t="n">
        <f aca="false">(AW159*$AW$93*1)/1200</f>
        <v>0</v>
      </c>
      <c r="AY159" s="1022" t="n">
        <f aca="false">IF(AU159&lt;$AW$97,$AW$101-AX159,0)+IF(AU159=$AW$97,$AW$90+$AW$101-AX159,0)</f>
        <v>0</v>
      </c>
      <c r="AZ159" s="1026" t="n">
        <f aca="false">AW159-AY159</f>
        <v>0</v>
      </c>
      <c r="BA159" s="1026" t="n">
        <f aca="false">IF(AU159&lt;=$AW$97,BA158+AX159,0)</f>
        <v>0</v>
      </c>
      <c r="BB159" s="654" t="n">
        <f aca="false">IF(AU159&lt;=$AW$97,BB158+AY159,0)</f>
        <v>0</v>
      </c>
    </row>
    <row r="160" customFormat="false" ht="12.75" hidden="false" customHeight="false" outlineLevel="0" collapsed="false">
      <c r="B160" s="1024" t="n">
        <v>51</v>
      </c>
      <c r="C160" s="1025" t="n">
        <f aca="false">IF(B160&lt;=$D$97,DATE(YEAR(C159),MONTH(C159)+12/$D$94,DAY(C159)),"0")</f>
        <v>46510</v>
      </c>
      <c r="D160" s="1026" t="n">
        <f aca="false">IF(B160=1,$D$90,G159)</f>
        <v>115881.061759388</v>
      </c>
      <c r="E160" s="1026" t="n">
        <f aca="false">(D160*$D$92*1)/1200</f>
        <v>337.986430131548</v>
      </c>
      <c r="F160" s="1026" t="n">
        <f aca="false">IF(AND(B160&lt;=$D$97,B160&gt;$D$95),$D$101-E160,0)</f>
        <v>734.337381883211</v>
      </c>
      <c r="G160" s="1026" t="n">
        <f aca="false">D160-F160</f>
        <v>115146.724377505</v>
      </c>
      <c r="H160" s="1026" t="n">
        <f aca="false">IF(B160&lt;=$D$97,E160+H159,0)</f>
        <v>19835.2387902574</v>
      </c>
      <c r="I160" s="654" t="n">
        <f aca="false">IF(B160&lt;=$D$97,F160+I159,0)</f>
        <v>34853.2756224953</v>
      </c>
      <c r="K160" s="1027" t="n">
        <f aca="false">K159+1</f>
        <v>51</v>
      </c>
      <c r="L160" s="1025" t="n">
        <f aca="false">IF(K160&lt;=$M$97,DATE(YEAR(L159),MONTH(L159)+12/$M$94,DAY(L159)),"0")</f>
        <v>46510</v>
      </c>
      <c r="M160" s="1026" t="n">
        <f aca="false">IF(K160&lt;=$M$97,P159,0)</f>
        <v>2766.88187365603</v>
      </c>
      <c r="N160" s="1026" t="n">
        <f aca="false">(M160*$M$92*1)/1200</f>
        <v>11.5286744735668</v>
      </c>
      <c r="O160" s="1026" t="n">
        <f aca="false">IF(AND(K160&lt;=$M$97,K160&gt;$M$95),$M$101-N160,0)</f>
        <v>271.539830186598</v>
      </c>
      <c r="P160" s="1026" t="n">
        <f aca="false">M160-O160</f>
        <v>2495.34204346943</v>
      </c>
      <c r="Q160" s="1026" t="n">
        <f aca="false">IF(K160&lt;=$M$97,Q159+N160,0)</f>
        <v>1931.83578113785</v>
      </c>
      <c r="R160" s="654" t="n">
        <f aca="false">IF(K160&lt;=$D$97,R159+O160,0)</f>
        <v>12504.6579565306</v>
      </c>
      <c r="T160" s="1027" t="n">
        <f aca="false">T159+1</f>
        <v>51</v>
      </c>
      <c r="U160" s="1025" t="str">
        <f aca="false">IF(T160&lt;=$V$97,DATE(YEAR(U159),MONTH(U159)+12/$V$94,DAY(U159)),"0")</f>
        <v>0</v>
      </c>
      <c r="V160" s="1026" t="n">
        <f aca="false">IF(T160&lt;=$V$97,Y159,0)</f>
        <v>0</v>
      </c>
      <c r="W160" s="1026" t="n">
        <f aca="false">(V160*$V$92*1)/1200</f>
        <v>0</v>
      </c>
      <c r="X160" s="1022" t="n">
        <f aca="false">IF(AND(T160&lt;=$V$97,T160&gt;$V$95),$V$101-W160,0)</f>
        <v>0</v>
      </c>
      <c r="Y160" s="1026" t="n">
        <f aca="false">V160-X160</f>
        <v>0</v>
      </c>
      <c r="Z160" s="1026" t="n">
        <f aca="false">IF(T160&lt;=$V$97,Z159+W160,0)</f>
        <v>0</v>
      </c>
      <c r="AA160" s="654" t="n">
        <f aca="false">IF(T160&lt;=$V$97,AA159+X160,0)</f>
        <v>0</v>
      </c>
      <c r="AB160" s="451"/>
      <c r="AC160" s="1027" t="n">
        <f aca="false">AC159+1</f>
        <v>51</v>
      </c>
      <c r="AD160" s="1025" t="str">
        <f aca="false">IF(AC160&lt;=$AE$97,DATE(YEAR(AD159),MONTH(AD159)+12/$AE$95,DAY(AD159)),"0")</f>
        <v>0</v>
      </c>
      <c r="AE160" s="1026" t="n">
        <f aca="false">IF(AC160&lt;=$AE$97,AH159,0)</f>
        <v>0</v>
      </c>
      <c r="AF160" s="1026" t="n">
        <f aca="false">(AE160*$AE$93*1)/1200</f>
        <v>0</v>
      </c>
      <c r="AG160" s="1022" t="n">
        <f aca="false">IF(AC160&lt;$AE$97,$AE$101-AF160,0)+IF(AC160=$AE$97,$AE$90+$AE$101-AF160,0)</f>
        <v>0</v>
      </c>
      <c r="AH160" s="1026" t="n">
        <f aca="false">AE160-AG160</f>
        <v>0</v>
      </c>
      <c r="AI160" s="1026" t="n">
        <f aca="false">IF(AC160&lt;=$AE$97,AI159+AF160,0)</f>
        <v>0</v>
      </c>
      <c r="AJ160" s="654" t="n">
        <f aca="false">IF(AC160&lt;=$AE$97,AJ159+AG160,0)</f>
        <v>0</v>
      </c>
      <c r="AL160" s="1027" t="n">
        <f aca="false">AL159+1</f>
        <v>51</v>
      </c>
      <c r="AM160" s="1025" t="str">
        <f aca="false">IF(AL160&lt;=$AN$97,DATE(YEAR(AM159),MONTH(AM159)+12/$AN$95,DAY(AM159)),"0")</f>
        <v>0</v>
      </c>
      <c r="AN160" s="1026" t="n">
        <f aca="false">IF(AL160&lt;=$AN$97,AQ159,0)</f>
        <v>0</v>
      </c>
      <c r="AO160" s="1026" t="n">
        <f aca="false">(AN160*$AN$93*1)/1200</f>
        <v>0</v>
      </c>
      <c r="AP160" s="1022" t="n">
        <f aca="false">IF(AL160&lt;$AN$97,$AN$101-AO160,0)+IF(AL160=$AN$97,$AN$90+$AN$101-AO160,0)</f>
        <v>0</v>
      </c>
      <c r="AQ160" s="1026" t="n">
        <f aca="false">AN160-AP160</f>
        <v>0</v>
      </c>
      <c r="AR160" s="1026" t="n">
        <f aca="false">IF(AL160&lt;=$AN$97,AR159+AO160,0)</f>
        <v>0</v>
      </c>
      <c r="AS160" s="654" t="n">
        <f aca="false">IF(AL160&lt;=$AN$97,AS159+AP160,0)</f>
        <v>0</v>
      </c>
      <c r="AU160" s="1027" t="n">
        <f aca="false">AU159+1</f>
        <v>51</v>
      </c>
      <c r="AV160" s="1025" t="str">
        <f aca="false">IF(AU160&lt;=$AW$97,DATE(YEAR(AV159),MONTH(AV159)+12/$AW$95,DAY(AV159)),"0")</f>
        <v>0</v>
      </c>
      <c r="AW160" s="1026" t="n">
        <f aca="false">IF(AU160&lt;=$AW$97,AZ159,0)</f>
        <v>0</v>
      </c>
      <c r="AX160" s="1026" t="n">
        <f aca="false">(AW160*$AW$93*1)/1200</f>
        <v>0</v>
      </c>
      <c r="AY160" s="1022" t="n">
        <f aca="false">IF(AU160&lt;$AW$97,$AW$101-AX160,0)+IF(AU160=$AW$97,$AW$90+$AW$101-AX160,0)</f>
        <v>0</v>
      </c>
      <c r="AZ160" s="1026" t="n">
        <f aca="false">AW160-AY160</f>
        <v>0</v>
      </c>
      <c r="BA160" s="1026" t="n">
        <f aca="false">IF(AU160&lt;=$AW$97,BA159+AX160,0)</f>
        <v>0</v>
      </c>
      <c r="BB160" s="654" t="n">
        <f aca="false">IF(AU160&lt;=$AW$97,BB159+AY160,0)</f>
        <v>0</v>
      </c>
    </row>
    <row r="161" customFormat="false" ht="12.75" hidden="false" customHeight="false" outlineLevel="0" collapsed="false">
      <c r="B161" s="1024" t="n">
        <v>52</v>
      </c>
      <c r="C161" s="1025" t="n">
        <f aca="false">IF(B161&lt;=$D$97,DATE(YEAR(C160),MONTH(C160)+12/$D$94,DAY(C160)),"0")</f>
        <v>46541</v>
      </c>
      <c r="D161" s="1026" t="n">
        <f aca="false">IF(B161=1,$D$90,G160)</f>
        <v>115146.724377505</v>
      </c>
      <c r="E161" s="1026" t="n">
        <f aca="false">(D161*$D$92*1)/1200</f>
        <v>335.844612767722</v>
      </c>
      <c r="F161" s="1026" t="n">
        <f aca="false">IF(AND(B161&lt;=$D$97,B161&gt;$D$95),$D$101-E161,0)</f>
        <v>736.479199247037</v>
      </c>
      <c r="G161" s="1026" t="n">
        <f aca="false">D161-F161</f>
        <v>114410.245178258</v>
      </c>
      <c r="H161" s="1026" t="n">
        <f aca="false">IF(B161&lt;=$D$97,E161+H160,0)</f>
        <v>20171.0834030252</v>
      </c>
      <c r="I161" s="654" t="n">
        <f aca="false">IF(B161&lt;=$D$97,F161+I160,0)</f>
        <v>35589.7548217423</v>
      </c>
      <c r="K161" s="1027" t="n">
        <f aca="false">K160+1</f>
        <v>52</v>
      </c>
      <c r="L161" s="1025" t="n">
        <f aca="false">IF(K161&lt;=$M$97,DATE(YEAR(L160),MONTH(L160)+12/$M$94,DAY(L160)),"0")</f>
        <v>46541</v>
      </c>
      <c r="M161" s="1026" t="n">
        <f aca="false">IF(K161&lt;=$M$97,P160,0)</f>
        <v>2495.34204346943</v>
      </c>
      <c r="N161" s="1026" t="n">
        <f aca="false">(M161*$M$92*1)/1200</f>
        <v>10.397258514456</v>
      </c>
      <c r="O161" s="1026" t="n">
        <f aca="false">IF(AND(K161&lt;=$M$97,K161&gt;$M$95),$M$101-N161,0)</f>
        <v>272.671246145709</v>
      </c>
      <c r="P161" s="1026" t="n">
        <f aca="false">M161-O161</f>
        <v>2222.67079732373</v>
      </c>
      <c r="Q161" s="1026" t="n">
        <f aca="false">IF(K161&lt;=$M$97,Q160+N161,0)</f>
        <v>1942.2330396523</v>
      </c>
      <c r="R161" s="654" t="n">
        <f aca="false">IF(K161&lt;=$D$97,R160+O161,0)</f>
        <v>12777.3292026763</v>
      </c>
      <c r="T161" s="1027" t="n">
        <f aca="false">T160+1</f>
        <v>52</v>
      </c>
      <c r="U161" s="1025" t="str">
        <f aca="false">IF(T161&lt;=$V$97,DATE(YEAR(U160),MONTH(U160)+12/$V$94,DAY(U160)),"0")</f>
        <v>0</v>
      </c>
      <c r="V161" s="1026" t="n">
        <f aca="false">IF(T161&lt;=$V$97,Y160,0)</f>
        <v>0</v>
      </c>
      <c r="W161" s="1026" t="n">
        <f aca="false">(V161*$V$92*1)/1200</f>
        <v>0</v>
      </c>
      <c r="X161" s="1022" t="n">
        <f aca="false">IF(AND(T161&lt;=$V$97,T161&gt;$V$95),$V$101-W161,0)</f>
        <v>0</v>
      </c>
      <c r="Y161" s="1026" t="n">
        <f aca="false">V161-X161</f>
        <v>0</v>
      </c>
      <c r="Z161" s="1026" t="n">
        <f aca="false">IF(T161&lt;=$V$97,Z160+W161,0)</f>
        <v>0</v>
      </c>
      <c r="AA161" s="654" t="n">
        <f aca="false">IF(T161&lt;=$V$97,AA160+X161,0)</f>
        <v>0</v>
      </c>
      <c r="AB161" s="451"/>
      <c r="AC161" s="1027" t="n">
        <f aca="false">AC160+1</f>
        <v>52</v>
      </c>
      <c r="AD161" s="1025" t="str">
        <f aca="false">IF(AC161&lt;=$AE$97,DATE(YEAR(AD160),MONTH(AD160)+12/$AE$95,DAY(AD160)),"0")</f>
        <v>0</v>
      </c>
      <c r="AE161" s="1026" t="n">
        <f aca="false">IF(AC161&lt;=$AE$97,AH160,0)</f>
        <v>0</v>
      </c>
      <c r="AF161" s="1026" t="n">
        <f aca="false">(AE161*$AE$93*1)/1200</f>
        <v>0</v>
      </c>
      <c r="AG161" s="1022" t="n">
        <f aca="false">IF(AC161&lt;$AE$97,$AE$101-AF161,0)+IF(AC161=$AE$97,$AE$90+$AE$101-AF161,0)</f>
        <v>0</v>
      </c>
      <c r="AH161" s="1026" t="n">
        <f aca="false">AE161-AG161</f>
        <v>0</v>
      </c>
      <c r="AI161" s="1026" t="n">
        <f aca="false">IF(AC161&lt;=$AE$97,AI160+AF161,0)</f>
        <v>0</v>
      </c>
      <c r="AJ161" s="654" t="n">
        <f aca="false">IF(AC161&lt;=$AE$97,AJ160+AG161,0)</f>
        <v>0</v>
      </c>
      <c r="AL161" s="1027" t="n">
        <f aca="false">AL160+1</f>
        <v>52</v>
      </c>
      <c r="AM161" s="1025" t="str">
        <f aca="false">IF(AL161&lt;=$AN$97,DATE(YEAR(AM160),MONTH(AM160)+12/$AN$95,DAY(AM160)),"0")</f>
        <v>0</v>
      </c>
      <c r="AN161" s="1026" t="n">
        <f aca="false">IF(AL161&lt;=$AN$97,AQ160,0)</f>
        <v>0</v>
      </c>
      <c r="AO161" s="1026" t="n">
        <f aca="false">(AN161*$AN$93*1)/1200</f>
        <v>0</v>
      </c>
      <c r="AP161" s="1022" t="n">
        <f aca="false">IF(AL161&lt;$AN$97,$AN$101-AO161,0)+IF(AL161=$AN$97,$AN$90+$AN$101-AO161,0)</f>
        <v>0</v>
      </c>
      <c r="AQ161" s="1026" t="n">
        <f aca="false">AN161-AP161</f>
        <v>0</v>
      </c>
      <c r="AR161" s="1026" t="n">
        <f aca="false">IF(AL161&lt;=$AN$97,AR160+AO161,0)</f>
        <v>0</v>
      </c>
      <c r="AS161" s="654" t="n">
        <f aca="false">IF(AL161&lt;=$AN$97,AS160+AP161,0)</f>
        <v>0</v>
      </c>
      <c r="AU161" s="1027" t="n">
        <f aca="false">AU160+1</f>
        <v>52</v>
      </c>
      <c r="AV161" s="1025" t="str">
        <f aca="false">IF(AU161&lt;=$AW$97,DATE(YEAR(AV160),MONTH(AV160)+12/$AW$95,DAY(AV160)),"0")</f>
        <v>0</v>
      </c>
      <c r="AW161" s="1026" t="n">
        <f aca="false">IF(AU161&lt;=$AW$97,AZ160,0)</f>
        <v>0</v>
      </c>
      <c r="AX161" s="1026" t="n">
        <f aca="false">(AW161*$AW$93*1)/1200</f>
        <v>0</v>
      </c>
      <c r="AY161" s="1022" t="n">
        <f aca="false">IF(AU161&lt;$AW$97,$AW$101-AX161,0)+IF(AU161=$AW$97,$AW$90+$AW$101-AX161,0)</f>
        <v>0</v>
      </c>
      <c r="AZ161" s="1026" t="n">
        <f aca="false">AW161-AY161</f>
        <v>0</v>
      </c>
      <c r="BA161" s="1026" t="n">
        <f aca="false">IF(AU161&lt;=$AW$97,BA160+AX161,0)</f>
        <v>0</v>
      </c>
      <c r="BB161" s="654" t="n">
        <f aca="false">IF(AU161&lt;=$AW$97,BB160+AY161,0)</f>
        <v>0</v>
      </c>
    </row>
    <row r="162" customFormat="false" ht="12.75" hidden="false" customHeight="false" outlineLevel="0" collapsed="false">
      <c r="B162" s="1024" t="n">
        <v>53</v>
      </c>
      <c r="C162" s="1025" t="n">
        <f aca="false">IF(B162&lt;=$D$97,DATE(YEAR(C161),MONTH(C161)+12/$D$94,DAY(C161)),"0")</f>
        <v>46571</v>
      </c>
      <c r="D162" s="1026" t="n">
        <f aca="false">IF(B162=1,$D$90,G161)</f>
        <v>114410.245178258</v>
      </c>
      <c r="E162" s="1026" t="n">
        <f aca="false">(D162*$D$92*1)/1200</f>
        <v>333.696548436585</v>
      </c>
      <c r="F162" s="1026" t="n">
        <f aca="false">IF(AND(B162&lt;=$D$97,B162&gt;$D$95),$D$101-E162,0)</f>
        <v>738.627263578175</v>
      </c>
      <c r="G162" s="1026" t="n">
        <f aca="false">D162-F162</f>
        <v>113671.61791468</v>
      </c>
      <c r="H162" s="1026" t="n">
        <f aca="false">IF(B162&lt;=$D$97,E162+H161,0)</f>
        <v>20504.7799514617</v>
      </c>
      <c r="I162" s="654" t="n">
        <f aca="false">IF(B162&lt;=$D$97,F162+I161,0)</f>
        <v>36328.3820853205</v>
      </c>
      <c r="K162" s="1027" t="n">
        <f aca="false">K161+1</f>
        <v>53</v>
      </c>
      <c r="L162" s="1025" t="n">
        <f aca="false">IF(K162&lt;=$M$97,DATE(YEAR(L161),MONTH(L161)+12/$M$94,DAY(L161)),"0")</f>
        <v>46571</v>
      </c>
      <c r="M162" s="1026" t="n">
        <f aca="false">IF(K162&lt;=$M$97,P161,0)</f>
        <v>2222.67079732373</v>
      </c>
      <c r="N162" s="1026" t="n">
        <f aca="false">(M162*$M$92*1)/1200</f>
        <v>9.26112832218219</v>
      </c>
      <c r="O162" s="1026" t="n">
        <f aca="false">IF(AND(K162&lt;=$M$97,K162&gt;$M$95),$M$101-N162,0)</f>
        <v>273.807376337983</v>
      </c>
      <c r="P162" s="1026" t="n">
        <f aca="false">M162-O162</f>
        <v>1948.86342098574</v>
      </c>
      <c r="Q162" s="1026" t="n">
        <f aca="false">IF(K162&lt;=$M$97,Q161+N162,0)</f>
        <v>1951.49416797449</v>
      </c>
      <c r="R162" s="654" t="n">
        <f aca="false">IF(K162&lt;=$D$97,R161+O162,0)</f>
        <v>13051.1365790143</v>
      </c>
      <c r="T162" s="1027" t="n">
        <f aca="false">T161+1</f>
        <v>53</v>
      </c>
      <c r="U162" s="1025" t="str">
        <f aca="false">IF(T162&lt;=$V$97,DATE(YEAR(U161),MONTH(U161)+12/$V$94,DAY(U161)),"0")</f>
        <v>0</v>
      </c>
      <c r="V162" s="1026" t="n">
        <f aca="false">IF(T162&lt;=$V$97,Y161,0)</f>
        <v>0</v>
      </c>
      <c r="W162" s="1026" t="n">
        <f aca="false">(V162*$V$92*1)/1200</f>
        <v>0</v>
      </c>
      <c r="X162" s="1022" t="n">
        <f aca="false">IF(AND(T162&lt;=$V$97,T162&gt;$V$95),$V$101-W162,0)</f>
        <v>0</v>
      </c>
      <c r="Y162" s="1026" t="n">
        <f aca="false">V162-X162</f>
        <v>0</v>
      </c>
      <c r="Z162" s="1026" t="n">
        <f aca="false">IF(T162&lt;=$V$97,Z161+W162,0)</f>
        <v>0</v>
      </c>
      <c r="AA162" s="654" t="n">
        <f aca="false">IF(T162&lt;=$V$97,AA161+X162,0)</f>
        <v>0</v>
      </c>
      <c r="AB162" s="451"/>
      <c r="AC162" s="1027" t="n">
        <f aca="false">AC161+1</f>
        <v>53</v>
      </c>
      <c r="AD162" s="1025" t="str">
        <f aca="false">IF(AC162&lt;=$AE$97,DATE(YEAR(AD161),MONTH(AD161)+12/$AE$95,DAY(AD161)),"0")</f>
        <v>0</v>
      </c>
      <c r="AE162" s="1026" t="n">
        <f aca="false">IF(AC162&lt;=$AE$97,AH161,0)</f>
        <v>0</v>
      </c>
      <c r="AF162" s="1026" t="n">
        <f aca="false">(AE162*$AE$93*1)/1200</f>
        <v>0</v>
      </c>
      <c r="AG162" s="1022" t="n">
        <f aca="false">IF(AC162&lt;$AE$97,$AE$101-AF162,0)+IF(AC162=$AE$97,$AE$90+$AE$101-AF162,0)</f>
        <v>0</v>
      </c>
      <c r="AH162" s="1026" t="n">
        <f aca="false">AE162-AG162</f>
        <v>0</v>
      </c>
      <c r="AI162" s="1026" t="n">
        <f aca="false">IF(AC162&lt;=$AE$97,AI161+AF162,0)</f>
        <v>0</v>
      </c>
      <c r="AJ162" s="654" t="n">
        <f aca="false">IF(AC162&lt;=$AE$97,AJ161+AG162,0)</f>
        <v>0</v>
      </c>
      <c r="AL162" s="1027" t="n">
        <f aca="false">AL161+1</f>
        <v>53</v>
      </c>
      <c r="AM162" s="1025" t="str">
        <f aca="false">IF(AL162&lt;=$AN$97,DATE(YEAR(AM161),MONTH(AM161)+12/$AN$95,DAY(AM161)),"0")</f>
        <v>0</v>
      </c>
      <c r="AN162" s="1026" t="n">
        <f aca="false">IF(AL162&lt;=$AN$97,AQ161,0)</f>
        <v>0</v>
      </c>
      <c r="AO162" s="1026" t="n">
        <f aca="false">(AN162*$AN$93*1)/1200</f>
        <v>0</v>
      </c>
      <c r="AP162" s="1022" t="n">
        <f aca="false">IF(AL162&lt;$AN$97,$AN$101-AO162,0)+IF(AL162=$AN$97,$AN$90+$AN$101-AO162,0)</f>
        <v>0</v>
      </c>
      <c r="AQ162" s="1026" t="n">
        <f aca="false">AN162-AP162</f>
        <v>0</v>
      </c>
      <c r="AR162" s="1026" t="n">
        <f aca="false">IF(AL162&lt;=$AN$97,AR161+AO162,0)</f>
        <v>0</v>
      </c>
      <c r="AS162" s="654" t="n">
        <f aca="false">IF(AL162&lt;=$AN$97,AS161+AP162,0)</f>
        <v>0</v>
      </c>
      <c r="AU162" s="1027" t="n">
        <f aca="false">AU161+1</f>
        <v>53</v>
      </c>
      <c r="AV162" s="1025" t="str">
        <f aca="false">IF(AU162&lt;=$AW$97,DATE(YEAR(AV161),MONTH(AV161)+12/$AW$95,DAY(AV161)),"0")</f>
        <v>0</v>
      </c>
      <c r="AW162" s="1026" t="n">
        <f aca="false">IF(AU162&lt;=$AW$97,AZ161,0)</f>
        <v>0</v>
      </c>
      <c r="AX162" s="1026" t="n">
        <f aca="false">(AW162*$AW$93*1)/1200</f>
        <v>0</v>
      </c>
      <c r="AY162" s="1022" t="n">
        <f aca="false">IF(AU162&lt;$AW$97,$AW$101-AX162,0)+IF(AU162=$AW$97,$AW$90+$AW$101-AX162,0)</f>
        <v>0</v>
      </c>
      <c r="AZ162" s="1026" t="n">
        <f aca="false">AW162-AY162</f>
        <v>0</v>
      </c>
      <c r="BA162" s="1026" t="n">
        <f aca="false">IF(AU162&lt;=$AW$97,BA161+AX162,0)</f>
        <v>0</v>
      </c>
      <c r="BB162" s="654" t="n">
        <f aca="false">IF(AU162&lt;=$AW$97,BB161+AY162,0)</f>
        <v>0</v>
      </c>
    </row>
    <row r="163" customFormat="false" ht="12.75" hidden="false" customHeight="false" outlineLevel="0" collapsed="false">
      <c r="B163" s="1024" t="n">
        <v>54</v>
      </c>
      <c r="C163" s="1025" t="n">
        <f aca="false">IF(B163&lt;=$D$97,DATE(YEAR(C162),MONTH(C162)+12/$D$94,DAY(C162)),"0")</f>
        <v>46602</v>
      </c>
      <c r="D163" s="1026" t="n">
        <f aca="false">IF(B163=1,$D$90,G162)</f>
        <v>113671.61791468</v>
      </c>
      <c r="E163" s="1026" t="n">
        <f aca="false">(D163*$D$92*1)/1200</f>
        <v>331.542218917815</v>
      </c>
      <c r="F163" s="1026" t="n">
        <f aca="false">IF(AND(B163&lt;=$D$97,B163&gt;$D$95),$D$101-E163,0)</f>
        <v>740.781593096944</v>
      </c>
      <c r="G163" s="1026" t="n">
        <f aca="false">D163-F163</f>
        <v>112930.836321583</v>
      </c>
      <c r="H163" s="1026" t="n">
        <f aca="false">IF(B163&lt;=$D$97,E163+H162,0)</f>
        <v>20836.3221703796</v>
      </c>
      <c r="I163" s="654" t="n">
        <f aca="false">IF(B163&lt;=$D$97,F163+I162,0)</f>
        <v>37069.1636784175</v>
      </c>
      <c r="K163" s="1027" t="n">
        <f aca="false">K162+1</f>
        <v>54</v>
      </c>
      <c r="L163" s="1025" t="n">
        <f aca="false">IF(K163&lt;=$M$97,DATE(YEAR(L162),MONTH(L162)+12/$M$94,DAY(L162)),"0")</f>
        <v>46602</v>
      </c>
      <c r="M163" s="1026" t="n">
        <f aca="false">IF(K163&lt;=$M$97,P162,0)</f>
        <v>1948.86342098574</v>
      </c>
      <c r="N163" s="1026" t="n">
        <f aca="false">(M163*$M$92*1)/1200</f>
        <v>8.12026425410726</v>
      </c>
      <c r="O163" s="1026" t="n">
        <f aca="false">IF(AND(K163&lt;=$M$97,K163&gt;$M$95),$M$101-N163,0)</f>
        <v>274.948240406058</v>
      </c>
      <c r="P163" s="1026" t="n">
        <f aca="false">M163-O163</f>
        <v>1673.91518057969</v>
      </c>
      <c r="Q163" s="1026" t="n">
        <f aca="false">IF(K163&lt;=$M$97,Q162+N163,0)</f>
        <v>1959.61443222859</v>
      </c>
      <c r="R163" s="654" t="n">
        <f aca="false">IF(K163&lt;=$D$97,R162+O163,0)</f>
        <v>13326.0848194203</v>
      </c>
      <c r="T163" s="1027" t="n">
        <f aca="false">T162+1</f>
        <v>54</v>
      </c>
      <c r="U163" s="1025" t="str">
        <f aca="false">IF(T163&lt;=$V$97,DATE(YEAR(U162),MONTH(U162)+12/$V$94,DAY(U162)),"0")</f>
        <v>0</v>
      </c>
      <c r="V163" s="1026" t="n">
        <f aca="false">IF(T163&lt;=$V$97,Y162,0)</f>
        <v>0</v>
      </c>
      <c r="W163" s="1026" t="n">
        <f aca="false">(V163*$V$92*1)/1200</f>
        <v>0</v>
      </c>
      <c r="X163" s="1022" t="n">
        <f aca="false">IF(AND(T163&lt;=$V$97,T163&gt;$V$95),$V$101-W163,0)</f>
        <v>0</v>
      </c>
      <c r="Y163" s="1026" t="n">
        <f aca="false">V163-X163</f>
        <v>0</v>
      </c>
      <c r="Z163" s="1026" t="n">
        <f aca="false">IF(T163&lt;=$V$97,Z162+W163,0)</f>
        <v>0</v>
      </c>
      <c r="AA163" s="654" t="n">
        <f aca="false">IF(T163&lt;=$V$97,AA162+X163,0)</f>
        <v>0</v>
      </c>
      <c r="AB163" s="451"/>
      <c r="AC163" s="1027" t="n">
        <f aca="false">AC162+1</f>
        <v>54</v>
      </c>
      <c r="AD163" s="1025" t="str">
        <f aca="false">IF(AC163&lt;=$AE$97,DATE(YEAR(AD162),MONTH(AD162)+12/$AE$95,DAY(AD162)),"0")</f>
        <v>0</v>
      </c>
      <c r="AE163" s="1026" t="n">
        <f aca="false">IF(AC163&lt;=$AE$97,AH162,0)</f>
        <v>0</v>
      </c>
      <c r="AF163" s="1026" t="n">
        <f aca="false">(AE163*$AE$93*1)/1200</f>
        <v>0</v>
      </c>
      <c r="AG163" s="1022" t="n">
        <f aca="false">IF(AC163&lt;$AE$97,$AE$101-AF163,0)+IF(AC163=$AE$97,$AE$90+$AE$101-AF163,0)</f>
        <v>0</v>
      </c>
      <c r="AH163" s="1026" t="n">
        <f aca="false">AE163-AG163</f>
        <v>0</v>
      </c>
      <c r="AI163" s="1026" t="n">
        <f aca="false">IF(AC163&lt;=$AE$97,AI162+AF163,0)</f>
        <v>0</v>
      </c>
      <c r="AJ163" s="654" t="n">
        <f aca="false">IF(AC163&lt;=$AE$97,AJ162+AG163,0)</f>
        <v>0</v>
      </c>
      <c r="AL163" s="1027" t="n">
        <f aca="false">AL162+1</f>
        <v>54</v>
      </c>
      <c r="AM163" s="1025" t="str">
        <f aca="false">IF(AL163&lt;=$AN$97,DATE(YEAR(AM162),MONTH(AM162)+12/$AN$95,DAY(AM162)),"0")</f>
        <v>0</v>
      </c>
      <c r="AN163" s="1026" t="n">
        <f aca="false">IF(AL163&lt;=$AN$97,AQ162,0)</f>
        <v>0</v>
      </c>
      <c r="AO163" s="1026" t="n">
        <f aca="false">(AN163*$AN$93*1)/1200</f>
        <v>0</v>
      </c>
      <c r="AP163" s="1022" t="n">
        <f aca="false">IF(AL163&lt;$AN$97,$AN$101-AO163,0)+IF(AL163=$AN$97,$AN$90+$AN$101-AO163,0)</f>
        <v>0</v>
      </c>
      <c r="AQ163" s="1026" t="n">
        <f aca="false">AN163-AP163</f>
        <v>0</v>
      </c>
      <c r="AR163" s="1026" t="n">
        <f aca="false">IF(AL163&lt;=$AN$97,AR162+AO163,0)</f>
        <v>0</v>
      </c>
      <c r="AS163" s="654" t="n">
        <f aca="false">IF(AL163&lt;=$AN$97,AS162+AP163,0)</f>
        <v>0</v>
      </c>
      <c r="AU163" s="1027" t="n">
        <f aca="false">AU162+1</f>
        <v>54</v>
      </c>
      <c r="AV163" s="1025" t="str">
        <f aca="false">IF(AU163&lt;=$AW$97,DATE(YEAR(AV162),MONTH(AV162)+12/$AW$95,DAY(AV162)),"0")</f>
        <v>0</v>
      </c>
      <c r="AW163" s="1026" t="n">
        <f aca="false">IF(AU163&lt;=$AW$97,AZ162,0)</f>
        <v>0</v>
      </c>
      <c r="AX163" s="1026" t="n">
        <f aca="false">(AW163*$AW$93*1)/1200</f>
        <v>0</v>
      </c>
      <c r="AY163" s="1022" t="n">
        <f aca="false">IF(AU163&lt;$AW$97,$AW$101-AX163,0)+IF(AU163=$AW$97,$AW$90+$AW$101-AX163,0)</f>
        <v>0</v>
      </c>
      <c r="AZ163" s="1026" t="n">
        <f aca="false">AW163-AY163</f>
        <v>0</v>
      </c>
      <c r="BA163" s="1026" t="n">
        <f aca="false">IF(AU163&lt;=$AW$97,BA162+AX163,0)</f>
        <v>0</v>
      </c>
      <c r="BB163" s="654" t="n">
        <f aca="false">IF(AU163&lt;=$AW$97,BB162+AY163,0)</f>
        <v>0</v>
      </c>
    </row>
    <row r="164" customFormat="false" ht="12.75" hidden="false" customHeight="false" outlineLevel="0" collapsed="false">
      <c r="B164" s="1024" t="n">
        <v>55</v>
      </c>
      <c r="C164" s="1025" t="n">
        <f aca="false">IF(B164&lt;=$D$97,DATE(YEAR(C163),MONTH(C163)+12/$D$94,DAY(C163)),"0")</f>
        <v>46633</v>
      </c>
      <c r="D164" s="1026" t="n">
        <f aca="false">IF(B164=1,$D$90,G163)</f>
        <v>112930.836321583</v>
      </c>
      <c r="E164" s="1026" t="n">
        <f aca="false">(D164*$D$92*1)/1200</f>
        <v>329.381605937949</v>
      </c>
      <c r="F164" s="1026" t="n">
        <f aca="false">IF(AND(B164&lt;=$D$97,B164&gt;$D$95),$D$101-E164,0)</f>
        <v>742.94220607681</v>
      </c>
      <c r="G164" s="1026" t="n">
        <f aca="false">D164-F164</f>
        <v>112187.894115506</v>
      </c>
      <c r="H164" s="1026" t="n">
        <f aca="false">IF(B164&lt;=$D$97,E164+H163,0)</f>
        <v>21165.7037763175</v>
      </c>
      <c r="I164" s="654" t="n">
        <f aca="false">IF(B164&lt;=$D$97,F164+I163,0)</f>
        <v>37812.1058844943</v>
      </c>
      <c r="K164" s="1027" t="n">
        <f aca="false">K163+1</f>
        <v>55</v>
      </c>
      <c r="L164" s="1025" t="n">
        <f aca="false">IF(K164&lt;=$M$97,DATE(YEAR(L163),MONTH(L163)+12/$M$94,DAY(L163)),"0")</f>
        <v>46633</v>
      </c>
      <c r="M164" s="1026" t="n">
        <f aca="false">IF(K164&lt;=$M$97,P163,0)</f>
        <v>1673.91518057969</v>
      </c>
      <c r="N164" s="1026" t="n">
        <f aca="false">(M164*$M$92*1)/1200</f>
        <v>6.97464658574869</v>
      </c>
      <c r="O164" s="1026" t="n">
        <f aca="false">IF(AND(K164&lt;=$M$97,K164&gt;$M$95),$M$101-N164,0)</f>
        <v>276.093858074416</v>
      </c>
      <c r="P164" s="1026" t="n">
        <f aca="false">M164-O164</f>
        <v>1397.82132250527</v>
      </c>
      <c r="Q164" s="1026" t="n">
        <f aca="false">IF(K164&lt;=$M$97,Q163+N164,0)</f>
        <v>1966.58907881434</v>
      </c>
      <c r="R164" s="654" t="n">
        <f aca="false">IF(K164&lt;=$D$97,R163+O164,0)</f>
        <v>13602.1786774947</v>
      </c>
      <c r="T164" s="1027" t="n">
        <f aca="false">T163+1</f>
        <v>55</v>
      </c>
      <c r="U164" s="1025" t="str">
        <f aca="false">IF(T164&lt;=$V$97,DATE(YEAR(U163),MONTH(U163)+12/$V$94,DAY(U163)),"0")</f>
        <v>0</v>
      </c>
      <c r="V164" s="1026" t="n">
        <f aca="false">IF(T164&lt;=$V$97,Y163,0)</f>
        <v>0</v>
      </c>
      <c r="W164" s="1026" t="n">
        <f aca="false">(V164*$V$92*1)/1200</f>
        <v>0</v>
      </c>
      <c r="X164" s="1022" t="n">
        <f aca="false">IF(AND(T164&lt;=$V$97,T164&gt;$V$95),$V$101-W164,0)</f>
        <v>0</v>
      </c>
      <c r="Y164" s="1026" t="n">
        <f aca="false">V164-X164</f>
        <v>0</v>
      </c>
      <c r="Z164" s="1026" t="n">
        <f aca="false">IF(T164&lt;=$V$97,Z163+W164,0)</f>
        <v>0</v>
      </c>
      <c r="AA164" s="654" t="n">
        <f aca="false">IF(T164&lt;=$V$97,AA163+X164,0)</f>
        <v>0</v>
      </c>
      <c r="AB164" s="451"/>
      <c r="AC164" s="1027" t="n">
        <f aca="false">AC163+1</f>
        <v>55</v>
      </c>
      <c r="AD164" s="1025" t="str">
        <f aca="false">IF(AC164&lt;=$AE$97,DATE(YEAR(AD163),MONTH(AD163)+12/$AE$95,DAY(AD163)),"0")</f>
        <v>0</v>
      </c>
      <c r="AE164" s="1026" t="n">
        <f aca="false">IF(AC164&lt;=$AE$97,AH163,0)</f>
        <v>0</v>
      </c>
      <c r="AF164" s="1026" t="n">
        <f aca="false">(AE164*$AE$93*1)/1200</f>
        <v>0</v>
      </c>
      <c r="AG164" s="1022" t="n">
        <f aca="false">IF(AC164&lt;$AE$97,$AE$101-AF164,0)+IF(AC164=$AE$97,$AE$90+$AE$101-AF164,0)</f>
        <v>0</v>
      </c>
      <c r="AH164" s="1026" t="n">
        <f aca="false">AE164-AG164</f>
        <v>0</v>
      </c>
      <c r="AI164" s="1026" t="n">
        <f aca="false">IF(AC164&lt;=$AE$97,AI163+AF164,0)</f>
        <v>0</v>
      </c>
      <c r="AJ164" s="654" t="n">
        <f aca="false">IF(AC164&lt;=$AE$97,AJ163+AG164,0)</f>
        <v>0</v>
      </c>
      <c r="AL164" s="1027" t="n">
        <f aca="false">AL163+1</f>
        <v>55</v>
      </c>
      <c r="AM164" s="1025" t="str">
        <f aca="false">IF(AL164&lt;=$AN$97,DATE(YEAR(AM163),MONTH(AM163)+12/$AN$95,DAY(AM163)),"0")</f>
        <v>0</v>
      </c>
      <c r="AN164" s="1026" t="n">
        <f aca="false">IF(AL164&lt;=$AN$97,AQ163,0)</f>
        <v>0</v>
      </c>
      <c r="AO164" s="1026" t="n">
        <f aca="false">(AN164*$AN$93*1)/1200</f>
        <v>0</v>
      </c>
      <c r="AP164" s="1022" t="n">
        <f aca="false">IF(AL164&lt;$AN$97,$AN$101-AO164,0)+IF(AL164=$AN$97,$AN$90+$AN$101-AO164,0)</f>
        <v>0</v>
      </c>
      <c r="AQ164" s="1026" t="n">
        <f aca="false">AN164-AP164</f>
        <v>0</v>
      </c>
      <c r="AR164" s="1026" t="n">
        <f aca="false">IF(AL164&lt;=$AN$97,AR163+AO164,0)</f>
        <v>0</v>
      </c>
      <c r="AS164" s="654" t="n">
        <f aca="false">IF(AL164&lt;=$AN$97,AS163+AP164,0)</f>
        <v>0</v>
      </c>
      <c r="AU164" s="1027" t="n">
        <f aca="false">AU163+1</f>
        <v>55</v>
      </c>
      <c r="AV164" s="1025" t="str">
        <f aca="false">IF(AU164&lt;=$AW$97,DATE(YEAR(AV163),MONTH(AV163)+12/$AW$95,DAY(AV163)),"0")</f>
        <v>0</v>
      </c>
      <c r="AW164" s="1026" t="n">
        <f aca="false">IF(AU164&lt;=$AW$97,AZ163,0)</f>
        <v>0</v>
      </c>
      <c r="AX164" s="1026" t="n">
        <f aca="false">(AW164*$AW$93*1)/1200</f>
        <v>0</v>
      </c>
      <c r="AY164" s="1022" t="n">
        <f aca="false">IF(AU164&lt;$AW$97,$AW$101-AX164,0)+IF(AU164=$AW$97,$AW$90+$AW$101-AX164,0)</f>
        <v>0</v>
      </c>
      <c r="AZ164" s="1026" t="n">
        <f aca="false">AW164-AY164</f>
        <v>0</v>
      </c>
      <c r="BA164" s="1026" t="n">
        <f aca="false">IF(AU164&lt;=$AW$97,BA163+AX164,0)</f>
        <v>0</v>
      </c>
      <c r="BB164" s="654" t="n">
        <f aca="false">IF(AU164&lt;=$AW$97,BB163+AY164,0)</f>
        <v>0</v>
      </c>
    </row>
    <row r="165" customFormat="false" ht="12.75" hidden="false" customHeight="false" outlineLevel="0" collapsed="false">
      <c r="B165" s="1024" t="n">
        <v>56</v>
      </c>
      <c r="C165" s="1025" t="n">
        <f aca="false">IF(B165&lt;=$D$97,DATE(YEAR(C164),MONTH(C164)+12/$D$94,DAY(C164)),"0")</f>
        <v>46663</v>
      </c>
      <c r="D165" s="1026" t="n">
        <f aca="false">IF(B165=1,$D$90,G164)</f>
        <v>112187.894115506</v>
      </c>
      <c r="E165" s="1026" t="n">
        <f aca="false">(D165*$D$92*1)/1200</f>
        <v>327.214691170225</v>
      </c>
      <c r="F165" s="1026" t="n">
        <f aca="false">IF(AND(B165&lt;=$D$97,B165&gt;$D$95),$D$101-E165,0)</f>
        <v>745.109120844534</v>
      </c>
      <c r="G165" s="1026" t="n">
        <f aca="false">D165-F165</f>
        <v>111442.784994661</v>
      </c>
      <c r="H165" s="1026" t="n">
        <f aca="false">IF(B165&lt;=$D$97,E165+H164,0)</f>
        <v>21492.9184674877</v>
      </c>
      <c r="I165" s="654" t="n">
        <f aca="false">IF(B165&lt;=$D$97,F165+I164,0)</f>
        <v>38557.2150053388</v>
      </c>
      <c r="K165" s="1027" t="n">
        <f aca="false">K164+1</f>
        <v>56</v>
      </c>
      <c r="L165" s="1025" t="n">
        <f aca="false">IF(K165&lt;=$M$97,DATE(YEAR(L164),MONTH(L164)+12/$M$94,DAY(L164)),"0")</f>
        <v>46663</v>
      </c>
      <c r="M165" s="1026" t="n">
        <f aca="false">IF(K165&lt;=$M$97,P164,0)</f>
        <v>1397.82132250527</v>
      </c>
      <c r="N165" s="1026" t="n">
        <f aca="false">(M165*$M$92*1)/1200</f>
        <v>5.82425551043862</v>
      </c>
      <c r="O165" s="1026" t="n">
        <f aca="false">IF(AND(K165&lt;=$M$97,K165&gt;$M$95),$M$101-N165,0)</f>
        <v>277.244249149726</v>
      </c>
      <c r="P165" s="1026" t="n">
        <f aca="false">M165-O165</f>
        <v>1120.57707335554</v>
      </c>
      <c r="Q165" s="1026" t="n">
        <f aca="false">IF(K165&lt;=$M$97,Q164+N165,0)</f>
        <v>1972.41333432478</v>
      </c>
      <c r="R165" s="654" t="n">
        <f aca="false">IF(K165&lt;=$D$97,R164+O165,0)</f>
        <v>13879.4229266445</v>
      </c>
      <c r="T165" s="1027" t="n">
        <f aca="false">T164+1</f>
        <v>56</v>
      </c>
      <c r="U165" s="1025" t="str">
        <f aca="false">IF(T165&lt;=$V$97,DATE(YEAR(U164),MONTH(U164)+12/$V$94,DAY(U164)),"0")</f>
        <v>0</v>
      </c>
      <c r="V165" s="1026" t="n">
        <f aca="false">IF(T165&lt;=$V$97,Y164,0)</f>
        <v>0</v>
      </c>
      <c r="W165" s="1026" t="n">
        <f aca="false">(V165*$V$92*1)/1200</f>
        <v>0</v>
      </c>
      <c r="X165" s="1022" t="n">
        <f aca="false">IF(AND(T165&lt;=$V$97,T165&gt;$V$95),$V$101-W165,0)</f>
        <v>0</v>
      </c>
      <c r="Y165" s="1026" t="n">
        <f aca="false">V165-X165</f>
        <v>0</v>
      </c>
      <c r="Z165" s="1026" t="n">
        <f aca="false">IF(T165&lt;=$V$97,Z164+W165,0)</f>
        <v>0</v>
      </c>
      <c r="AA165" s="654" t="n">
        <f aca="false">IF(T165&lt;=$V$97,AA164+X165,0)</f>
        <v>0</v>
      </c>
      <c r="AB165" s="451"/>
      <c r="AC165" s="1027" t="n">
        <f aca="false">AC164+1</f>
        <v>56</v>
      </c>
      <c r="AD165" s="1025" t="str">
        <f aca="false">IF(AC165&lt;=$AE$97,DATE(YEAR(AD164),MONTH(AD164)+12/$AE$95,DAY(AD164)),"0")</f>
        <v>0</v>
      </c>
      <c r="AE165" s="1026" t="n">
        <f aca="false">IF(AC165&lt;=$AE$97,AH164,0)</f>
        <v>0</v>
      </c>
      <c r="AF165" s="1026" t="n">
        <f aca="false">(AE165*$AE$93*1)/1200</f>
        <v>0</v>
      </c>
      <c r="AG165" s="1022" t="n">
        <f aca="false">IF(AC165&lt;$AE$97,$AE$101-AF165,0)+IF(AC165=$AE$97,$AE$90+$AE$101-AF165,0)</f>
        <v>0</v>
      </c>
      <c r="AH165" s="1026" t="n">
        <f aca="false">AE165-AG165</f>
        <v>0</v>
      </c>
      <c r="AI165" s="1026" t="n">
        <f aca="false">IF(AC165&lt;=$AE$97,AI164+AF165,0)</f>
        <v>0</v>
      </c>
      <c r="AJ165" s="654" t="n">
        <f aca="false">IF(AC165&lt;=$AE$97,AJ164+AG165,0)</f>
        <v>0</v>
      </c>
      <c r="AL165" s="1027" t="n">
        <f aca="false">AL164+1</f>
        <v>56</v>
      </c>
      <c r="AM165" s="1025" t="str">
        <f aca="false">IF(AL165&lt;=$AN$97,DATE(YEAR(AM164),MONTH(AM164)+12/$AN$95,DAY(AM164)),"0")</f>
        <v>0</v>
      </c>
      <c r="AN165" s="1026" t="n">
        <f aca="false">IF(AL165&lt;=$AN$97,AQ164,0)</f>
        <v>0</v>
      </c>
      <c r="AO165" s="1026" t="n">
        <f aca="false">(AN165*$AN$93*1)/1200</f>
        <v>0</v>
      </c>
      <c r="AP165" s="1022" t="n">
        <f aca="false">IF(AL165&lt;$AN$97,$AN$101-AO165,0)+IF(AL165=$AN$97,$AN$90+$AN$101-AO165,0)</f>
        <v>0</v>
      </c>
      <c r="AQ165" s="1026" t="n">
        <f aca="false">AN165-AP165</f>
        <v>0</v>
      </c>
      <c r="AR165" s="1026" t="n">
        <f aca="false">IF(AL165&lt;=$AN$97,AR164+AO165,0)</f>
        <v>0</v>
      </c>
      <c r="AS165" s="654" t="n">
        <f aca="false">IF(AL165&lt;=$AN$97,AS164+AP165,0)</f>
        <v>0</v>
      </c>
      <c r="AU165" s="1027" t="n">
        <f aca="false">AU164+1</f>
        <v>56</v>
      </c>
      <c r="AV165" s="1025" t="str">
        <f aca="false">IF(AU165&lt;=$AW$97,DATE(YEAR(AV164),MONTH(AV164)+12/$AW$95,DAY(AV164)),"0")</f>
        <v>0</v>
      </c>
      <c r="AW165" s="1026" t="n">
        <f aca="false">IF(AU165&lt;=$AW$97,AZ164,0)</f>
        <v>0</v>
      </c>
      <c r="AX165" s="1026" t="n">
        <f aca="false">(AW165*$AW$93*1)/1200</f>
        <v>0</v>
      </c>
      <c r="AY165" s="1022" t="n">
        <f aca="false">IF(AU165&lt;$AW$97,$AW$101-AX165,0)+IF(AU165=$AW$97,$AW$90+$AW$101-AX165,0)</f>
        <v>0</v>
      </c>
      <c r="AZ165" s="1026" t="n">
        <f aca="false">AW165-AY165</f>
        <v>0</v>
      </c>
      <c r="BA165" s="1026" t="n">
        <f aca="false">IF(AU165&lt;=$AW$97,BA164+AX165,0)</f>
        <v>0</v>
      </c>
      <c r="BB165" s="654" t="n">
        <f aca="false">IF(AU165&lt;=$AW$97,BB164+AY165,0)</f>
        <v>0</v>
      </c>
    </row>
    <row r="166" customFormat="false" ht="12.75" hidden="false" customHeight="false" outlineLevel="0" collapsed="false">
      <c r="B166" s="1024" t="n">
        <v>57</v>
      </c>
      <c r="C166" s="1025" t="n">
        <f aca="false">IF(B166&lt;=$D$97,DATE(YEAR(C165),MONTH(C165)+12/$D$94,DAY(C165)),"0")</f>
        <v>46694</v>
      </c>
      <c r="D166" s="1026" t="n">
        <f aca="false">IF(B166=1,$D$90,G165)</f>
        <v>111442.784994661</v>
      </c>
      <c r="E166" s="1026" t="n">
        <f aca="false">(D166*$D$92*1)/1200</f>
        <v>325.041456234429</v>
      </c>
      <c r="F166" s="1026" t="n">
        <f aca="false">IF(AND(B166&lt;=$D$97,B166&gt;$D$95),$D$101-E166,0)</f>
        <v>747.282355780331</v>
      </c>
      <c r="G166" s="1026" t="n">
        <f aca="false">D166-F166</f>
        <v>110695.502638881</v>
      </c>
      <c r="H166" s="1026" t="n">
        <f aca="false">IF(B166&lt;=$D$97,E166+H165,0)</f>
        <v>21817.9599237222</v>
      </c>
      <c r="I166" s="654" t="n">
        <f aca="false">IF(B166&lt;=$D$97,F166+I165,0)</f>
        <v>39304.4973611191</v>
      </c>
      <c r="K166" s="1027" t="n">
        <f aca="false">K165+1</f>
        <v>57</v>
      </c>
      <c r="L166" s="1025" t="n">
        <f aca="false">IF(K166&lt;=$M$97,DATE(YEAR(L165),MONTH(L165)+12/$M$94,DAY(L165)),"0")</f>
        <v>46694</v>
      </c>
      <c r="M166" s="1026" t="n">
        <f aca="false">IF(K166&lt;=$M$97,P165,0)</f>
        <v>1120.57707335554</v>
      </c>
      <c r="N166" s="1026" t="n">
        <f aca="false">(M166*$M$92*1)/1200</f>
        <v>4.66907113898143</v>
      </c>
      <c r="O166" s="1026" t="n">
        <f aca="false">IF(AND(K166&lt;=$M$97,K166&gt;$M$95),$M$101-N166,0)</f>
        <v>278.399433521183</v>
      </c>
      <c r="P166" s="1026" t="n">
        <f aca="false">M166-O166</f>
        <v>842.177639834359</v>
      </c>
      <c r="Q166" s="1026" t="n">
        <f aca="false">IF(K166&lt;=$M$97,Q165+N166,0)</f>
        <v>1977.08240546376</v>
      </c>
      <c r="R166" s="654" t="n">
        <f aca="false">IF(K166&lt;=$D$97,R165+O166,0)</f>
        <v>14157.8223601656</v>
      </c>
      <c r="T166" s="1027" t="n">
        <f aca="false">T165+1</f>
        <v>57</v>
      </c>
      <c r="U166" s="1025" t="str">
        <f aca="false">IF(T166&lt;=$V$97,DATE(YEAR(U165),MONTH(U165)+12/$V$94,DAY(U165)),"0")</f>
        <v>0</v>
      </c>
      <c r="V166" s="1026" t="n">
        <f aca="false">IF(T166&lt;=$V$97,Y165,0)</f>
        <v>0</v>
      </c>
      <c r="W166" s="1026" t="n">
        <f aca="false">(V166*$V$92*1)/1200</f>
        <v>0</v>
      </c>
      <c r="X166" s="1022" t="n">
        <f aca="false">IF(AND(T166&lt;=$V$97,T166&gt;$V$95),$V$101-W166,0)</f>
        <v>0</v>
      </c>
      <c r="Y166" s="1026" t="n">
        <f aca="false">V166-X166</f>
        <v>0</v>
      </c>
      <c r="Z166" s="1026" t="n">
        <f aca="false">IF(T166&lt;=$V$97,Z165+W166,0)</f>
        <v>0</v>
      </c>
      <c r="AA166" s="654" t="n">
        <f aca="false">IF(T166&lt;=$V$97,AA165+X166,0)</f>
        <v>0</v>
      </c>
      <c r="AB166" s="451"/>
      <c r="AC166" s="1027" t="n">
        <f aca="false">AC165+1</f>
        <v>57</v>
      </c>
      <c r="AD166" s="1025" t="str">
        <f aca="false">IF(AC166&lt;=$AE$97,DATE(YEAR(AD165),MONTH(AD165)+12/$AE$95,DAY(AD165)),"0")</f>
        <v>0</v>
      </c>
      <c r="AE166" s="1026" t="n">
        <f aca="false">IF(AC166&lt;=$AE$97,AH165,0)</f>
        <v>0</v>
      </c>
      <c r="AF166" s="1026" t="n">
        <f aca="false">(AE166*$AE$93*1)/1200</f>
        <v>0</v>
      </c>
      <c r="AG166" s="1022" t="n">
        <f aca="false">IF(AC166&lt;$AE$97,$AE$101-AF166,0)+IF(AC166=$AE$97,$AE$90+$AE$101-AF166,0)</f>
        <v>0</v>
      </c>
      <c r="AH166" s="1026" t="n">
        <f aca="false">AE166-AG166</f>
        <v>0</v>
      </c>
      <c r="AI166" s="1026" t="n">
        <f aca="false">IF(AC166&lt;=$AE$97,AI165+AF166,0)</f>
        <v>0</v>
      </c>
      <c r="AJ166" s="654" t="n">
        <f aca="false">IF(AC166&lt;=$AE$97,AJ165+AG166,0)</f>
        <v>0</v>
      </c>
      <c r="AL166" s="1027" t="n">
        <f aca="false">AL165+1</f>
        <v>57</v>
      </c>
      <c r="AM166" s="1025" t="str">
        <f aca="false">IF(AL166&lt;=$AN$97,DATE(YEAR(AM165),MONTH(AM165)+12/$AN$95,DAY(AM165)),"0")</f>
        <v>0</v>
      </c>
      <c r="AN166" s="1026" t="n">
        <f aca="false">IF(AL166&lt;=$AN$97,AQ165,0)</f>
        <v>0</v>
      </c>
      <c r="AO166" s="1026" t="n">
        <f aca="false">(AN166*$AN$93*1)/1200</f>
        <v>0</v>
      </c>
      <c r="AP166" s="1022" t="n">
        <f aca="false">IF(AL166&lt;$AN$97,$AN$101-AO166,0)+IF(AL166=$AN$97,$AN$90+$AN$101-AO166,0)</f>
        <v>0</v>
      </c>
      <c r="AQ166" s="1026" t="n">
        <f aca="false">AN166-AP166</f>
        <v>0</v>
      </c>
      <c r="AR166" s="1026" t="n">
        <f aca="false">IF(AL166&lt;=$AN$97,AR165+AO166,0)</f>
        <v>0</v>
      </c>
      <c r="AS166" s="654" t="n">
        <f aca="false">IF(AL166&lt;=$AN$97,AS165+AP166,0)</f>
        <v>0</v>
      </c>
      <c r="AU166" s="1027" t="n">
        <f aca="false">AU165+1</f>
        <v>57</v>
      </c>
      <c r="AV166" s="1025" t="str">
        <f aca="false">IF(AU166&lt;=$AW$97,DATE(YEAR(AV165),MONTH(AV165)+12/$AW$95,DAY(AV165)),"0")</f>
        <v>0</v>
      </c>
      <c r="AW166" s="1026" t="n">
        <f aca="false">IF(AU166&lt;=$AW$97,AZ165,0)</f>
        <v>0</v>
      </c>
      <c r="AX166" s="1026" t="n">
        <f aca="false">(AW166*$AW$93*1)/1200</f>
        <v>0</v>
      </c>
      <c r="AY166" s="1022" t="n">
        <f aca="false">IF(AU166&lt;$AW$97,$AW$101-AX166,0)+IF(AU166=$AW$97,$AW$90+$AW$101-AX166,0)</f>
        <v>0</v>
      </c>
      <c r="AZ166" s="1026" t="n">
        <f aca="false">AW166-AY166</f>
        <v>0</v>
      </c>
      <c r="BA166" s="1026" t="n">
        <f aca="false">IF(AU166&lt;=$AW$97,BA165+AX166,0)</f>
        <v>0</v>
      </c>
      <c r="BB166" s="654" t="n">
        <f aca="false">IF(AU166&lt;=$AW$97,BB165+AY166,0)</f>
        <v>0</v>
      </c>
    </row>
    <row r="167" customFormat="false" ht="12.75" hidden="false" customHeight="false" outlineLevel="0" collapsed="false">
      <c r="B167" s="1024" t="n">
        <v>58</v>
      </c>
      <c r="C167" s="1025" t="n">
        <f aca="false">IF(B167&lt;=$D$97,DATE(YEAR(C166),MONTH(C166)+12/$D$94,DAY(C166)),"0")</f>
        <v>46724</v>
      </c>
      <c r="D167" s="1026" t="n">
        <f aca="false">IF(B167=1,$D$90,G166)</f>
        <v>110695.502638881</v>
      </c>
      <c r="E167" s="1026" t="n">
        <f aca="false">(D167*$D$92*1)/1200</f>
        <v>322.861882696736</v>
      </c>
      <c r="F167" s="1026" t="n">
        <f aca="false">IF(AND(B167&lt;=$D$97,B167&gt;$D$95),$D$101-E167,0)</f>
        <v>749.461929318023</v>
      </c>
      <c r="G167" s="1026" t="n">
        <f aca="false">D167-F167</f>
        <v>109946.040709563</v>
      </c>
      <c r="H167" s="1026" t="n">
        <f aca="false">IF(B167&lt;=$D$97,E167+H166,0)</f>
        <v>22140.8218064189</v>
      </c>
      <c r="I167" s="654" t="n">
        <f aca="false">IF(B167&lt;=$D$97,F167+I166,0)</f>
        <v>40053.9592904372</v>
      </c>
      <c r="K167" s="1027" t="n">
        <f aca="false">K166+1</f>
        <v>58</v>
      </c>
      <c r="L167" s="1025" t="n">
        <f aca="false">IF(K167&lt;=$M$97,DATE(YEAR(L166),MONTH(L166)+12/$M$94,DAY(L166)),"0")</f>
        <v>46724</v>
      </c>
      <c r="M167" s="1026" t="n">
        <f aca="false">IF(K167&lt;=$M$97,P166,0)</f>
        <v>842.177639834359</v>
      </c>
      <c r="N167" s="1026" t="n">
        <f aca="false">(M167*$M$92*1)/1200</f>
        <v>3.50907349930983</v>
      </c>
      <c r="O167" s="1026" t="n">
        <f aca="false">IF(AND(K167&lt;=$M$97,K167&gt;$M$95),$M$101-N167,0)</f>
        <v>279.559431160855</v>
      </c>
      <c r="P167" s="1026" t="n">
        <f aca="false">M167-O167</f>
        <v>562.618208673504</v>
      </c>
      <c r="Q167" s="1026" t="n">
        <f aca="false">IF(K167&lt;=$M$97,Q166+N167,0)</f>
        <v>1980.59147896307</v>
      </c>
      <c r="R167" s="654" t="n">
        <f aca="false">IF(K167&lt;=$D$97,R166+O167,0)</f>
        <v>14437.3817913265</v>
      </c>
      <c r="T167" s="1027" t="n">
        <f aca="false">T166+1</f>
        <v>58</v>
      </c>
      <c r="U167" s="1025" t="str">
        <f aca="false">IF(T167&lt;=$V$97,DATE(YEAR(U166),MONTH(U166)+12/$V$94,DAY(U166)),"0")</f>
        <v>0</v>
      </c>
      <c r="V167" s="1026" t="n">
        <f aca="false">IF(T167&lt;=$V$97,Y166,0)</f>
        <v>0</v>
      </c>
      <c r="W167" s="1026" t="n">
        <f aca="false">(V167*$V$92*1)/1200</f>
        <v>0</v>
      </c>
      <c r="X167" s="1022" t="n">
        <f aca="false">IF(AND(T167&lt;=$V$97,T167&gt;$V$95),$V$101-W167,0)</f>
        <v>0</v>
      </c>
      <c r="Y167" s="1026" t="n">
        <f aca="false">V167-X167</f>
        <v>0</v>
      </c>
      <c r="Z167" s="1026" t="n">
        <f aca="false">IF(T167&lt;=$V$97,Z166+W167,0)</f>
        <v>0</v>
      </c>
      <c r="AA167" s="654" t="n">
        <f aca="false">IF(T167&lt;=$V$97,AA166+X167,0)</f>
        <v>0</v>
      </c>
      <c r="AB167" s="451"/>
      <c r="AC167" s="1027" t="n">
        <f aca="false">AC166+1</f>
        <v>58</v>
      </c>
      <c r="AD167" s="1025" t="str">
        <f aca="false">IF(AC167&lt;=$AE$97,DATE(YEAR(AD166),MONTH(AD166)+12/$AE$95,DAY(AD166)),"0")</f>
        <v>0</v>
      </c>
      <c r="AE167" s="1026" t="n">
        <f aca="false">IF(AC167&lt;=$AE$97,AH166,0)</f>
        <v>0</v>
      </c>
      <c r="AF167" s="1026" t="n">
        <f aca="false">(AE167*$AE$93*1)/1200</f>
        <v>0</v>
      </c>
      <c r="AG167" s="1022" t="n">
        <f aca="false">IF(AC167&lt;$AE$97,$AE$101-AF167,0)+IF(AC167=$AE$97,$AE$90+$AE$101-AF167,0)</f>
        <v>0</v>
      </c>
      <c r="AH167" s="1026" t="n">
        <f aca="false">AE167-AG167</f>
        <v>0</v>
      </c>
      <c r="AI167" s="1026" t="n">
        <f aca="false">IF(AC167&lt;=$AE$97,AI166+AF167,0)</f>
        <v>0</v>
      </c>
      <c r="AJ167" s="654" t="n">
        <f aca="false">IF(AC167&lt;=$AE$97,AJ166+AG167,0)</f>
        <v>0</v>
      </c>
      <c r="AL167" s="1027" t="n">
        <f aca="false">AL166+1</f>
        <v>58</v>
      </c>
      <c r="AM167" s="1025" t="str">
        <f aca="false">IF(AL167&lt;=$AN$97,DATE(YEAR(AM166),MONTH(AM166)+12/$AN$95,DAY(AM166)),"0")</f>
        <v>0</v>
      </c>
      <c r="AN167" s="1026" t="n">
        <f aca="false">IF(AL167&lt;=$AN$97,AQ166,0)</f>
        <v>0</v>
      </c>
      <c r="AO167" s="1026" t="n">
        <f aca="false">(AN167*$AN$93*1)/1200</f>
        <v>0</v>
      </c>
      <c r="AP167" s="1022" t="n">
        <f aca="false">IF(AL167&lt;$AN$97,$AN$101-AO167,0)+IF(AL167=$AN$97,$AN$90+$AN$101-AO167,0)</f>
        <v>0</v>
      </c>
      <c r="AQ167" s="1026" t="n">
        <f aca="false">AN167-AP167</f>
        <v>0</v>
      </c>
      <c r="AR167" s="1026" t="n">
        <f aca="false">IF(AL167&lt;=$AN$97,AR166+AO167,0)</f>
        <v>0</v>
      </c>
      <c r="AS167" s="654" t="n">
        <f aca="false">IF(AL167&lt;=$AN$97,AS166+AP167,0)</f>
        <v>0</v>
      </c>
      <c r="AU167" s="1027" t="n">
        <f aca="false">AU166+1</f>
        <v>58</v>
      </c>
      <c r="AV167" s="1025" t="str">
        <f aca="false">IF(AU167&lt;=$AW$97,DATE(YEAR(AV166),MONTH(AV166)+12/$AW$95,DAY(AV166)),"0")</f>
        <v>0</v>
      </c>
      <c r="AW167" s="1026" t="n">
        <f aca="false">IF(AU167&lt;=$AW$97,AZ166,0)</f>
        <v>0</v>
      </c>
      <c r="AX167" s="1026" t="n">
        <f aca="false">(AW167*$AW$93*1)/1200</f>
        <v>0</v>
      </c>
      <c r="AY167" s="1022" t="n">
        <f aca="false">IF(AU167&lt;$AW$97,$AW$101-AX167,0)+IF(AU167=$AW$97,$AW$90+$AW$101-AX167,0)</f>
        <v>0</v>
      </c>
      <c r="AZ167" s="1026" t="n">
        <f aca="false">AW167-AY167</f>
        <v>0</v>
      </c>
      <c r="BA167" s="1026" t="n">
        <f aca="false">IF(AU167&lt;=$AW$97,BA166+AX167,0)</f>
        <v>0</v>
      </c>
      <c r="BB167" s="654" t="n">
        <f aca="false">IF(AU167&lt;=$AW$97,BB166+AY167,0)</f>
        <v>0</v>
      </c>
    </row>
    <row r="168" customFormat="false" ht="12.75" hidden="false" customHeight="false" outlineLevel="0" collapsed="false">
      <c r="B168" s="1024" t="n">
        <v>59</v>
      </c>
      <c r="C168" s="1025" t="n">
        <f aca="false">IF(B168&lt;=$D$97,DATE(YEAR(C167),MONTH(C167)+12/$D$94,DAY(C167)),"0")</f>
        <v>46755</v>
      </c>
      <c r="D168" s="1026" t="n">
        <f aca="false">IF(B168=1,$D$90,G167)</f>
        <v>109946.040709563</v>
      </c>
      <c r="E168" s="1026" t="n">
        <f aca="false">(D168*$D$92*1)/1200</f>
        <v>320.675952069558</v>
      </c>
      <c r="F168" s="1026" t="n">
        <f aca="false">IF(AND(B168&lt;=$D$97,B168&gt;$D$95),$D$101-E168,0)</f>
        <v>751.647859945201</v>
      </c>
      <c r="G168" s="1026" t="n">
        <f aca="false">D168-F168</f>
        <v>109194.392849618</v>
      </c>
      <c r="H168" s="1026" t="n">
        <f aca="false">IF(B168&lt;=$D$97,E168+H167,0)</f>
        <v>22461.4977584885</v>
      </c>
      <c r="I168" s="654" t="n">
        <f aca="false">IF(B168&lt;=$D$97,F168+I167,0)</f>
        <v>40805.6071503824</v>
      </c>
      <c r="K168" s="1027" t="n">
        <f aca="false">K167+1</f>
        <v>59</v>
      </c>
      <c r="L168" s="1025" t="n">
        <f aca="false">IF(K168&lt;=$M$97,DATE(YEAR(L167),MONTH(L167)+12/$M$94,DAY(L167)),"0")</f>
        <v>46755</v>
      </c>
      <c r="M168" s="1026" t="n">
        <f aca="false">IF(K168&lt;=$M$97,P167,0)</f>
        <v>562.618208673504</v>
      </c>
      <c r="N168" s="1026" t="n">
        <f aca="false">(M168*$M$92*1)/1200</f>
        <v>2.3442425361396</v>
      </c>
      <c r="O168" s="1026" t="n">
        <f aca="false">IF(AND(K168&lt;=$M$97,K168&gt;$M$95),$M$101-N168,0)</f>
        <v>280.724262124025</v>
      </c>
      <c r="P168" s="1026" t="n">
        <f aca="false">M168-O168</f>
        <v>281.893946549479</v>
      </c>
      <c r="Q168" s="1026" t="n">
        <f aca="false">IF(K168&lt;=$M$97,Q167+N168,0)</f>
        <v>1982.93572149921</v>
      </c>
      <c r="R168" s="654" t="n">
        <f aca="false">IF(K168&lt;=$D$97,R167+O168,0)</f>
        <v>14718.1060534505</v>
      </c>
      <c r="T168" s="1027" t="n">
        <f aca="false">T167+1</f>
        <v>59</v>
      </c>
      <c r="U168" s="1025" t="str">
        <f aca="false">IF(T168&lt;=$V$97,DATE(YEAR(U167),MONTH(U167)+12/$V$94,DAY(U167)),"0")</f>
        <v>0</v>
      </c>
      <c r="V168" s="1026" t="n">
        <f aca="false">IF(T168&lt;=$V$97,Y167,0)</f>
        <v>0</v>
      </c>
      <c r="W168" s="1026" t="n">
        <f aca="false">(V168*$V$92*1)/1200</f>
        <v>0</v>
      </c>
      <c r="X168" s="1022" t="n">
        <f aca="false">IF(AND(T168&lt;=$V$97,T168&gt;$V$95),$V$101-W168,0)</f>
        <v>0</v>
      </c>
      <c r="Y168" s="1026" t="n">
        <f aca="false">V168-X168</f>
        <v>0</v>
      </c>
      <c r="Z168" s="1026" t="n">
        <f aca="false">IF(T168&lt;=$V$97,Z167+W168,0)</f>
        <v>0</v>
      </c>
      <c r="AA168" s="654" t="n">
        <f aca="false">IF(T168&lt;=$V$97,AA167+X168,0)</f>
        <v>0</v>
      </c>
      <c r="AB168" s="451"/>
      <c r="AC168" s="1027" t="n">
        <f aca="false">AC167+1</f>
        <v>59</v>
      </c>
      <c r="AD168" s="1025" t="str">
        <f aca="false">IF(AC168&lt;=$AE$97,DATE(YEAR(AD167),MONTH(AD167)+12/$AE$95,DAY(AD167)),"0")</f>
        <v>0</v>
      </c>
      <c r="AE168" s="1026" t="n">
        <f aca="false">IF(AC168&lt;=$AE$97,AH167,0)</f>
        <v>0</v>
      </c>
      <c r="AF168" s="1026" t="n">
        <f aca="false">(AE168*$AE$93*1)/1200</f>
        <v>0</v>
      </c>
      <c r="AG168" s="1022" t="n">
        <f aca="false">IF(AC168&lt;$AE$97,$AE$101-AF168,0)+IF(AC168=$AE$97,$AE$90+$AE$101-AF168,0)</f>
        <v>0</v>
      </c>
      <c r="AH168" s="1026" t="n">
        <f aca="false">AE168-AG168</f>
        <v>0</v>
      </c>
      <c r="AI168" s="1026" t="n">
        <f aca="false">IF(AC168&lt;=$AE$97,AI167+AF168,0)</f>
        <v>0</v>
      </c>
      <c r="AJ168" s="654" t="n">
        <f aca="false">IF(AC168&lt;=$AE$97,AJ167+AG168,0)</f>
        <v>0</v>
      </c>
      <c r="AL168" s="1027" t="n">
        <f aca="false">AL167+1</f>
        <v>59</v>
      </c>
      <c r="AM168" s="1025" t="str">
        <f aca="false">IF(AL168&lt;=$AN$97,DATE(YEAR(AM167),MONTH(AM167)+12/$AN$95,DAY(AM167)),"0")</f>
        <v>0</v>
      </c>
      <c r="AN168" s="1026" t="n">
        <f aca="false">IF(AL168&lt;=$AN$97,AQ167,0)</f>
        <v>0</v>
      </c>
      <c r="AO168" s="1026" t="n">
        <f aca="false">(AN168*$AN$93*1)/1200</f>
        <v>0</v>
      </c>
      <c r="AP168" s="1022" t="n">
        <f aca="false">IF(AL168&lt;$AN$97,$AN$101-AO168,0)+IF(AL168=$AN$97,$AN$90+$AN$101-AO168,0)</f>
        <v>0</v>
      </c>
      <c r="AQ168" s="1026" t="n">
        <f aca="false">AN168-AP168</f>
        <v>0</v>
      </c>
      <c r="AR168" s="1026" t="n">
        <f aca="false">IF(AL168&lt;=$AN$97,AR167+AO168,0)</f>
        <v>0</v>
      </c>
      <c r="AS168" s="654" t="n">
        <f aca="false">IF(AL168&lt;=$AN$97,AS167+AP168,0)</f>
        <v>0</v>
      </c>
      <c r="AU168" s="1027" t="n">
        <f aca="false">AU167+1</f>
        <v>59</v>
      </c>
      <c r="AV168" s="1025" t="str">
        <f aca="false">IF(AU168&lt;=$AW$97,DATE(YEAR(AV167),MONTH(AV167)+12/$AW$95,DAY(AV167)),"0")</f>
        <v>0</v>
      </c>
      <c r="AW168" s="1026" t="n">
        <f aca="false">IF(AU168&lt;=$AW$97,AZ167,0)</f>
        <v>0</v>
      </c>
      <c r="AX168" s="1026" t="n">
        <f aca="false">(AW168*$AW$93*1)/1200</f>
        <v>0</v>
      </c>
      <c r="AY168" s="1022" t="n">
        <f aca="false">IF(AU168&lt;$AW$97,$AW$101-AX168,0)+IF(AU168=$AW$97,$AW$90+$AW$101-AX168,0)</f>
        <v>0</v>
      </c>
      <c r="AZ168" s="1026" t="n">
        <f aca="false">AW168-AY168</f>
        <v>0</v>
      </c>
      <c r="BA168" s="1026" t="n">
        <f aca="false">IF(AU168&lt;=$AW$97,BA167+AX168,0)</f>
        <v>0</v>
      </c>
      <c r="BB168" s="654" t="n">
        <f aca="false">IF(AU168&lt;=$AW$97,BB167+AY168,0)</f>
        <v>0</v>
      </c>
    </row>
    <row r="169" customFormat="false" ht="12.75" hidden="false" customHeight="false" outlineLevel="0" collapsed="false">
      <c r="B169" s="1024" t="n">
        <v>60</v>
      </c>
      <c r="C169" s="1025" t="n">
        <f aca="false">IF(B169&lt;=$D$97,DATE(YEAR(C168),MONTH(C168)+12/$D$94,DAY(C168)),"0")</f>
        <v>46786</v>
      </c>
      <c r="D169" s="1026" t="n">
        <f aca="false">IF(B169=1,$D$90,G168)</f>
        <v>109194.392849618</v>
      </c>
      <c r="E169" s="1026" t="n">
        <f aca="false">(D169*$D$92*1)/1200</f>
        <v>318.483645811385</v>
      </c>
      <c r="F169" s="1026" t="n">
        <f aca="false">IF(AND(B169&lt;=$D$97,B169&gt;$D$95),$D$101-E169,0)</f>
        <v>753.840166203375</v>
      </c>
      <c r="G169" s="1026" t="n">
        <f aca="false">D169-F169</f>
        <v>108440.552683414</v>
      </c>
      <c r="H169" s="1026" t="n">
        <f aca="false">IF(B169&lt;=$D$97,E169+H168,0)</f>
        <v>22779.9814042998</v>
      </c>
      <c r="I169" s="654" t="n">
        <f aca="false">IF(B169&lt;=$D$97,F169+I168,0)</f>
        <v>41559.4473165857</v>
      </c>
      <c r="K169" s="1027" t="n">
        <f aca="false">K168+1</f>
        <v>60</v>
      </c>
      <c r="L169" s="1025" t="n">
        <f aca="false">IF(K169&lt;=$M$97,DATE(YEAR(L168),MONTH(L168)+12/$M$94,DAY(L168)),"0")</f>
        <v>46786</v>
      </c>
      <c r="M169" s="1026" t="n">
        <f aca="false">IF(K169&lt;=$M$97,P168,0)</f>
        <v>281.893946549479</v>
      </c>
      <c r="N169" s="1026" t="n">
        <f aca="false">(M169*$M$92*1)/1200</f>
        <v>1.17455811062283</v>
      </c>
      <c r="O169" s="1026" t="n">
        <f aca="false">IF(AND(K169&lt;=$M$97,K169&gt;$M$95),$M$101-N169,0)</f>
        <v>281.893946549542</v>
      </c>
      <c r="P169" s="1026" t="n">
        <f aca="false">M169-O169</f>
        <v>-6.33235686109401E-011</v>
      </c>
      <c r="Q169" s="1026" t="n">
        <f aca="false">IF(K169&lt;=$M$97,Q168+N169,0)</f>
        <v>1984.11027960983</v>
      </c>
      <c r="R169" s="654" t="n">
        <f aca="false">IF(K169&lt;=$D$97,R168+O169,0)</f>
        <v>15000.0000000001</v>
      </c>
      <c r="T169" s="1027" t="n">
        <f aca="false">T168+1</f>
        <v>60</v>
      </c>
      <c r="U169" s="1025" t="str">
        <f aca="false">IF(T169&lt;=$V$97,DATE(YEAR(U168),MONTH(U168)+12/$V$94,DAY(U168)),"0")</f>
        <v>0</v>
      </c>
      <c r="V169" s="1026" t="n">
        <f aca="false">IF(T169&lt;=$V$97,Y168,0)</f>
        <v>0</v>
      </c>
      <c r="W169" s="1026" t="n">
        <f aca="false">(V169*$V$92*1)/1200</f>
        <v>0</v>
      </c>
      <c r="X169" s="1022" t="n">
        <f aca="false">IF(AND(T169&lt;=$V$97,T169&gt;$V$95),$V$101-W169,0)</f>
        <v>0</v>
      </c>
      <c r="Y169" s="1026" t="n">
        <f aca="false">V169-X169</f>
        <v>0</v>
      </c>
      <c r="Z169" s="1026" t="n">
        <f aca="false">IF(T169&lt;=$V$97,Z168+W169,0)</f>
        <v>0</v>
      </c>
      <c r="AA169" s="654" t="n">
        <f aca="false">IF(T169&lt;=$V$97,AA168+X169,0)</f>
        <v>0</v>
      </c>
      <c r="AB169" s="451"/>
      <c r="AC169" s="1027" t="n">
        <f aca="false">AC168+1</f>
        <v>60</v>
      </c>
      <c r="AD169" s="1025" t="str">
        <f aca="false">IF(AC169&lt;=$AE$97,DATE(YEAR(AD168),MONTH(AD168)+12/$AE$95,DAY(AD168)),"0")</f>
        <v>0</v>
      </c>
      <c r="AE169" s="1026" t="n">
        <f aca="false">IF(AC169&lt;=$AE$97,AH168,0)</f>
        <v>0</v>
      </c>
      <c r="AF169" s="1026" t="n">
        <f aca="false">(AE169*$AE$93*1)/1200</f>
        <v>0</v>
      </c>
      <c r="AG169" s="1022" t="n">
        <f aca="false">IF(AC169&lt;$AE$97,$AE$101-AF169,0)+IF(AC169=$AE$97,$AE$90+$AE$101-AF169,0)</f>
        <v>0</v>
      </c>
      <c r="AH169" s="1026" t="n">
        <f aca="false">AE169-AG169</f>
        <v>0</v>
      </c>
      <c r="AI169" s="1026" t="n">
        <f aca="false">IF(AC169&lt;=$AE$97,AI168+AF169,0)</f>
        <v>0</v>
      </c>
      <c r="AJ169" s="654" t="n">
        <f aca="false">IF(AC169&lt;=$AE$97,AJ168+AG169,0)</f>
        <v>0</v>
      </c>
      <c r="AL169" s="1027" t="n">
        <f aca="false">AL168+1</f>
        <v>60</v>
      </c>
      <c r="AM169" s="1025" t="str">
        <f aca="false">IF(AL169&lt;=$AN$97,DATE(YEAR(AM168),MONTH(AM168)+12/$AN$95,DAY(AM168)),"0")</f>
        <v>0</v>
      </c>
      <c r="AN169" s="1026" t="n">
        <f aca="false">IF(AL169&lt;=$AN$97,AQ168,0)</f>
        <v>0</v>
      </c>
      <c r="AO169" s="1026" t="n">
        <f aca="false">(AN169*$AN$93*1)/1200</f>
        <v>0</v>
      </c>
      <c r="AP169" s="1022" t="n">
        <f aca="false">IF(AL169&lt;$AN$97,$AN$101-AO169,0)+IF(AL169=$AN$97,$AN$90+$AN$101-AO169,0)</f>
        <v>0</v>
      </c>
      <c r="AQ169" s="1026" t="n">
        <f aca="false">AN169-AP169</f>
        <v>0</v>
      </c>
      <c r="AR169" s="1026" t="n">
        <f aca="false">IF(AL169&lt;=$AN$97,AR168+AO169,0)</f>
        <v>0</v>
      </c>
      <c r="AS169" s="654" t="n">
        <f aca="false">IF(AL169&lt;=$AN$97,AS168+AP169,0)</f>
        <v>0</v>
      </c>
      <c r="AU169" s="1027" t="n">
        <f aca="false">AU168+1</f>
        <v>60</v>
      </c>
      <c r="AV169" s="1025" t="str">
        <f aca="false">IF(AU169&lt;=$AW$97,DATE(YEAR(AV168),MONTH(AV168)+12/$AW$95,DAY(AV168)),"0")</f>
        <v>0</v>
      </c>
      <c r="AW169" s="1026" t="n">
        <f aca="false">IF(AU169&lt;=$AW$97,AZ168,0)</f>
        <v>0</v>
      </c>
      <c r="AX169" s="1026" t="n">
        <f aca="false">(AW169*$AW$93*1)/1200</f>
        <v>0</v>
      </c>
      <c r="AY169" s="1022" t="n">
        <f aca="false">IF(AU169&lt;$AW$97,$AW$101-AX169,0)+IF(AU169=$AW$97,$AW$90+$AW$101-AX169,0)</f>
        <v>0</v>
      </c>
      <c r="AZ169" s="1026" t="n">
        <f aca="false">AW169-AY169</f>
        <v>0</v>
      </c>
      <c r="BA169" s="1026" t="n">
        <f aca="false">IF(AU169&lt;=$AW$97,BA168+AX169,0)</f>
        <v>0</v>
      </c>
      <c r="BB169" s="654" t="n">
        <f aca="false">IF(AU169&lt;=$AW$97,BB168+AY169,0)</f>
        <v>0</v>
      </c>
    </row>
    <row r="170" customFormat="false" ht="12.75" hidden="false" customHeight="false" outlineLevel="0" collapsed="false">
      <c r="B170" s="1024" t="n">
        <v>61</v>
      </c>
      <c r="C170" s="1025" t="n">
        <f aca="false">IF(B170&lt;=$D$97,DATE(YEAR(C169),MONTH(C169)+12/$D$94,DAY(C169)),"0")</f>
        <v>46815</v>
      </c>
      <c r="D170" s="1026" t="n">
        <f aca="false">IF(B170=1,$D$90,G169)</f>
        <v>108440.552683414</v>
      </c>
      <c r="E170" s="1026" t="n">
        <f aca="false">(D170*$D$92*1)/1200</f>
        <v>316.284945326625</v>
      </c>
      <c r="F170" s="1026" t="n">
        <f aca="false">IF(AND(B170&lt;=$D$97,B170&gt;$D$95),$D$101-E170,0)</f>
        <v>756.038866688134</v>
      </c>
      <c r="G170" s="1026" t="n">
        <f aca="false">D170-F170</f>
        <v>107684.513816726</v>
      </c>
      <c r="H170" s="1026" t="n">
        <f aca="false">IF(B170&lt;=$D$97,E170+H169,0)</f>
        <v>23096.2663496265</v>
      </c>
      <c r="I170" s="654" t="n">
        <f aca="false">IF(B170&lt;=$D$97,F170+I169,0)</f>
        <v>42315.4861832739</v>
      </c>
      <c r="K170" s="1027" t="n">
        <f aca="false">K169+1</f>
        <v>61</v>
      </c>
      <c r="L170" s="1025" t="str">
        <f aca="false">IF(K170&lt;=$M$97,DATE(YEAR(L169),MONTH(L169)+12/$M$94,DAY(L169)),"0")</f>
        <v>0</v>
      </c>
      <c r="M170" s="1026" t="n">
        <f aca="false">IF(K170&lt;=$M$97,P169,0)</f>
        <v>0</v>
      </c>
      <c r="N170" s="1026" t="n">
        <f aca="false">(M170*$M$92*1)/1200</f>
        <v>0</v>
      </c>
      <c r="O170" s="1026" t="n">
        <f aca="false">IF(AND(K170&lt;=$M$97,K170&gt;$M$95),$M$101-N170,0)</f>
        <v>0</v>
      </c>
      <c r="P170" s="1026" t="n">
        <f aca="false">M170-O170</f>
        <v>0</v>
      </c>
      <c r="Q170" s="1026" t="n">
        <f aca="false">IF(K170&lt;=$M$97,Q169+N170,0)</f>
        <v>0</v>
      </c>
      <c r="R170" s="654" t="n">
        <f aca="false">IF(K170&lt;=$D$97,R169+O170,0)</f>
        <v>15000.0000000001</v>
      </c>
      <c r="T170" s="1027" t="n">
        <f aca="false">T169+1</f>
        <v>61</v>
      </c>
      <c r="U170" s="1025" t="str">
        <f aca="false">IF(T170&lt;=$V$97,DATE(YEAR(U169),MONTH(U169)+12/$V$94,DAY(U169)),"0")</f>
        <v>0</v>
      </c>
      <c r="V170" s="1026" t="n">
        <f aca="false">IF(T170&lt;=$V$97,Y169,0)</f>
        <v>0</v>
      </c>
      <c r="W170" s="1026" t="n">
        <f aca="false">(V170*$V$92*1)/1200</f>
        <v>0</v>
      </c>
      <c r="X170" s="1022" t="n">
        <f aca="false">IF(AND(T170&lt;=$V$97,T170&gt;$V$95),$V$101-W170,0)</f>
        <v>0</v>
      </c>
      <c r="Y170" s="1026" t="n">
        <f aca="false">V170-X170</f>
        <v>0</v>
      </c>
      <c r="Z170" s="1026" t="n">
        <f aca="false">IF(T170&lt;=$V$97,Z169+W170,0)</f>
        <v>0</v>
      </c>
      <c r="AA170" s="654" t="n">
        <f aca="false">IF(T170&lt;=$V$97,AA169+X170,0)</f>
        <v>0</v>
      </c>
      <c r="AB170" s="451"/>
      <c r="AC170" s="1027" t="n">
        <f aca="false">AC169+1</f>
        <v>61</v>
      </c>
      <c r="AD170" s="1025" t="str">
        <f aca="false">IF(AC170&lt;=$AE$97,DATE(YEAR(AD169),MONTH(AD169)+12/$AE$95,DAY(AD169)),"0")</f>
        <v>0</v>
      </c>
      <c r="AE170" s="1026" t="n">
        <f aca="false">IF(AC170&lt;=$AE$97,AH169,0)</f>
        <v>0</v>
      </c>
      <c r="AF170" s="1026" t="n">
        <f aca="false">(AE170*$AE$93*1)/1200</f>
        <v>0</v>
      </c>
      <c r="AG170" s="1022" t="n">
        <f aca="false">IF(AC170&lt;$AE$97,$AE$101-AF170,0)+IF(AC170=$AE$97,$AE$90+$AE$101-AF170,0)</f>
        <v>0</v>
      </c>
      <c r="AH170" s="1026" t="n">
        <f aca="false">AE170-AG170</f>
        <v>0</v>
      </c>
      <c r="AI170" s="1026" t="n">
        <f aca="false">IF(AC170&lt;=$AE$97,AI169+AF170,0)</f>
        <v>0</v>
      </c>
      <c r="AJ170" s="654" t="n">
        <f aca="false">IF(AC170&lt;=$AE$97,AJ169+AG170,0)</f>
        <v>0</v>
      </c>
      <c r="AL170" s="1027" t="n">
        <f aca="false">AL169+1</f>
        <v>61</v>
      </c>
      <c r="AM170" s="1025" t="str">
        <f aca="false">IF(AL170&lt;=$AN$97,DATE(YEAR(AM169),MONTH(AM169)+12/$AN$95,DAY(AM169)),"0")</f>
        <v>0</v>
      </c>
      <c r="AN170" s="1026" t="n">
        <f aca="false">IF(AL170&lt;=$AN$97,AQ169,0)</f>
        <v>0</v>
      </c>
      <c r="AO170" s="1026" t="n">
        <f aca="false">(AN170*$AN$93*1)/1200</f>
        <v>0</v>
      </c>
      <c r="AP170" s="1022" t="n">
        <f aca="false">IF(AL170&lt;$AN$97,$AN$101-AO170,0)+IF(AL170=$AN$97,$AN$90+$AN$101-AO170,0)</f>
        <v>0</v>
      </c>
      <c r="AQ170" s="1026" t="n">
        <f aca="false">AN170-AP170</f>
        <v>0</v>
      </c>
      <c r="AR170" s="1026" t="n">
        <f aca="false">IF(AL170&lt;=$AN$97,AR169+AO170,0)</f>
        <v>0</v>
      </c>
      <c r="AS170" s="654" t="n">
        <f aca="false">IF(AL170&lt;=$AN$97,AS169+AP170,0)</f>
        <v>0</v>
      </c>
      <c r="AU170" s="1027" t="n">
        <f aca="false">AU169+1</f>
        <v>61</v>
      </c>
      <c r="AV170" s="1025" t="str">
        <f aca="false">IF(AU170&lt;=$AW$97,DATE(YEAR(AV169),MONTH(AV169)+12/$AW$95,DAY(AV169)),"0")</f>
        <v>0</v>
      </c>
      <c r="AW170" s="1026" t="n">
        <f aca="false">IF(AU170&lt;=$AW$97,AZ169,0)</f>
        <v>0</v>
      </c>
      <c r="AX170" s="1026" t="n">
        <f aca="false">(AW170*$AW$93*1)/1200</f>
        <v>0</v>
      </c>
      <c r="AY170" s="1022" t="n">
        <f aca="false">IF(AU170&lt;$AW$97,$AW$101-AX170,0)+IF(AU170=$AW$97,$AW$90+$AW$101-AX170,0)</f>
        <v>0</v>
      </c>
      <c r="AZ170" s="1026" t="n">
        <f aca="false">AW170-AY170</f>
        <v>0</v>
      </c>
      <c r="BA170" s="1026" t="n">
        <f aca="false">IF(AU170&lt;=$AW$97,BA169+AX170,0)</f>
        <v>0</v>
      </c>
      <c r="BB170" s="654" t="n">
        <f aca="false">IF(AU170&lt;=$AW$97,BB169+AY170,0)</f>
        <v>0</v>
      </c>
    </row>
    <row r="171" customFormat="false" ht="12.75" hidden="false" customHeight="false" outlineLevel="0" collapsed="false">
      <c r="B171" s="1024" t="n">
        <v>62</v>
      </c>
      <c r="C171" s="1025" t="n">
        <f aca="false">IF(B171&lt;=$D$97,DATE(YEAR(C170),MONTH(C170)+12/$D$94,DAY(C170)),"0")</f>
        <v>46846</v>
      </c>
      <c r="D171" s="1026" t="n">
        <f aca="false">IF(B171=1,$D$90,G170)</f>
        <v>107684.513816726</v>
      </c>
      <c r="E171" s="1026" t="n">
        <f aca="false">(D171*$D$92*1)/1200</f>
        <v>314.079831965451</v>
      </c>
      <c r="F171" s="1026" t="n">
        <f aca="false">IF(AND(B171&lt;=$D$97,B171&gt;$D$95),$D$101-E171,0)</f>
        <v>758.243980049308</v>
      </c>
      <c r="G171" s="1026" t="n">
        <f aca="false">D171-F171</f>
        <v>106926.269836677</v>
      </c>
      <c r="H171" s="1026" t="n">
        <f aca="false">IF(B171&lt;=$D$97,E171+H170,0)</f>
        <v>23410.3461815919</v>
      </c>
      <c r="I171" s="654" t="n">
        <f aca="false">IF(B171&lt;=$D$97,F171+I170,0)</f>
        <v>43073.7301633232</v>
      </c>
      <c r="K171" s="1027" t="n">
        <f aca="false">K170+1</f>
        <v>62</v>
      </c>
      <c r="L171" s="1025" t="str">
        <f aca="false">IF(K171&lt;=$M$97,DATE(YEAR(L170),MONTH(L170)+12/$M$94,DAY(L170)),"0")</f>
        <v>0</v>
      </c>
      <c r="M171" s="1026" t="n">
        <f aca="false">IF(K171&lt;=$M$97,P170,0)</f>
        <v>0</v>
      </c>
      <c r="N171" s="1026" t="n">
        <f aca="false">(M171*$M$92*1)/1200</f>
        <v>0</v>
      </c>
      <c r="O171" s="1026" t="n">
        <f aca="false">IF(AND(K171&lt;=$M$97,K171&gt;$M$95),$M$101-N171,0)</f>
        <v>0</v>
      </c>
      <c r="P171" s="1026" t="n">
        <f aca="false">M171-O171</f>
        <v>0</v>
      </c>
      <c r="Q171" s="1026" t="n">
        <f aca="false">IF(K171&lt;=$M$97,Q170+N171,0)</f>
        <v>0</v>
      </c>
      <c r="R171" s="654" t="n">
        <f aca="false">IF(K171&lt;=$D$97,R170+O171,0)</f>
        <v>15000.0000000001</v>
      </c>
      <c r="T171" s="1027" t="n">
        <f aca="false">T170+1</f>
        <v>62</v>
      </c>
      <c r="U171" s="1025" t="str">
        <f aca="false">IF(T171&lt;=$V$97,DATE(YEAR(U170),MONTH(U170)+12/$V$94,DAY(U170)),"0")</f>
        <v>0</v>
      </c>
      <c r="V171" s="1026" t="n">
        <f aca="false">IF(T171&lt;=$V$97,Y170,0)</f>
        <v>0</v>
      </c>
      <c r="W171" s="1026" t="n">
        <f aca="false">(V171*$V$92*1)/1200</f>
        <v>0</v>
      </c>
      <c r="X171" s="1022" t="n">
        <f aca="false">IF(AND(T171&lt;=$V$97,T171&gt;$V$95),$V$101-W171,0)</f>
        <v>0</v>
      </c>
      <c r="Y171" s="1026" t="n">
        <f aca="false">V171-X171</f>
        <v>0</v>
      </c>
      <c r="Z171" s="1026" t="n">
        <f aca="false">IF(T171&lt;=$V$97,Z170+W171,0)</f>
        <v>0</v>
      </c>
      <c r="AA171" s="654" t="n">
        <f aca="false">IF(T171&lt;=$V$97,AA170+X171,0)</f>
        <v>0</v>
      </c>
      <c r="AB171" s="451"/>
      <c r="AC171" s="1027" t="n">
        <f aca="false">AC170+1</f>
        <v>62</v>
      </c>
      <c r="AD171" s="1025" t="str">
        <f aca="false">IF(AC171&lt;=$AE$97,DATE(YEAR(AD170),MONTH(AD170)+12/$AE$95,DAY(AD170)),"0")</f>
        <v>0</v>
      </c>
      <c r="AE171" s="1026" t="n">
        <f aca="false">IF(AC171&lt;=$AE$97,AH170,0)</f>
        <v>0</v>
      </c>
      <c r="AF171" s="1026" t="n">
        <f aca="false">(AE171*$AE$93*1)/1200</f>
        <v>0</v>
      </c>
      <c r="AG171" s="1022" t="n">
        <f aca="false">IF(AC171&lt;$AE$97,$AE$101-AF171,0)+IF(AC171=$AE$97,$AE$90+$AE$101-AF171,0)</f>
        <v>0</v>
      </c>
      <c r="AH171" s="1026" t="n">
        <f aca="false">AE171-AG171</f>
        <v>0</v>
      </c>
      <c r="AI171" s="1026" t="n">
        <f aca="false">IF(AC171&lt;=$AE$97,AI170+AF171,0)</f>
        <v>0</v>
      </c>
      <c r="AJ171" s="654" t="n">
        <f aca="false">IF(AC171&lt;=$AE$97,AJ170+AG171,0)</f>
        <v>0</v>
      </c>
      <c r="AL171" s="1027" t="n">
        <f aca="false">AL170+1</f>
        <v>62</v>
      </c>
      <c r="AM171" s="1025" t="str">
        <f aca="false">IF(AL171&lt;=$AN$97,DATE(YEAR(AM170),MONTH(AM170)+12/$AN$95,DAY(AM170)),"0")</f>
        <v>0</v>
      </c>
      <c r="AN171" s="1026" t="n">
        <f aca="false">IF(AL171&lt;=$AN$97,AQ170,0)</f>
        <v>0</v>
      </c>
      <c r="AO171" s="1026" t="n">
        <f aca="false">(AN171*$AN$93*1)/1200</f>
        <v>0</v>
      </c>
      <c r="AP171" s="1022" t="n">
        <f aca="false">IF(AL171&lt;$AN$97,$AN$101-AO171,0)+IF(AL171=$AN$97,$AN$90+$AN$101-AO171,0)</f>
        <v>0</v>
      </c>
      <c r="AQ171" s="1026" t="n">
        <f aca="false">AN171-AP171</f>
        <v>0</v>
      </c>
      <c r="AR171" s="1026" t="n">
        <f aca="false">IF(AL171&lt;=$AN$97,AR170+AO171,0)</f>
        <v>0</v>
      </c>
      <c r="AS171" s="654" t="n">
        <f aca="false">IF(AL171&lt;=$AN$97,AS170+AP171,0)</f>
        <v>0</v>
      </c>
      <c r="AU171" s="1027" t="n">
        <f aca="false">AU170+1</f>
        <v>62</v>
      </c>
      <c r="AV171" s="1025" t="str">
        <f aca="false">IF(AU171&lt;=$AW$97,DATE(YEAR(AV170),MONTH(AV170)+12/$AW$95,DAY(AV170)),"0")</f>
        <v>0</v>
      </c>
      <c r="AW171" s="1026" t="n">
        <f aca="false">IF(AU171&lt;=$AW$97,AZ170,0)</f>
        <v>0</v>
      </c>
      <c r="AX171" s="1026" t="n">
        <f aca="false">(AW171*$AW$93*1)/1200</f>
        <v>0</v>
      </c>
      <c r="AY171" s="1022" t="n">
        <f aca="false">IF(AU171&lt;$AW$97,$AW$101-AX171,0)+IF(AU171=$AW$97,$AW$90+$AW$101-AX171,0)</f>
        <v>0</v>
      </c>
      <c r="AZ171" s="1026" t="n">
        <f aca="false">AW171-AY171</f>
        <v>0</v>
      </c>
      <c r="BA171" s="1026" t="n">
        <f aca="false">IF(AU171&lt;=$AW$97,BA170+AX171,0)</f>
        <v>0</v>
      </c>
      <c r="BB171" s="654" t="n">
        <f aca="false">IF(AU171&lt;=$AW$97,BB170+AY171,0)</f>
        <v>0</v>
      </c>
    </row>
    <row r="172" customFormat="false" ht="12.75" hidden="false" customHeight="false" outlineLevel="0" collapsed="false">
      <c r="B172" s="1024" t="n">
        <v>63</v>
      </c>
      <c r="C172" s="1025" t="n">
        <f aca="false">IF(B172&lt;=$D$97,DATE(YEAR(C171),MONTH(C171)+12/$D$94,DAY(C171)),"0")</f>
        <v>46876</v>
      </c>
      <c r="D172" s="1026" t="n">
        <f aca="false">IF(B172=1,$D$90,G171)</f>
        <v>106926.269836677</v>
      </c>
      <c r="E172" s="1026" t="n">
        <f aca="false">(D172*$D$92*1)/1200</f>
        <v>311.868287023641</v>
      </c>
      <c r="F172" s="1026" t="n">
        <f aca="false">IF(AND(B172&lt;=$D$97,B172&gt;$D$95),$D$101-E172,0)</f>
        <v>760.455524991119</v>
      </c>
      <c r="G172" s="1026" t="n">
        <f aca="false">D172-F172</f>
        <v>106165.814311686</v>
      </c>
      <c r="H172" s="1026" t="n">
        <f aca="false">IF(B172&lt;=$D$97,E172+H171,0)</f>
        <v>23722.2144686156</v>
      </c>
      <c r="I172" s="654" t="n">
        <f aca="false">IF(B172&lt;=$D$97,F172+I171,0)</f>
        <v>43834.1856883143</v>
      </c>
      <c r="K172" s="1027" t="n">
        <f aca="false">K171+1</f>
        <v>63</v>
      </c>
      <c r="L172" s="1025" t="str">
        <f aca="false">IF(K172&lt;=$M$97,DATE(YEAR(L171),MONTH(L171)+12/$M$94,DAY(L171)),"0")</f>
        <v>0</v>
      </c>
      <c r="M172" s="1026" t="n">
        <f aca="false">IF(K172&lt;=$M$97,P171,0)</f>
        <v>0</v>
      </c>
      <c r="N172" s="1026" t="n">
        <f aca="false">(M172*$M$92*1)/1200</f>
        <v>0</v>
      </c>
      <c r="O172" s="1026" t="n">
        <f aca="false">IF(AND(K172&lt;=$M$97,K172&gt;$M$95),$M$101-N172,0)</f>
        <v>0</v>
      </c>
      <c r="P172" s="1026" t="n">
        <f aca="false">M172-O172</f>
        <v>0</v>
      </c>
      <c r="Q172" s="1026" t="n">
        <f aca="false">IF(K172&lt;=$M$97,Q171+N172,0)</f>
        <v>0</v>
      </c>
      <c r="R172" s="654" t="n">
        <f aca="false">IF(K172&lt;=$D$97,R171+O172,0)</f>
        <v>15000.0000000001</v>
      </c>
      <c r="T172" s="1027" t="n">
        <f aca="false">T171+1</f>
        <v>63</v>
      </c>
      <c r="U172" s="1025" t="str">
        <f aca="false">IF(T172&lt;=$V$97,DATE(YEAR(U171),MONTH(U171)+12/$V$94,DAY(U171)),"0")</f>
        <v>0</v>
      </c>
      <c r="V172" s="1026" t="n">
        <f aca="false">IF(T172&lt;=$V$97,Y171,0)</f>
        <v>0</v>
      </c>
      <c r="W172" s="1026" t="n">
        <f aca="false">(V172*$V$92*1)/1200</f>
        <v>0</v>
      </c>
      <c r="X172" s="1022" t="n">
        <f aca="false">IF(AND(T172&lt;=$V$97,T172&gt;$V$95),$V$101-W172,0)</f>
        <v>0</v>
      </c>
      <c r="Y172" s="1026" t="n">
        <f aca="false">V172-X172</f>
        <v>0</v>
      </c>
      <c r="Z172" s="1026" t="n">
        <f aca="false">IF(T172&lt;=$V$97,Z171+W172,0)</f>
        <v>0</v>
      </c>
      <c r="AA172" s="654" t="n">
        <f aca="false">IF(T172&lt;=$V$97,AA171+X172,0)</f>
        <v>0</v>
      </c>
      <c r="AB172" s="451"/>
      <c r="AC172" s="1027" t="n">
        <f aca="false">AC171+1</f>
        <v>63</v>
      </c>
      <c r="AD172" s="1025" t="str">
        <f aca="false">IF(AC172&lt;=$AE$97,DATE(YEAR(AD171),MONTH(AD171)+12/$AE$95,DAY(AD171)),"0")</f>
        <v>0</v>
      </c>
      <c r="AE172" s="1026" t="n">
        <f aca="false">IF(AC172&lt;=$AE$97,AH171,0)</f>
        <v>0</v>
      </c>
      <c r="AF172" s="1026" t="n">
        <f aca="false">(AE172*$AE$93*1)/1200</f>
        <v>0</v>
      </c>
      <c r="AG172" s="1022" t="n">
        <f aca="false">IF(AC172&lt;$AE$97,$AE$101-AF172,0)+IF(AC172=$AE$97,$AE$90+$AE$101-AF172,0)</f>
        <v>0</v>
      </c>
      <c r="AH172" s="1026" t="n">
        <f aca="false">AE172-AG172</f>
        <v>0</v>
      </c>
      <c r="AI172" s="1026" t="n">
        <f aca="false">IF(AC172&lt;=$AE$97,AI171+AF172,0)</f>
        <v>0</v>
      </c>
      <c r="AJ172" s="654" t="n">
        <f aca="false">IF(AC172&lt;=$AE$97,AJ171+AG172,0)</f>
        <v>0</v>
      </c>
      <c r="AL172" s="1027" t="n">
        <f aca="false">AL171+1</f>
        <v>63</v>
      </c>
      <c r="AM172" s="1025" t="str">
        <f aca="false">IF(AL172&lt;=$AN$97,DATE(YEAR(AM171),MONTH(AM171)+12/$AN$95,DAY(AM171)),"0")</f>
        <v>0</v>
      </c>
      <c r="AN172" s="1026" t="n">
        <f aca="false">IF(AL172&lt;=$AN$97,AQ171,0)</f>
        <v>0</v>
      </c>
      <c r="AO172" s="1026" t="n">
        <f aca="false">(AN172*$AN$93*1)/1200</f>
        <v>0</v>
      </c>
      <c r="AP172" s="1022" t="n">
        <f aca="false">IF(AL172&lt;$AN$97,$AN$101-AO172,0)+IF(AL172=$AN$97,$AN$90+$AN$101-AO172,0)</f>
        <v>0</v>
      </c>
      <c r="AQ172" s="1026" t="n">
        <f aca="false">AN172-AP172</f>
        <v>0</v>
      </c>
      <c r="AR172" s="1026" t="n">
        <f aca="false">IF(AL172&lt;=$AN$97,AR171+AO172,0)</f>
        <v>0</v>
      </c>
      <c r="AS172" s="654" t="n">
        <f aca="false">IF(AL172&lt;=$AN$97,AS171+AP172,0)</f>
        <v>0</v>
      </c>
      <c r="AU172" s="1027" t="n">
        <f aca="false">AU171+1</f>
        <v>63</v>
      </c>
      <c r="AV172" s="1025" t="str">
        <f aca="false">IF(AU172&lt;=$AW$97,DATE(YEAR(AV171),MONTH(AV171)+12/$AW$95,DAY(AV171)),"0")</f>
        <v>0</v>
      </c>
      <c r="AW172" s="1026" t="n">
        <f aca="false">IF(AU172&lt;=$AW$97,AZ171,0)</f>
        <v>0</v>
      </c>
      <c r="AX172" s="1026" t="n">
        <f aca="false">(AW172*$AW$93*1)/1200</f>
        <v>0</v>
      </c>
      <c r="AY172" s="1022" t="n">
        <f aca="false">IF(AU172&lt;$AW$97,$AW$101-AX172,0)+IF(AU172=$AW$97,$AW$90+$AW$101-AX172,0)</f>
        <v>0</v>
      </c>
      <c r="AZ172" s="1026" t="n">
        <f aca="false">AW172-AY172</f>
        <v>0</v>
      </c>
      <c r="BA172" s="1026" t="n">
        <f aca="false">IF(AU172&lt;=$AW$97,BA171+AX172,0)</f>
        <v>0</v>
      </c>
      <c r="BB172" s="654" t="n">
        <f aca="false">IF(AU172&lt;=$AW$97,BB171+AY172,0)</f>
        <v>0</v>
      </c>
    </row>
    <row r="173" customFormat="false" ht="12.75" hidden="false" customHeight="false" outlineLevel="0" collapsed="false">
      <c r="B173" s="1024" t="n">
        <v>64</v>
      </c>
      <c r="C173" s="1025" t="n">
        <f aca="false">IF(B173&lt;=$D$97,DATE(YEAR(C172),MONTH(C172)+12/$D$94,DAY(C172)),"0")</f>
        <v>46907</v>
      </c>
      <c r="D173" s="1026" t="n">
        <f aca="false">IF(B173=1,$D$90,G172)</f>
        <v>106165.814311686</v>
      </c>
      <c r="E173" s="1026" t="n">
        <f aca="false">(D173*$D$92*1)/1200</f>
        <v>309.650291742417</v>
      </c>
      <c r="F173" s="1026" t="n">
        <f aca="false">IF(AND(B173&lt;=$D$97,B173&gt;$D$95),$D$101-E173,0)</f>
        <v>762.673520272343</v>
      </c>
      <c r="G173" s="1026" t="n">
        <f aca="false">D173-F173</f>
        <v>105403.140791413</v>
      </c>
      <c r="H173" s="1026" t="n">
        <f aca="false">IF(B173&lt;=$D$97,E173+H172,0)</f>
        <v>24031.864760358</v>
      </c>
      <c r="I173" s="654" t="n">
        <f aca="false">IF(B173&lt;=$D$97,F173+I172,0)</f>
        <v>44596.8592085866</v>
      </c>
      <c r="K173" s="1027" t="n">
        <f aca="false">K172+1</f>
        <v>64</v>
      </c>
      <c r="L173" s="1025" t="str">
        <f aca="false">IF(K173&lt;=$M$97,DATE(YEAR(L172),MONTH(L172)+12/$M$94,DAY(L172)),"0")</f>
        <v>0</v>
      </c>
      <c r="M173" s="1026" t="n">
        <f aca="false">IF(K173&lt;=$M$97,P172,0)</f>
        <v>0</v>
      </c>
      <c r="N173" s="1026" t="n">
        <f aca="false">(M173*$M$92*1)/1200</f>
        <v>0</v>
      </c>
      <c r="O173" s="1026" t="n">
        <f aca="false">IF(AND(K173&lt;=$M$97,K173&gt;$M$95),$M$101-N173,0)</f>
        <v>0</v>
      </c>
      <c r="P173" s="1026" t="n">
        <f aca="false">M173-O173</f>
        <v>0</v>
      </c>
      <c r="Q173" s="1026" t="n">
        <f aca="false">IF(K173&lt;=$M$97,Q172+N173,0)</f>
        <v>0</v>
      </c>
      <c r="R173" s="654" t="n">
        <f aca="false">IF(K173&lt;=$D$97,R172+O173,0)</f>
        <v>15000.0000000001</v>
      </c>
      <c r="T173" s="1027" t="n">
        <f aca="false">T172+1</f>
        <v>64</v>
      </c>
      <c r="U173" s="1025" t="str">
        <f aca="false">IF(T173&lt;=$V$97,DATE(YEAR(U172),MONTH(U172)+12/$V$94,DAY(U172)),"0")</f>
        <v>0</v>
      </c>
      <c r="V173" s="1026" t="n">
        <f aca="false">IF(T173&lt;=$V$97,Y172,0)</f>
        <v>0</v>
      </c>
      <c r="W173" s="1026" t="n">
        <f aca="false">(V173*$V$92*1)/1200</f>
        <v>0</v>
      </c>
      <c r="X173" s="1022" t="n">
        <f aca="false">IF(AND(T173&lt;=$V$97,T173&gt;$V$95),$V$101-W173,0)</f>
        <v>0</v>
      </c>
      <c r="Y173" s="1026" t="n">
        <f aca="false">V173-X173</f>
        <v>0</v>
      </c>
      <c r="Z173" s="1026" t="n">
        <f aca="false">IF(T173&lt;=$V$97,Z172+W173,0)</f>
        <v>0</v>
      </c>
      <c r="AA173" s="654" t="n">
        <f aca="false">IF(T173&lt;=$V$97,AA172+X173,0)</f>
        <v>0</v>
      </c>
      <c r="AB173" s="451"/>
      <c r="AC173" s="1027" t="n">
        <f aca="false">AC172+1</f>
        <v>64</v>
      </c>
      <c r="AD173" s="1025" t="str">
        <f aca="false">IF(AC173&lt;=$AE$97,DATE(YEAR(AD172),MONTH(AD172)+12/$AE$95,DAY(AD172)),"0")</f>
        <v>0</v>
      </c>
      <c r="AE173" s="1026" t="n">
        <f aca="false">IF(AC173&lt;=$AE$97,AH172,0)</f>
        <v>0</v>
      </c>
      <c r="AF173" s="1026" t="n">
        <f aca="false">(AE173*$AE$93*1)/1200</f>
        <v>0</v>
      </c>
      <c r="AG173" s="1022" t="n">
        <f aca="false">IF(AC173&lt;$AE$97,$AE$101-AF173,0)+IF(AC173=$AE$97,$AE$90+$AE$101-AF173,0)</f>
        <v>0</v>
      </c>
      <c r="AH173" s="1026" t="n">
        <f aca="false">AE173-AG173</f>
        <v>0</v>
      </c>
      <c r="AI173" s="1026" t="n">
        <f aca="false">IF(AC173&lt;=$AE$97,AI172+AF173,0)</f>
        <v>0</v>
      </c>
      <c r="AJ173" s="654" t="n">
        <f aca="false">IF(AC173&lt;=$AE$97,AJ172+AG173,0)</f>
        <v>0</v>
      </c>
      <c r="AL173" s="1027" t="n">
        <f aca="false">AL172+1</f>
        <v>64</v>
      </c>
      <c r="AM173" s="1025" t="str">
        <f aca="false">IF(AL173&lt;=$AN$97,DATE(YEAR(AM172),MONTH(AM172)+12/$AN$95,DAY(AM172)),"0")</f>
        <v>0</v>
      </c>
      <c r="AN173" s="1026" t="n">
        <f aca="false">IF(AL173&lt;=$AN$97,AQ172,0)</f>
        <v>0</v>
      </c>
      <c r="AO173" s="1026" t="n">
        <f aca="false">(AN173*$AN$93*1)/1200</f>
        <v>0</v>
      </c>
      <c r="AP173" s="1022" t="n">
        <f aca="false">IF(AL173&lt;$AN$97,$AN$101-AO173,0)+IF(AL173=$AN$97,$AN$90+$AN$101-AO173,0)</f>
        <v>0</v>
      </c>
      <c r="AQ173" s="1026" t="n">
        <f aca="false">AN173-AP173</f>
        <v>0</v>
      </c>
      <c r="AR173" s="1026" t="n">
        <f aca="false">IF(AL173&lt;=$AN$97,AR172+AO173,0)</f>
        <v>0</v>
      </c>
      <c r="AS173" s="654" t="n">
        <f aca="false">IF(AL173&lt;=$AN$97,AS172+AP173,0)</f>
        <v>0</v>
      </c>
      <c r="AU173" s="1027" t="n">
        <f aca="false">AU172+1</f>
        <v>64</v>
      </c>
      <c r="AV173" s="1025" t="str">
        <f aca="false">IF(AU173&lt;=$AW$97,DATE(YEAR(AV172),MONTH(AV172)+12/$AW$95,DAY(AV172)),"0")</f>
        <v>0</v>
      </c>
      <c r="AW173" s="1026" t="n">
        <f aca="false">IF(AU173&lt;=$AW$97,AZ172,0)</f>
        <v>0</v>
      </c>
      <c r="AX173" s="1026" t="n">
        <f aca="false">(AW173*$AW$93*1)/1200</f>
        <v>0</v>
      </c>
      <c r="AY173" s="1022" t="n">
        <f aca="false">IF(AU173&lt;$AW$97,$AW$101-AX173,0)+IF(AU173=$AW$97,$AW$90+$AW$101-AX173,0)</f>
        <v>0</v>
      </c>
      <c r="AZ173" s="1026" t="n">
        <f aca="false">AW173-AY173</f>
        <v>0</v>
      </c>
      <c r="BA173" s="1026" t="n">
        <f aca="false">IF(AU173&lt;=$AW$97,BA172+AX173,0)</f>
        <v>0</v>
      </c>
      <c r="BB173" s="654" t="n">
        <f aca="false">IF(AU173&lt;=$AW$97,BB172+AY173,0)</f>
        <v>0</v>
      </c>
    </row>
    <row r="174" customFormat="false" ht="12.75" hidden="false" customHeight="false" outlineLevel="0" collapsed="false">
      <c r="B174" s="1024" t="n">
        <v>65</v>
      </c>
      <c r="C174" s="1025" t="n">
        <f aca="false">IF(B174&lt;=$D$97,DATE(YEAR(C173),MONTH(C173)+12/$D$94,DAY(C173)),"0")</f>
        <v>46937</v>
      </c>
      <c r="D174" s="1026" t="n">
        <f aca="false">IF(B174=1,$D$90,G173)</f>
        <v>105403.140791413</v>
      </c>
      <c r="E174" s="1026" t="n">
        <f aca="false">(D174*$D$92*1)/1200</f>
        <v>307.425827308289</v>
      </c>
      <c r="F174" s="1026" t="n">
        <f aca="false">IF(AND(B174&lt;=$D$97,B174&gt;$D$95),$D$101-E174,0)</f>
        <v>764.89798470647</v>
      </c>
      <c r="G174" s="1026" t="n">
        <f aca="false">D174-F174</f>
        <v>104638.242806707</v>
      </c>
      <c r="H174" s="1026" t="n">
        <f aca="false">IF(B174&lt;=$D$97,E174+H173,0)</f>
        <v>24339.2905876663</v>
      </c>
      <c r="I174" s="654" t="n">
        <f aca="false">IF(B174&lt;=$D$97,F174+I173,0)</f>
        <v>45361.7571932931</v>
      </c>
      <c r="K174" s="1027" t="n">
        <f aca="false">K173+1</f>
        <v>65</v>
      </c>
      <c r="L174" s="1025" t="str">
        <f aca="false">IF(K174&lt;=$M$97,DATE(YEAR(L173),MONTH(L173)+12/$M$94,DAY(L173)),"0")</f>
        <v>0</v>
      </c>
      <c r="M174" s="1026" t="n">
        <f aca="false">IF(K174&lt;=$M$97,P173,0)</f>
        <v>0</v>
      </c>
      <c r="N174" s="1026" t="n">
        <f aca="false">(M174*$M$92*1)/1200</f>
        <v>0</v>
      </c>
      <c r="O174" s="1026" t="n">
        <f aca="false">IF(AND(K174&lt;=$M$97,K174&gt;$M$95),$M$101-N174,0)</f>
        <v>0</v>
      </c>
      <c r="P174" s="1026" t="n">
        <f aca="false">M174-O174</f>
        <v>0</v>
      </c>
      <c r="Q174" s="1026" t="n">
        <f aca="false">IF(K174&lt;=$M$97,Q173+N174,0)</f>
        <v>0</v>
      </c>
      <c r="R174" s="654" t="n">
        <f aca="false">IF(K174&lt;=$D$97,R173+O174,0)</f>
        <v>15000.0000000001</v>
      </c>
      <c r="T174" s="1027" t="n">
        <f aca="false">T173+1</f>
        <v>65</v>
      </c>
      <c r="U174" s="1025" t="str">
        <f aca="false">IF(T174&lt;=$V$97,DATE(YEAR(U173),MONTH(U173)+12/$V$94,DAY(U173)),"0")</f>
        <v>0</v>
      </c>
      <c r="V174" s="1026" t="n">
        <f aca="false">IF(T174&lt;=$V$97,Y173,0)</f>
        <v>0</v>
      </c>
      <c r="W174" s="1026" t="n">
        <f aca="false">(V174*$V$92*1)/1200</f>
        <v>0</v>
      </c>
      <c r="X174" s="1022" t="n">
        <f aca="false">IF(AND(T174&lt;=$V$97,T174&gt;$V$95),$V$101-W174,0)</f>
        <v>0</v>
      </c>
      <c r="Y174" s="1026" t="n">
        <f aca="false">V174-X174</f>
        <v>0</v>
      </c>
      <c r="Z174" s="1026" t="n">
        <f aca="false">IF(T174&lt;=$V$97,Z173+W174,0)</f>
        <v>0</v>
      </c>
      <c r="AA174" s="654" t="n">
        <f aca="false">IF(T174&lt;=$V$97,AA173+X174,0)</f>
        <v>0</v>
      </c>
      <c r="AB174" s="451"/>
      <c r="AC174" s="1027" t="n">
        <f aca="false">AC173+1</f>
        <v>65</v>
      </c>
      <c r="AD174" s="1025" t="str">
        <f aca="false">IF(AC174&lt;=$AE$97,DATE(YEAR(AD173),MONTH(AD173)+12/$AE$95,DAY(AD173)),"0")</f>
        <v>0</v>
      </c>
      <c r="AE174" s="1026" t="n">
        <f aca="false">IF(AC174&lt;=$AE$97,AH173,0)</f>
        <v>0</v>
      </c>
      <c r="AF174" s="1026" t="n">
        <f aca="false">(AE174*$AE$93*1)/1200</f>
        <v>0</v>
      </c>
      <c r="AG174" s="1022" t="n">
        <f aca="false">IF(AC174&lt;$AE$97,$AE$101-AF174,0)+IF(AC174=$AE$97,$AE$90+$AE$101-AF174,0)</f>
        <v>0</v>
      </c>
      <c r="AH174" s="1026" t="n">
        <f aca="false">AE174-AG174</f>
        <v>0</v>
      </c>
      <c r="AI174" s="1026" t="n">
        <f aca="false">IF(AC174&lt;=$AE$97,AI173+AF174,0)</f>
        <v>0</v>
      </c>
      <c r="AJ174" s="654" t="n">
        <f aca="false">IF(AC174&lt;=$AE$97,AJ173+AG174,0)</f>
        <v>0</v>
      </c>
      <c r="AL174" s="1027" t="n">
        <f aca="false">AL173+1</f>
        <v>65</v>
      </c>
      <c r="AM174" s="1025" t="str">
        <f aca="false">IF(AL174&lt;=$AN$97,DATE(YEAR(AM173),MONTH(AM173)+12/$AN$95,DAY(AM173)),"0")</f>
        <v>0</v>
      </c>
      <c r="AN174" s="1026" t="n">
        <f aca="false">IF(AL174&lt;=$AN$97,AQ173,0)</f>
        <v>0</v>
      </c>
      <c r="AO174" s="1026" t="n">
        <f aca="false">(AN174*$AN$93*1)/1200</f>
        <v>0</v>
      </c>
      <c r="AP174" s="1022" t="n">
        <f aca="false">IF(AL174&lt;$AN$97,$AN$101-AO174,0)+IF(AL174=$AN$97,$AN$90+$AN$101-AO174,0)</f>
        <v>0</v>
      </c>
      <c r="AQ174" s="1026" t="n">
        <f aca="false">AN174-AP174</f>
        <v>0</v>
      </c>
      <c r="AR174" s="1026" t="n">
        <f aca="false">IF(AL174&lt;=$AN$97,AR173+AO174,0)</f>
        <v>0</v>
      </c>
      <c r="AS174" s="654" t="n">
        <f aca="false">IF(AL174&lt;=$AN$97,AS173+AP174,0)</f>
        <v>0</v>
      </c>
      <c r="AU174" s="1027" t="n">
        <f aca="false">AU173+1</f>
        <v>65</v>
      </c>
      <c r="AV174" s="1025" t="str">
        <f aca="false">IF(AU174&lt;=$AW$97,DATE(YEAR(AV173),MONTH(AV173)+12/$AW$95,DAY(AV173)),"0")</f>
        <v>0</v>
      </c>
      <c r="AW174" s="1026" t="n">
        <f aca="false">IF(AU174&lt;=$AW$97,AZ173,0)</f>
        <v>0</v>
      </c>
      <c r="AX174" s="1026" t="n">
        <f aca="false">(AW174*$AW$93*1)/1200</f>
        <v>0</v>
      </c>
      <c r="AY174" s="1022" t="n">
        <f aca="false">IF(AU174&lt;$AW$97,$AW$101-AX174,0)+IF(AU174=$AW$97,$AW$90+$AW$101-AX174,0)</f>
        <v>0</v>
      </c>
      <c r="AZ174" s="1026" t="n">
        <f aca="false">AW174-AY174</f>
        <v>0</v>
      </c>
      <c r="BA174" s="1026" t="n">
        <f aca="false">IF(AU174&lt;=$AW$97,BA173+AX174,0)</f>
        <v>0</v>
      </c>
      <c r="BB174" s="654" t="n">
        <f aca="false">IF(AU174&lt;=$AW$97,BB173+AY174,0)</f>
        <v>0</v>
      </c>
    </row>
    <row r="175" customFormat="false" ht="12.75" hidden="false" customHeight="false" outlineLevel="0" collapsed="false">
      <c r="B175" s="1024" t="n">
        <v>66</v>
      </c>
      <c r="C175" s="1025" t="n">
        <f aca="false">IF(B175&lt;=$D$97,DATE(YEAR(C174),MONTH(C174)+12/$D$94,DAY(C174)),"0")</f>
        <v>46968</v>
      </c>
      <c r="D175" s="1026" t="n">
        <f aca="false">IF(B175=1,$D$90,G174)</f>
        <v>104638.242806707</v>
      </c>
      <c r="E175" s="1026" t="n">
        <f aca="false">(D175*$D$92*1)/1200</f>
        <v>305.194874852895</v>
      </c>
      <c r="F175" s="1026" t="n">
        <f aca="false">IF(AND(B175&lt;=$D$97,B175&gt;$D$95),$D$101-E175,0)</f>
        <v>767.128937161864</v>
      </c>
      <c r="G175" s="1026" t="n">
        <f aca="false">D175-F175</f>
        <v>103871.113869545</v>
      </c>
      <c r="H175" s="1026" t="n">
        <f aca="false">IF(B175&lt;=$D$97,E175+H174,0)</f>
        <v>24644.4854625192</v>
      </c>
      <c r="I175" s="654" t="n">
        <f aca="false">IF(B175&lt;=$D$97,F175+I174,0)</f>
        <v>46128.886130455</v>
      </c>
      <c r="K175" s="1027" t="n">
        <f aca="false">K174+1</f>
        <v>66</v>
      </c>
      <c r="L175" s="1025" t="str">
        <f aca="false">IF(K175&lt;=$M$97,DATE(YEAR(L174),MONTH(L174)+12/$M$94,DAY(L174)),"0")</f>
        <v>0</v>
      </c>
      <c r="M175" s="1026" t="n">
        <f aca="false">IF(K175&lt;=$M$97,P174,0)</f>
        <v>0</v>
      </c>
      <c r="N175" s="1026" t="n">
        <f aca="false">(M175*$M$92*1)/1200</f>
        <v>0</v>
      </c>
      <c r="O175" s="1026" t="n">
        <f aca="false">IF(AND(K175&lt;=$M$97,K175&gt;$M$95),$M$101-N175,0)</f>
        <v>0</v>
      </c>
      <c r="P175" s="1026" t="n">
        <f aca="false">M175-O175</f>
        <v>0</v>
      </c>
      <c r="Q175" s="1026" t="n">
        <f aca="false">IF(K175&lt;=$M$97,Q174+N175,0)</f>
        <v>0</v>
      </c>
      <c r="R175" s="654" t="n">
        <f aca="false">IF(K175&lt;=$D$97,R174+O175,0)</f>
        <v>15000.0000000001</v>
      </c>
      <c r="T175" s="1027" t="n">
        <f aca="false">T174+1</f>
        <v>66</v>
      </c>
      <c r="U175" s="1025" t="str">
        <f aca="false">IF(T175&lt;=$V$97,DATE(YEAR(U174),MONTH(U174)+12/$V$94,DAY(U174)),"0")</f>
        <v>0</v>
      </c>
      <c r="V175" s="1026" t="n">
        <f aca="false">IF(T175&lt;=$V$97,Y174,0)</f>
        <v>0</v>
      </c>
      <c r="W175" s="1026" t="n">
        <f aca="false">(V175*$V$92*1)/1200</f>
        <v>0</v>
      </c>
      <c r="X175" s="1022" t="n">
        <f aca="false">IF(AND(T175&lt;=$V$97,T175&gt;$V$95),$V$101-W175,0)</f>
        <v>0</v>
      </c>
      <c r="Y175" s="1026" t="n">
        <f aca="false">V175-X175</f>
        <v>0</v>
      </c>
      <c r="Z175" s="1026" t="n">
        <f aca="false">IF(T175&lt;=$V$97,Z174+W175,0)</f>
        <v>0</v>
      </c>
      <c r="AA175" s="654" t="n">
        <f aca="false">IF(T175&lt;=$V$97,AA174+X175,0)</f>
        <v>0</v>
      </c>
      <c r="AB175" s="451"/>
      <c r="AC175" s="1027" t="n">
        <f aca="false">AC174+1</f>
        <v>66</v>
      </c>
      <c r="AD175" s="1025" t="str">
        <f aca="false">IF(AC175&lt;=$AE$97,DATE(YEAR(AD174),MONTH(AD174)+12/$AE$95,DAY(AD174)),"0")</f>
        <v>0</v>
      </c>
      <c r="AE175" s="1026" t="n">
        <f aca="false">IF(AC175&lt;=$AE$97,AH174,0)</f>
        <v>0</v>
      </c>
      <c r="AF175" s="1026" t="n">
        <f aca="false">(AE175*$AE$93*1)/1200</f>
        <v>0</v>
      </c>
      <c r="AG175" s="1022" t="n">
        <f aca="false">IF(AC175&lt;$AE$97,$AE$101-AF175,0)+IF(AC175=$AE$97,$AE$90+$AE$101-AF175,0)</f>
        <v>0</v>
      </c>
      <c r="AH175" s="1026" t="n">
        <f aca="false">AE175-AG175</f>
        <v>0</v>
      </c>
      <c r="AI175" s="1026" t="n">
        <f aca="false">IF(AC175&lt;=$AE$97,AI174+AF175,0)</f>
        <v>0</v>
      </c>
      <c r="AJ175" s="654" t="n">
        <f aca="false">IF(AC175&lt;=$AE$97,AJ174+AG175,0)</f>
        <v>0</v>
      </c>
      <c r="AL175" s="1027" t="n">
        <f aca="false">AL174+1</f>
        <v>66</v>
      </c>
      <c r="AM175" s="1025" t="str">
        <f aca="false">IF(AL175&lt;=$AN$97,DATE(YEAR(AM174),MONTH(AM174)+12/$AN$95,DAY(AM174)),"0")</f>
        <v>0</v>
      </c>
      <c r="AN175" s="1026" t="n">
        <f aca="false">IF(AL175&lt;=$AN$97,AQ174,0)</f>
        <v>0</v>
      </c>
      <c r="AO175" s="1026" t="n">
        <f aca="false">(AN175*$AN$93*1)/1200</f>
        <v>0</v>
      </c>
      <c r="AP175" s="1022" t="n">
        <f aca="false">IF(AL175&lt;$AN$97,$AN$101-AO175,0)+IF(AL175=$AN$97,$AN$90+$AN$101-AO175,0)</f>
        <v>0</v>
      </c>
      <c r="AQ175" s="1026" t="n">
        <f aca="false">AN175-AP175</f>
        <v>0</v>
      </c>
      <c r="AR175" s="1026" t="n">
        <f aca="false">IF(AL175&lt;=$AN$97,AR174+AO175,0)</f>
        <v>0</v>
      </c>
      <c r="AS175" s="654" t="n">
        <f aca="false">IF(AL175&lt;=$AN$97,AS174+AP175,0)</f>
        <v>0</v>
      </c>
      <c r="AU175" s="1027" t="n">
        <f aca="false">AU174+1</f>
        <v>66</v>
      </c>
      <c r="AV175" s="1025" t="str">
        <f aca="false">IF(AU175&lt;=$AW$97,DATE(YEAR(AV174),MONTH(AV174)+12/$AW$95,DAY(AV174)),"0")</f>
        <v>0</v>
      </c>
      <c r="AW175" s="1026" t="n">
        <f aca="false">IF(AU175&lt;=$AW$97,AZ174,0)</f>
        <v>0</v>
      </c>
      <c r="AX175" s="1026" t="n">
        <f aca="false">(AW175*$AW$93*1)/1200</f>
        <v>0</v>
      </c>
      <c r="AY175" s="1022" t="n">
        <f aca="false">IF(AU175&lt;$AW$97,$AW$101-AX175,0)+IF(AU175=$AW$97,$AW$90+$AW$101-AX175,0)</f>
        <v>0</v>
      </c>
      <c r="AZ175" s="1026" t="n">
        <f aca="false">AW175-AY175</f>
        <v>0</v>
      </c>
      <c r="BA175" s="1026" t="n">
        <f aca="false">IF(AU175&lt;=$AW$97,BA174+AX175,0)</f>
        <v>0</v>
      </c>
      <c r="BB175" s="654" t="n">
        <f aca="false">IF(AU175&lt;=$AW$97,BB174+AY175,0)</f>
        <v>0</v>
      </c>
    </row>
    <row r="176" customFormat="false" ht="12.75" hidden="false" customHeight="false" outlineLevel="0" collapsed="false">
      <c r="B176" s="1024" t="n">
        <v>67</v>
      </c>
      <c r="C176" s="1025" t="n">
        <f aca="false">IF(B176&lt;=$D$97,DATE(YEAR(C175),MONTH(C175)+12/$D$94,DAY(C175)),"0")</f>
        <v>46999</v>
      </c>
      <c r="D176" s="1026" t="n">
        <f aca="false">IF(B176=1,$D$90,G175)</f>
        <v>103871.113869545</v>
      </c>
      <c r="E176" s="1026" t="n">
        <f aca="false">(D176*$D$92*1)/1200</f>
        <v>302.95741545284</v>
      </c>
      <c r="F176" s="1026" t="n">
        <f aca="false">IF(AND(B176&lt;=$D$97,B176&gt;$D$95),$D$101-E176,0)</f>
        <v>769.36639656192</v>
      </c>
      <c r="G176" s="1026" t="n">
        <f aca="false">D176-F176</f>
        <v>103101.747472983</v>
      </c>
      <c r="H176" s="1026" t="n">
        <f aca="false">IF(B176&lt;=$D$97,E176+H175,0)</f>
        <v>24947.442877972</v>
      </c>
      <c r="I176" s="654" t="n">
        <f aca="false">IF(B176&lt;=$D$97,F176+I175,0)</f>
        <v>46898.2525270169</v>
      </c>
      <c r="K176" s="1027" t="n">
        <f aca="false">K175+1</f>
        <v>67</v>
      </c>
      <c r="L176" s="1025" t="str">
        <f aca="false">IF(K176&lt;=$M$97,DATE(YEAR(L175),MONTH(L175)+12/$M$94,DAY(L175)),"0")</f>
        <v>0</v>
      </c>
      <c r="M176" s="1026" t="n">
        <f aca="false">IF(K176&lt;=$M$97,P175,0)</f>
        <v>0</v>
      </c>
      <c r="N176" s="1026" t="n">
        <f aca="false">(M176*$M$92*1)/1200</f>
        <v>0</v>
      </c>
      <c r="O176" s="1026" t="n">
        <f aca="false">IF(AND(K176&lt;=$M$97,K176&gt;$M$95),$M$101-N176,0)</f>
        <v>0</v>
      </c>
      <c r="P176" s="1026" t="n">
        <f aca="false">M176-O176</f>
        <v>0</v>
      </c>
      <c r="Q176" s="1026" t="n">
        <f aca="false">IF(K176&lt;=$M$97,Q175+N176,0)</f>
        <v>0</v>
      </c>
      <c r="R176" s="654" t="n">
        <f aca="false">IF(K176&lt;=$D$97,R175+O176,0)</f>
        <v>15000.0000000001</v>
      </c>
      <c r="T176" s="1027" t="n">
        <f aca="false">T175+1</f>
        <v>67</v>
      </c>
      <c r="U176" s="1025" t="str">
        <f aca="false">IF(T176&lt;=$V$97,DATE(YEAR(U175),MONTH(U175)+12/$V$94,DAY(U175)),"0")</f>
        <v>0</v>
      </c>
      <c r="V176" s="1026" t="n">
        <f aca="false">IF(T176&lt;=$V$97,Y175,0)</f>
        <v>0</v>
      </c>
      <c r="W176" s="1026" t="n">
        <f aca="false">(V176*$V$92*1)/1200</f>
        <v>0</v>
      </c>
      <c r="X176" s="1022" t="n">
        <f aca="false">IF(AND(T176&lt;=$V$97,T176&gt;$V$95),$V$101-W176,0)</f>
        <v>0</v>
      </c>
      <c r="Y176" s="1026" t="n">
        <f aca="false">V176-X176</f>
        <v>0</v>
      </c>
      <c r="Z176" s="1026" t="n">
        <f aca="false">IF(T176&lt;=$V$97,Z175+W176,0)</f>
        <v>0</v>
      </c>
      <c r="AA176" s="654" t="n">
        <f aca="false">IF(T176&lt;=$V$97,AA175+X176,0)</f>
        <v>0</v>
      </c>
      <c r="AB176" s="451"/>
      <c r="AC176" s="1027" t="n">
        <f aca="false">AC175+1</f>
        <v>67</v>
      </c>
      <c r="AD176" s="1025" t="str">
        <f aca="false">IF(AC176&lt;=$AE$97,DATE(YEAR(AD175),MONTH(AD175)+12/$AE$95,DAY(AD175)),"0")</f>
        <v>0</v>
      </c>
      <c r="AE176" s="1026" t="n">
        <f aca="false">IF(AC176&lt;=$AE$97,AH175,0)</f>
        <v>0</v>
      </c>
      <c r="AF176" s="1026" t="n">
        <f aca="false">(AE176*$AE$93*1)/1200</f>
        <v>0</v>
      </c>
      <c r="AG176" s="1022" t="n">
        <f aca="false">IF(AC176&lt;$AE$97,$AE$101-AF176,0)+IF(AC176=$AE$97,$AE$90+$AE$101-AF176,0)</f>
        <v>0</v>
      </c>
      <c r="AH176" s="1026" t="n">
        <f aca="false">AE176-AG176</f>
        <v>0</v>
      </c>
      <c r="AI176" s="1026" t="n">
        <f aca="false">IF(AC176&lt;=$AE$97,AI175+AF176,0)</f>
        <v>0</v>
      </c>
      <c r="AJ176" s="654" t="n">
        <f aca="false">IF(AC176&lt;=$AE$97,AJ175+AG176,0)</f>
        <v>0</v>
      </c>
      <c r="AL176" s="1027" t="n">
        <f aca="false">AL175+1</f>
        <v>67</v>
      </c>
      <c r="AM176" s="1025" t="str">
        <f aca="false">IF(AL176&lt;=$AN$97,DATE(YEAR(AM175),MONTH(AM175)+12/$AN$95,DAY(AM175)),"0")</f>
        <v>0</v>
      </c>
      <c r="AN176" s="1026" t="n">
        <f aca="false">IF(AL176&lt;=$AN$97,AQ175,0)</f>
        <v>0</v>
      </c>
      <c r="AO176" s="1026" t="n">
        <f aca="false">(AN176*$AN$93*1)/1200</f>
        <v>0</v>
      </c>
      <c r="AP176" s="1022" t="n">
        <f aca="false">IF(AL176&lt;$AN$97,$AN$101-AO176,0)+IF(AL176=$AN$97,$AN$90+$AN$101-AO176,0)</f>
        <v>0</v>
      </c>
      <c r="AQ176" s="1026" t="n">
        <f aca="false">AN176-AP176</f>
        <v>0</v>
      </c>
      <c r="AR176" s="1026" t="n">
        <f aca="false">IF(AL176&lt;=$AN$97,AR175+AO176,0)</f>
        <v>0</v>
      </c>
      <c r="AS176" s="654" t="n">
        <f aca="false">IF(AL176&lt;=$AN$97,AS175+AP176,0)</f>
        <v>0</v>
      </c>
      <c r="AU176" s="1027" t="n">
        <f aca="false">AU175+1</f>
        <v>67</v>
      </c>
      <c r="AV176" s="1025" t="str">
        <f aca="false">IF(AU176&lt;=$AW$97,DATE(YEAR(AV175),MONTH(AV175)+12/$AW$95,DAY(AV175)),"0")</f>
        <v>0</v>
      </c>
      <c r="AW176" s="1026" t="n">
        <f aca="false">IF(AU176&lt;=$AW$97,AZ175,0)</f>
        <v>0</v>
      </c>
      <c r="AX176" s="1026" t="n">
        <f aca="false">(AW176*$AW$93*1)/1200</f>
        <v>0</v>
      </c>
      <c r="AY176" s="1022" t="n">
        <f aca="false">IF(AU176&lt;$AW$97,$AW$101-AX176,0)+IF(AU176=$AW$97,$AW$90+$AW$101-AX176,0)</f>
        <v>0</v>
      </c>
      <c r="AZ176" s="1026" t="n">
        <f aca="false">AW176-AY176</f>
        <v>0</v>
      </c>
      <c r="BA176" s="1026" t="n">
        <f aca="false">IF(AU176&lt;=$AW$97,BA175+AX176,0)</f>
        <v>0</v>
      </c>
      <c r="BB176" s="654" t="n">
        <f aca="false">IF(AU176&lt;=$AW$97,BB175+AY176,0)</f>
        <v>0</v>
      </c>
    </row>
    <row r="177" customFormat="false" ht="12.75" hidden="false" customHeight="false" outlineLevel="0" collapsed="false">
      <c r="B177" s="1024" t="n">
        <v>68</v>
      </c>
      <c r="C177" s="1025" t="n">
        <f aca="false">IF(B177&lt;=$D$97,DATE(YEAR(C176),MONTH(C176)+12/$D$94,DAY(C176)),"0")</f>
        <v>47029</v>
      </c>
      <c r="D177" s="1026" t="n">
        <f aca="false">IF(B177=1,$D$90,G176)</f>
        <v>103101.747472983</v>
      </c>
      <c r="E177" s="1026" t="n">
        <f aca="false">(D177*$D$92*1)/1200</f>
        <v>300.713430129534</v>
      </c>
      <c r="F177" s="1026" t="n">
        <f aca="false">IF(AND(B177&lt;=$D$97,B177&gt;$D$95),$D$101-E177,0)</f>
        <v>771.610381885225</v>
      </c>
      <c r="G177" s="1026" t="n">
        <f aca="false">D177-F177</f>
        <v>102330.137091098</v>
      </c>
      <c r="H177" s="1026" t="n">
        <f aca="false">IF(B177&lt;=$D$97,E177+H176,0)</f>
        <v>25248.1563081015</v>
      </c>
      <c r="I177" s="654" t="n">
        <f aca="false">IF(B177&lt;=$D$97,F177+I176,0)</f>
        <v>47669.8629089021</v>
      </c>
      <c r="K177" s="1027" t="n">
        <f aca="false">K176+1</f>
        <v>68</v>
      </c>
      <c r="L177" s="1025" t="str">
        <f aca="false">IF(K177&lt;=$M$97,DATE(YEAR(L176),MONTH(L176)+12/$M$94,DAY(L176)),"0")</f>
        <v>0</v>
      </c>
      <c r="M177" s="1026" t="n">
        <f aca="false">IF(K177&lt;=$M$97,P176,0)</f>
        <v>0</v>
      </c>
      <c r="N177" s="1026" t="n">
        <f aca="false">(M177*$M$92*1)/1200</f>
        <v>0</v>
      </c>
      <c r="O177" s="1026" t="n">
        <f aca="false">IF(AND(K177&lt;=$M$97,K177&gt;$M$95),$M$101-N177,0)</f>
        <v>0</v>
      </c>
      <c r="P177" s="1026" t="n">
        <f aca="false">M177-O177</f>
        <v>0</v>
      </c>
      <c r="Q177" s="1026" t="n">
        <f aca="false">IF(K177&lt;=$M$97,Q176+N177,0)</f>
        <v>0</v>
      </c>
      <c r="R177" s="654" t="n">
        <f aca="false">IF(K177&lt;=$D$97,R176+O177,0)</f>
        <v>15000.0000000001</v>
      </c>
      <c r="T177" s="1027" t="n">
        <f aca="false">T176+1</f>
        <v>68</v>
      </c>
      <c r="U177" s="1025" t="str">
        <f aca="false">IF(T177&lt;=$V$97,DATE(YEAR(U176),MONTH(U176)+12/$V$94,DAY(U176)),"0")</f>
        <v>0</v>
      </c>
      <c r="V177" s="1026" t="n">
        <f aca="false">IF(T177&lt;=$V$97,Y176,0)</f>
        <v>0</v>
      </c>
      <c r="W177" s="1026" t="n">
        <f aca="false">(V177*$V$92*1)/1200</f>
        <v>0</v>
      </c>
      <c r="X177" s="1022" t="n">
        <f aca="false">IF(AND(T177&lt;=$V$97,T177&gt;$V$95),$V$101-W177,0)</f>
        <v>0</v>
      </c>
      <c r="Y177" s="1026" t="n">
        <f aca="false">V177-X177</f>
        <v>0</v>
      </c>
      <c r="Z177" s="1026" t="n">
        <f aca="false">IF(T177&lt;=$V$97,Z176+W177,0)</f>
        <v>0</v>
      </c>
      <c r="AA177" s="654" t="n">
        <f aca="false">IF(T177&lt;=$V$97,AA176+X177,0)</f>
        <v>0</v>
      </c>
      <c r="AB177" s="451"/>
      <c r="AC177" s="1027" t="n">
        <f aca="false">AC176+1</f>
        <v>68</v>
      </c>
      <c r="AD177" s="1025" t="str">
        <f aca="false">IF(AC177&lt;=$AE$97,DATE(YEAR(AD176),MONTH(AD176)+12/$AE$95,DAY(AD176)),"0")</f>
        <v>0</v>
      </c>
      <c r="AE177" s="1026" t="n">
        <f aca="false">IF(AC177&lt;=$AE$97,AH176,0)</f>
        <v>0</v>
      </c>
      <c r="AF177" s="1026" t="n">
        <f aca="false">(AE177*$AE$93*1)/1200</f>
        <v>0</v>
      </c>
      <c r="AG177" s="1022" t="n">
        <f aca="false">IF(AC177&lt;$AE$97,$AE$101-AF177,0)+IF(AC177=$AE$97,$AE$90+$AE$101-AF177,0)</f>
        <v>0</v>
      </c>
      <c r="AH177" s="1026" t="n">
        <f aca="false">AE177-AG177</f>
        <v>0</v>
      </c>
      <c r="AI177" s="1026" t="n">
        <f aca="false">IF(AC177&lt;=$AE$97,AI176+AF177,0)</f>
        <v>0</v>
      </c>
      <c r="AJ177" s="654" t="n">
        <f aca="false">IF(AC177&lt;=$AE$97,AJ176+AG177,0)</f>
        <v>0</v>
      </c>
      <c r="AL177" s="1027" t="n">
        <f aca="false">AL176+1</f>
        <v>68</v>
      </c>
      <c r="AM177" s="1025" t="str">
        <f aca="false">IF(AL177&lt;=$AN$97,DATE(YEAR(AM176),MONTH(AM176)+12/$AN$95,DAY(AM176)),"0")</f>
        <v>0</v>
      </c>
      <c r="AN177" s="1026" t="n">
        <f aca="false">IF(AL177&lt;=$AN$97,AQ176,0)</f>
        <v>0</v>
      </c>
      <c r="AO177" s="1026" t="n">
        <f aca="false">(AN177*$AN$93*1)/1200</f>
        <v>0</v>
      </c>
      <c r="AP177" s="1022" t="n">
        <f aca="false">IF(AL177&lt;$AN$97,$AN$101-AO177,0)+IF(AL177=$AN$97,$AN$90+$AN$101-AO177,0)</f>
        <v>0</v>
      </c>
      <c r="AQ177" s="1026" t="n">
        <f aca="false">AN177-AP177</f>
        <v>0</v>
      </c>
      <c r="AR177" s="1026" t="n">
        <f aca="false">IF(AL177&lt;=$AN$97,AR176+AO177,0)</f>
        <v>0</v>
      </c>
      <c r="AS177" s="654" t="n">
        <f aca="false">IF(AL177&lt;=$AN$97,AS176+AP177,0)</f>
        <v>0</v>
      </c>
      <c r="AU177" s="1027" t="n">
        <f aca="false">AU176+1</f>
        <v>68</v>
      </c>
      <c r="AV177" s="1025" t="str">
        <f aca="false">IF(AU177&lt;=$AW$97,DATE(YEAR(AV176),MONTH(AV176)+12/$AW$95,DAY(AV176)),"0")</f>
        <v>0</v>
      </c>
      <c r="AW177" s="1026" t="n">
        <f aca="false">IF(AU177&lt;=$AW$97,AZ176,0)</f>
        <v>0</v>
      </c>
      <c r="AX177" s="1026" t="n">
        <f aca="false">(AW177*$AW$93*1)/1200</f>
        <v>0</v>
      </c>
      <c r="AY177" s="1022" t="n">
        <f aca="false">IF(AU177&lt;$AW$97,$AW$101-AX177,0)+IF(AU177=$AW$97,$AW$90+$AW$101-AX177,0)</f>
        <v>0</v>
      </c>
      <c r="AZ177" s="1026" t="n">
        <f aca="false">AW177-AY177</f>
        <v>0</v>
      </c>
      <c r="BA177" s="1026" t="n">
        <f aca="false">IF(AU177&lt;=$AW$97,BA176+AX177,0)</f>
        <v>0</v>
      </c>
      <c r="BB177" s="654" t="n">
        <f aca="false">IF(AU177&lt;=$AW$97,BB176+AY177,0)</f>
        <v>0</v>
      </c>
    </row>
    <row r="178" customFormat="false" ht="12.75" hidden="false" customHeight="false" outlineLevel="0" collapsed="false">
      <c r="B178" s="1024" t="n">
        <v>69</v>
      </c>
      <c r="C178" s="1025" t="n">
        <f aca="false">IF(B178&lt;=$D$97,DATE(YEAR(C177),MONTH(C177)+12/$D$94,DAY(C177)),"0")</f>
        <v>47060</v>
      </c>
      <c r="D178" s="1026" t="n">
        <f aca="false">IF(B178=1,$D$90,G177)</f>
        <v>102330.137091098</v>
      </c>
      <c r="E178" s="1026" t="n">
        <f aca="false">(D178*$D$92*1)/1200</f>
        <v>298.462899849036</v>
      </c>
      <c r="F178" s="1026" t="n">
        <f aca="false">IF(AND(B178&lt;=$D$97,B178&gt;$D$95),$D$101-E178,0)</f>
        <v>773.860912165724</v>
      </c>
      <c r="G178" s="1026" t="n">
        <f aca="false">D178-F178</f>
        <v>101556.276178932</v>
      </c>
      <c r="H178" s="1026" t="n">
        <f aca="false">IF(B178&lt;=$D$97,E178+H177,0)</f>
        <v>25546.6192079506</v>
      </c>
      <c r="I178" s="654" t="n">
        <f aca="false">IF(B178&lt;=$D$97,F178+I177,0)</f>
        <v>48443.7238210678</v>
      </c>
      <c r="K178" s="1027" t="n">
        <f aca="false">K177+1</f>
        <v>69</v>
      </c>
      <c r="L178" s="1025" t="str">
        <f aca="false">IF(K178&lt;=$M$97,DATE(YEAR(L177),MONTH(L177)+12/$M$94,DAY(L177)),"0")</f>
        <v>0</v>
      </c>
      <c r="M178" s="1026" t="n">
        <f aca="false">IF(K178&lt;=$M$97,P177,0)</f>
        <v>0</v>
      </c>
      <c r="N178" s="1026" t="n">
        <f aca="false">(M178*$M$92*1)/1200</f>
        <v>0</v>
      </c>
      <c r="O178" s="1026" t="n">
        <f aca="false">IF(AND(K178&lt;=$M$97,K178&gt;$M$95),$M$101-N178,0)</f>
        <v>0</v>
      </c>
      <c r="P178" s="1026" t="n">
        <f aca="false">M178-O178</f>
        <v>0</v>
      </c>
      <c r="Q178" s="1026" t="n">
        <f aca="false">IF(K178&lt;=$M$97,Q177+N178,0)</f>
        <v>0</v>
      </c>
      <c r="R178" s="654" t="n">
        <f aca="false">IF(K178&lt;=$D$97,R177+O178,0)</f>
        <v>15000.0000000001</v>
      </c>
      <c r="T178" s="1027" t="n">
        <f aca="false">T177+1</f>
        <v>69</v>
      </c>
      <c r="U178" s="1025" t="str">
        <f aca="false">IF(T178&lt;=$V$97,DATE(YEAR(U177),MONTH(U177)+12/$V$94,DAY(U177)),"0")</f>
        <v>0</v>
      </c>
      <c r="V178" s="1026" t="n">
        <f aca="false">IF(T178&lt;=$V$97,Y177,0)</f>
        <v>0</v>
      </c>
      <c r="W178" s="1026" t="n">
        <f aca="false">(V178*$V$92*1)/1200</f>
        <v>0</v>
      </c>
      <c r="X178" s="1022" t="n">
        <f aca="false">IF(AND(T178&lt;=$V$97,T178&gt;$V$95),$V$101-W178,0)</f>
        <v>0</v>
      </c>
      <c r="Y178" s="1026" t="n">
        <f aca="false">V178-X178</f>
        <v>0</v>
      </c>
      <c r="Z178" s="1026" t="n">
        <f aca="false">IF(T178&lt;=$V$97,Z177+W178,0)</f>
        <v>0</v>
      </c>
      <c r="AA178" s="654" t="n">
        <f aca="false">IF(T178&lt;=$V$97,AA177+X178,0)</f>
        <v>0</v>
      </c>
      <c r="AB178" s="451"/>
      <c r="AC178" s="1027" t="n">
        <f aca="false">AC177+1</f>
        <v>69</v>
      </c>
      <c r="AD178" s="1025" t="str">
        <f aca="false">IF(AC178&lt;=$AE$97,DATE(YEAR(AD177),MONTH(AD177)+12/$AE$95,DAY(AD177)),"0")</f>
        <v>0</v>
      </c>
      <c r="AE178" s="1026" t="n">
        <f aca="false">IF(AC178&lt;=$AE$97,AH177,0)</f>
        <v>0</v>
      </c>
      <c r="AF178" s="1026" t="n">
        <f aca="false">(AE178*$AE$93*1)/1200</f>
        <v>0</v>
      </c>
      <c r="AG178" s="1022" t="n">
        <f aca="false">IF(AC178&lt;$AE$97,$AE$101-AF178,0)+IF(AC178=$AE$97,$AE$90+$AE$101-AF178,0)</f>
        <v>0</v>
      </c>
      <c r="AH178" s="1026" t="n">
        <f aca="false">AE178-AG178</f>
        <v>0</v>
      </c>
      <c r="AI178" s="1026" t="n">
        <f aca="false">IF(AC178&lt;=$AE$97,AI177+AF178,0)</f>
        <v>0</v>
      </c>
      <c r="AJ178" s="654" t="n">
        <f aca="false">IF(AC178&lt;=$AE$97,AJ177+AG178,0)</f>
        <v>0</v>
      </c>
      <c r="AL178" s="1027" t="n">
        <f aca="false">AL177+1</f>
        <v>69</v>
      </c>
      <c r="AM178" s="1025" t="str">
        <f aca="false">IF(AL178&lt;=$AN$97,DATE(YEAR(AM177),MONTH(AM177)+12/$AN$95,DAY(AM177)),"0")</f>
        <v>0</v>
      </c>
      <c r="AN178" s="1026" t="n">
        <f aca="false">IF(AL178&lt;=$AN$97,AQ177,0)</f>
        <v>0</v>
      </c>
      <c r="AO178" s="1026" t="n">
        <f aca="false">(AN178*$AN$93*1)/1200</f>
        <v>0</v>
      </c>
      <c r="AP178" s="1022" t="n">
        <f aca="false">IF(AL178&lt;$AN$97,$AN$101-AO178,0)+IF(AL178=$AN$97,$AN$90+$AN$101-AO178,0)</f>
        <v>0</v>
      </c>
      <c r="AQ178" s="1026" t="n">
        <f aca="false">AN178-AP178</f>
        <v>0</v>
      </c>
      <c r="AR178" s="1026" t="n">
        <f aca="false">IF(AL178&lt;=$AN$97,AR177+AO178,0)</f>
        <v>0</v>
      </c>
      <c r="AS178" s="654" t="n">
        <f aca="false">IF(AL178&lt;=$AN$97,AS177+AP178,0)</f>
        <v>0</v>
      </c>
      <c r="AU178" s="1027" t="n">
        <f aca="false">AU177+1</f>
        <v>69</v>
      </c>
      <c r="AV178" s="1025" t="str">
        <f aca="false">IF(AU178&lt;=$AW$97,DATE(YEAR(AV177),MONTH(AV177)+12/$AW$95,DAY(AV177)),"0")</f>
        <v>0</v>
      </c>
      <c r="AW178" s="1026" t="n">
        <f aca="false">IF(AU178&lt;=$AW$97,AZ177,0)</f>
        <v>0</v>
      </c>
      <c r="AX178" s="1026" t="n">
        <f aca="false">(AW178*$AW$93*1)/1200</f>
        <v>0</v>
      </c>
      <c r="AY178" s="1022" t="n">
        <f aca="false">IF(AU178&lt;$AW$97,$AW$101-AX178,0)+IF(AU178=$AW$97,$AW$90+$AW$101-AX178,0)</f>
        <v>0</v>
      </c>
      <c r="AZ178" s="1026" t="n">
        <f aca="false">AW178-AY178</f>
        <v>0</v>
      </c>
      <c r="BA178" s="1026" t="n">
        <f aca="false">IF(AU178&lt;=$AW$97,BA177+AX178,0)</f>
        <v>0</v>
      </c>
      <c r="BB178" s="654" t="n">
        <f aca="false">IF(AU178&lt;=$AW$97,BB177+AY178,0)</f>
        <v>0</v>
      </c>
    </row>
    <row r="179" customFormat="false" ht="12.75" hidden="false" customHeight="false" outlineLevel="0" collapsed="false">
      <c r="B179" s="1024" t="n">
        <v>70</v>
      </c>
      <c r="C179" s="1025" t="n">
        <f aca="false">IF(B179&lt;=$D$97,DATE(YEAR(C178),MONTH(C178)+12/$D$94,DAY(C178)),"0")</f>
        <v>47090</v>
      </c>
      <c r="D179" s="1026" t="n">
        <f aca="false">IF(B179=1,$D$90,G178)</f>
        <v>101556.276178932</v>
      </c>
      <c r="E179" s="1026" t="n">
        <f aca="false">(D179*$D$92*1)/1200</f>
        <v>296.205805521886</v>
      </c>
      <c r="F179" s="1026" t="n">
        <f aca="false">IF(AND(B179&lt;=$D$97,B179&gt;$D$95),$D$101-E179,0)</f>
        <v>776.118006492874</v>
      </c>
      <c r="G179" s="1026" t="n">
        <f aca="false">D179-F179</f>
        <v>100780.158172439</v>
      </c>
      <c r="H179" s="1026" t="n">
        <f aca="false">IF(B179&lt;=$D$97,E179+H178,0)</f>
        <v>25842.8250134725</v>
      </c>
      <c r="I179" s="654" t="n">
        <f aca="false">IF(B179&lt;=$D$97,F179+I178,0)</f>
        <v>49219.8418275607</v>
      </c>
      <c r="K179" s="1027" t="n">
        <f aca="false">K178+1</f>
        <v>70</v>
      </c>
      <c r="L179" s="1025" t="str">
        <f aca="false">IF(K179&lt;=$M$97,DATE(YEAR(L178),MONTH(L178)+12/$M$94,DAY(L178)),"0")</f>
        <v>0</v>
      </c>
      <c r="M179" s="1026" t="n">
        <f aca="false">IF(K179&lt;=$M$97,P178,0)</f>
        <v>0</v>
      </c>
      <c r="N179" s="1026" t="n">
        <f aca="false">(M179*$M$92*1)/1200</f>
        <v>0</v>
      </c>
      <c r="O179" s="1026" t="n">
        <f aca="false">IF(AND(K179&lt;=$M$97,K179&gt;$M$95),$M$101-N179,0)</f>
        <v>0</v>
      </c>
      <c r="P179" s="1026" t="n">
        <f aca="false">M179-O179</f>
        <v>0</v>
      </c>
      <c r="Q179" s="1026" t="n">
        <f aca="false">IF(K179&lt;=$M$97,Q178+N179,0)</f>
        <v>0</v>
      </c>
      <c r="R179" s="654" t="n">
        <f aca="false">IF(K179&lt;=$D$97,R178+O179,0)</f>
        <v>15000.0000000001</v>
      </c>
      <c r="T179" s="1027" t="n">
        <f aca="false">T178+1</f>
        <v>70</v>
      </c>
      <c r="U179" s="1025" t="str">
        <f aca="false">IF(T179&lt;=$V$97,DATE(YEAR(U178),MONTH(U178)+12/$V$94,DAY(U178)),"0")</f>
        <v>0</v>
      </c>
      <c r="V179" s="1026" t="n">
        <f aca="false">IF(T179&lt;=$V$97,Y178,0)</f>
        <v>0</v>
      </c>
      <c r="W179" s="1026" t="n">
        <f aca="false">(V179*$V$92*1)/1200</f>
        <v>0</v>
      </c>
      <c r="X179" s="1022" t="n">
        <f aca="false">IF(AND(T179&lt;=$V$97,T179&gt;$V$95),$V$101-W179,0)</f>
        <v>0</v>
      </c>
      <c r="Y179" s="1026" t="n">
        <f aca="false">V179-X179</f>
        <v>0</v>
      </c>
      <c r="Z179" s="1026" t="n">
        <f aca="false">IF(T179&lt;=$V$97,Z178+W179,0)</f>
        <v>0</v>
      </c>
      <c r="AA179" s="654" t="n">
        <f aca="false">IF(T179&lt;=$V$97,AA178+X179,0)</f>
        <v>0</v>
      </c>
      <c r="AB179" s="451"/>
      <c r="AC179" s="1027" t="n">
        <f aca="false">AC178+1</f>
        <v>70</v>
      </c>
      <c r="AD179" s="1025" t="str">
        <f aca="false">IF(AC179&lt;=$AE$97,DATE(YEAR(AD178),MONTH(AD178)+12/$AE$95,DAY(AD178)),"0")</f>
        <v>0</v>
      </c>
      <c r="AE179" s="1026" t="n">
        <f aca="false">IF(AC179&lt;=$AE$97,AH178,0)</f>
        <v>0</v>
      </c>
      <c r="AF179" s="1026" t="n">
        <f aca="false">(AE179*$AE$93*1)/1200</f>
        <v>0</v>
      </c>
      <c r="AG179" s="1022" t="n">
        <f aca="false">IF(AC179&lt;$AE$97,$AE$101-AF179,0)+IF(AC179=$AE$97,$AE$90+$AE$101-AF179,0)</f>
        <v>0</v>
      </c>
      <c r="AH179" s="1026" t="n">
        <f aca="false">AE179-AG179</f>
        <v>0</v>
      </c>
      <c r="AI179" s="1026" t="n">
        <f aca="false">IF(AC179&lt;=$AE$97,AI178+AF179,0)</f>
        <v>0</v>
      </c>
      <c r="AJ179" s="654" t="n">
        <f aca="false">IF(AC179&lt;=$AE$97,AJ178+AG179,0)</f>
        <v>0</v>
      </c>
      <c r="AL179" s="1027" t="n">
        <f aca="false">AL178+1</f>
        <v>70</v>
      </c>
      <c r="AM179" s="1025" t="str">
        <f aca="false">IF(AL179&lt;=$AN$97,DATE(YEAR(AM178),MONTH(AM178)+12/$AN$95,DAY(AM178)),"0")</f>
        <v>0</v>
      </c>
      <c r="AN179" s="1026" t="n">
        <f aca="false">IF(AL179&lt;=$AN$97,AQ178,0)</f>
        <v>0</v>
      </c>
      <c r="AO179" s="1026" t="n">
        <f aca="false">(AN179*$AN$93*1)/1200</f>
        <v>0</v>
      </c>
      <c r="AP179" s="1022" t="n">
        <f aca="false">IF(AL179&lt;$AN$97,$AN$101-AO179,0)+IF(AL179=$AN$97,$AN$90+$AN$101-AO179,0)</f>
        <v>0</v>
      </c>
      <c r="AQ179" s="1026" t="n">
        <f aca="false">AN179-AP179</f>
        <v>0</v>
      </c>
      <c r="AR179" s="1026" t="n">
        <f aca="false">IF(AL179&lt;=$AN$97,AR178+AO179,0)</f>
        <v>0</v>
      </c>
      <c r="AS179" s="654" t="n">
        <f aca="false">IF(AL179&lt;=$AN$97,AS178+AP179,0)</f>
        <v>0</v>
      </c>
      <c r="AU179" s="1027" t="n">
        <f aca="false">AU178+1</f>
        <v>70</v>
      </c>
      <c r="AV179" s="1025" t="str">
        <f aca="false">IF(AU179&lt;=$AW$97,DATE(YEAR(AV178),MONTH(AV178)+12/$AW$95,DAY(AV178)),"0")</f>
        <v>0</v>
      </c>
      <c r="AW179" s="1026" t="n">
        <f aca="false">IF(AU179&lt;=$AW$97,AZ178,0)</f>
        <v>0</v>
      </c>
      <c r="AX179" s="1026" t="n">
        <f aca="false">(AW179*$AW$93*1)/1200</f>
        <v>0</v>
      </c>
      <c r="AY179" s="1022" t="n">
        <f aca="false">IF(AU179&lt;$AW$97,$AW$101-AX179,0)+IF(AU179=$AW$97,$AW$90+$AW$101-AX179,0)</f>
        <v>0</v>
      </c>
      <c r="AZ179" s="1026" t="n">
        <f aca="false">AW179-AY179</f>
        <v>0</v>
      </c>
      <c r="BA179" s="1026" t="n">
        <f aca="false">IF(AU179&lt;=$AW$97,BA178+AX179,0)</f>
        <v>0</v>
      </c>
      <c r="BB179" s="654" t="n">
        <f aca="false">IF(AU179&lt;=$AW$97,BB178+AY179,0)</f>
        <v>0</v>
      </c>
    </row>
    <row r="180" customFormat="false" ht="12.75" hidden="false" customHeight="false" outlineLevel="0" collapsed="false">
      <c r="B180" s="1024" t="n">
        <v>71</v>
      </c>
      <c r="C180" s="1025" t="n">
        <f aca="false">IF(B180&lt;=$D$97,DATE(YEAR(C179),MONTH(C179)+12/$D$94,DAY(C179)),"0")</f>
        <v>47121</v>
      </c>
      <c r="D180" s="1026" t="n">
        <f aca="false">IF(B180=1,$D$90,G179)</f>
        <v>100780.158172439</v>
      </c>
      <c r="E180" s="1026" t="n">
        <f aca="false">(D180*$D$92*1)/1200</f>
        <v>293.942128002948</v>
      </c>
      <c r="F180" s="1026" t="n">
        <f aca="false">IF(AND(B180&lt;=$D$97,B180&gt;$D$95),$D$101-E180,0)</f>
        <v>778.381684011811</v>
      </c>
      <c r="G180" s="1026" t="n">
        <f aca="false">D180-F180</f>
        <v>100001.776488428</v>
      </c>
      <c r="H180" s="1026" t="n">
        <f aca="false">IF(B180&lt;=$D$97,E180+H179,0)</f>
        <v>26136.7671414754</v>
      </c>
      <c r="I180" s="654" t="n">
        <f aca="false">IF(B180&lt;=$D$97,F180+I179,0)</f>
        <v>49998.2235115725</v>
      </c>
      <c r="K180" s="1027" t="n">
        <f aca="false">K179+1</f>
        <v>71</v>
      </c>
      <c r="L180" s="1025" t="str">
        <f aca="false">IF(K180&lt;=$M$97,DATE(YEAR(L179),MONTH(L179)+12/$M$94,DAY(L179)),"0")</f>
        <v>0</v>
      </c>
      <c r="M180" s="1026" t="n">
        <f aca="false">IF(K180&lt;=$M$97,P179,0)</f>
        <v>0</v>
      </c>
      <c r="N180" s="1026" t="n">
        <f aca="false">(M180*$M$92*1)/1200</f>
        <v>0</v>
      </c>
      <c r="O180" s="1026" t="n">
        <f aca="false">IF(AND(K180&lt;=$M$97,K180&gt;$M$95),$M$101-N180,0)</f>
        <v>0</v>
      </c>
      <c r="P180" s="1026" t="n">
        <f aca="false">M180-O180</f>
        <v>0</v>
      </c>
      <c r="Q180" s="1026" t="n">
        <f aca="false">IF(K180&lt;=$M$97,Q179+N180,0)</f>
        <v>0</v>
      </c>
      <c r="R180" s="654" t="n">
        <f aca="false">IF(K180&lt;=$D$97,R179+O180,0)</f>
        <v>15000.0000000001</v>
      </c>
      <c r="T180" s="1027" t="n">
        <f aca="false">T179+1</f>
        <v>71</v>
      </c>
      <c r="U180" s="1025" t="str">
        <f aca="false">IF(T180&lt;=$V$97,DATE(YEAR(U179),MONTH(U179)+12/$V$94,DAY(U179)),"0")</f>
        <v>0</v>
      </c>
      <c r="V180" s="1026" t="n">
        <f aca="false">IF(T180&lt;=$V$97,Y179,0)</f>
        <v>0</v>
      </c>
      <c r="W180" s="1026" t="n">
        <f aca="false">(V180*$V$92*1)/1200</f>
        <v>0</v>
      </c>
      <c r="X180" s="1022" t="n">
        <f aca="false">IF(AND(T180&lt;=$V$97,T180&gt;$V$95),$V$101-W180,0)</f>
        <v>0</v>
      </c>
      <c r="Y180" s="1026" t="n">
        <f aca="false">V180-X180</f>
        <v>0</v>
      </c>
      <c r="Z180" s="1026" t="n">
        <f aca="false">IF(T180&lt;=$V$97,Z179+W180,0)</f>
        <v>0</v>
      </c>
      <c r="AA180" s="654" t="n">
        <f aca="false">IF(T180&lt;=$V$97,AA179+X180,0)</f>
        <v>0</v>
      </c>
      <c r="AB180" s="451"/>
      <c r="AC180" s="1027" t="n">
        <f aca="false">AC179+1</f>
        <v>71</v>
      </c>
      <c r="AD180" s="1025" t="str">
        <f aca="false">IF(AC180&lt;=$AE$97,DATE(YEAR(AD179),MONTH(AD179)+12/$AE$95,DAY(AD179)),"0")</f>
        <v>0</v>
      </c>
      <c r="AE180" s="1026" t="n">
        <f aca="false">IF(AC180&lt;=$AE$97,AH179,0)</f>
        <v>0</v>
      </c>
      <c r="AF180" s="1026" t="n">
        <f aca="false">(AE180*$AE$93*1)/1200</f>
        <v>0</v>
      </c>
      <c r="AG180" s="1022" t="n">
        <f aca="false">IF(AC180&lt;$AE$97,$AE$101-AF180,0)+IF(AC180=$AE$97,$AE$90+$AE$101-AF180,0)</f>
        <v>0</v>
      </c>
      <c r="AH180" s="1026" t="n">
        <f aca="false">AE180-AG180</f>
        <v>0</v>
      </c>
      <c r="AI180" s="1026" t="n">
        <f aca="false">IF(AC180&lt;=$AE$97,AI179+AF180,0)</f>
        <v>0</v>
      </c>
      <c r="AJ180" s="654" t="n">
        <f aca="false">IF(AC180&lt;=$AE$97,AJ179+AG180,0)</f>
        <v>0</v>
      </c>
      <c r="AL180" s="1027" t="n">
        <f aca="false">AL179+1</f>
        <v>71</v>
      </c>
      <c r="AM180" s="1025" t="str">
        <f aca="false">IF(AL180&lt;=$AN$97,DATE(YEAR(AM179),MONTH(AM179)+12/$AN$95,DAY(AM179)),"0")</f>
        <v>0</v>
      </c>
      <c r="AN180" s="1026" t="n">
        <f aca="false">IF(AL180&lt;=$AN$97,AQ179,0)</f>
        <v>0</v>
      </c>
      <c r="AO180" s="1026" t="n">
        <f aca="false">(AN180*$AN$93*1)/1200</f>
        <v>0</v>
      </c>
      <c r="AP180" s="1022" t="n">
        <f aca="false">IF(AL180&lt;$AN$97,$AN$101-AO180,0)+IF(AL180=$AN$97,$AN$90+$AN$101-AO180,0)</f>
        <v>0</v>
      </c>
      <c r="AQ180" s="1026" t="n">
        <f aca="false">AN180-AP180</f>
        <v>0</v>
      </c>
      <c r="AR180" s="1026" t="n">
        <f aca="false">IF(AL180&lt;=$AN$97,AR179+AO180,0)</f>
        <v>0</v>
      </c>
      <c r="AS180" s="654" t="n">
        <f aca="false">IF(AL180&lt;=$AN$97,AS179+AP180,0)</f>
        <v>0</v>
      </c>
      <c r="AU180" s="1027" t="n">
        <f aca="false">AU179+1</f>
        <v>71</v>
      </c>
      <c r="AV180" s="1025" t="str">
        <f aca="false">IF(AU180&lt;=$AW$97,DATE(YEAR(AV179),MONTH(AV179)+12/$AW$95,DAY(AV179)),"0")</f>
        <v>0</v>
      </c>
      <c r="AW180" s="1026" t="n">
        <f aca="false">IF(AU180&lt;=$AW$97,AZ179,0)</f>
        <v>0</v>
      </c>
      <c r="AX180" s="1026" t="n">
        <f aca="false">(AW180*$AW$93*1)/1200</f>
        <v>0</v>
      </c>
      <c r="AY180" s="1022" t="n">
        <f aca="false">IF(AU180&lt;$AW$97,$AW$101-AX180,0)+IF(AU180=$AW$97,$AW$90+$AW$101-AX180,0)</f>
        <v>0</v>
      </c>
      <c r="AZ180" s="1026" t="n">
        <f aca="false">AW180-AY180</f>
        <v>0</v>
      </c>
      <c r="BA180" s="1026" t="n">
        <f aca="false">IF(AU180&lt;=$AW$97,BA179+AX180,0)</f>
        <v>0</v>
      </c>
      <c r="BB180" s="654" t="n">
        <f aca="false">IF(AU180&lt;=$AW$97,BB179+AY180,0)</f>
        <v>0</v>
      </c>
    </row>
    <row r="181" customFormat="false" ht="12.75" hidden="false" customHeight="false" outlineLevel="0" collapsed="false">
      <c r="B181" s="1024" t="n">
        <v>72</v>
      </c>
      <c r="C181" s="1025" t="n">
        <f aca="false">IF(B181&lt;=$D$97,DATE(YEAR(C180),MONTH(C180)+12/$D$94,DAY(C180)),"0")</f>
        <v>47152</v>
      </c>
      <c r="D181" s="1026" t="n">
        <f aca="false">IF(B181=1,$D$90,G180)</f>
        <v>100001.776488428</v>
      </c>
      <c r="E181" s="1026" t="n">
        <f aca="false">(D181*$D$92*1)/1200</f>
        <v>291.671848091247</v>
      </c>
      <c r="F181" s="1026" t="n">
        <f aca="false">IF(AND(B181&lt;=$D$97,B181&gt;$D$95),$D$101-E181,0)</f>
        <v>780.651963923513</v>
      </c>
      <c r="G181" s="1026" t="n">
        <f aca="false">D181-F181</f>
        <v>99221.124524504</v>
      </c>
      <c r="H181" s="1026" t="n">
        <f aca="false">IF(B181&lt;=$D$97,E181+H180,0)</f>
        <v>26428.4389895666</v>
      </c>
      <c r="I181" s="654" t="n">
        <f aca="false">IF(B181&lt;=$D$97,F181+I180,0)</f>
        <v>50778.875475496</v>
      </c>
      <c r="K181" s="1027" t="n">
        <f aca="false">K180+1</f>
        <v>72</v>
      </c>
      <c r="L181" s="1025" t="str">
        <f aca="false">IF(K181&lt;=$M$97,DATE(YEAR(L180),MONTH(L180)+12/$M$94,DAY(L180)),"0")</f>
        <v>0</v>
      </c>
      <c r="M181" s="1026" t="n">
        <f aca="false">IF(K181&lt;=$M$97,P180,0)</f>
        <v>0</v>
      </c>
      <c r="N181" s="1026" t="n">
        <f aca="false">(M181*$M$92*1)/1200</f>
        <v>0</v>
      </c>
      <c r="O181" s="1026" t="n">
        <f aca="false">IF(AND(K181&lt;=$M$97,K181&gt;$M$95),$M$101-N181,0)</f>
        <v>0</v>
      </c>
      <c r="P181" s="1026" t="n">
        <f aca="false">M181-O181</f>
        <v>0</v>
      </c>
      <c r="Q181" s="1026" t="n">
        <f aca="false">IF(K181&lt;=$M$97,Q180+N181,0)</f>
        <v>0</v>
      </c>
      <c r="R181" s="654" t="n">
        <f aca="false">IF(K181&lt;=$D$97,R180+O181,0)</f>
        <v>15000.0000000001</v>
      </c>
      <c r="T181" s="1027" t="n">
        <f aca="false">T180+1</f>
        <v>72</v>
      </c>
      <c r="U181" s="1025" t="str">
        <f aca="false">IF(T181&lt;=$V$97,DATE(YEAR(U180),MONTH(U180)+12/$V$94,DAY(U180)),"0")</f>
        <v>0</v>
      </c>
      <c r="V181" s="1026" t="n">
        <f aca="false">IF(T181&lt;=$V$97,Y180,0)</f>
        <v>0</v>
      </c>
      <c r="W181" s="1026" t="n">
        <f aca="false">(V181*$V$92*1)/1200</f>
        <v>0</v>
      </c>
      <c r="X181" s="1022" t="n">
        <f aca="false">IF(AND(T181&lt;=$V$97,T181&gt;$V$95),$V$101-W181,0)</f>
        <v>0</v>
      </c>
      <c r="Y181" s="1026" t="n">
        <f aca="false">V181-X181</f>
        <v>0</v>
      </c>
      <c r="Z181" s="1026" t="n">
        <f aca="false">IF(T181&lt;=$V$97,Z180+W181,0)</f>
        <v>0</v>
      </c>
      <c r="AA181" s="654" t="n">
        <f aca="false">IF(T181&lt;=$V$97,AA180+X181,0)</f>
        <v>0</v>
      </c>
      <c r="AB181" s="451"/>
      <c r="AC181" s="1027" t="n">
        <f aca="false">AC180+1</f>
        <v>72</v>
      </c>
      <c r="AD181" s="1025" t="str">
        <f aca="false">IF(AC181&lt;=$AE$97,DATE(YEAR(AD180),MONTH(AD180)+12/$AE$95,DAY(AD180)),"0")</f>
        <v>0</v>
      </c>
      <c r="AE181" s="1026" t="n">
        <f aca="false">IF(AC181&lt;=$AE$97,AH180,0)</f>
        <v>0</v>
      </c>
      <c r="AF181" s="1026" t="n">
        <f aca="false">(AE181*$AE$93*1)/1200</f>
        <v>0</v>
      </c>
      <c r="AG181" s="1022" t="n">
        <f aca="false">IF(AC181&lt;$AE$97,$AE$101-AF181,0)+IF(AC181=$AE$97,$AE$90+$AE$101-AF181,0)</f>
        <v>0</v>
      </c>
      <c r="AH181" s="1026" t="n">
        <f aca="false">AE181-AG181</f>
        <v>0</v>
      </c>
      <c r="AI181" s="1026" t="n">
        <f aca="false">IF(AC181&lt;=$AE$97,AI180+AF181,0)</f>
        <v>0</v>
      </c>
      <c r="AJ181" s="654" t="n">
        <f aca="false">IF(AC181&lt;=$AE$97,AJ180+AG181,0)</f>
        <v>0</v>
      </c>
      <c r="AL181" s="1027" t="n">
        <f aca="false">AL180+1</f>
        <v>72</v>
      </c>
      <c r="AM181" s="1025" t="str">
        <f aca="false">IF(AL181&lt;=$AN$97,DATE(YEAR(AM180),MONTH(AM180)+12/$AN$95,DAY(AM180)),"0")</f>
        <v>0</v>
      </c>
      <c r="AN181" s="1026" t="n">
        <f aca="false">IF(AL181&lt;=$AN$97,AQ180,0)</f>
        <v>0</v>
      </c>
      <c r="AO181" s="1026" t="n">
        <f aca="false">(AN181*$AN$93*1)/1200</f>
        <v>0</v>
      </c>
      <c r="AP181" s="1022" t="n">
        <f aca="false">IF(AL181&lt;$AN$97,$AN$101-AO181,0)+IF(AL181=$AN$97,$AN$90+$AN$101-AO181,0)</f>
        <v>0</v>
      </c>
      <c r="AQ181" s="1026" t="n">
        <f aca="false">AN181-AP181</f>
        <v>0</v>
      </c>
      <c r="AR181" s="1026" t="n">
        <f aca="false">IF(AL181&lt;=$AN$97,AR180+AO181,0)</f>
        <v>0</v>
      </c>
      <c r="AS181" s="654" t="n">
        <f aca="false">IF(AL181&lt;=$AN$97,AS180+AP181,0)</f>
        <v>0</v>
      </c>
      <c r="AU181" s="1027" t="n">
        <f aca="false">AU180+1</f>
        <v>72</v>
      </c>
      <c r="AV181" s="1025" t="str">
        <f aca="false">IF(AU181&lt;=$AW$97,DATE(YEAR(AV180),MONTH(AV180)+12/$AW$95,DAY(AV180)),"0")</f>
        <v>0</v>
      </c>
      <c r="AW181" s="1026" t="n">
        <f aca="false">IF(AU181&lt;=$AW$97,AZ180,0)</f>
        <v>0</v>
      </c>
      <c r="AX181" s="1026" t="n">
        <f aca="false">(AW181*$AW$93*1)/1200</f>
        <v>0</v>
      </c>
      <c r="AY181" s="1022" t="n">
        <f aca="false">IF(AU181&lt;$AW$97,$AW$101-AX181,0)+IF(AU181=$AW$97,$AW$90+$AW$101-AX181,0)</f>
        <v>0</v>
      </c>
      <c r="AZ181" s="1026" t="n">
        <f aca="false">AW181-AY181</f>
        <v>0</v>
      </c>
      <c r="BA181" s="1026" t="n">
        <f aca="false">IF(AU181&lt;=$AW$97,BA180+AX181,0)</f>
        <v>0</v>
      </c>
      <c r="BB181" s="654" t="n">
        <f aca="false">IF(AU181&lt;=$AW$97,BB180+AY181,0)</f>
        <v>0</v>
      </c>
    </row>
    <row r="182" customFormat="false" ht="12.75" hidden="false" customHeight="false" outlineLevel="0" collapsed="false">
      <c r="B182" s="1024" t="n">
        <v>73</v>
      </c>
      <c r="C182" s="1025" t="n">
        <f aca="false">IF(B182&lt;=$D$97,DATE(YEAR(C181),MONTH(C181)+12/$D$94,DAY(C181)),"0")</f>
        <v>47180</v>
      </c>
      <c r="D182" s="1026" t="n">
        <f aca="false">IF(B182=1,$D$90,G181)</f>
        <v>99221.124524504</v>
      </c>
      <c r="E182" s="1026" t="n">
        <f aca="false">(D182*$D$92*1)/1200</f>
        <v>289.394946529803</v>
      </c>
      <c r="F182" s="1026" t="n">
        <f aca="false">IF(AND(B182&lt;=$D$97,B182&gt;$D$95),$D$101-E182,0)</f>
        <v>782.928865484956</v>
      </c>
      <c r="G182" s="1026" t="n">
        <f aca="false">D182-F182</f>
        <v>98438.195659019</v>
      </c>
      <c r="H182" s="1026" t="n">
        <f aca="false">IF(B182&lt;=$D$97,E182+H181,0)</f>
        <v>26717.8339360965</v>
      </c>
      <c r="I182" s="654" t="n">
        <f aca="false">IF(B182&lt;=$D$97,F182+I181,0)</f>
        <v>51561.804340981</v>
      </c>
      <c r="K182" s="1027" t="n">
        <f aca="false">K181+1</f>
        <v>73</v>
      </c>
      <c r="L182" s="1025" t="str">
        <f aca="false">IF(K182&lt;=$M$97,DATE(YEAR(L181),MONTH(L181)+12/$M$94,DAY(L181)),"0")</f>
        <v>0</v>
      </c>
      <c r="M182" s="1026" t="n">
        <f aca="false">IF(K182&lt;=$M$97,P181,0)</f>
        <v>0</v>
      </c>
      <c r="N182" s="1026" t="n">
        <f aca="false">(M182*$M$92*1)/1200</f>
        <v>0</v>
      </c>
      <c r="O182" s="1026" t="n">
        <f aca="false">IF(AND(K182&lt;=$M$97,K182&gt;$M$95),$M$101-N182,0)</f>
        <v>0</v>
      </c>
      <c r="P182" s="1026" t="n">
        <f aca="false">M182-O182</f>
        <v>0</v>
      </c>
      <c r="Q182" s="1026" t="n">
        <f aca="false">IF(K182&lt;=$M$97,Q181+N182,0)</f>
        <v>0</v>
      </c>
      <c r="R182" s="654" t="n">
        <f aca="false">IF(K182&lt;=$D$97,R181+O182,0)</f>
        <v>15000.0000000001</v>
      </c>
      <c r="T182" s="1027" t="n">
        <f aca="false">T181+1</f>
        <v>73</v>
      </c>
      <c r="U182" s="1025" t="str">
        <f aca="false">IF(T182&lt;=$V$97,DATE(YEAR(U181),MONTH(U181)+12/$V$94,DAY(U181)),"0")</f>
        <v>0</v>
      </c>
      <c r="V182" s="1026" t="n">
        <f aca="false">IF(T182&lt;=$V$97,Y181,0)</f>
        <v>0</v>
      </c>
      <c r="W182" s="1026" t="n">
        <f aca="false">(V182*$V$92*1)/1200</f>
        <v>0</v>
      </c>
      <c r="X182" s="1022" t="n">
        <f aca="false">IF(AND(T182&lt;=$V$97,T182&gt;$V$95),$V$101-W182,0)</f>
        <v>0</v>
      </c>
      <c r="Y182" s="1026" t="n">
        <f aca="false">V182-X182</f>
        <v>0</v>
      </c>
      <c r="Z182" s="1026" t="n">
        <f aca="false">IF(T182&lt;=$V$97,Z181+W182,0)</f>
        <v>0</v>
      </c>
      <c r="AA182" s="654" t="n">
        <f aca="false">IF(T182&lt;=$V$97,AA181+X182,0)</f>
        <v>0</v>
      </c>
      <c r="AB182" s="451"/>
      <c r="AC182" s="1027" t="n">
        <f aca="false">AC181+1</f>
        <v>73</v>
      </c>
      <c r="AD182" s="1025" t="str">
        <f aca="false">IF(AC182&lt;=$AE$97,DATE(YEAR(AD181),MONTH(AD181)+12/$AE$95,DAY(AD181)),"0")</f>
        <v>0</v>
      </c>
      <c r="AE182" s="1026" t="n">
        <f aca="false">IF(AC182&lt;=$AE$97,AH181,0)</f>
        <v>0</v>
      </c>
      <c r="AF182" s="1026" t="n">
        <f aca="false">(AE182*$AE$93*1)/1200</f>
        <v>0</v>
      </c>
      <c r="AG182" s="1022" t="n">
        <f aca="false">IF(AC182&lt;$AE$97,$AE$101-AF182,0)+IF(AC182=$AE$97,$AE$90+$AE$101-AF182,0)</f>
        <v>0</v>
      </c>
      <c r="AH182" s="1026" t="n">
        <f aca="false">AE182-AG182</f>
        <v>0</v>
      </c>
      <c r="AI182" s="1026" t="n">
        <f aca="false">IF(AC182&lt;=$AE$97,AI181+AF182,0)</f>
        <v>0</v>
      </c>
      <c r="AJ182" s="654" t="n">
        <f aca="false">IF(AC182&lt;=$AE$97,AJ181+AG182,0)</f>
        <v>0</v>
      </c>
      <c r="AL182" s="1027" t="n">
        <f aca="false">AL181+1</f>
        <v>73</v>
      </c>
      <c r="AM182" s="1025" t="str">
        <f aca="false">IF(AL182&lt;=$AN$97,DATE(YEAR(AM181),MONTH(AM181)+12/$AN$95,DAY(AM181)),"0")</f>
        <v>0</v>
      </c>
      <c r="AN182" s="1026" t="n">
        <f aca="false">IF(AL182&lt;=$AN$97,AQ181,0)</f>
        <v>0</v>
      </c>
      <c r="AO182" s="1026" t="n">
        <f aca="false">(AN182*$AN$93*1)/1200</f>
        <v>0</v>
      </c>
      <c r="AP182" s="1022" t="n">
        <f aca="false">IF(AL182&lt;$AN$97,$AN$101-AO182,0)+IF(AL182=$AN$97,$AN$90+$AN$101-AO182,0)</f>
        <v>0</v>
      </c>
      <c r="AQ182" s="1026" t="n">
        <f aca="false">AN182-AP182</f>
        <v>0</v>
      </c>
      <c r="AR182" s="1026" t="n">
        <f aca="false">IF(AL182&lt;=$AN$97,AR181+AO182,0)</f>
        <v>0</v>
      </c>
      <c r="AS182" s="654" t="n">
        <f aca="false">IF(AL182&lt;=$AN$97,AS181+AP182,0)</f>
        <v>0</v>
      </c>
      <c r="AU182" s="1027" t="n">
        <f aca="false">AU181+1</f>
        <v>73</v>
      </c>
      <c r="AV182" s="1025" t="str">
        <f aca="false">IF(AU182&lt;=$AW$97,DATE(YEAR(AV181),MONTH(AV181)+12/$AW$95,DAY(AV181)),"0")</f>
        <v>0</v>
      </c>
      <c r="AW182" s="1026" t="n">
        <f aca="false">IF(AU182&lt;=$AW$97,AZ181,0)</f>
        <v>0</v>
      </c>
      <c r="AX182" s="1026" t="n">
        <f aca="false">(AW182*$AW$93*1)/1200</f>
        <v>0</v>
      </c>
      <c r="AY182" s="1022" t="n">
        <f aca="false">IF(AU182&lt;$AW$97,$AW$101-AX182,0)+IF(AU182=$AW$97,$AW$90+$AW$101-AX182,0)</f>
        <v>0</v>
      </c>
      <c r="AZ182" s="1026" t="n">
        <f aca="false">AW182-AY182</f>
        <v>0</v>
      </c>
      <c r="BA182" s="1026" t="n">
        <f aca="false">IF(AU182&lt;=$AW$97,BA181+AX182,0)</f>
        <v>0</v>
      </c>
      <c r="BB182" s="654" t="n">
        <f aca="false">IF(AU182&lt;=$AW$97,BB181+AY182,0)</f>
        <v>0</v>
      </c>
    </row>
    <row r="183" customFormat="false" ht="12.75" hidden="false" customHeight="false" outlineLevel="0" collapsed="false">
      <c r="B183" s="1024" t="n">
        <v>74</v>
      </c>
      <c r="C183" s="1025" t="n">
        <f aca="false">IF(B183&lt;=$D$97,DATE(YEAR(C182),MONTH(C182)+12/$D$94,DAY(C182)),"0")</f>
        <v>47211</v>
      </c>
      <c r="D183" s="1026" t="n">
        <f aca="false">IF(B183=1,$D$90,G182)</f>
        <v>98438.195659019</v>
      </c>
      <c r="E183" s="1026" t="n">
        <f aca="false">(D183*$D$92*1)/1200</f>
        <v>287.111404005472</v>
      </c>
      <c r="F183" s="1026" t="n">
        <f aca="false">IF(AND(B183&lt;=$D$97,B183&gt;$D$95),$D$101-E183,0)</f>
        <v>785.212408009287</v>
      </c>
      <c r="G183" s="1026" t="n">
        <f aca="false">D183-F183</f>
        <v>97652.9832510098</v>
      </c>
      <c r="H183" s="1026" t="n">
        <f aca="false">IF(B183&lt;=$D$97,E183+H182,0)</f>
        <v>27004.9453401019</v>
      </c>
      <c r="I183" s="654" t="n">
        <f aca="false">IF(B183&lt;=$D$97,F183+I182,0)</f>
        <v>52347.0167489903</v>
      </c>
      <c r="K183" s="1027" t="n">
        <f aca="false">K182+1</f>
        <v>74</v>
      </c>
      <c r="L183" s="1025" t="str">
        <f aca="false">IF(K183&lt;=$M$97,DATE(YEAR(L182),MONTH(L182)+12/$M$94,DAY(L182)),"0")</f>
        <v>0</v>
      </c>
      <c r="M183" s="1026" t="n">
        <f aca="false">IF(K183&lt;=$M$97,P182,0)</f>
        <v>0</v>
      </c>
      <c r="N183" s="1026" t="n">
        <f aca="false">(M183*$M$92*1)/1200</f>
        <v>0</v>
      </c>
      <c r="O183" s="1026" t="n">
        <f aca="false">IF(AND(K183&lt;=$M$97,K183&gt;$M$95),$M$101-N183,0)</f>
        <v>0</v>
      </c>
      <c r="P183" s="1026" t="n">
        <f aca="false">M183-O183</f>
        <v>0</v>
      </c>
      <c r="Q183" s="1026" t="n">
        <f aca="false">IF(K183&lt;=$M$97,Q182+N183,0)</f>
        <v>0</v>
      </c>
      <c r="R183" s="654" t="n">
        <f aca="false">IF(K183&lt;=$D$97,R182+O183,0)</f>
        <v>15000.0000000001</v>
      </c>
      <c r="T183" s="1027" t="n">
        <f aca="false">T182+1</f>
        <v>74</v>
      </c>
      <c r="U183" s="1025" t="str">
        <f aca="false">IF(T183&lt;=$V$97,DATE(YEAR(U182),MONTH(U182)+12/$V$94,DAY(U182)),"0")</f>
        <v>0</v>
      </c>
      <c r="V183" s="1026" t="n">
        <f aca="false">IF(T183&lt;=$V$97,Y182,0)</f>
        <v>0</v>
      </c>
      <c r="W183" s="1026" t="n">
        <f aca="false">(V183*$V$92*1)/1200</f>
        <v>0</v>
      </c>
      <c r="X183" s="1022" t="n">
        <f aca="false">IF(AND(T183&lt;=$V$97,T183&gt;$V$95),$V$101-W183,0)</f>
        <v>0</v>
      </c>
      <c r="Y183" s="1026" t="n">
        <f aca="false">V183-X183</f>
        <v>0</v>
      </c>
      <c r="Z183" s="1026" t="n">
        <f aca="false">IF(T183&lt;=$V$97,Z182+W183,0)</f>
        <v>0</v>
      </c>
      <c r="AA183" s="654" t="n">
        <f aca="false">IF(T183&lt;=$V$97,AA182+X183,0)</f>
        <v>0</v>
      </c>
      <c r="AB183" s="451"/>
      <c r="AC183" s="1027" t="n">
        <f aca="false">AC182+1</f>
        <v>74</v>
      </c>
      <c r="AD183" s="1025" t="str">
        <f aca="false">IF(AC183&lt;=$AE$97,DATE(YEAR(AD182),MONTH(AD182)+12/$AE$95,DAY(AD182)),"0")</f>
        <v>0</v>
      </c>
      <c r="AE183" s="1026" t="n">
        <f aca="false">IF(AC183&lt;=$AE$97,AH182,0)</f>
        <v>0</v>
      </c>
      <c r="AF183" s="1026" t="n">
        <f aca="false">(AE183*$AE$93*1)/1200</f>
        <v>0</v>
      </c>
      <c r="AG183" s="1022" t="n">
        <f aca="false">IF(AC183&lt;$AE$97,$AE$101-AF183,0)+IF(AC183=$AE$97,$AE$90+$AE$101-AF183,0)</f>
        <v>0</v>
      </c>
      <c r="AH183" s="1026" t="n">
        <f aca="false">AE183-AG183</f>
        <v>0</v>
      </c>
      <c r="AI183" s="1026" t="n">
        <f aca="false">IF(AC183&lt;=$AE$97,AI182+AF183,0)</f>
        <v>0</v>
      </c>
      <c r="AJ183" s="654" t="n">
        <f aca="false">IF(AC183&lt;=$AE$97,AJ182+AG183,0)</f>
        <v>0</v>
      </c>
      <c r="AL183" s="1027" t="n">
        <f aca="false">AL182+1</f>
        <v>74</v>
      </c>
      <c r="AM183" s="1025" t="str">
        <f aca="false">IF(AL183&lt;=$AN$97,DATE(YEAR(AM182),MONTH(AM182)+12/$AN$95,DAY(AM182)),"0")</f>
        <v>0</v>
      </c>
      <c r="AN183" s="1026" t="n">
        <f aca="false">IF(AL183&lt;=$AN$97,AQ182,0)</f>
        <v>0</v>
      </c>
      <c r="AO183" s="1026" t="n">
        <f aca="false">(AN183*$AN$93*1)/1200</f>
        <v>0</v>
      </c>
      <c r="AP183" s="1022" t="n">
        <f aca="false">IF(AL183&lt;$AN$97,$AN$101-AO183,0)+IF(AL183=$AN$97,$AN$90+$AN$101-AO183,0)</f>
        <v>0</v>
      </c>
      <c r="AQ183" s="1026" t="n">
        <f aca="false">AN183-AP183</f>
        <v>0</v>
      </c>
      <c r="AR183" s="1026" t="n">
        <f aca="false">IF(AL183&lt;=$AN$97,AR182+AO183,0)</f>
        <v>0</v>
      </c>
      <c r="AS183" s="654" t="n">
        <f aca="false">IF(AL183&lt;=$AN$97,AS182+AP183,0)</f>
        <v>0</v>
      </c>
      <c r="AU183" s="1027" t="n">
        <f aca="false">AU182+1</f>
        <v>74</v>
      </c>
      <c r="AV183" s="1025" t="str">
        <f aca="false">IF(AU183&lt;=$AW$97,DATE(YEAR(AV182),MONTH(AV182)+12/$AW$95,DAY(AV182)),"0")</f>
        <v>0</v>
      </c>
      <c r="AW183" s="1026" t="n">
        <f aca="false">IF(AU183&lt;=$AW$97,AZ182,0)</f>
        <v>0</v>
      </c>
      <c r="AX183" s="1026" t="n">
        <f aca="false">(AW183*$AW$93*1)/1200</f>
        <v>0</v>
      </c>
      <c r="AY183" s="1022" t="n">
        <f aca="false">IF(AU183&lt;$AW$97,$AW$101-AX183,0)+IF(AU183=$AW$97,$AW$90+$AW$101-AX183,0)</f>
        <v>0</v>
      </c>
      <c r="AZ183" s="1026" t="n">
        <f aca="false">AW183-AY183</f>
        <v>0</v>
      </c>
      <c r="BA183" s="1026" t="n">
        <f aca="false">IF(AU183&lt;=$AW$97,BA182+AX183,0)</f>
        <v>0</v>
      </c>
      <c r="BB183" s="654" t="n">
        <f aca="false">IF(AU183&lt;=$AW$97,BB182+AY183,0)</f>
        <v>0</v>
      </c>
    </row>
    <row r="184" customFormat="false" ht="12.75" hidden="false" customHeight="false" outlineLevel="0" collapsed="false">
      <c r="B184" s="1024" t="n">
        <v>75</v>
      </c>
      <c r="C184" s="1025" t="n">
        <f aca="false">IF(B184&lt;=$D$97,DATE(YEAR(C183),MONTH(C183)+12/$D$94,DAY(C183)),"0")</f>
        <v>47241</v>
      </c>
      <c r="D184" s="1026" t="n">
        <f aca="false">IF(B184=1,$D$90,G183)</f>
        <v>97652.9832510098</v>
      </c>
      <c r="E184" s="1026" t="n">
        <f aca="false">(D184*$D$92*1)/1200</f>
        <v>284.821201148778</v>
      </c>
      <c r="F184" s="1026" t="n">
        <f aca="false">IF(AND(B184&lt;=$D$97,B184&gt;$D$95),$D$101-E184,0)</f>
        <v>787.502610865981</v>
      </c>
      <c r="G184" s="1026" t="n">
        <f aca="false">D184-F184</f>
        <v>96865.4806401438</v>
      </c>
      <c r="H184" s="1026" t="n">
        <f aca="false">IF(B184&lt;=$D$97,E184+H183,0)</f>
        <v>27289.7665412507</v>
      </c>
      <c r="I184" s="654" t="n">
        <f aca="false">IF(B184&lt;=$D$97,F184+I183,0)</f>
        <v>53134.5193598563</v>
      </c>
      <c r="K184" s="1027" t="n">
        <f aca="false">K183+1</f>
        <v>75</v>
      </c>
      <c r="L184" s="1025" t="str">
        <f aca="false">IF(K184&lt;=$M$97,DATE(YEAR(L183),MONTH(L183)+12/$M$94,DAY(L183)),"0")</f>
        <v>0</v>
      </c>
      <c r="M184" s="1026" t="n">
        <f aca="false">IF(K184&lt;=$M$97,P183,0)</f>
        <v>0</v>
      </c>
      <c r="N184" s="1026" t="n">
        <f aca="false">(M184*$M$92*1)/1200</f>
        <v>0</v>
      </c>
      <c r="O184" s="1026" t="n">
        <f aca="false">IF(AND(K184&lt;=$M$97,K184&gt;$M$95),$M$101-N184,0)</f>
        <v>0</v>
      </c>
      <c r="P184" s="1026" t="n">
        <f aca="false">M184-O184</f>
        <v>0</v>
      </c>
      <c r="Q184" s="1026" t="n">
        <f aca="false">IF(K184&lt;=$M$97,Q183+N184,0)</f>
        <v>0</v>
      </c>
      <c r="R184" s="654" t="n">
        <f aca="false">IF(K184&lt;=$D$97,R183+O184,0)</f>
        <v>15000.0000000001</v>
      </c>
      <c r="T184" s="1027" t="n">
        <f aca="false">T183+1</f>
        <v>75</v>
      </c>
      <c r="U184" s="1025" t="str">
        <f aca="false">IF(T184&lt;=$V$97,DATE(YEAR(U183),MONTH(U183)+12/$V$94,DAY(U183)),"0")</f>
        <v>0</v>
      </c>
      <c r="V184" s="1026" t="n">
        <f aca="false">IF(T184&lt;=$V$97,Y183,0)</f>
        <v>0</v>
      </c>
      <c r="W184" s="1026" t="n">
        <f aca="false">(V184*$V$92*1)/1200</f>
        <v>0</v>
      </c>
      <c r="X184" s="1022" t="n">
        <f aca="false">IF(AND(T184&lt;=$V$97,T184&gt;$V$95),$V$101-W184,0)</f>
        <v>0</v>
      </c>
      <c r="Y184" s="1026" t="n">
        <f aca="false">V184-X184</f>
        <v>0</v>
      </c>
      <c r="Z184" s="1026" t="n">
        <f aca="false">IF(T184&lt;=$V$97,Z183+W184,0)</f>
        <v>0</v>
      </c>
      <c r="AA184" s="654" t="n">
        <f aca="false">IF(T184&lt;=$V$97,AA183+X184,0)</f>
        <v>0</v>
      </c>
      <c r="AB184" s="451"/>
      <c r="AC184" s="1027" t="n">
        <f aca="false">AC183+1</f>
        <v>75</v>
      </c>
      <c r="AD184" s="1025" t="str">
        <f aca="false">IF(AC184&lt;=$AE$97,DATE(YEAR(AD183),MONTH(AD183)+12/$AE$95,DAY(AD183)),"0")</f>
        <v>0</v>
      </c>
      <c r="AE184" s="1026" t="n">
        <f aca="false">IF(AC184&lt;=$AE$97,AH183,0)</f>
        <v>0</v>
      </c>
      <c r="AF184" s="1026" t="n">
        <f aca="false">(AE184*$AE$93*1)/1200</f>
        <v>0</v>
      </c>
      <c r="AG184" s="1022" t="n">
        <f aca="false">IF(AC184&lt;$AE$97,$AE$101-AF184,0)+IF(AC184=$AE$97,$AE$90+$AE$101-AF184,0)</f>
        <v>0</v>
      </c>
      <c r="AH184" s="1026" t="n">
        <f aca="false">AE184-AG184</f>
        <v>0</v>
      </c>
      <c r="AI184" s="1026" t="n">
        <f aca="false">IF(AC184&lt;=$AE$97,AI183+AF184,0)</f>
        <v>0</v>
      </c>
      <c r="AJ184" s="654" t="n">
        <f aca="false">IF(AC184&lt;=$AE$97,AJ183+AG184,0)</f>
        <v>0</v>
      </c>
      <c r="AL184" s="1027" t="n">
        <f aca="false">AL183+1</f>
        <v>75</v>
      </c>
      <c r="AM184" s="1025" t="str">
        <f aca="false">IF(AL184&lt;=$AN$97,DATE(YEAR(AM183),MONTH(AM183)+12/$AN$95,DAY(AM183)),"0")</f>
        <v>0</v>
      </c>
      <c r="AN184" s="1026" t="n">
        <f aca="false">IF(AL184&lt;=$AN$97,AQ183,0)</f>
        <v>0</v>
      </c>
      <c r="AO184" s="1026" t="n">
        <f aca="false">(AN184*$AN$93*1)/1200</f>
        <v>0</v>
      </c>
      <c r="AP184" s="1022" t="n">
        <f aca="false">IF(AL184&lt;$AN$97,$AN$101-AO184,0)+IF(AL184=$AN$97,$AN$90+$AN$101-AO184,0)</f>
        <v>0</v>
      </c>
      <c r="AQ184" s="1026" t="n">
        <f aca="false">AN184-AP184</f>
        <v>0</v>
      </c>
      <c r="AR184" s="1026" t="n">
        <f aca="false">IF(AL184&lt;=$AN$97,AR183+AO184,0)</f>
        <v>0</v>
      </c>
      <c r="AS184" s="654" t="n">
        <f aca="false">IF(AL184&lt;=$AN$97,AS183+AP184,0)</f>
        <v>0</v>
      </c>
      <c r="AU184" s="1027" t="n">
        <f aca="false">AU183+1</f>
        <v>75</v>
      </c>
      <c r="AV184" s="1025" t="str">
        <f aca="false">IF(AU184&lt;=$AW$97,DATE(YEAR(AV183),MONTH(AV183)+12/$AW$95,DAY(AV183)),"0")</f>
        <v>0</v>
      </c>
      <c r="AW184" s="1026" t="n">
        <f aca="false">IF(AU184&lt;=$AW$97,AZ183,0)</f>
        <v>0</v>
      </c>
      <c r="AX184" s="1026" t="n">
        <f aca="false">(AW184*$AW$93*1)/1200</f>
        <v>0</v>
      </c>
      <c r="AY184" s="1022" t="n">
        <f aca="false">IF(AU184&lt;$AW$97,$AW$101-AX184,0)+IF(AU184=$AW$97,$AW$90+$AW$101-AX184,0)</f>
        <v>0</v>
      </c>
      <c r="AZ184" s="1026" t="n">
        <f aca="false">AW184-AY184</f>
        <v>0</v>
      </c>
      <c r="BA184" s="1026" t="n">
        <f aca="false">IF(AU184&lt;=$AW$97,BA183+AX184,0)</f>
        <v>0</v>
      </c>
      <c r="BB184" s="654" t="n">
        <f aca="false">IF(AU184&lt;=$AW$97,BB183+AY184,0)</f>
        <v>0</v>
      </c>
    </row>
    <row r="185" customFormat="false" ht="12.75" hidden="false" customHeight="false" outlineLevel="0" collapsed="false">
      <c r="B185" s="1024" t="n">
        <v>76</v>
      </c>
      <c r="C185" s="1025" t="n">
        <f aca="false">IF(B185&lt;=$D$97,DATE(YEAR(C184),MONTH(C184)+12/$D$94,DAY(C184)),"0")</f>
        <v>47272</v>
      </c>
      <c r="D185" s="1026" t="n">
        <f aca="false">IF(B185=1,$D$90,G184)</f>
        <v>96865.4806401438</v>
      </c>
      <c r="E185" s="1026" t="n">
        <f aca="false">(D185*$D$92*1)/1200</f>
        <v>282.524318533753</v>
      </c>
      <c r="F185" s="1026" t="n">
        <f aca="false">IF(AND(B185&lt;=$D$97,B185&gt;$D$95),$D$101-E185,0)</f>
        <v>789.799493481007</v>
      </c>
      <c r="G185" s="1026" t="n">
        <f aca="false">D185-F185</f>
        <v>96075.6811466628</v>
      </c>
      <c r="H185" s="1026" t="n">
        <f aca="false">IF(B185&lt;=$D$97,E185+H184,0)</f>
        <v>27572.2908597845</v>
      </c>
      <c r="I185" s="654" t="n">
        <f aca="false">IF(B185&lt;=$D$97,F185+I184,0)</f>
        <v>53924.3188533373</v>
      </c>
      <c r="K185" s="1027" t="n">
        <f aca="false">K184+1</f>
        <v>76</v>
      </c>
      <c r="L185" s="1025" t="str">
        <f aca="false">IF(K185&lt;=$M$97,DATE(YEAR(L184),MONTH(L184)+12/$M$94,DAY(L184)),"0")</f>
        <v>0</v>
      </c>
      <c r="M185" s="1026" t="n">
        <f aca="false">IF(K185&lt;=$M$97,P184,0)</f>
        <v>0</v>
      </c>
      <c r="N185" s="1026" t="n">
        <f aca="false">(M185*$M$92*1)/1200</f>
        <v>0</v>
      </c>
      <c r="O185" s="1026" t="n">
        <f aca="false">IF(AND(K185&lt;=$M$97,K185&gt;$M$95),$M$101-N185,0)</f>
        <v>0</v>
      </c>
      <c r="P185" s="1026" t="n">
        <f aca="false">M185-O185</f>
        <v>0</v>
      </c>
      <c r="Q185" s="1026" t="n">
        <f aca="false">IF(K185&lt;=$M$97,Q184+N185,0)</f>
        <v>0</v>
      </c>
      <c r="R185" s="654" t="n">
        <f aca="false">IF(K185&lt;=$D$97,R184+O185,0)</f>
        <v>15000.0000000001</v>
      </c>
      <c r="T185" s="1027" t="n">
        <f aca="false">T184+1</f>
        <v>76</v>
      </c>
      <c r="U185" s="1025" t="str">
        <f aca="false">IF(T185&lt;=$V$97,DATE(YEAR(U184),MONTH(U184)+12/$V$94,DAY(U184)),"0")</f>
        <v>0</v>
      </c>
      <c r="V185" s="1026" t="n">
        <f aca="false">IF(T185&lt;=$V$97,Y184,0)</f>
        <v>0</v>
      </c>
      <c r="W185" s="1026" t="n">
        <f aca="false">(V185*$V$92*1)/1200</f>
        <v>0</v>
      </c>
      <c r="X185" s="1022" t="n">
        <f aca="false">IF(AND(T185&lt;=$V$97,T185&gt;$V$95),$V$101-W185,0)</f>
        <v>0</v>
      </c>
      <c r="Y185" s="1026" t="n">
        <f aca="false">V185-X185</f>
        <v>0</v>
      </c>
      <c r="Z185" s="1026" t="n">
        <f aca="false">IF(T185&lt;=$V$97,Z184+W185,0)</f>
        <v>0</v>
      </c>
      <c r="AA185" s="654" t="n">
        <f aca="false">IF(T185&lt;=$V$97,AA184+X185,0)</f>
        <v>0</v>
      </c>
      <c r="AB185" s="451"/>
      <c r="AC185" s="1027" t="n">
        <f aca="false">AC184+1</f>
        <v>76</v>
      </c>
      <c r="AD185" s="1025" t="str">
        <f aca="false">IF(AC185&lt;=$AE$97,DATE(YEAR(AD184),MONTH(AD184)+12/$AE$95,DAY(AD184)),"0")</f>
        <v>0</v>
      </c>
      <c r="AE185" s="1026" t="n">
        <f aca="false">IF(AC185&lt;=$AE$97,AH184,0)</f>
        <v>0</v>
      </c>
      <c r="AF185" s="1026" t="n">
        <f aca="false">(AE185*$AE$93*1)/1200</f>
        <v>0</v>
      </c>
      <c r="AG185" s="1022" t="n">
        <f aca="false">IF(AC185&lt;$AE$97,$AE$101-AF185,0)+IF(AC185=$AE$97,$AE$90+$AE$101-AF185,0)</f>
        <v>0</v>
      </c>
      <c r="AH185" s="1026" t="n">
        <f aca="false">AE185-AG185</f>
        <v>0</v>
      </c>
      <c r="AI185" s="1026" t="n">
        <f aca="false">IF(AC185&lt;=$AE$97,AI184+AF185,0)</f>
        <v>0</v>
      </c>
      <c r="AJ185" s="654" t="n">
        <f aca="false">IF(AC185&lt;=$AE$97,AJ184+AG185,0)</f>
        <v>0</v>
      </c>
      <c r="AL185" s="1027" t="n">
        <f aca="false">AL184+1</f>
        <v>76</v>
      </c>
      <c r="AM185" s="1025" t="str">
        <f aca="false">IF(AL185&lt;=$AN$97,DATE(YEAR(AM184),MONTH(AM184)+12/$AN$95,DAY(AM184)),"0")</f>
        <v>0</v>
      </c>
      <c r="AN185" s="1026" t="n">
        <f aca="false">IF(AL185&lt;=$AN$97,AQ184,0)</f>
        <v>0</v>
      </c>
      <c r="AO185" s="1026" t="n">
        <f aca="false">(AN185*$AN$93*1)/1200</f>
        <v>0</v>
      </c>
      <c r="AP185" s="1022" t="n">
        <f aca="false">IF(AL185&lt;$AN$97,$AN$101-AO185,0)+IF(AL185=$AN$97,$AN$90+$AN$101-AO185,0)</f>
        <v>0</v>
      </c>
      <c r="AQ185" s="1026" t="n">
        <f aca="false">AN185-AP185</f>
        <v>0</v>
      </c>
      <c r="AR185" s="1026" t="n">
        <f aca="false">IF(AL185&lt;=$AN$97,AR184+AO185,0)</f>
        <v>0</v>
      </c>
      <c r="AS185" s="654" t="n">
        <f aca="false">IF(AL185&lt;=$AN$97,AS184+AP185,0)</f>
        <v>0</v>
      </c>
      <c r="AU185" s="1027" t="n">
        <f aca="false">AU184+1</f>
        <v>76</v>
      </c>
      <c r="AV185" s="1025" t="str">
        <f aca="false">IF(AU185&lt;=$AW$97,DATE(YEAR(AV184),MONTH(AV184)+12/$AW$95,DAY(AV184)),"0")</f>
        <v>0</v>
      </c>
      <c r="AW185" s="1026" t="n">
        <f aca="false">IF(AU185&lt;=$AW$97,AZ184,0)</f>
        <v>0</v>
      </c>
      <c r="AX185" s="1026" t="n">
        <f aca="false">(AW185*$AW$93*1)/1200</f>
        <v>0</v>
      </c>
      <c r="AY185" s="1022" t="n">
        <f aca="false">IF(AU185&lt;$AW$97,$AW$101-AX185,0)+IF(AU185=$AW$97,$AW$90+$AW$101-AX185,0)</f>
        <v>0</v>
      </c>
      <c r="AZ185" s="1026" t="n">
        <f aca="false">AW185-AY185</f>
        <v>0</v>
      </c>
      <c r="BA185" s="1026" t="n">
        <f aca="false">IF(AU185&lt;=$AW$97,BA184+AX185,0)</f>
        <v>0</v>
      </c>
      <c r="BB185" s="654" t="n">
        <f aca="false">IF(AU185&lt;=$AW$97,BB184+AY185,0)</f>
        <v>0</v>
      </c>
    </row>
    <row r="186" customFormat="false" ht="12.75" hidden="false" customHeight="false" outlineLevel="0" collapsed="false">
      <c r="B186" s="1024" t="n">
        <v>77</v>
      </c>
      <c r="C186" s="1025" t="n">
        <f aca="false">IF(B186&lt;=$D$97,DATE(YEAR(C185),MONTH(C185)+12/$D$94,DAY(C185)),"0")</f>
        <v>47302</v>
      </c>
      <c r="D186" s="1026" t="n">
        <f aca="false">IF(B186=1,$D$90,G185)</f>
        <v>96075.6811466628</v>
      </c>
      <c r="E186" s="1026" t="n">
        <f aca="false">(D186*$D$92*1)/1200</f>
        <v>280.220736677766</v>
      </c>
      <c r="F186" s="1026" t="n">
        <f aca="false">IF(AND(B186&lt;=$D$97,B186&gt;$D$95),$D$101-E186,0)</f>
        <v>792.103075336993</v>
      </c>
      <c r="G186" s="1026" t="n">
        <f aca="false">D186-F186</f>
        <v>95283.5780713258</v>
      </c>
      <c r="H186" s="1026" t="n">
        <f aca="false">IF(B186&lt;=$D$97,E186+H185,0)</f>
        <v>27852.5115964622</v>
      </c>
      <c r="I186" s="654" t="n">
        <f aca="false">IF(B186&lt;=$D$97,F186+I185,0)</f>
        <v>54716.4219286742</v>
      </c>
      <c r="K186" s="1027" t="n">
        <f aca="false">K185+1</f>
        <v>77</v>
      </c>
      <c r="L186" s="1025" t="str">
        <f aca="false">IF(K186&lt;=$M$97,DATE(YEAR(L185),MONTH(L185)+12/$M$94,DAY(L185)),"0")</f>
        <v>0</v>
      </c>
      <c r="M186" s="1026" t="n">
        <f aca="false">IF(K186&lt;=$M$97,P185,0)</f>
        <v>0</v>
      </c>
      <c r="N186" s="1026" t="n">
        <f aca="false">(M186*$M$92*1)/1200</f>
        <v>0</v>
      </c>
      <c r="O186" s="1026" t="n">
        <f aca="false">IF(AND(K186&lt;=$M$97,K186&gt;$M$95),$M$101-N186,0)</f>
        <v>0</v>
      </c>
      <c r="P186" s="1026" t="n">
        <f aca="false">M186-O186</f>
        <v>0</v>
      </c>
      <c r="Q186" s="1026" t="n">
        <f aca="false">IF(K186&lt;=$M$97,Q185+N186,0)</f>
        <v>0</v>
      </c>
      <c r="R186" s="654" t="n">
        <f aca="false">IF(K186&lt;=$D$97,R185+O186,0)</f>
        <v>15000.0000000001</v>
      </c>
      <c r="T186" s="1027" t="n">
        <f aca="false">T185+1</f>
        <v>77</v>
      </c>
      <c r="U186" s="1025" t="str">
        <f aca="false">IF(T186&lt;=$V$97,DATE(YEAR(U185),MONTH(U185)+12/$V$94,DAY(U185)),"0")</f>
        <v>0</v>
      </c>
      <c r="V186" s="1026" t="n">
        <f aca="false">IF(T186&lt;=$V$97,Y185,0)</f>
        <v>0</v>
      </c>
      <c r="W186" s="1026" t="n">
        <f aca="false">(V186*$V$92*1)/1200</f>
        <v>0</v>
      </c>
      <c r="X186" s="1022" t="n">
        <f aca="false">IF(AND(T186&lt;=$V$97,T186&gt;$V$95),$V$101-W186,0)</f>
        <v>0</v>
      </c>
      <c r="Y186" s="1026" t="n">
        <f aca="false">V186-X186</f>
        <v>0</v>
      </c>
      <c r="Z186" s="1026" t="n">
        <f aca="false">IF(T186&lt;=$V$97,Z185+W186,0)</f>
        <v>0</v>
      </c>
      <c r="AA186" s="654" t="n">
        <f aca="false">IF(T186&lt;=$V$97,AA185+X186,0)</f>
        <v>0</v>
      </c>
      <c r="AB186" s="451"/>
      <c r="AC186" s="1027" t="n">
        <f aca="false">AC185+1</f>
        <v>77</v>
      </c>
      <c r="AD186" s="1025" t="str">
        <f aca="false">IF(AC186&lt;=$AE$97,DATE(YEAR(AD185),MONTH(AD185)+12/$AE$95,DAY(AD185)),"0")</f>
        <v>0</v>
      </c>
      <c r="AE186" s="1026" t="n">
        <f aca="false">IF(AC186&lt;=$AE$97,AH185,0)</f>
        <v>0</v>
      </c>
      <c r="AF186" s="1026" t="n">
        <f aca="false">(AE186*$AE$93*1)/1200</f>
        <v>0</v>
      </c>
      <c r="AG186" s="1022" t="n">
        <f aca="false">IF(AC186&lt;$AE$97,$AE$101-AF186,0)+IF(AC186=$AE$97,$AE$90+$AE$101-AF186,0)</f>
        <v>0</v>
      </c>
      <c r="AH186" s="1026" t="n">
        <f aca="false">AE186-AG186</f>
        <v>0</v>
      </c>
      <c r="AI186" s="1026" t="n">
        <f aca="false">IF(AC186&lt;=$AE$97,AI185+AF186,0)</f>
        <v>0</v>
      </c>
      <c r="AJ186" s="654" t="n">
        <f aca="false">IF(AC186&lt;=$AE$97,AJ185+AG186,0)</f>
        <v>0</v>
      </c>
      <c r="AL186" s="1027" t="n">
        <f aca="false">AL185+1</f>
        <v>77</v>
      </c>
      <c r="AM186" s="1025" t="str">
        <f aca="false">IF(AL186&lt;=$AN$97,DATE(YEAR(AM185),MONTH(AM185)+12/$AN$95,DAY(AM185)),"0")</f>
        <v>0</v>
      </c>
      <c r="AN186" s="1026" t="n">
        <f aca="false">IF(AL186&lt;=$AN$97,AQ185,0)</f>
        <v>0</v>
      </c>
      <c r="AO186" s="1026" t="n">
        <f aca="false">(AN186*$AN$93*1)/1200</f>
        <v>0</v>
      </c>
      <c r="AP186" s="1022" t="n">
        <f aca="false">IF(AL186&lt;$AN$97,$AN$101-AO186,0)+IF(AL186=$AN$97,$AN$90+$AN$101-AO186,0)</f>
        <v>0</v>
      </c>
      <c r="AQ186" s="1026" t="n">
        <f aca="false">AN186-AP186</f>
        <v>0</v>
      </c>
      <c r="AR186" s="1026" t="n">
        <f aca="false">IF(AL186&lt;=$AN$97,AR185+AO186,0)</f>
        <v>0</v>
      </c>
      <c r="AS186" s="654" t="n">
        <f aca="false">IF(AL186&lt;=$AN$97,AS185+AP186,0)</f>
        <v>0</v>
      </c>
      <c r="AU186" s="1027" t="n">
        <f aca="false">AU185+1</f>
        <v>77</v>
      </c>
      <c r="AV186" s="1025" t="str">
        <f aca="false">IF(AU186&lt;=$AW$97,DATE(YEAR(AV185),MONTH(AV185)+12/$AW$95,DAY(AV185)),"0")</f>
        <v>0</v>
      </c>
      <c r="AW186" s="1026" t="n">
        <f aca="false">IF(AU186&lt;=$AW$97,AZ185,0)</f>
        <v>0</v>
      </c>
      <c r="AX186" s="1026" t="n">
        <f aca="false">(AW186*$AW$93*1)/1200</f>
        <v>0</v>
      </c>
      <c r="AY186" s="1022" t="n">
        <f aca="false">IF(AU186&lt;$AW$97,$AW$101-AX186,0)+IF(AU186=$AW$97,$AW$90+$AW$101-AX186,0)</f>
        <v>0</v>
      </c>
      <c r="AZ186" s="1026" t="n">
        <f aca="false">AW186-AY186</f>
        <v>0</v>
      </c>
      <c r="BA186" s="1026" t="n">
        <f aca="false">IF(AU186&lt;=$AW$97,BA185+AX186,0)</f>
        <v>0</v>
      </c>
      <c r="BB186" s="654" t="n">
        <f aca="false">IF(AU186&lt;=$AW$97,BB185+AY186,0)</f>
        <v>0</v>
      </c>
    </row>
    <row r="187" customFormat="false" ht="12.75" hidden="false" customHeight="false" outlineLevel="0" collapsed="false">
      <c r="B187" s="1024" t="n">
        <v>78</v>
      </c>
      <c r="C187" s="1025" t="n">
        <f aca="false">IF(B187&lt;=$D$97,DATE(YEAR(C186),MONTH(C186)+12/$D$94,DAY(C186)),"0")</f>
        <v>47333</v>
      </c>
      <c r="D187" s="1026" t="n">
        <f aca="false">IF(B187=1,$D$90,G186)</f>
        <v>95283.5780713258</v>
      </c>
      <c r="E187" s="1026" t="n">
        <f aca="false">(D187*$D$92*1)/1200</f>
        <v>277.910436041367</v>
      </c>
      <c r="F187" s="1026" t="n">
        <f aca="false">IF(AND(B187&lt;=$D$97,B187&gt;$D$95),$D$101-E187,0)</f>
        <v>794.413375973393</v>
      </c>
      <c r="G187" s="1026" t="n">
        <f aca="false">D187-F187</f>
        <v>94489.1646953524</v>
      </c>
      <c r="H187" s="1026" t="n">
        <f aca="false">IF(B187&lt;=$D$97,E187+H186,0)</f>
        <v>28130.4220325036</v>
      </c>
      <c r="I187" s="654" t="n">
        <f aca="false">IF(B187&lt;=$D$97,F187+I186,0)</f>
        <v>55510.8353046476</v>
      </c>
      <c r="K187" s="1027" t="n">
        <f aca="false">K186+1</f>
        <v>78</v>
      </c>
      <c r="L187" s="1025" t="str">
        <f aca="false">IF(K187&lt;=$M$97,DATE(YEAR(L186),MONTH(L186)+12/$M$94,DAY(L186)),"0")</f>
        <v>0</v>
      </c>
      <c r="M187" s="1026" t="n">
        <f aca="false">IF(K187&lt;=$M$97,P186,0)</f>
        <v>0</v>
      </c>
      <c r="N187" s="1026" t="n">
        <f aca="false">(M187*$M$92*1)/1200</f>
        <v>0</v>
      </c>
      <c r="O187" s="1026" t="n">
        <f aca="false">IF(AND(K187&lt;=$M$97,K187&gt;$M$95),$M$101-N187,0)</f>
        <v>0</v>
      </c>
      <c r="P187" s="1026" t="n">
        <f aca="false">M187-O187</f>
        <v>0</v>
      </c>
      <c r="Q187" s="1026" t="n">
        <f aca="false">IF(K187&lt;=$M$97,Q186+N187,0)</f>
        <v>0</v>
      </c>
      <c r="R187" s="654" t="n">
        <f aca="false">IF(K187&lt;=$D$97,R186+O187,0)</f>
        <v>15000.0000000001</v>
      </c>
      <c r="T187" s="1027" t="n">
        <f aca="false">T186+1</f>
        <v>78</v>
      </c>
      <c r="U187" s="1025" t="str">
        <f aca="false">IF(T187&lt;=$V$97,DATE(YEAR(U186),MONTH(U186)+12/$V$94,DAY(U186)),"0")</f>
        <v>0</v>
      </c>
      <c r="V187" s="1026" t="n">
        <f aca="false">IF(T187&lt;=$V$97,Y186,0)</f>
        <v>0</v>
      </c>
      <c r="W187" s="1026" t="n">
        <f aca="false">(V187*$V$92*1)/1200</f>
        <v>0</v>
      </c>
      <c r="X187" s="1022" t="n">
        <f aca="false">IF(AND(T187&lt;=$V$97,T187&gt;$V$95),$V$101-W187,0)</f>
        <v>0</v>
      </c>
      <c r="Y187" s="1026" t="n">
        <f aca="false">V187-X187</f>
        <v>0</v>
      </c>
      <c r="Z187" s="1026" t="n">
        <f aca="false">IF(T187&lt;=$V$97,Z186+W187,0)</f>
        <v>0</v>
      </c>
      <c r="AA187" s="654" t="n">
        <f aca="false">IF(T187&lt;=$V$97,AA186+X187,0)</f>
        <v>0</v>
      </c>
      <c r="AB187" s="451"/>
      <c r="AC187" s="1027" t="n">
        <f aca="false">AC186+1</f>
        <v>78</v>
      </c>
      <c r="AD187" s="1025" t="str">
        <f aca="false">IF(AC187&lt;=$AE$97,DATE(YEAR(AD186),MONTH(AD186)+12/$AE$95,DAY(AD186)),"0")</f>
        <v>0</v>
      </c>
      <c r="AE187" s="1026" t="n">
        <f aca="false">IF(AC187&lt;=$AE$97,AH186,0)</f>
        <v>0</v>
      </c>
      <c r="AF187" s="1026" t="n">
        <f aca="false">(AE187*$AE$93*1)/1200</f>
        <v>0</v>
      </c>
      <c r="AG187" s="1022" t="n">
        <f aca="false">IF(AC187&lt;$AE$97,$AE$101-AF187,0)+IF(AC187=$AE$97,$AE$90+$AE$101-AF187,0)</f>
        <v>0</v>
      </c>
      <c r="AH187" s="1026" t="n">
        <f aca="false">AE187-AG187</f>
        <v>0</v>
      </c>
      <c r="AI187" s="1026" t="n">
        <f aca="false">IF(AC187&lt;=$AE$97,AI186+AF187,0)</f>
        <v>0</v>
      </c>
      <c r="AJ187" s="654" t="n">
        <f aca="false">IF(AC187&lt;=$AE$97,AJ186+AG187,0)</f>
        <v>0</v>
      </c>
      <c r="AL187" s="1027" t="n">
        <f aca="false">AL186+1</f>
        <v>78</v>
      </c>
      <c r="AM187" s="1025" t="str">
        <f aca="false">IF(AL187&lt;=$AN$97,DATE(YEAR(AM186),MONTH(AM186)+12/$AN$95,DAY(AM186)),"0")</f>
        <v>0</v>
      </c>
      <c r="AN187" s="1026" t="n">
        <f aca="false">IF(AL187&lt;=$AN$97,AQ186,0)</f>
        <v>0</v>
      </c>
      <c r="AO187" s="1026" t="n">
        <f aca="false">(AN187*$AN$93*1)/1200</f>
        <v>0</v>
      </c>
      <c r="AP187" s="1022" t="n">
        <f aca="false">IF(AL187&lt;$AN$97,$AN$101-AO187,0)+IF(AL187=$AN$97,$AN$90+$AN$101-AO187,0)</f>
        <v>0</v>
      </c>
      <c r="AQ187" s="1026" t="n">
        <f aca="false">AN187-AP187</f>
        <v>0</v>
      </c>
      <c r="AR187" s="1026" t="n">
        <f aca="false">IF(AL187&lt;=$AN$97,AR186+AO187,0)</f>
        <v>0</v>
      </c>
      <c r="AS187" s="654" t="n">
        <f aca="false">IF(AL187&lt;=$AN$97,AS186+AP187,0)</f>
        <v>0</v>
      </c>
      <c r="AU187" s="1027" t="n">
        <f aca="false">AU186+1</f>
        <v>78</v>
      </c>
      <c r="AV187" s="1025" t="str">
        <f aca="false">IF(AU187&lt;=$AW$97,DATE(YEAR(AV186),MONTH(AV186)+12/$AW$95,DAY(AV186)),"0")</f>
        <v>0</v>
      </c>
      <c r="AW187" s="1026" t="n">
        <f aca="false">IF(AU187&lt;=$AW$97,AZ186,0)</f>
        <v>0</v>
      </c>
      <c r="AX187" s="1026" t="n">
        <f aca="false">(AW187*$AW$93*1)/1200</f>
        <v>0</v>
      </c>
      <c r="AY187" s="1022" t="n">
        <f aca="false">IF(AU187&lt;$AW$97,$AW$101-AX187,0)+IF(AU187=$AW$97,$AW$90+$AW$101-AX187,0)</f>
        <v>0</v>
      </c>
      <c r="AZ187" s="1026" t="n">
        <f aca="false">AW187-AY187</f>
        <v>0</v>
      </c>
      <c r="BA187" s="1026" t="n">
        <f aca="false">IF(AU187&lt;=$AW$97,BA186+AX187,0)</f>
        <v>0</v>
      </c>
      <c r="BB187" s="654" t="n">
        <f aca="false">IF(AU187&lt;=$AW$97,BB186+AY187,0)</f>
        <v>0</v>
      </c>
    </row>
    <row r="188" customFormat="false" ht="12.75" hidden="false" customHeight="false" outlineLevel="0" collapsed="false">
      <c r="B188" s="1024" t="n">
        <v>79</v>
      </c>
      <c r="C188" s="1025" t="n">
        <f aca="false">IF(B188&lt;=$D$97,DATE(YEAR(C187),MONTH(C187)+12/$D$94,DAY(C187)),"0")</f>
        <v>47364</v>
      </c>
      <c r="D188" s="1026" t="n">
        <f aca="false">IF(B188=1,$D$90,G187)</f>
        <v>94489.1646953524</v>
      </c>
      <c r="E188" s="1026" t="n">
        <f aca="false">(D188*$D$92*1)/1200</f>
        <v>275.593397028111</v>
      </c>
      <c r="F188" s="1026" t="n">
        <f aca="false">IF(AND(B188&lt;=$D$97,B188&gt;$D$95),$D$101-E188,0)</f>
        <v>796.730414986648</v>
      </c>
      <c r="G188" s="1026" t="n">
        <f aca="false">D188-F188</f>
        <v>93692.4342803657</v>
      </c>
      <c r="H188" s="1026" t="n">
        <f aca="false">IF(B188&lt;=$D$97,E188+H187,0)</f>
        <v>28406.0154295317</v>
      </c>
      <c r="I188" s="654" t="n">
        <f aca="false">IF(B188&lt;=$D$97,F188+I187,0)</f>
        <v>56307.5657196343</v>
      </c>
      <c r="K188" s="1027" t="n">
        <f aca="false">K187+1</f>
        <v>79</v>
      </c>
      <c r="L188" s="1025" t="str">
        <f aca="false">IF(K188&lt;=$M$97,DATE(YEAR(L187),MONTH(L187)+12/$M$94,DAY(L187)),"0")</f>
        <v>0</v>
      </c>
      <c r="M188" s="1026" t="n">
        <f aca="false">IF(K188&lt;=$M$97,P187,0)</f>
        <v>0</v>
      </c>
      <c r="N188" s="1026" t="n">
        <f aca="false">(M188*$M$92*1)/1200</f>
        <v>0</v>
      </c>
      <c r="O188" s="1026" t="n">
        <f aca="false">IF(AND(K188&lt;=$M$97,K188&gt;$M$95),$M$101-N188,0)</f>
        <v>0</v>
      </c>
      <c r="P188" s="1026" t="n">
        <f aca="false">M188-O188</f>
        <v>0</v>
      </c>
      <c r="Q188" s="1026" t="n">
        <f aca="false">IF(K188&lt;=$M$97,Q187+N188,0)</f>
        <v>0</v>
      </c>
      <c r="R188" s="654" t="n">
        <f aca="false">IF(K188&lt;=$D$97,R187+O188,0)</f>
        <v>15000.0000000001</v>
      </c>
      <c r="T188" s="1027" t="n">
        <f aca="false">T187+1</f>
        <v>79</v>
      </c>
      <c r="U188" s="1025" t="str">
        <f aca="false">IF(T188&lt;=$V$97,DATE(YEAR(U187),MONTH(U187)+12/$V$94,DAY(U187)),"0")</f>
        <v>0</v>
      </c>
      <c r="V188" s="1026" t="n">
        <f aca="false">IF(T188&lt;=$V$97,Y187,0)</f>
        <v>0</v>
      </c>
      <c r="W188" s="1026" t="n">
        <f aca="false">(V188*$V$92*1)/1200</f>
        <v>0</v>
      </c>
      <c r="X188" s="1022" t="n">
        <f aca="false">IF(AND(T188&lt;=$V$97,T188&gt;$V$95),$V$101-W188,0)</f>
        <v>0</v>
      </c>
      <c r="Y188" s="1026" t="n">
        <f aca="false">V188-X188</f>
        <v>0</v>
      </c>
      <c r="Z188" s="1026" t="n">
        <f aca="false">IF(T188&lt;=$V$97,Z187+W188,0)</f>
        <v>0</v>
      </c>
      <c r="AA188" s="654" t="n">
        <f aca="false">IF(T188&lt;=$V$97,AA187+X188,0)</f>
        <v>0</v>
      </c>
      <c r="AB188" s="451"/>
      <c r="AC188" s="1027" t="n">
        <f aca="false">AC187+1</f>
        <v>79</v>
      </c>
      <c r="AD188" s="1025" t="str">
        <f aca="false">IF(AC188&lt;=$AE$97,DATE(YEAR(AD187),MONTH(AD187)+12/$AE$95,DAY(AD187)),"0")</f>
        <v>0</v>
      </c>
      <c r="AE188" s="1026" t="n">
        <f aca="false">IF(AC188&lt;=$AE$97,AH187,0)</f>
        <v>0</v>
      </c>
      <c r="AF188" s="1026" t="n">
        <f aca="false">(AE188*$AE$93*1)/1200</f>
        <v>0</v>
      </c>
      <c r="AG188" s="1022" t="n">
        <f aca="false">IF(AC188&lt;$AE$97,$AE$101-AF188,0)+IF(AC188=$AE$97,$AE$90+$AE$101-AF188,0)</f>
        <v>0</v>
      </c>
      <c r="AH188" s="1026" t="n">
        <f aca="false">AE188-AG188</f>
        <v>0</v>
      </c>
      <c r="AI188" s="1026" t="n">
        <f aca="false">IF(AC188&lt;=$AE$97,AI187+AF188,0)</f>
        <v>0</v>
      </c>
      <c r="AJ188" s="654" t="n">
        <f aca="false">IF(AC188&lt;=$AE$97,AJ187+AG188,0)</f>
        <v>0</v>
      </c>
      <c r="AL188" s="1027" t="n">
        <f aca="false">AL187+1</f>
        <v>79</v>
      </c>
      <c r="AM188" s="1025" t="str">
        <f aca="false">IF(AL188&lt;=$AN$97,DATE(YEAR(AM187),MONTH(AM187)+12/$AN$95,DAY(AM187)),"0")</f>
        <v>0</v>
      </c>
      <c r="AN188" s="1026" t="n">
        <f aca="false">IF(AL188&lt;=$AN$97,AQ187,0)</f>
        <v>0</v>
      </c>
      <c r="AO188" s="1026" t="n">
        <f aca="false">(AN188*$AN$93*1)/1200</f>
        <v>0</v>
      </c>
      <c r="AP188" s="1022" t="n">
        <f aca="false">IF(AL188&lt;$AN$97,$AN$101-AO188,0)+IF(AL188=$AN$97,$AN$90+$AN$101-AO188,0)</f>
        <v>0</v>
      </c>
      <c r="AQ188" s="1026" t="n">
        <f aca="false">AN188-AP188</f>
        <v>0</v>
      </c>
      <c r="AR188" s="1026" t="n">
        <f aca="false">IF(AL188&lt;=$AN$97,AR187+AO188,0)</f>
        <v>0</v>
      </c>
      <c r="AS188" s="654" t="n">
        <f aca="false">IF(AL188&lt;=$AN$97,AS187+AP188,0)</f>
        <v>0</v>
      </c>
      <c r="AU188" s="1027" t="n">
        <f aca="false">AU187+1</f>
        <v>79</v>
      </c>
      <c r="AV188" s="1025" t="str">
        <f aca="false">IF(AU188&lt;=$AW$97,DATE(YEAR(AV187),MONTH(AV187)+12/$AW$95,DAY(AV187)),"0")</f>
        <v>0</v>
      </c>
      <c r="AW188" s="1026" t="n">
        <f aca="false">IF(AU188&lt;=$AW$97,AZ187,0)</f>
        <v>0</v>
      </c>
      <c r="AX188" s="1026" t="n">
        <f aca="false">(AW188*$AW$93*1)/1200</f>
        <v>0</v>
      </c>
      <c r="AY188" s="1022" t="n">
        <f aca="false">IF(AU188&lt;$AW$97,$AW$101-AX188,0)+IF(AU188=$AW$97,$AW$90+$AW$101-AX188,0)</f>
        <v>0</v>
      </c>
      <c r="AZ188" s="1026" t="n">
        <f aca="false">AW188-AY188</f>
        <v>0</v>
      </c>
      <c r="BA188" s="1026" t="n">
        <f aca="false">IF(AU188&lt;=$AW$97,BA187+AX188,0)</f>
        <v>0</v>
      </c>
      <c r="BB188" s="654" t="n">
        <f aca="false">IF(AU188&lt;=$AW$97,BB187+AY188,0)</f>
        <v>0</v>
      </c>
    </row>
    <row r="189" customFormat="false" ht="12.75" hidden="false" customHeight="false" outlineLevel="0" collapsed="false">
      <c r="B189" s="1024" t="n">
        <v>80</v>
      </c>
      <c r="C189" s="1025" t="n">
        <f aca="false">IF(B189&lt;=$D$97,DATE(YEAR(C188),MONTH(C188)+12/$D$94,DAY(C188)),"0")</f>
        <v>47394</v>
      </c>
      <c r="D189" s="1026" t="n">
        <f aca="false">IF(B189=1,$D$90,G188)</f>
        <v>93692.4342803657</v>
      </c>
      <c r="E189" s="1026" t="n">
        <f aca="false">(D189*$D$92*1)/1200</f>
        <v>273.2695999844</v>
      </c>
      <c r="F189" s="1026" t="n">
        <f aca="false">IF(AND(B189&lt;=$D$97,B189&gt;$D$95),$D$101-E189,0)</f>
        <v>799.054212030359</v>
      </c>
      <c r="G189" s="1026" t="n">
        <f aca="false">D189-F189</f>
        <v>92893.3800683354</v>
      </c>
      <c r="H189" s="1026" t="n">
        <f aca="false">IF(B189&lt;=$D$97,E189+H188,0)</f>
        <v>28679.2850295161</v>
      </c>
      <c r="I189" s="654" t="n">
        <f aca="false">IF(B189&lt;=$D$97,F189+I188,0)</f>
        <v>57106.6199316646</v>
      </c>
      <c r="K189" s="1027" t="n">
        <f aca="false">K188+1</f>
        <v>80</v>
      </c>
      <c r="L189" s="1025" t="str">
        <f aca="false">IF(K189&lt;=$M$97,DATE(YEAR(L188),MONTH(L188)+12/$M$94,DAY(L188)),"0")</f>
        <v>0</v>
      </c>
      <c r="M189" s="1026" t="n">
        <f aca="false">IF(K189&lt;=$M$97,P188,0)</f>
        <v>0</v>
      </c>
      <c r="N189" s="1026" t="n">
        <f aca="false">(M189*$M$92*1)/1200</f>
        <v>0</v>
      </c>
      <c r="O189" s="1026" t="n">
        <f aca="false">IF(AND(K189&lt;=$M$97,K189&gt;$M$95),$M$101-N189,0)</f>
        <v>0</v>
      </c>
      <c r="P189" s="1026" t="n">
        <f aca="false">M189-O189</f>
        <v>0</v>
      </c>
      <c r="Q189" s="1026" t="n">
        <f aca="false">IF(K189&lt;=$M$97,Q188+N189,0)</f>
        <v>0</v>
      </c>
      <c r="R189" s="654" t="n">
        <f aca="false">IF(K189&lt;=$D$97,R188+O189,0)</f>
        <v>15000.0000000001</v>
      </c>
      <c r="T189" s="1027" t="n">
        <f aca="false">T188+1</f>
        <v>80</v>
      </c>
      <c r="U189" s="1025" t="str">
        <f aca="false">IF(T189&lt;=$V$97,DATE(YEAR(U188),MONTH(U188)+12/$V$94,DAY(U188)),"0")</f>
        <v>0</v>
      </c>
      <c r="V189" s="1026" t="n">
        <f aca="false">IF(T189&lt;=$V$97,Y188,0)</f>
        <v>0</v>
      </c>
      <c r="W189" s="1026" t="n">
        <f aca="false">(V189*$V$92*1)/1200</f>
        <v>0</v>
      </c>
      <c r="X189" s="1022" t="n">
        <f aca="false">IF(AND(T189&lt;=$V$97,T189&gt;$V$95),$V$101-W189,0)</f>
        <v>0</v>
      </c>
      <c r="Y189" s="1026" t="n">
        <f aca="false">V189-X189</f>
        <v>0</v>
      </c>
      <c r="Z189" s="1026" t="n">
        <f aca="false">IF(T189&lt;=$V$97,Z188+W189,0)</f>
        <v>0</v>
      </c>
      <c r="AA189" s="654" t="n">
        <f aca="false">IF(T189&lt;=$V$97,AA188+X189,0)</f>
        <v>0</v>
      </c>
      <c r="AB189" s="451"/>
      <c r="AC189" s="1027" t="n">
        <f aca="false">AC188+1</f>
        <v>80</v>
      </c>
      <c r="AD189" s="1025" t="str">
        <f aca="false">IF(AC189&lt;=$AE$97,DATE(YEAR(AD188),MONTH(AD188)+12/$AE$95,DAY(AD188)),"0")</f>
        <v>0</v>
      </c>
      <c r="AE189" s="1026" t="n">
        <f aca="false">IF(AC189&lt;=$AE$97,AH188,0)</f>
        <v>0</v>
      </c>
      <c r="AF189" s="1026" t="n">
        <f aca="false">(AE189*$AE$93*1)/1200</f>
        <v>0</v>
      </c>
      <c r="AG189" s="1022" t="n">
        <f aca="false">IF(AC189&lt;$AE$97,$AE$101-AF189,0)+IF(AC189=$AE$97,$AE$90+$AE$101-AF189,0)</f>
        <v>0</v>
      </c>
      <c r="AH189" s="1026" t="n">
        <f aca="false">AE189-AG189</f>
        <v>0</v>
      </c>
      <c r="AI189" s="1026" t="n">
        <f aca="false">IF(AC189&lt;=$AE$97,AI188+AF189,0)</f>
        <v>0</v>
      </c>
      <c r="AJ189" s="654" t="n">
        <f aca="false">IF(AC189&lt;=$AE$97,AJ188+AG189,0)</f>
        <v>0</v>
      </c>
      <c r="AL189" s="1027" t="n">
        <f aca="false">AL188+1</f>
        <v>80</v>
      </c>
      <c r="AM189" s="1025" t="str">
        <f aca="false">IF(AL189&lt;=$AN$97,DATE(YEAR(AM188),MONTH(AM188)+12/$AN$95,DAY(AM188)),"0")</f>
        <v>0</v>
      </c>
      <c r="AN189" s="1026" t="n">
        <f aca="false">IF(AL189&lt;=$AN$97,AQ188,0)</f>
        <v>0</v>
      </c>
      <c r="AO189" s="1026" t="n">
        <f aca="false">(AN189*$AN$93*1)/1200</f>
        <v>0</v>
      </c>
      <c r="AP189" s="1022" t="n">
        <f aca="false">IF(AL189&lt;$AN$97,$AN$101-AO189,0)+IF(AL189=$AN$97,$AN$90+$AN$101-AO189,0)</f>
        <v>0</v>
      </c>
      <c r="AQ189" s="1026" t="n">
        <f aca="false">AN189-AP189</f>
        <v>0</v>
      </c>
      <c r="AR189" s="1026" t="n">
        <f aca="false">IF(AL189&lt;=$AN$97,AR188+AO189,0)</f>
        <v>0</v>
      </c>
      <c r="AS189" s="654" t="n">
        <f aca="false">IF(AL189&lt;=$AN$97,AS188+AP189,0)</f>
        <v>0</v>
      </c>
      <c r="AU189" s="1027" t="n">
        <f aca="false">AU188+1</f>
        <v>80</v>
      </c>
      <c r="AV189" s="1025" t="str">
        <f aca="false">IF(AU189&lt;=$AW$97,DATE(YEAR(AV188),MONTH(AV188)+12/$AW$95,DAY(AV188)),"0")</f>
        <v>0</v>
      </c>
      <c r="AW189" s="1026" t="n">
        <f aca="false">IF(AU189&lt;=$AW$97,AZ188,0)</f>
        <v>0</v>
      </c>
      <c r="AX189" s="1026" t="n">
        <f aca="false">(AW189*$AW$93*1)/1200</f>
        <v>0</v>
      </c>
      <c r="AY189" s="1022" t="n">
        <f aca="false">IF(AU189&lt;$AW$97,$AW$101-AX189,0)+IF(AU189=$AW$97,$AW$90+$AW$101-AX189,0)</f>
        <v>0</v>
      </c>
      <c r="AZ189" s="1026" t="n">
        <f aca="false">AW189-AY189</f>
        <v>0</v>
      </c>
      <c r="BA189" s="1026" t="n">
        <f aca="false">IF(AU189&lt;=$AW$97,BA188+AX189,0)</f>
        <v>0</v>
      </c>
      <c r="BB189" s="654" t="n">
        <f aca="false">IF(AU189&lt;=$AW$97,BB188+AY189,0)</f>
        <v>0</v>
      </c>
    </row>
    <row r="190" customFormat="false" ht="12.75" hidden="false" customHeight="false" outlineLevel="0" collapsed="false">
      <c r="B190" s="1024" t="n">
        <v>81</v>
      </c>
      <c r="C190" s="1025" t="n">
        <f aca="false">IF(B190&lt;=$D$97,DATE(YEAR(C189),MONTH(C189)+12/$D$94,DAY(C189)),"0")</f>
        <v>47425</v>
      </c>
      <c r="D190" s="1026" t="n">
        <f aca="false">IF(B190=1,$D$90,G189)</f>
        <v>92893.3800683354</v>
      </c>
      <c r="E190" s="1026" t="n">
        <f aca="false">(D190*$D$92*1)/1200</f>
        <v>270.939025199311</v>
      </c>
      <c r="F190" s="1026" t="n">
        <f aca="false">IF(AND(B190&lt;=$D$97,B190&gt;$D$95),$D$101-E190,0)</f>
        <v>801.384786815448</v>
      </c>
      <c r="G190" s="1026" t="n">
        <f aca="false">D190-F190</f>
        <v>92091.9952815199</v>
      </c>
      <c r="H190" s="1026" t="n">
        <f aca="false">IF(B190&lt;=$D$97,E190+H189,0)</f>
        <v>28950.2240547154</v>
      </c>
      <c r="I190" s="654" t="n">
        <f aca="false">IF(B190&lt;=$D$97,F190+I189,0)</f>
        <v>57908.0047184801</v>
      </c>
      <c r="K190" s="1027" t="n">
        <f aca="false">K189+1</f>
        <v>81</v>
      </c>
      <c r="L190" s="1025" t="str">
        <f aca="false">IF(K190&lt;=$M$97,DATE(YEAR(L189),MONTH(L189)+12/$M$94,DAY(L189)),"0")</f>
        <v>0</v>
      </c>
      <c r="M190" s="1026" t="n">
        <f aca="false">IF(K190&lt;=$M$97,P189,0)</f>
        <v>0</v>
      </c>
      <c r="N190" s="1026" t="n">
        <f aca="false">(M190*$M$92*1)/1200</f>
        <v>0</v>
      </c>
      <c r="O190" s="1026" t="n">
        <f aca="false">IF(AND(K190&lt;=$M$97,K190&gt;$M$95),$M$101-N190,0)</f>
        <v>0</v>
      </c>
      <c r="P190" s="1026" t="n">
        <f aca="false">M190-O190</f>
        <v>0</v>
      </c>
      <c r="Q190" s="1026" t="n">
        <f aca="false">IF(K190&lt;=$M$97,Q189+N190,0)</f>
        <v>0</v>
      </c>
      <c r="R190" s="654" t="n">
        <f aca="false">IF(K190&lt;=$D$97,R189+O190,0)</f>
        <v>15000.0000000001</v>
      </c>
      <c r="T190" s="1027" t="n">
        <f aca="false">T189+1</f>
        <v>81</v>
      </c>
      <c r="U190" s="1025" t="str">
        <f aca="false">IF(T190&lt;=$V$97,DATE(YEAR(U189),MONTH(U189)+12/$V$94,DAY(U189)),"0")</f>
        <v>0</v>
      </c>
      <c r="V190" s="1026" t="n">
        <f aca="false">IF(T190&lt;=$V$97,Y189,0)</f>
        <v>0</v>
      </c>
      <c r="W190" s="1026" t="n">
        <f aca="false">(V190*$V$92*1)/1200</f>
        <v>0</v>
      </c>
      <c r="X190" s="1022" t="n">
        <f aca="false">IF(AND(T190&lt;=$V$97,T190&gt;$V$95),$V$101-W190,0)</f>
        <v>0</v>
      </c>
      <c r="Y190" s="1026" t="n">
        <f aca="false">V190-X190</f>
        <v>0</v>
      </c>
      <c r="Z190" s="1026" t="n">
        <f aca="false">IF(T190&lt;=$V$97,Z189+W190,0)</f>
        <v>0</v>
      </c>
      <c r="AA190" s="654" t="n">
        <f aca="false">IF(T190&lt;=$V$97,AA189+X190,0)</f>
        <v>0</v>
      </c>
      <c r="AB190" s="451"/>
      <c r="AC190" s="1027" t="n">
        <f aca="false">AC189+1</f>
        <v>81</v>
      </c>
      <c r="AD190" s="1025" t="str">
        <f aca="false">IF(AC190&lt;=$AE$97,DATE(YEAR(AD189),MONTH(AD189)+12/$AE$95,DAY(AD189)),"0")</f>
        <v>0</v>
      </c>
      <c r="AE190" s="1026" t="n">
        <f aca="false">IF(AC190&lt;=$AE$97,AH189,0)</f>
        <v>0</v>
      </c>
      <c r="AF190" s="1026" t="n">
        <f aca="false">(AE190*$AE$93*1)/1200</f>
        <v>0</v>
      </c>
      <c r="AG190" s="1022" t="n">
        <f aca="false">IF(AC190&lt;$AE$97,$AE$101-AF190,0)+IF(AC190=$AE$97,$AE$90+$AE$101-AF190,0)</f>
        <v>0</v>
      </c>
      <c r="AH190" s="1026" t="n">
        <f aca="false">AE190-AG190</f>
        <v>0</v>
      </c>
      <c r="AI190" s="1026" t="n">
        <f aca="false">IF(AC190&lt;=$AE$97,AI189+AF190,0)</f>
        <v>0</v>
      </c>
      <c r="AJ190" s="654" t="n">
        <f aca="false">IF(AC190&lt;=$AE$97,AJ189+AG190,0)</f>
        <v>0</v>
      </c>
      <c r="AL190" s="1027" t="n">
        <f aca="false">AL189+1</f>
        <v>81</v>
      </c>
      <c r="AM190" s="1025" t="str">
        <f aca="false">IF(AL190&lt;=$AN$97,DATE(YEAR(AM189),MONTH(AM189)+12/$AN$95,DAY(AM189)),"0")</f>
        <v>0</v>
      </c>
      <c r="AN190" s="1026" t="n">
        <f aca="false">IF(AL190&lt;=$AN$97,AQ189,0)</f>
        <v>0</v>
      </c>
      <c r="AO190" s="1026" t="n">
        <f aca="false">(AN190*$AN$93*1)/1200</f>
        <v>0</v>
      </c>
      <c r="AP190" s="1022" t="n">
        <f aca="false">IF(AL190&lt;$AN$97,$AN$101-AO190,0)+IF(AL190=$AN$97,$AN$90+$AN$101-AO190,0)</f>
        <v>0</v>
      </c>
      <c r="AQ190" s="1026" t="n">
        <f aca="false">AN190-AP190</f>
        <v>0</v>
      </c>
      <c r="AR190" s="1026" t="n">
        <f aca="false">IF(AL190&lt;=$AN$97,AR189+AO190,0)</f>
        <v>0</v>
      </c>
      <c r="AS190" s="654" t="n">
        <f aca="false">IF(AL190&lt;=$AN$97,AS189+AP190,0)</f>
        <v>0</v>
      </c>
      <c r="AU190" s="1027" t="n">
        <f aca="false">AU189+1</f>
        <v>81</v>
      </c>
      <c r="AV190" s="1025" t="str">
        <f aca="false">IF(AU190&lt;=$AW$97,DATE(YEAR(AV189),MONTH(AV189)+12/$AW$95,DAY(AV189)),"0")</f>
        <v>0</v>
      </c>
      <c r="AW190" s="1026" t="n">
        <f aca="false">IF(AU190&lt;=$AW$97,AZ189,0)</f>
        <v>0</v>
      </c>
      <c r="AX190" s="1026" t="n">
        <f aca="false">(AW190*$AW$93*1)/1200</f>
        <v>0</v>
      </c>
      <c r="AY190" s="1022" t="n">
        <f aca="false">IF(AU190&lt;$AW$97,$AW$101-AX190,0)+IF(AU190=$AW$97,$AW$90+$AW$101-AX190,0)</f>
        <v>0</v>
      </c>
      <c r="AZ190" s="1026" t="n">
        <f aca="false">AW190-AY190</f>
        <v>0</v>
      </c>
      <c r="BA190" s="1026" t="n">
        <f aca="false">IF(AU190&lt;=$AW$97,BA189+AX190,0)</f>
        <v>0</v>
      </c>
      <c r="BB190" s="654" t="n">
        <f aca="false">IF(AU190&lt;=$AW$97,BB189+AY190,0)</f>
        <v>0</v>
      </c>
    </row>
    <row r="191" customFormat="false" ht="12.75" hidden="false" customHeight="false" outlineLevel="0" collapsed="false">
      <c r="B191" s="1024" t="n">
        <v>82</v>
      </c>
      <c r="C191" s="1025" t="n">
        <f aca="false">IF(B191&lt;=$D$97,DATE(YEAR(C190),MONTH(C190)+12/$D$94,DAY(C190)),"0")</f>
        <v>47455</v>
      </c>
      <c r="D191" s="1026" t="n">
        <f aca="false">IF(B191=1,$D$90,G190)</f>
        <v>92091.9952815199</v>
      </c>
      <c r="E191" s="1026" t="n">
        <f aca="false">(D191*$D$92*1)/1200</f>
        <v>268.601652904433</v>
      </c>
      <c r="F191" s="1026" t="n">
        <f aca="false">IF(AND(B191&lt;=$D$97,B191&gt;$D$95),$D$101-E191,0)</f>
        <v>803.722159110326</v>
      </c>
      <c r="G191" s="1026" t="n">
        <f aca="false">D191-F191</f>
        <v>91288.2731224096</v>
      </c>
      <c r="H191" s="1026" t="n">
        <f aca="false">IF(B191&lt;=$D$97,E191+H190,0)</f>
        <v>29218.8257076198</v>
      </c>
      <c r="I191" s="654" t="n">
        <f aca="false">IF(B191&lt;=$D$97,F191+I190,0)</f>
        <v>58711.7268775904</v>
      </c>
      <c r="K191" s="1027" t="n">
        <f aca="false">K190+1</f>
        <v>82</v>
      </c>
      <c r="L191" s="1025" t="str">
        <f aca="false">IF(K191&lt;=$M$97,DATE(YEAR(L190),MONTH(L190)+12/$M$94,DAY(L190)),"0")</f>
        <v>0</v>
      </c>
      <c r="M191" s="1026" t="n">
        <f aca="false">IF(K191&lt;=$M$97,P190,0)</f>
        <v>0</v>
      </c>
      <c r="N191" s="1026" t="n">
        <f aca="false">(M191*$M$92*1)/1200</f>
        <v>0</v>
      </c>
      <c r="O191" s="1026" t="n">
        <f aca="false">IF(AND(K191&lt;=$M$97,K191&gt;$M$95),$M$101-N191,0)</f>
        <v>0</v>
      </c>
      <c r="P191" s="1026" t="n">
        <f aca="false">M191-O191</f>
        <v>0</v>
      </c>
      <c r="Q191" s="1026" t="n">
        <f aca="false">IF(K191&lt;=$M$97,Q190+N191,0)</f>
        <v>0</v>
      </c>
      <c r="R191" s="654" t="n">
        <f aca="false">IF(K191&lt;=$D$97,R190+O191,0)</f>
        <v>15000.0000000001</v>
      </c>
      <c r="T191" s="1027" t="n">
        <f aca="false">T190+1</f>
        <v>82</v>
      </c>
      <c r="U191" s="1025" t="str">
        <f aca="false">IF(T191&lt;=$V$97,DATE(YEAR(U190),MONTH(U190)+12/$V$94,DAY(U190)),"0")</f>
        <v>0</v>
      </c>
      <c r="V191" s="1026" t="n">
        <f aca="false">IF(T191&lt;=$V$97,Y190,0)</f>
        <v>0</v>
      </c>
      <c r="W191" s="1026" t="n">
        <f aca="false">(V191*$V$92*1)/1200</f>
        <v>0</v>
      </c>
      <c r="X191" s="1022" t="n">
        <f aca="false">IF(AND(T191&lt;=$V$97,T191&gt;$V$95),$V$101-W191,0)</f>
        <v>0</v>
      </c>
      <c r="Y191" s="1026" t="n">
        <f aca="false">V191-X191</f>
        <v>0</v>
      </c>
      <c r="Z191" s="1026" t="n">
        <f aca="false">IF(T191&lt;=$V$97,Z190+W191,0)</f>
        <v>0</v>
      </c>
      <c r="AA191" s="654" t="n">
        <f aca="false">IF(T191&lt;=$V$97,AA190+X191,0)</f>
        <v>0</v>
      </c>
      <c r="AB191" s="451"/>
      <c r="AC191" s="1027" t="n">
        <f aca="false">AC190+1</f>
        <v>82</v>
      </c>
      <c r="AD191" s="1025" t="str">
        <f aca="false">IF(AC191&lt;=$AE$97,DATE(YEAR(AD190),MONTH(AD190)+12/$AE$95,DAY(AD190)),"0")</f>
        <v>0</v>
      </c>
      <c r="AE191" s="1026" t="n">
        <f aca="false">IF(AC191&lt;=$AE$97,AH190,0)</f>
        <v>0</v>
      </c>
      <c r="AF191" s="1026" t="n">
        <f aca="false">(AE191*$AE$93*1)/1200</f>
        <v>0</v>
      </c>
      <c r="AG191" s="1022" t="n">
        <f aca="false">IF(AC191&lt;$AE$97,$AE$101-AF191,0)+IF(AC191=$AE$97,$AE$90+$AE$101-AF191,0)</f>
        <v>0</v>
      </c>
      <c r="AH191" s="1026" t="n">
        <f aca="false">AE191-AG191</f>
        <v>0</v>
      </c>
      <c r="AI191" s="1026" t="n">
        <f aca="false">IF(AC191&lt;=$AE$97,AI190+AF191,0)</f>
        <v>0</v>
      </c>
      <c r="AJ191" s="654" t="n">
        <f aca="false">IF(AC191&lt;=$AE$97,AJ190+AG191,0)</f>
        <v>0</v>
      </c>
      <c r="AL191" s="1027" t="n">
        <f aca="false">AL190+1</f>
        <v>82</v>
      </c>
      <c r="AM191" s="1025" t="str">
        <f aca="false">IF(AL191&lt;=$AN$97,DATE(YEAR(AM190),MONTH(AM190)+12/$AN$95,DAY(AM190)),"0")</f>
        <v>0</v>
      </c>
      <c r="AN191" s="1026" t="n">
        <f aca="false">IF(AL191&lt;=$AN$97,AQ190,0)</f>
        <v>0</v>
      </c>
      <c r="AO191" s="1026" t="n">
        <f aca="false">(AN191*$AN$93*1)/1200</f>
        <v>0</v>
      </c>
      <c r="AP191" s="1022" t="n">
        <f aca="false">IF(AL191&lt;$AN$97,$AN$101-AO191,0)+IF(AL191=$AN$97,$AN$90+$AN$101-AO191,0)</f>
        <v>0</v>
      </c>
      <c r="AQ191" s="1026" t="n">
        <f aca="false">AN191-AP191</f>
        <v>0</v>
      </c>
      <c r="AR191" s="1026" t="n">
        <f aca="false">IF(AL191&lt;=$AN$97,AR190+AO191,0)</f>
        <v>0</v>
      </c>
      <c r="AS191" s="654" t="n">
        <f aca="false">IF(AL191&lt;=$AN$97,AS190+AP191,0)</f>
        <v>0</v>
      </c>
      <c r="AU191" s="1027" t="n">
        <f aca="false">AU190+1</f>
        <v>82</v>
      </c>
      <c r="AV191" s="1025" t="str">
        <f aca="false">IF(AU191&lt;=$AW$97,DATE(YEAR(AV190),MONTH(AV190)+12/$AW$95,DAY(AV190)),"0")</f>
        <v>0</v>
      </c>
      <c r="AW191" s="1026" t="n">
        <f aca="false">IF(AU191&lt;=$AW$97,AZ190,0)</f>
        <v>0</v>
      </c>
      <c r="AX191" s="1026" t="n">
        <f aca="false">(AW191*$AW$93*1)/1200</f>
        <v>0</v>
      </c>
      <c r="AY191" s="1022" t="n">
        <f aca="false">IF(AU191&lt;$AW$97,$AW$101-AX191,0)+IF(AU191=$AW$97,$AW$90+$AW$101-AX191,0)</f>
        <v>0</v>
      </c>
      <c r="AZ191" s="1026" t="n">
        <f aca="false">AW191-AY191</f>
        <v>0</v>
      </c>
      <c r="BA191" s="1026" t="n">
        <f aca="false">IF(AU191&lt;=$AW$97,BA190+AX191,0)</f>
        <v>0</v>
      </c>
      <c r="BB191" s="654" t="n">
        <f aca="false">IF(AU191&lt;=$AW$97,BB190+AY191,0)</f>
        <v>0</v>
      </c>
    </row>
    <row r="192" customFormat="false" ht="12.75" hidden="false" customHeight="false" outlineLevel="0" collapsed="false">
      <c r="B192" s="1024" t="n">
        <v>83</v>
      </c>
      <c r="C192" s="1025" t="n">
        <f aca="false">IF(B192&lt;=$D$97,DATE(YEAR(C191),MONTH(C191)+12/$D$94,DAY(C191)),"0")</f>
        <v>47486</v>
      </c>
      <c r="D192" s="1026" t="n">
        <f aca="false">IF(B192=1,$D$90,G191)</f>
        <v>91288.2731224096</v>
      </c>
      <c r="E192" s="1026" t="n">
        <f aca="false">(D192*$D$92*1)/1200</f>
        <v>266.257463273695</v>
      </c>
      <c r="F192" s="1026" t="n">
        <f aca="false">IF(AND(B192&lt;=$D$97,B192&gt;$D$95),$D$101-E192,0)</f>
        <v>806.066348741065</v>
      </c>
      <c r="G192" s="1026" t="n">
        <f aca="false">D192-F192</f>
        <v>90482.2067736685</v>
      </c>
      <c r="H192" s="1026" t="n">
        <f aca="false">IF(B192&lt;=$D$97,E192+H191,0)</f>
        <v>29485.0831708935</v>
      </c>
      <c r="I192" s="654" t="n">
        <f aca="false">IF(B192&lt;=$D$97,F192+I191,0)</f>
        <v>59517.7932263315</v>
      </c>
      <c r="K192" s="1027" t="n">
        <f aca="false">K191+1</f>
        <v>83</v>
      </c>
      <c r="L192" s="1025" t="str">
        <f aca="false">IF(K192&lt;=$M$97,DATE(YEAR(L191),MONTH(L191)+12/$M$94,DAY(L191)),"0")</f>
        <v>0</v>
      </c>
      <c r="M192" s="1026" t="n">
        <f aca="false">IF(K192&lt;=$M$97,P191,0)</f>
        <v>0</v>
      </c>
      <c r="N192" s="1026" t="n">
        <f aca="false">(M192*$M$92*1)/1200</f>
        <v>0</v>
      </c>
      <c r="O192" s="1026" t="n">
        <f aca="false">IF(AND(K192&lt;=$M$97,K192&gt;$M$95),$M$101-N192,0)</f>
        <v>0</v>
      </c>
      <c r="P192" s="1026" t="n">
        <f aca="false">M192-O192</f>
        <v>0</v>
      </c>
      <c r="Q192" s="1026" t="n">
        <f aca="false">IF(K192&lt;=$M$97,Q191+N192,0)</f>
        <v>0</v>
      </c>
      <c r="R192" s="654" t="n">
        <f aca="false">IF(K192&lt;=$D$97,R191+O192,0)</f>
        <v>15000.0000000001</v>
      </c>
      <c r="T192" s="1027" t="n">
        <f aca="false">T191+1</f>
        <v>83</v>
      </c>
      <c r="U192" s="1025" t="str">
        <f aca="false">IF(T192&lt;=$V$97,DATE(YEAR(U191),MONTH(U191)+12/$V$94,DAY(U191)),"0")</f>
        <v>0</v>
      </c>
      <c r="V192" s="1026" t="n">
        <f aca="false">IF(T192&lt;=$V$97,Y191,0)</f>
        <v>0</v>
      </c>
      <c r="W192" s="1026" t="n">
        <f aca="false">(V192*$V$92*1)/1200</f>
        <v>0</v>
      </c>
      <c r="X192" s="1022" t="n">
        <f aca="false">IF(AND(T192&lt;=$V$97,T192&gt;$V$95),$V$101-W192,0)</f>
        <v>0</v>
      </c>
      <c r="Y192" s="1026" t="n">
        <f aca="false">V192-X192</f>
        <v>0</v>
      </c>
      <c r="Z192" s="1026" t="n">
        <f aca="false">IF(T192&lt;=$V$97,Z191+W192,0)</f>
        <v>0</v>
      </c>
      <c r="AA192" s="654" t="n">
        <f aca="false">IF(T192&lt;=$V$97,AA191+X192,0)</f>
        <v>0</v>
      </c>
      <c r="AB192" s="451"/>
      <c r="AC192" s="1027" t="n">
        <f aca="false">AC191+1</f>
        <v>83</v>
      </c>
      <c r="AD192" s="1025" t="str">
        <f aca="false">IF(AC192&lt;=$AE$97,DATE(YEAR(AD191),MONTH(AD191)+12/$AE$95,DAY(AD191)),"0")</f>
        <v>0</v>
      </c>
      <c r="AE192" s="1026" t="n">
        <f aca="false">IF(AC192&lt;=$AE$97,AH191,0)</f>
        <v>0</v>
      </c>
      <c r="AF192" s="1026" t="n">
        <f aca="false">(AE192*$AE$93*1)/1200</f>
        <v>0</v>
      </c>
      <c r="AG192" s="1022" t="n">
        <f aca="false">IF(AC192&lt;$AE$97,$AE$101-AF192,0)+IF(AC192=$AE$97,$AE$90+$AE$101-AF192,0)</f>
        <v>0</v>
      </c>
      <c r="AH192" s="1026" t="n">
        <f aca="false">AE192-AG192</f>
        <v>0</v>
      </c>
      <c r="AI192" s="1026" t="n">
        <f aca="false">IF(AC192&lt;=$AE$97,AI191+AF192,0)</f>
        <v>0</v>
      </c>
      <c r="AJ192" s="654" t="n">
        <f aca="false">IF(AC192&lt;=$AE$97,AJ191+AG192,0)</f>
        <v>0</v>
      </c>
      <c r="AL192" s="1027" t="n">
        <f aca="false">AL191+1</f>
        <v>83</v>
      </c>
      <c r="AM192" s="1025" t="str">
        <f aca="false">IF(AL192&lt;=$AN$97,DATE(YEAR(AM191),MONTH(AM191)+12/$AN$95,DAY(AM191)),"0")</f>
        <v>0</v>
      </c>
      <c r="AN192" s="1026" t="n">
        <f aca="false">IF(AL192&lt;=$AN$97,AQ191,0)</f>
        <v>0</v>
      </c>
      <c r="AO192" s="1026" t="n">
        <f aca="false">(AN192*$AN$93*1)/1200</f>
        <v>0</v>
      </c>
      <c r="AP192" s="1022" t="n">
        <f aca="false">IF(AL192&lt;$AN$97,$AN$101-AO192,0)+IF(AL192=$AN$97,$AN$90+$AN$101-AO192,0)</f>
        <v>0</v>
      </c>
      <c r="AQ192" s="1026" t="n">
        <f aca="false">AN192-AP192</f>
        <v>0</v>
      </c>
      <c r="AR192" s="1026" t="n">
        <f aca="false">IF(AL192&lt;=$AN$97,AR191+AO192,0)</f>
        <v>0</v>
      </c>
      <c r="AS192" s="654" t="n">
        <f aca="false">IF(AL192&lt;=$AN$97,AS191+AP192,0)</f>
        <v>0</v>
      </c>
      <c r="AU192" s="1027" t="n">
        <f aca="false">AU191+1</f>
        <v>83</v>
      </c>
      <c r="AV192" s="1025" t="str">
        <f aca="false">IF(AU192&lt;=$AW$97,DATE(YEAR(AV191),MONTH(AV191)+12/$AW$95,DAY(AV191)),"0")</f>
        <v>0</v>
      </c>
      <c r="AW192" s="1026" t="n">
        <f aca="false">IF(AU192&lt;=$AW$97,AZ191,0)</f>
        <v>0</v>
      </c>
      <c r="AX192" s="1026" t="n">
        <f aca="false">(AW192*$AW$93*1)/1200</f>
        <v>0</v>
      </c>
      <c r="AY192" s="1022" t="n">
        <f aca="false">IF(AU192&lt;$AW$97,$AW$101-AX192,0)+IF(AU192=$AW$97,$AW$90+$AW$101-AX192,0)</f>
        <v>0</v>
      </c>
      <c r="AZ192" s="1026" t="n">
        <f aca="false">AW192-AY192</f>
        <v>0</v>
      </c>
      <c r="BA192" s="1026" t="n">
        <f aca="false">IF(AU192&lt;=$AW$97,BA191+AX192,0)</f>
        <v>0</v>
      </c>
      <c r="BB192" s="654" t="n">
        <f aca="false">IF(AU192&lt;=$AW$97,BB191+AY192,0)</f>
        <v>0</v>
      </c>
    </row>
    <row r="193" customFormat="false" ht="12.75" hidden="false" customHeight="false" outlineLevel="0" collapsed="false">
      <c r="B193" s="1024" t="n">
        <v>84</v>
      </c>
      <c r="C193" s="1025" t="n">
        <f aca="false">IF(B193&lt;=$D$97,DATE(YEAR(C192),MONTH(C192)+12/$D$94,DAY(C192)),"0")</f>
        <v>47517</v>
      </c>
      <c r="D193" s="1026" t="n">
        <f aca="false">IF(B193=1,$D$90,G192)</f>
        <v>90482.2067736685</v>
      </c>
      <c r="E193" s="1026" t="n">
        <f aca="false">(D193*$D$92*1)/1200</f>
        <v>263.9064364232</v>
      </c>
      <c r="F193" s="1026" t="n">
        <f aca="false">IF(AND(B193&lt;=$D$97,B193&gt;$D$95),$D$101-E193,0)</f>
        <v>808.41737559156</v>
      </c>
      <c r="G193" s="1026" t="n">
        <f aca="false">D193-F193</f>
        <v>89673.789398077</v>
      </c>
      <c r="H193" s="1026" t="n">
        <f aca="false">IF(B193&lt;=$D$97,E193+H192,0)</f>
        <v>29748.9896073167</v>
      </c>
      <c r="I193" s="654" t="n">
        <f aca="false">IF(B193&lt;=$D$97,F193+I192,0)</f>
        <v>60326.2106019231</v>
      </c>
      <c r="K193" s="1027" t="n">
        <f aca="false">K192+1</f>
        <v>84</v>
      </c>
      <c r="L193" s="1025" t="str">
        <f aca="false">IF(K193&lt;=$M$97,DATE(YEAR(L192),MONTH(L192)+12/$M$94,DAY(L192)),"0")</f>
        <v>0</v>
      </c>
      <c r="M193" s="1026" t="n">
        <f aca="false">IF(K193&lt;=$M$97,P192,0)</f>
        <v>0</v>
      </c>
      <c r="N193" s="1026" t="n">
        <f aca="false">(M193*$M$92*1)/1200</f>
        <v>0</v>
      </c>
      <c r="O193" s="1026" t="n">
        <f aca="false">IF(AND(K193&lt;=$M$97,K193&gt;$M$95),$M$101-N193,0)</f>
        <v>0</v>
      </c>
      <c r="P193" s="1026" t="n">
        <f aca="false">M193-O193</f>
        <v>0</v>
      </c>
      <c r="Q193" s="1026" t="n">
        <f aca="false">IF(K193&lt;=$M$97,Q192+N193,0)</f>
        <v>0</v>
      </c>
      <c r="R193" s="654" t="n">
        <f aca="false">IF(K193&lt;=$D$97,R192+O193,0)</f>
        <v>15000.0000000001</v>
      </c>
      <c r="T193" s="1027" t="n">
        <f aca="false">T192+1</f>
        <v>84</v>
      </c>
      <c r="U193" s="1025" t="str">
        <f aca="false">IF(T193&lt;=$V$97,DATE(YEAR(U192),MONTH(U192)+12/$V$94,DAY(U192)),"0")</f>
        <v>0</v>
      </c>
      <c r="V193" s="1026" t="n">
        <f aca="false">IF(T193&lt;=$V$97,Y192,0)</f>
        <v>0</v>
      </c>
      <c r="W193" s="1026" t="n">
        <f aca="false">(V193*$V$92*1)/1200</f>
        <v>0</v>
      </c>
      <c r="X193" s="1022" t="n">
        <f aca="false">IF(AND(T193&lt;=$V$97,T193&gt;$V$95),$V$101-W193,0)</f>
        <v>0</v>
      </c>
      <c r="Y193" s="1026" t="n">
        <f aca="false">V193-X193</f>
        <v>0</v>
      </c>
      <c r="Z193" s="1026" t="n">
        <f aca="false">IF(T193&lt;=$V$97,Z192+W193,0)</f>
        <v>0</v>
      </c>
      <c r="AA193" s="654" t="n">
        <f aca="false">IF(T193&lt;=$V$97,AA192+X193,0)</f>
        <v>0</v>
      </c>
      <c r="AB193" s="451"/>
      <c r="AC193" s="1027" t="n">
        <f aca="false">AC192+1</f>
        <v>84</v>
      </c>
      <c r="AD193" s="1025" t="str">
        <f aca="false">IF(AC193&lt;=$AE$97,DATE(YEAR(AD192),MONTH(AD192)+12/$AE$95,DAY(AD192)),"0")</f>
        <v>0</v>
      </c>
      <c r="AE193" s="1026" t="n">
        <f aca="false">IF(AC193&lt;=$AE$97,AH192,0)</f>
        <v>0</v>
      </c>
      <c r="AF193" s="1026" t="n">
        <f aca="false">(AE193*$AE$93*1)/1200</f>
        <v>0</v>
      </c>
      <c r="AG193" s="1022" t="n">
        <f aca="false">IF(AC193&lt;$AE$97,$AE$101-AF193,0)+IF(AC193=$AE$97,$AE$90+$AE$101-AF193,0)</f>
        <v>0</v>
      </c>
      <c r="AH193" s="1026" t="n">
        <f aca="false">AE193-AG193</f>
        <v>0</v>
      </c>
      <c r="AI193" s="1026" t="n">
        <f aca="false">IF(AC193&lt;=$AE$97,AI192+AF193,0)</f>
        <v>0</v>
      </c>
      <c r="AJ193" s="654" t="n">
        <f aca="false">IF(AC193&lt;=$AE$97,AJ192+AG193,0)</f>
        <v>0</v>
      </c>
      <c r="AL193" s="1027" t="n">
        <f aca="false">AL192+1</f>
        <v>84</v>
      </c>
      <c r="AM193" s="1025" t="str">
        <f aca="false">IF(AL193&lt;=$AN$97,DATE(YEAR(AM192),MONTH(AM192)+12/$AN$95,DAY(AM192)),"0")</f>
        <v>0</v>
      </c>
      <c r="AN193" s="1026" t="n">
        <f aca="false">IF(AL193&lt;=$AN$97,AQ192,0)</f>
        <v>0</v>
      </c>
      <c r="AO193" s="1026" t="n">
        <f aca="false">(AN193*$AN$93*1)/1200</f>
        <v>0</v>
      </c>
      <c r="AP193" s="1022" t="n">
        <f aca="false">IF(AL193&lt;$AN$97,$AN$101-AO193,0)+IF(AL193=$AN$97,$AN$90+$AN$101-AO193,0)</f>
        <v>0</v>
      </c>
      <c r="AQ193" s="1026" t="n">
        <f aca="false">AN193-AP193</f>
        <v>0</v>
      </c>
      <c r="AR193" s="1026" t="n">
        <f aca="false">IF(AL193&lt;=$AN$97,AR192+AO193,0)</f>
        <v>0</v>
      </c>
      <c r="AS193" s="654" t="n">
        <f aca="false">IF(AL193&lt;=$AN$97,AS192+AP193,0)</f>
        <v>0</v>
      </c>
      <c r="AU193" s="1027" t="n">
        <f aca="false">AU192+1</f>
        <v>84</v>
      </c>
      <c r="AV193" s="1025" t="str">
        <f aca="false">IF(AU193&lt;=$AW$97,DATE(YEAR(AV192),MONTH(AV192)+12/$AW$95,DAY(AV192)),"0")</f>
        <v>0</v>
      </c>
      <c r="AW193" s="1026" t="n">
        <f aca="false">IF(AU193&lt;=$AW$97,AZ192,0)</f>
        <v>0</v>
      </c>
      <c r="AX193" s="1026" t="n">
        <f aca="false">(AW193*$AW$93*1)/1200</f>
        <v>0</v>
      </c>
      <c r="AY193" s="1022" t="n">
        <f aca="false">IF(AU193&lt;$AW$97,$AW$101-AX193,0)+IF(AU193=$AW$97,$AW$90+$AW$101-AX193,0)</f>
        <v>0</v>
      </c>
      <c r="AZ193" s="1026" t="n">
        <f aca="false">AW193-AY193</f>
        <v>0</v>
      </c>
      <c r="BA193" s="1026" t="n">
        <f aca="false">IF(AU193&lt;=$AW$97,BA192+AX193,0)</f>
        <v>0</v>
      </c>
      <c r="BB193" s="654" t="n">
        <f aca="false">IF(AU193&lt;=$AW$97,BB192+AY193,0)</f>
        <v>0</v>
      </c>
    </row>
    <row r="194" customFormat="false" ht="12.75" hidden="false" customHeight="false" outlineLevel="0" collapsed="false">
      <c r="B194" s="1024" t="n">
        <v>85</v>
      </c>
      <c r="C194" s="1025" t="n">
        <f aca="false">IF(B194&lt;=$D$97,DATE(YEAR(C193),MONTH(C193)+12/$D$94,DAY(C193)),"0")</f>
        <v>47545</v>
      </c>
      <c r="D194" s="1026" t="n">
        <f aca="false">IF(B194=1,$D$90,G193)</f>
        <v>89673.789398077</v>
      </c>
      <c r="E194" s="1026" t="n">
        <f aca="false">(D194*$D$92*1)/1200</f>
        <v>261.548552411058</v>
      </c>
      <c r="F194" s="1026" t="n">
        <f aca="false">IF(AND(B194&lt;=$D$97,B194&gt;$D$95),$D$101-E194,0)</f>
        <v>810.775259603702</v>
      </c>
      <c r="G194" s="1026" t="n">
        <f aca="false">D194-F194</f>
        <v>88863.0141384733</v>
      </c>
      <c r="H194" s="1026" t="n">
        <f aca="false">IF(B194&lt;=$D$97,E194+H193,0)</f>
        <v>30010.5381597278</v>
      </c>
      <c r="I194" s="654" t="n">
        <f aca="false">IF(B194&lt;=$D$97,F194+I193,0)</f>
        <v>61136.9858615268</v>
      </c>
      <c r="K194" s="1027" t="n">
        <f aca="false">K193+1</f>
        <v>85</v>
      </c>
      <c r="L194" s="1025" t="str">
        <f aca="false">IF(K194&lt;=$M$97,DATE(YEAR(L193),MONTH(L193)+12/$M$94,DAY(L193)),"0")</f>
        <v>0</v>
      </c>
      <c r="M194" s="1026" t="n">
        <f aca="false">IF(K194&lt;=$M$97,P193,0)</f>
        <v>0</v>
      </c>
      <c r="N194" s="1026" t="n">
        <f aca="false">(M194*$M$92*1)/1200</f>
        <v>0</v>
      </c>
      <c r="O194" s="1026" t="n">
        <f aca="false">IF(AND(K194&lt;=$M$97,K194&gt;$M$95),$M$101-N194,0)</f>
        <v>0</v>
      </c>
      <c r="P194" s="1026" t="n">
        <f aca="false">M194-O194</f>
        <v>0</v>
      </c>
      <c r="Q194" s="1026" t="n">
        <f aca="false">IF(K194&lt;=$M$97,Q193+N194,0)</f>
        <v>0</v>
      </c>
      <c r="R194" s="654" t="n">
        <f aca="false">IF(K194&lt;=$D$97,R193+O194,0)</f>
        <v>15000.0000000001</v>
      </c>
      <c r="T194" s="1027" t="n">
        <f aca="false">T193+1</f>
        <v>85</v>
      </c>
      <c r="U194" s="1025" t="str">
        <f aca="false">IF(T194&lt;=$V$97,DATE(YEAR(U193),MONTH(U193)+12/$V$94,DAY(U193)),"0")</f>
        <v>0</v>
      </c>
      <c r="V194" s="1026" t="n">
        <f aca="false">IF(T194&lt;=$V$97,Y193,0)</f>
        <v>0</v>
      </c>
      <c r="W194" s="1026" t="n">
        <f aca="false">(V194*$V$92*1)/1200</f>
        <v>0</v>
      </c>
      <c r="X194" s="1022" t="n">
        <f aca="false">IF(AND(T194&lt;=$V$97,T194&gt;$V$95),$V$101-W194,0)</f>
        <v>0</v>
      </c>
      <c r="Y194" s="1026" t="n">
        <f aca="false">V194-X194</f>
        <v>0</v>
      </c>
      <c r="Z194" s="1026" t="n">
        <f aca="false">IF(T194&lt;=$V$97,Z193+W194,0)</f>
        <v>0</v>
      </c>
      <c r="AA194" s="654" t="n">
        <f aca="false">IF(T194&lt;=$V$97,AA193+X194,0)</f>
        <v>0</v>
      </c>
      <c r="AB194" s="451"/>
      <c r="AC194" s="1027" t="n">
        <f aca="false">AC193+1</f>
        <v>85</v>
      </c>
      <c r="AD194" s="1025" t="str">
        <f aca="false">IF(AC194&lt;=$AE$97,DATE(YEAR(AD193),MONTH(AD193)+12/$AE$95,DAY(AD193)),"0")</f>
        <v>0</v>
      </c>
      <c r="AE194" s="1026" t="n">
        <f aca="false">IF(AC194&lt;=$AE$97,AH193,0)</f>
        <v>0</v>
      </c>
      <c r="AF194" s="1026" t="n">
        <f aca="false">(AE194*$AE$93*1)/1200</f>
        <v>0</v>
      </c>
      <c r="AG194" s="1022" t="n">
        <f aca="false">IF(AC194&lt;$AE$97,$AE$101-AF194,0)+IF(AC194=$AE$97,$AE$90+$AE$101-AF194,0)</f>
        <v>0</v>
      </c>
      <c r="AH194" s="1026" t="n">
        <f aca="false">AE194-AG194</f>
        <v>0</v>
      </c>
      <c r="AI194" s="1026" t="n">
        <f aca="false">IF(AC194&lt;=$AE$97,AI193+AF194,0)</f>
        <v>0</v>
      </c>
      <c r="AJ194" s="654" t="n">
        <f aca="false">IF(AC194&lt;=$AE$97,AJ193+AG194,0)</f>
        <v>0</v>
      </c>
      <c r="AL194" s="1027" t="n">
        <f aca="false">AL193+1</f>
        <v>85</v>
      </c>
      <c r="AM194" s="1025" t="str">
        <f aca="false">IF(AL194&lt;=$AN$97,DATE(YEAR(AM193),MONTH(AM193)+12/$AN$95,DAY(AM193)),"0")</f>
        <v>0</v>
      </c>
      <c r="AN194" s="1026" t="n">
        <f aca="false">IF(AL194&lt;=$AN$97,AQ193,0)</f>
        <v>0</v>
      </c>
      <c r="AO194" s="1026" t="n">
        <f aca="false">(AN194*$AN$93*1)/1200</f>
        <v>0</v>
      </c>
      <c r="AP194" s="1022" t="n">
        <f aca="false">IF(AL194&lt;$AN$97,$AN$101-AO194,0)+IF(AL194=$AN$97,$AN$90+$AN$101-AO194,0)</f>
        <v>0</v>
      </c>
      <c r="AQ194" s="1026" t="n">
        <f aca="false">AN194-AP194</f>
        <v>0</v>
      </c>
      <c r="AR194" s="1026" t="n">
        <f aca="false">IF(AL194&lt;=$AN$97,AR193+AO194,0)</f>
        <v>0</v>
      </c>
      <c r="AS194" s="654" t="n">
        <f aca="false">IF(AL194&lt;=$AN$97,AS193+AP194,0)</f>
        <v>0</v>
      </c>
      <c r="AU194" s="1027" t="n">
        <f aca="false">AU193+1</f>
        <v>85</v>
      </c>
      <c r="AV194" s="1025" t="str">
        <f aca="false">IF(AU194&lt;=$AW$97,DATE(YEAR(AV193),MONTH(AV193)+12/$AW$95,DAY(AV193)),"0")</f>
        <v>0</v>
      </c>
      <c r="AW194" s="1026" t="n">
        <f aca="false">IF(AU194&lt;=$AW$97,AZ193,0)</f>
        <v>0</v>
      </c>
      <c r="AX194" s="1026" t="n">
        <f aca="false">(AW194*$AW$93*1)/1200</f>
        <v>0</v>
      </c>
      <c r="AY194" s="1022" t="n">
        <f aca="false">IF(AU194&lt;$AW$97,$AW$101-AX194,0)+IF(AU194=$AW$97,$AW$90+$AW$101-AX194,0)</f>
        <v>0</v>
      </c>
      <c r="AZ194" s="1026" t="n">
        <f aca="false">AW194-AY194</f>
        <v>0</v>
      </c>
      <c r="BA194" s="1026" t="n">
        <f aca="false">IF(AU194&lt;=$AW$97,BA193+AX194,0)</f>
        <v>0</v>
      </c>
      <c r="BB194" s="654" t="n">
        <f aca="false">IF(AU194&lt;=$AW$97,BB193+AY194,0)</f>
        <v>0</v>
      </c>
    </row>
    <row r="195" customFormat="false" ht="12.75" hidden="false" customHeight="false" outlineLevel="0" collapsed="false">
      <c r="B195" s="1024" t="n">
        <v>86</v>
      </c>
      <c r="C195" s="1025" t="n">
        <f aca="false">IF(B195&lt;=$D$97,DATE(YEAR(C194),MONTH(C194)+12/$D$94,DAY(C194)),"0")</f>
        <v>47576</v>
      </c>
      <c r="D195" s="1026" t="n">
        <f aca="false">IF(B195=1,$D$90,G194)</f>
        <v>88863.0141384733</v>
      </c>
      <c r="E195" s="1026" t="n">
        <f aca="false">(D195*$D$92*1)/1200</f>
        <v>259.183791237214</v>
      </c>
      <c r="F195" s="1026" t="n">
        <f aca="false">IF(AND(B195&lt;=$D$97,B195&gt;$D$95),$D$101-E195,0)</f>
        <v>813.140020777546</v>
      </c>
      <c r="G195" s="1026" t="n">
        <f aca="false">D195-F195</f>
        <v>88049.8741176957</v>
      </c>
      <c r="H195" s="1026" t="n">
        <f aca="false">IF(B195&lt;=$D$97,E195+H194,0)</f>
        <v>30269.721950965</v>
      </c>
      <c r="I195" s="654" t="n">
        <f aca="false">IF(B195&lt;=$D$97,F195+I194,0)</f>
        <v>61950.1258823043</v>
      </c>
      <c r="K195" s="1027" t="n">
        <f aca="false">K194+1</f>
        <v>86</v>
      </c>
      <c r="L195" s="1025" t="str">
        <f aca="false">IF(K195&lt;=$M$97,DATE(YEAR(L194),MONTH(L194)+12/$M$94,DAY(L194)),"0")</f>
        <v>0</v>
      </c>
      <c r="M195" s="1026" t="n">
        <f aca="false">IF(K195&lt;=$M$97,P194,0)</f>
        <v>0</v>
      </c>
      <c r="N195" s="1026" t="n">
        <f aca="false">(M195*$M$92*1)/1200</f>
        <v>0</v>
      </c>
      <c r="O195" s="1026" t="n">
        <f aca="false">IF(AND(K195&lt;=$M$97,K195&gt;$M$95),$M$101-N195,0)</f>
        <v>0</v>
      </c>
      <c r="P195" s="1026" t="n">
        <f aca="false">M195-O195</f>
        <v>0</v>
      </c>
      <c r="Q195" s="1026" t="n">
        <f aca="false">IF(K195&lt;=$M$97,Q194+N195,0)</f>
        <v>0</v>
      </c>
      <c r="R195" s="654" t="n">
        <f aca="false">IF(K195&lt;=$D$97,R194+O195,0)</f>
        <v>15000.0000000001</v>
      </c>
      <c r="T195" s="1027" t="n">
        <f aca="false">T194+1</f>
        <v>86</v>
      </c>
      <c r="U195" s="1025" t="str">
        <f aca="false">IF(T195&lt;=$V$97,DATE(YEAR(U194),MONTH(U194)+12/$V$94,DAY(U194)),"0")</f>
        <v>0</v>
      </c>
      <c r="V195" s="1026" t="n">
        <f aca="false">IF(T195&lt;=$V$97,Y194,0)</f>
        <v>0</v>
      </c>
      <c r="W195" s="1026" t="n">
        <f aca="false">(V195*$V$92*1)/1200</f>
        <v>0</v>
      </c>
      <c r="X195" s="1022" t="n">
        <f aca="false">IF(AND(T195&lt;=$V$97,T195&gt;$V$95),$V$101-W195,0)</f>
        <v>0</v>
      </c>
      <c r="Y195" s="1026" t="n">
        <f aca="false">V195-X195</f>
        <v>0</v>
      </c>
      <c r="Z195" s="1026" t="n">
        <f aca="false">IF(T195&lt;=$V$97,Z194+W195,0)</f>
        <v>0</v>
      </c>
      <c r="AA195" s="654" t="n">
        <f aca="false">IF(T195&lt;=$V$97,AA194+X195,0)</f>
        <v>0</v>
      </c>
      <c r="AB195" s="451"/>
      <c r="AC195" s="1027" t="n">
        <f aca="false">AC194+1</f>
        <v>86</v>
      </c>
      <c r="AD195" s="1025" t="str">
        <f aca="false">IF(AC195&lt;=$AE$97,DATE(YEAR(AD194),MONTH(AD194)+12/$AE$95,DAY(AD194)),"0")</f>
        <v>0</v>
      </c>
      <c r="AE195" s="1026" t="n">
        <f aca="false">IF(AC195&lt;=$AE$97,AH194,0)</f>
        <v>0</v>
      </c>
      <c r="AF195" s="1026" t="n">
        <f aca="false">(AE195*$AE$93*1)/1200</f>
        <v>0</v>
      </c>
      <c r="AG195" s="1022" t="n">
        <f aca="false">IF(AC195&lt;$AE$97,$AE$101-AF195,0)+IF(AC195=$AE$97,$AE$90+$AE$101-AF195,0)</f>
        <v>0</v>
      </c>
      <c r="AH195" s="1026" t="n">
        <f aca="false">AE195-AG195</f>
        <v>0</v>
      </c>
      <c r="AI195" s="1026" t="n">
        <f aca="false">IF(AC195&lt;=$AE$97,AI194+AF195,0)</f>
        <v>0</v>
      </c>
      <c r="AJ195" s="654" t="n">
        <f aca="false">IF(AC195&lt;=$AE$97,AJ194+AG195,0)</f>
        <v>0</v>
      </c>
      <c r="AL195" s="1027" t="n">
        <f aca="false">AL194+1</f>
        <v>86</v>
      </c>
      <c r="AM195" s="1025" t="str">
        <f aca="false">IF(AL195&lt;=$AN$97,DATE(YEAR(AM194),MONTH(AM194)+12/$AN$95,DAY(AM194)),"0")</f>
        <v>0</v>
      </c>
      <c r="AN195" s="1026" t="n">
        <f aca="false">IF(AL195&lt;=$AN$97,AQ194,0)</f>
        <v>0</v>
      </c>
      <c r="AO195" s="1026" t="n">
        <f aca="false">(AN195*$AN$93*1)/1200</f>
        <v>0</v>
      </c>
      <c r="AP195" s="1022" t="n">
        <f aca="false">IF(AL195&lt;$AN$97,$AN$101-AO195,0)+IF(AL195=$AN$97,$AN$90+$AN$101-AO195,0)</f>
        <v>0</v>
      </c>
      <c r="AQ195" s="1026" t="n">
        <f aca="false">AN195-AP195</f>
        <v>0</v>
      </c>
      <c r="AR195" s="1026" t="n">
        <f aca="false">IF(AL195&lt;=$AN$97,AR194+AO195,0)</f>
        <v>0</v>
      </c>
      <c r="AS195" s="654" t="n">
        <f aca="false">IF(AL195&lt;=$AN$97,AS194+AP195,0)</f>
        <v>0</v>
      </c>
      <c r="AU195" s="1027" t="n">
        <f aca="false">AU194+1</f>
        <v>86</v>
      </c>
      <c r="AV195" s="1025" t="str">
        <f aca="false">IF(AU195&lt;=$AW$97,DATE(YEAR(AV194),MONTH(AV194)+12/$AW$95,DAY(AV194)),"0")</f>
        <v>0</v>
      </c>
      <c r="AW195" s="1026" t="n">
        <f aca="false">IF(AU195&lt;=$AW$97,AZ194,0)</f>
        <v>0</v>
      </c>
      <c r="AX195" s="1026" t="n">
        <f aca="false">(AW195*$AW$93*1)/1200</f>
        <v>0</v>
      </c>
      <c r="AY195" s="1022" t="n">
        <f aca="false">IF(AU195&lt;$AW$97,$AW$101-AX195,0)+IF(AU195=$AW$97,$AW$90+$AW$101-AX195,0)</f>
        <v>0</v>
      </c>
      <c r="AZ195" s="1026" t="n">
        <f aca="false">AW195-AY195</f>
        <v>0</v>
      </c>
      <c r="BA195" s="1026" t="n">
        <f aca="false">IF(AU195&lt;=$AW$97,BA194+AX195,0)</f>
        <v>0</v>
      </c>
      <c r="BB195" s="654" t="n">
        <f aca="false">IF(AU195&lt;=$AW$97,BB194+AY195,0)</f>
        <v>0</v>
      </c>
    </row>
    <row r="196" customFormat="false" ht="12.75" hidden="false" customHeight="false" outlineLevel="0" collapsed="false">
      <c r="B196" s="1024" t="n">
        <v>87</v>
      </c>
      <c r="C196" s="1025" t="n">
        <f aca="false">IF(B196&lt;=$D$97,DATE(YEAR(C195),MONTH(C195)+12/$D$94,DAY(C195)),"0")</f>
        <v>47606</v>
      </c>
      <c r="D196" s="1026" t="n">
        <f aca="false">IF(B196=1,$D$90,G195)</f>
        <v>88049.8741176957</v>
      </c>
      <c r="E196" s="1026" t="n">
        <f aca="false">(D196*$D$92*1)/1200</f>
        <v>256.812132843279</v>
      </c>
      <c r="F196" s="1026" t="n">
        <f aca="false">IF(AND(B196&lt;=$D$97,B196&gt;$D$95),$D$101-E196,0)</f>
        <v>815.51167917148</v>
      </c>
      <c r="G196" s="1026" t="n">
        <f aca="false">D196-F196</f>
        <v>87234.3624385242</v>
      </c>
      <c r="H196" s="1026" t="n">
        <f aca="false">IF(B196&lt;=$D$97,E196+H195,0)</f>
        <v>30526.5340838083</v>
      </c>
      <c r="I196" s="654" t="n">
        <f aca="false">IF(B196&lt;=$D$97,F196+I195,0)</f>
        <v>62765.6375614758</v>
      </c>
      <c r="K196" s="1027" t="n">
        <f aca="false">K195+1</f>
        <v>87</v>
      </c>
      <c r="L196" s="1025" t="str">
        <f aca="false">IF(K196&lt;=$M$97,DATE(YEAR(L195),MONTH(L195)+12/$M$94,DAY(L195)),"0")</f>
        <v>0</v>
      </c>
      <c r="M196" s="1026" t="n">
        <f aca="false">IF(K196&lt;=$M$97,P195,0)</f>
        <v>0</v>
      </c>
      <c r="N196" s="1026" t="n">
        <f aca="false">(M196*$M$92*1)/1200</f>
        <v>0</v>
      </c>
      <c r="O196" s="1026" t="n">
        <f aca="false">IF(AND(K196&lt;=$M$97,K196&gt;$M$95),$M$101-N196,0)</f>
        <v>0</v>
      </c>
      <c r="P196" s="1026" t="n">
        <f aca="false">M196-O196</f>
        <v>0</v>
      </c>
      <c r="Q196" s="1026" t="n">
        <f aca="false">IF(K196&lt;=$M$97,Q195+N196,0)</f>
        <v>0</v>
      </c>
      <c r="R196" s="654" t="n">
        <f aca="false">IF(K196&lt;=$D$97,R195+O196,0)</f>
        <v>15000.0000000001</v>
      </c>
      <c r="T196" s="1027" t="n">
        <f aca="false">T195+1</f>
        <v>87</v>
      </c>
      <c r="U196" s="1025" t="str">
        <f aca="false">IF(T196&lt;=$V$97,DATE(YEAR(U195),MONTH(U195)+12/$V$94,DAY(U195)),"0")</f>
        <v>0</v>
      </c>
      <c r="V196" s="1026" t="n">
        <f aca="false">IF(T196&lt;=$V$97,Y195,0)</f>
        <v>0</v>
      </c>
      <c r="W196" s="1026" t="n">
        <f aca="false">(V196*$V$92*1)/1200</f>
        <v>0</v>
      </c>
      <c r="X196" s="1022" t="n">
        <f aca="false">IF(AND(T196&lt;=$V$97,T196&gt;$V$95),$V$101-W196,0)</f>
        <v>0</v>
      </c>
      <c r="Y196" s="1026" t="n">
        <f aca="false">V196-X196</f>
        <v>0</v>
      </c>
      <c r="Z196" s="1026" t="n">
        <f aca="false">IF(T196&lt;=$V$97,Z195+W196,0)</f>
        <v>0</v>
      </c>
      <c r="AA196" s="654" t="n">
        <f aca="false">IF(T196&lt;=$V$97,AA195+X196,0)</f>
        <v>0</v>
      </c>
      <c r="AB196" s="451"/>
      <c r="AC196" s="1027" t="n">
        <f aca="false">AC195+1</f>
        <v>87</v>
      </c>
      <c r="AD196" s="1025" t="str">
        <f aca="false">IF(AC196&lt;=$AE$97,DATE(YEAR(AD195),MONTH(AD195)+12/$AE$95,DAY(AD195)),"0")</f>
        <v>0</v>
      </c>
      <c r="AE196" s="1026" t="n">
        <f aca="false">IF(AC196&lt;=$AE$97,AH195,0)</f>
        <v>0</v>
      </c>
      <c r="AF196" s="1026" t="n">
        <f aca="false">(AE196*$AE$93*1)/1200</f>
        <v>0</v>
      </c>
      <c r="AG196" s="1022" t="n">
        <f aca="false">IF(AC196&lt;$AE$97,$AE$101-AF196,0)+IF(AC196=$AE$97,$AE$90+$AE$101-AF196,0)</f>
        <v>0</v>
      </c>
      <c r="AH196" s="1026" t="n">
        <f aca="false">AE196-AG196</f>
        <v>0</v>
      </c>
      <c r="AI196" s="1026" t="n">
        <f aca="false">IF(AC196&lt;=$AE$97,AI195+AF196,0)</f>
        <v>0</v>
      </c>
      <c r="AJ196" s="654" t="n">
        <f aca="false">IF(AC196&lt;=$AE$97,AJ195+AG196,0)</f>
        <v>0</v>
      </c>
      <c r="AL196" s="1027" t="n">
        <f aca="false">AL195+1</f>
        <v>87</v>
      </c>
      <c r="AM196" s="1025" t="str">
        <f aca="false">IF(AL196&lt;=$AN$97,DATE(YEAR(AM195),MONTH(AM195)+12/$AN$95,DAY(AM195)),"0")</f>
        <v>0</v>
      </c>
      <c r="AN196" s="1026" t="n">
        <f aca="false">IF(AL196&lt;=$AN$97,AQ195,0)</f>
        <v>0</v>
      </c>
      <c r="AO196" s="1026" t="n">
        <f aca="false">(AN196*$AN$93*1)/1200</f>
        <v>0</v>
      </c>
      <c r="AP196" s="1022" t="n">
        <f aca="false">IF(AL196&lt;$AN$97,$AN$101-AO196,0)+IF(AL196=$AN$97,$AN$90+$AN$101-AO196,0)</f>
        <v>0</v>
      </c>
      <c r="AQ196" s="1026" t="n">
        <f aca="false">AN196-AP196</f>
        <v>0</v>
      </c>
      <c r="AR196" s="1026" t="n">
        <f aca="false">IF(AL196&lt;=$AN$97,AR195+AO196,0)</f>
        <v>0</v>
      </c>
      <c r="AS196" s="654" t="n">
        <f aca="false">IF(AL196&lt;=$AN$97,AS195+AP196,0)</f>
        <v>0</v>
      </c>
      <c r="AU196" s="1027" t="n">
        <f aca="false">AU195+1</f>
        <v>87</v>
      </c>
      <c r="AV196" s="1025" t="str">
        <f aca="false">IF(AU196&lt;=$AW$97,DATE(YEAR(AV195),MONTH(AV195)+12/$AW$95,DAY(AV195)),"0")</f>
        <v>0</v>
      </c>
      <c r="AW196" s="1026" t="n">
        <f aca="false">IF(AU196&lt;=$AW$97,AZ195,0)</f>
        <v>0</v>
      </c>
      <c r="AX196" s="1026" t="n">
        <f aca="false">(AW196*$AW$93*1)/1200</f>
        <v>0</v>
      </c>
      <c r="AY196" s="1022" t="n">
        <f aca="false">IF(AU196&lt;$AW$97,$AW$101-AX196,0)+IF(AU196=$AW$97,$AW$90+$AW$101-AX196,0)</f>
        <v>0</v>
      </c>
      <c r="AZ196" s="1026" t="n">
        <f aca="false">AW196-AY196</f>
        <v>0</v>
      </c>
      <c r="BA196" s="1026" t="n">
        <f aca="false">IF(AU196&lt;=$AW$97,BA195+AX196,0)</f>
        <v>0</v>
      </c>
      <c r="BB196" s="654" t="n">
        <f aca="false">IF(AU196&lt;=$AW$97,BB195+AY196,0)</f>
        <v>0</v>
      </c>
    </row>
    <row r="197" customFormat="false" ht="12.75" hidden="false" customHeight="false" outlineLevel="0" collapsed="false">
      <c r="B197" s="1024" t="n">
        <v>88</v>
      </c>
      <c r="C197" s="1025" t="n">
        <f aca="false">IF(B197&lt;=$D$97,DATE(YEAR(C196),MONTH(C196)+12/$D$94,DAY(C196)),"0")</f>
        <v>47637</v>
      </c>
      <c r="D197" s="1026" t="n">
        <f aca="false">IF(B197=1,$D$90,G196)</f>
        <v>87234.3624385242</v>
      </c>
      <c r="E197" s="1026" t="n">
        <f aca="false">(D197*$D$92*1)/1200</f>
        <v>254.433557112362</v>
      </c>
      <c r="F197" s="1026" t="n">
        <f aca="false">IF(AND(B197&lt;=$D$97,B197&gt;$D$95),$D$101-E197,0)</f>
        <v>817.890254902397</v>
      </c>
      <c r="G197" s="1026" t="n">
        <f aca="false">D197-F197</f>
        <v>86416.4721836218</v>
      </c>
      <c r="H197" s="1026" t="n">
        <f aca="false">IF(B197&lt;=$D$97,E197+H196,0)</f>
        <v>30780.9676409206</v>
      </c>
      <c r="I197" s="654" t="n">
        <f aca="false">IF(B197&lt;=$D$97,F197+I196,0)</f>
        <v>63583.5278163782</v>
      </c>
      <c r="K197" s="1027" t="n">
        <f aca="false">K196+1</f>
        <v>88</v>
      </c>
      <c r="L197" s="1025" t="str">
        <f aca="false">IF(K197&lt;=$M$97,DATE(YEAR(L196),MONTH(L196)+12/$M$94,DAY(L196)),"0")</f>
        <v>0</v>
      </c>
      <c r="M197" s="1026" t="n">
        <f aca="false">IF(K197&lt;=$M$97,P196,0)</f>
        <v>0</v>
      </c>
      <c r="N197" s="1026" t="n">
        <f aca="false">(M197*$M$92*1)/1200</f>
        <v>0</v>
      </c>
      <c r="O197" s="1026" t="n">
        <f aca="false">IF(AND(K197&lt;=$M$97,K197&gt;$M$95),$M$101-N197,0)</f>
        <v>0</v>
      </c>
      <c r="P197" s="1026" t="n">
        <f aca="false">M197-O197</f>
        <v>0</v>
      </c>
      <c r="Q197" s="1026" t="n">
        <f aca="false">IF(K197&lt;=$M$97,Q196+N197,0)</f>
        <v>0</v>
      </c>
      <c r="R197" s="654" t="n">
        <f aca="false">IF(K197&lt;=$D$97,R196+O197,0)</f>
        <v>15000.0000000001</v>
      </c>
      <c r="T197" s="1027" t="n">
        <f aca="false">T196+1</f>
        <v>88</v>
      </c>
      <c r="U197" s="1025" t="str">
        <f aca="false">IF(T197&lt;=$V$97,DATE(YEAR(U196),MONTH(U196)+12/$V$94,DAY(U196)),"0")</f>
        <v>0</v>
      </c>
      <c r="V197" s="1026" t="n">
        <f aca="false">IF(T197&lt;=$V$97,Y196,0)</f>
        <v>0</v>
      </c>
      <c r="W197" s="1026" t="n">
        <f aca="false">(V197*$V$92*1)/1200</f>
        <v>0</v>
      </c>
      <c r="X197" s="1022" t="n">
        <f aca="false">IF(AND(T197&lt;=$V$97,T197&gt;$V$95),$V$101-W197,0)</f>
        <v>0</v>
      </c>
      <c r="Y197" s="1026" t="n">
        <f aca="false">V197-X197</f>
        <v>0</v>
      </c>
      <c r="Z197" s="1026" t="n">
        <f aca="false">IF(T197&lt;=$V$97,Z196+W197,0)</f>
        <v>0</v>
      </c>
      <c r="AA197" s="654" t="n">
        <f aca="false">IF(T197&lt;=$V$97,AA196+X197,0)</f>
        <v>0</v>
      </c>
      <c r="AB197" s="451"/>
      <c r="AC197" s="1027" t="n">
        <f aca="false">AC196+1</f>
        <v>88</v>
      </c>
      <c r="AD197" s="1025" t="str">
        <f aca="false">IF(AC197&lt;=$AE$97,DATE(YEAR(AD196),MONTH(AD196)+12/$AE$95,DAY(AD196)),"0")</f>
        <v>0</v>
      </c>
      <c r="AE197" s="1026" t="n">
        <f aca="false">IF(AC197&lt;=$AE$97,AH196,0)</f>
        <v>0</v>
      </c>
      <c r="AF197" s="1026" t="n">
        <f aca="false">(AE197*$AE$93*1)/1200</f>
        <v>0</v>
      </c>
      <c r="AG197" s="1022" t="n">
        <f aca="false">IF(AC197&lt;$AE$97,$AE$101-AF197,0)+IF(AC197=$AE$97,$AE$90+$AE$101-AF197,0)</f>
        <v>0</v>
      </c>
      <c r="AH197" s="1026" t="n">
        <f aca="false">AE197-AG197</f>
        <v>0</v>
      </c>
      <c r="AI197" s="1026" t="n">
        <f aca="false">IF(AC197&lt;=$AE$97,AI196+AF197,0)</f>
        <v>0</v>
      </c>
      <c r="AJ197" s="654" t="n">
        <f aca="false">IF(AC197&lt;=$AE$97,AJ196+AG197,0)</f>
        <v>0</v>
      </c>
      <c r="AL197" s="1027" t="n">
        <f aca="false">AL196+1</f>
        <v>88</v>
      </c>
      <c r="AM197" s="1025" t="str">
        <f aca="false">IF(AL197&lt;=$AN$97,DATE(YEAR(AM196),MONTH(AM196)+12/$AN$95,DAY(AM196)),"0")</f>
        <v>0</v>
      </c>
      <c r="AN197" s="1026" t="n">
        <f aca="false">IF(AL197&lt;=$AN$97,AQ196,0)</f>
        <v>0</v>
      </c>
      <c r="AO197" s="1026" t="n">
        <f aca="false">(AN197*$AN$93*1)/1200</f>
        <v>0</v>
      </c>
      <c r="AP197" s="1022" t="n">
        <f aca="false">IF(AL197&lt;$AN$97,$AN$101-AO197,0)+IF(AL197=$AN$97,$AN$90+$AN$101-AO197,0)</f>
        <v>0</v>
      </c>
      <c r="AQ197" s="1026" t="n">
        <f aca="false">AN197-AP197</f>
        <v>0</v>
      </c>
      <c r="AR197" s="1026" t="n">
        <f aca="false">IF(AL197&lt;=$AN$97,AR196+AO197,0)</f>
        <v>0</v>
      </c>
      <c r="AS197" s="654" t="n">
        <f aca="false">IF(AL197&lt;=$AN$97,AS196+AP197,0)</f>
        <v>0</v>
      </c>
      <c r="AU197" s="1027" t="n">
        <f aca="false">AU196+1</f>
        <v>88</v>
      </c>
      <c r="AV197" s="1025" t="str">
        <f aca="false">IF(AU197&lt;=$AW$97,DATE(YEAR(AV196),MONTH(AV196)+12/$AW$95,DAY(AV196)),"0")</f>
        <v>0</v>
      </c>
      <c r="AW197" s="1026" t="n">
        <f aca="false">IF(AU197&lt;=$AW$97,AZ196,0)</f>
        <v>0</v>
      </c>
      <c r="AX197" s="1026" t="n">
        <f aca="false">(AW197*$AW$93*1)/1200</f>
        <v>0</v>
      </c>
      <c r="AY197" s="1022" t="n">
        <f aca="false">IF(AU197&lt;$AW$97,$AW$101-AX197,0)+IF(AU197=$AW$97,$AW$90+$AW$101-AX197,0)</f>
        <v>0</v>
      </c>
      <c r="AZ197" s="1026" t="n">
        <f aca="false">AW197-AY197</f>
        <v>0</v>
      </c>
      <c r="BA197" s="1026" t="n">
        <f aca="false">IF(AU197&lt;=$AW$97,BA196+AX197,0)</f>
        <v>0</v>
      </c>
      <c r="BB197" s="654" t="n">
        <f aca="false">IF(AU197&lt;=$AW$97,BB196+AY197,0)</f>
        <v>0</v>
      </c>
    </row>
    <row r="198" customFormat="false" ht="12.75" hidden="false" customHeight="false" outlineLevel="0" collapsed="false">
      <c r="B198" s="1024" t="n">
        <v>89</v>
      </c>
      <c r="C198" s="1025" t="n">
        <f aca="false">IF(B198&lt;=$D$97,DATE(YEAR(C197),MONTH(C197)+12/$D$94,DAY(C197)),"0")</f>
        <v>47667</v>
      </c>
      <c r="D198" s="1026" t="n">
        <f aca="false">IF(B198=1,$D$90,G197)</f>
        <v>86416.4721836218</v>
      </c>
      <c r="E198" s="1026" t="n">
        <f aca="false">(D198*$D$92*1)/1200</f>
        <v>252.048043868897</v>
      </c>
      <c r="F198" s="1026" t="n">
        <f aca="false">IF(AND(B198&lt;=$D$97,B198&gt;$D$95),$D$101-E198,0)</f>
        <v>820.275768145862</v>
      </c>
      <c r="G198" s="1026" t="n">
        <f aca="false">D198-F198</f>
        <v>85596.196415476</v>
      </c>
      <c r="H198" s="1026" t="n">
        <f aca="false">IF(B198&lt;=$D$97,E198+H197,0)</f>
        <v>31033.0156847895</v>
      </c>
      <c r="I198" s="654" t="n">
        <f aca="false">IF(B198&lt;=$D$97,F198+I197,0)</f>
        <v>64403.803584524</v>
      </c>
      <c r="K198" s="1027" t="n">
        <f aca="false">K197+1</f>
        <v>89</v>
      </c>
      <c r="L198" s="1025" t="str">
        <f aca="false">IF(K198&lt;=$M$97,DATE(YEAR(L197),MONTH(L197)+12/$M$94,DAY(L197)),"0")</f>
        <v>0</v>
      </c>
      <c r="M198" s="1026" t="n">
        <f aca="false">IF(K198&lt;=$M$97,P197,0)</f>
        <v>0</v>
      </c>
      <c r="N198" s="1026" t="n">
        <f aca="false">(M198*$M$92*1)/1200</f>
        <v>0</v>
      </c>
      <c r="O198" s="1026" t="n">
        <f aca="false">IF(AND(K198&lt;=$M$97,K198&gt;$M$95),$M$101-N198,0)</f>
        <v>0</v>
      </c>
      <c r="P198" s="1026" t="n">
        <f aca="false">M198-O198</f>
        <v>0</v>
      </c>
      <c r="Q198" s="1026" t="n">
        <f aca="false">IF(K198&lt;=$M$97,Q197+N198,0)</f>
        <v>0</v>
      </c>
      <c r="R198" s="654" t="n">
        <f aca="false">IF(K198&lt;=$D$97,R197+O198,0)</f>
        <v>15000.0000000001</v>
      </c>
      <c r="T198" s="1027" t="n">
        <f aca="false">T197+1</f>
        <v>89</v>
      </c>
      <c r="U198" s="1025" t="str">
        <f aca="false">IF(T198&lt;=$V$97,DATE(YEAR(U197),MONTH(U197)+12/$V$94,DAY(U197)),"0")</f>
        <v>0</v>
      </c>
      <c r="V198" s="1026" t="n">
        <f aca="false">IF(T198&lt;=$V$97,Y197,0)</f>
        <v>0</v>
      </c>
      <c r="W198" s="1026" t="n">
        <f aca="false">(V198*$V$92*1)/1200</f>
        <v>0</v>
      </c>
      <c r="X198" s="1022" t="n">
        <f aca="false">IF(AND(T198&lt;=$V$97,T198&gt;$V$95),$V$101-W198,0)</f>
        <v>0</v>
      </c>
      <c r="Y198" s="1026" t="n">
        <f aca="false">V198-X198</f>
        <v>0</v>
      </c>
      <c r="Z198" s="1026" t="n">
        <f aca="false">IF(T198&lt;=$V$97,Z197+W198,0)</f>
        <v>0</v>
      </c>
      <c r="AA198" s="654" t="n">
        <f aca="false">IF(T198&lt;=$V$97,AA197+X198,0)</f>
        <v>0</v>
      </c>
      <c r="AB198" s="451"/>
      <c r="AC198" s="1027" t="n">
        <f aca="false">AC197+1</f>
        <v>89</v>
      </c>
      <c r="AD198" s="1025" t="str">
        <f aca="false">IF(AC198&lt;=$AE$97,DATE(YEAR(AD197),MONTH(AD197)+12/$AE$95,DAY(AD197)),"0")</f>
        <v>0</v>
      </c>
      <c r="AE198" s="1026" t="n">
        <f aca="false">IF(AC198&lt;=$AE$97,AH197,0)</f>
        <v>0</v>
      </c>
      <c r="AF198" s="1026" t="n">
        <f aca="false">(AE198*$AE$93*1)/1200</f>
        <v>0</v>
      </c>
      <c r="AG198" s="1022" t="n">
        <f aca="false">IF(AC198&lt;$AE$97,$AE$101-AF198,0)+IF(AC198=$AE$97,$AE$90+$AE$101-AF198,0)</f>
        <v>0</v>
      </c>
      <c r="AH198" s="1026" t="n">
        <f aca="false">AE198-AG198</f>
        <v>0</v>
      </c>
      <c r="AI198" s="1026" t="n">
        <f aca="false">IF(AC198&lt;=$AE$97,AI197+AF198,0)</f>
        <v>0</v>
      </c>
      <c r="AJ198" s="654" t="n">
        <f aca="false">IF(AC198&lt;=$AE$97,AJ197+AG198,0)</f>
        <v>0</v>
      </c>
      <c r="AL198" s="1027" t="n">
        <f aca="false">AL197+1</f>
        <v>89</v>
      </c>
      <c r="AM198" s="1025" t="str">
        <f aca="false">IF(AL198&lt;=$AN$97,DATE(YEAR(AM197),MONTH(AM197)+12/$AN$95,DAY(AM197)),"0")</f>
        <v>0</v>
      </c>
      <c r="AN198" s="1026" t="n">
        <f aca="false">IF(AL198&lt;=$AN$97,AQ197,0)</f>
        <v>0</v>
      </c>
      <c r="AO198" s="1026" t="n">
        <f aca="false">(AN198*$AN$93*1)/1200</f>
        <v>0</v>
      </c>
      <c r="AP198" s="1022" t="n">
        <f aca="false">IF(AL198&lt;$AN$97,$AN$101-AO198,0)+IF(AL198=$AN$97,$AN$90+$AN$101-AO198,0)</f>
        <v>0</v>
      </c>
      <c r="AQ198" s="1026" t="n">
        <f aca="false">AN198-AP198</f>
        <v>0</v>
      </c>
      <c r="AR198" s="1026" t="n">
        <f aca="false">IF(AL198&lt;=$AN$97,AR197+AO198,0)</f>
        <v>0</v>
      </c>
      <c r="AS198" s="654" t="n">
        <f aca="false">IF(AL198&lt;=$AN$97,AS197+AP198,0)</f>
        <v>0</v>
      </c>
      <c r="AU198" s="1027" t="n">
        <f aca="false">AU197+1</f>
        <v>89</v>
      </c>
      <c r="AV198" s="1025" t="str">
        <f aca="false">IF(AU198&lt;=$AW$97,DATE(YEAR(AV197),MONTH(AV197)+12/$AW$95,DAY(AV197)),"0")</f>
        <v>0</v>
      </c>
      <c r="AW198" s="1026" t="n">
        <f aca="false">IF(AU198&lt;=$AW$97,AZ197,0)</f>
        <v>0</v>
      </c>
      <c r="AX198" s="1026" t="n">
        <f aca="false">(AW198*$AW$93*1)/1200</f>
        <v>0</v>
      </c>
      <c r="AY198" s="1022" t="n">
        <f aca="false">IF(AU198&lt;$AW$97,$AW$101-AX198,0)+IF(AU198=$AW$97,$AW$90+$AW$101-AX198,0)</f>
        <v>0</v>
      </c>
      <c r="AZ198" s="1026" t="n">
        <f aca="false">AW198-AY198</f>
        <v>0</v>
      </c>
      <c r="BA198" s="1026" t="n">
        <f aca="false">IF(AU198&lt;=$AW$97,BA197+AX198,0)</f>
        <v>0</v>
      </c>
      <c r="BB198" s="654" t="n">
        <f aca="false">IF(AU198&lt;=$AW$97,BB197+AY198,0)</f>
        <v>0</v>
      </c>
    </row>
    <row r="199" customFormat="false" ht="12.75" hidden="false" customHeight="false" outlineLevel="0" collapsed="false">
      <c r="B199" s="1024" t="n">
        <v>90</v>
      </c>
      <c r="C199" s="1025" t="n">
        <f aca="false">IF(B199&lt;=$D$97,DATE(YEAR(C198),MONTH(C198)+12/$D$94,DAY(C198)),"0")</f>
        <v>47698</v>
      </c>
      <c r="D199" s="1026" t="n">
        <f aca="false">IF(B199=1,$D$90,G198)</f>
        <v>85596.196415476</v>
      </c>
      <c r="E199" s="1026" t="n">
        <f aca="false">(D199*$D$92*1)/1200</f>
        <v>249.655572878472</v>
      </c>
      <c r="F199" s="1026" t="n">
        <f aca="false">IF(AND(B199&lt;=$D$97,B199&gt;$D$95),$D$101-E199,0)</f>
        <v>822.668239136288</v>
      </c>
      <c r="G199" s="1026" t="n">
        <f aca="false">D199-F199</f>
        <v>84773.5281763397</v>
      </c>
      <c r="H199" s="1026" t="n">
        <f aca="false">IF(B199&lt;=$D$97,E199+H198,0)</f>
        <v>31282.671257668</v>
      </c>
      <c r="I199" s="654" t="n">
        <f aca="false">IF(B199&lt;=$D$97,F199+I198,0)</f>
        <v>65226.4718236603</v>
      </c>
      <c r="K199" s="1027" t="n">
        <f aca="false">K198+1</f>
        <v>90</v>
      </c>
      <c r="L199" s="1025" t="str">
        <f aca="false">IF(K199&lt;=$M$97,DATE(YEAR(L198),MONTH(L198)+12/$M$94,DAY(L198)),"0")</f>
        <v>0</v>
      </c>
      <c r="M199" s="1026" t="n">
        <f aca="false">IF(K199&lt;=$M$97,P198,0)</f>
        <v>0</v>
      </c>
      <c r="N199" s="1026" t="n">
        <f aca="false">(M199*$M$92*1)/1200</f>
        <v>0</v>
      </c>
      <c r="O199" s="1026" t="n">
        <f aca="false">IF(AND(K199&lt;=$M$97,K199&gt;$M$95),$M$101-N199,0)</f>
        <v>0</v>
      </c>
      <c r="P199" s="1026" t="n">
        <f aca="false">M199-O199</f>
        <v>0</v>
      </c>
      <c r="Q199" s="1026" t="n">
        <f aca="false">IF(K199&lt;=$M$97,Q198+N199,0)</f>
        <v>0</v>
      </c>
      <c r="R199" s="654" t="n">
        <f aca="false">IF(K199&lt;=$D$97,R198+O199,0)</f>
        <v>15000.0000000001</v>
      </c>
      <c r="T199" s="1027" t="n">
        <f aca="false">T198+1</f>
        <v>90</v>
      </c>
      <c r="U199" s="1025" t="str">
        <f aca="false">IF(T199&lt;=$V$97,DATE(YEAR(U198),MONTH(U198)+12/$V$94,DAY(U198)),"0")</f>
        <v>0</v>
      </c>
      <c r="V199" s="1026" t="n">
        <f aca="false">IF(T199&lt;=$V$97,Y198,0)</f>
        <v>0</v>
      </c>
      <c r="W199" s="1026" t="n">
        <f aca="false">(V199*$V$92*1)/1200</f>
        <v>0</v>
      </c>
      <c r="X199" s="1022" t="n">
        <f aca="false">IF(AND(T199&lt;=$V$97,T199&gt;$V$95),$V$101-W199,0)</f>
        <v>0</v>
      </c>
      <c r="Y199" s="1026" t="n">
        <f aca="false">V199-X199</f>
        <v>0</v>
      </c>
      <c r="Z199" s="1026" t="n">
        <f aca="false">IF(T199&lt;=$V$97,Z198+W199,0)</f>
        <v>0</v>
      </c>
      <c r="AA199" s="654" t="n">
        <f aca="false">IF(T199&lt;=$V$97,AA198+X199,0)</f>
        <v>0</v>
      </c>
      <c r="AB199" s="451"/>
      <c r="AC199" s="1027" t="n">
        <f aca="false">AC198+1</f>
        <v>90</v>
      </c>
      <c r="AD199" s="1025" t="str">
        <f aca="false">IF(AC199&lt;=$AE$97,DATE(YEAR(AD198),MONTH(AD198)+12/$AE$95,DAY(AD198)),"0")</f>
        <v>0</v>
      </c>
      <c r="AE199" s="1026" t="n">
        <f aca="false">IF(AC199&lt;=$AE$97,AH198,0)</f>
        <v>0</v>
      </c>
      <c r="AF199" s="1026" t="n">
        <f aca="false">(AE199*$AE$93*1)/1200</f>
        <v>0</v>
      </c>
      <c r="AG199" s="1022" t="n">
        <f aca="false">IF(AC199&lt;$AE$97,$AE$101-AF199,0)+IF(AC199=$AE$97,$AE$90+$AE$101-AF199,0)</f>
        <v>0</v>
      </c>
      <c r="AH199" s="1026" t="n">
        <f aca="false">AE199-AG199</f>
        <v>0</v>
      </c>
      <c r="AI199" s="1026" t="n">
        <f aca="false">IF(AC199&lt;=$AE$97,AI198+AF199,0)</f>
        <v>0</v>
      </c>
      <c r="AJ199" s="654" t="n">
        <f aca="false">IF(AC199&lt;=$AE$97,AJ198+AG199,0)</f>
        <v>0</v>
      </c>
      <c r="AL199" s="1027" t="n">
        <f aca="false">AL198+1</f>
        <v>90</v>
      </c>
      <c r="AM199" s="1025" t="str">
        <f aca="false">IF(AL199&lt;=$AN$97,DATE(YEAR(AM198),MONTH(AM198)+12/$AN$95,DAY(AM198)),"0")</f>
        <v>0</v>
      </c>
      <c r="AN199" s="1026" t="n">
        <f aca="false">IF(AL199&lt;=$AN$97,AQ198,0)</f>
        <v>0</v>
      </c>
      <c r="AO199" s="1026" t="n">
        <f aca="false">(AN199*$AN$93*1)/1200</f>
        <v>0</v>
      </c>
      <c r="AP199" s="1022" t="n">
        <f aca="false">IF(AL199&lt;$AN$97,$AN$101-AO199,0)+IF(AL199=$AN$97,$AN$90+$AN$101-AO199,0)</f>
        <v>0</v>
      </c>
      <c r="AQ199" s="1026" t="n">
        <f aca="false">AN199-AP199</f>
        <v>0</v>
      </c>
      <c r="AR199" s="1026" t="n">
        <f aca="false">IF(AL199&lt;=$AN$97,AR198+AO199,0)</f>
        <v>0</v>
      </c>
      <c r="AS199" s="654" t="n">
        <f aca="false">IF(AL199&lt;=$AN$97,AS198+AP199,0)</f>
        <v>0</v>
      </c>
      <c r="AU199" s="1027" t="n">
        <f aca="false">AU198+1</f>
        <v>90</v>
      </c>
      <c r="AV199" s="1025" t="str">
        <f aca="false">IF(AU199&lt;=$AW$97,DATE(YEAR(AV198),MONTH(AV198)+12/$AW$95,DAY(AV198)),"0")</f>
        <v>0</v>
      </c>
      <c r="AW199" s="1026" t="n">
        <f aca="false">IF(AU199&lt;=$AW$97,AZ198,0)</f>
        <v>0</v>
      </c>
      <c r="AX199" s="1026" t="n">
        <f aca="false">(AW199*$AW$93*1)/1200</f>
        <v>0</v>
      </c>
      <c r="AY199" s="1022" t="n">
        <f aca="false">IF(AU199&lt;$AW$97,$AW$101-AX199,0)+IF(AU199=$AW$97,$AW$90+$AW$101-AX199,0)</f>
        <v>0</v>
      </c>
      <c r="AZ199" s="1026" t="n">
        <f aca="false">AW199-AY199</f>
        <v>0</v>
      </c>
      <c r="BA199" s="1026" t="n">
        <f aca="false">IF(AU199&lt;=$AW$97,BA198+AX199,0)</f>
        <v>0</v>
      </c>
      <c r="BB199" s="654" t="n">
        <f aca="false">IF(AU199&lt;=$AW$97,BB198+AY199,0)</f>
        <v>0</v>
      </c>
    </row>
    <row r="200" customFormat="false" ht="12.75" hidden="false" customHeight="false" outlineLevel="0" collapsed="false">
      <c r="B200" s="1024" t="n">
        <v>91</v>
      </c>
      <c r="C200" s="1025" t="n">
        <f aca="false">IF(B200&lt;=$D$97,DATE(YEAR(C199),MONTH(C199)+12/$D$94,DAY(C199)),"0")</f>
        <v>47729</v>
      </c>
      <c r="D200" s="1026" t="n">
        <f aca="false">IF(B200=1,$D$90,G199)</f>
        <v>84773.5281763397</v>
      </c>
      <c r="E200" s="1026" t="n">
        <f aca="false">(D200*$D$92*1)/1200</f>
        <v>247.256123847657</v>
      </c>
      <c r="F200" s="1026" t="n">
        <f aca="false">IF(AND(B200&lt;=$D$97,B200&gt;$D$95),$D$101-E200,0)</f>
        <v>825.067688167102</v>
      </c>
      <c r="G200" s="1026" t="n">
        <f aca="false">D200-F200</f>
        <v>83948.4604881726</v>
      </c>
      <c r="H200" s="1026" t="n">
        <f aca="false">IF(B200&lt;=$D$97,E200+H199,0)</f>
        <v>31529.9273815157</v>
      </c>
      <c r="I200" s="654" t="n">
        <f aca="false">IF(B200&lt;=$D$97,F200+I199,0)</f>
        <v>66051.5395118274</v>
      </c>
      <c r="K200" s="1027" t="n">
        <f aca="false">K199+1</f>
        <v>91</v>
      </c>
      <c r="L200" s="1025" t="str">
        <f aca="false">IF(K200&lt;=$M$97,DATE(YEAR(L199),MONTH(L199)+12/$M$94,DAY(L199)),"0")</f>
        <v>0</v>
      </c>
      <c r="M200" s="1026" t="n">
        <f aca="false">IF(K200&lt;=$M$97,P199,0)</f>
        <v>0</v>
      </c>
      <c r="N200" s="1026" t="n">
        <f aca="false">(M200*$M$92*1)/1200</f>
        <v>0</v>
      </c>
      <c r="O200" s="1026" t="n">
        <f aca="false">IF(AND(K200&lt;=$M$97,K200&gt;$M$95),$M$101-N200,0)</f>
        <v>0</v>
      </c>
      <c r="P200" s="1026" t="n">
        <f aca="false">M200-O200</f>
        <v>0</v>
      </c>
      <c r="Q200" s="1026" t="n">
        <f aca="false">IF(K200&lt;=$M$97,Q199+N200,0)</f>
        <v>0</v>
      </c>
      <c r="R200" s="654" t="n">
        <f aca="false">IF(K200&lt;=$D$97,R199+O200,0)</f>
        <v>15000.0000000001</v>
      </c>
      <c r="T200" s="1027" t="n">
        <f aca="false">T199+1</f>
        <v>91</v>
      </c>
      <c r="U200" s="1025" t="str">
        <f aca="false">IF(T200&lt;=$V$97,DATE(YEAR(U199),MONTH(U199)+12/$V$94,DAY(U199)),"0")</f>
        <v>0</v>
      </c>
      <c r="V200" s="1026" t="n">
        <f aca="false">IF(T200&lt;=$V$97,Y199,0)</f>
        <v>0</v>
      </c>
      <c r="W200" s="1026" t="n">
        <f aca="false">(V200*$V$92*1)/1200</f>
        <v>0</v>
      </c>
      <c r="X200" s="1022" t="n">
        <f aca="false">IF(AND(T200&lt;=$V$97,T200&gt;$V$95),$V$101-W200,0)</f>
        <v>0</v>
      </c>
      <c r="Y200" s="1026" t="n">
        <f aca="false">V200-X200</f>
        <v>0</v>
      </c>
      <c r="Z200" s="1026" t="n">
        <f aca="false">IF(T200&lt;=$V$97,Z199+W200,0)</f>
        <v>0</v>
      </c>
      <c r="AA200" s="654" t="n">
        <f aca="false">IF(T200&lt;=$V$97,AA199+X200,0)</f>
        <v>0</v>
      </c>
      <c r="AB200" s="451"/>
      <c r="AC200" s="1027" t="n">
        <f aca="false">AC199+1</f>
        <v>91</v>
      </c>
      <c r="AD200" s="1025" t="str">
        <f aca="false">IF(AC200&lt;=$AE$97,DATE(YEAR(AD199),MONTH(AD199)+12/$AE$95,DAY(AD199)),"0")</f>
        <v>0</v>
      </c>
      <c r="AE200" s="1026" t="n">
        <f aca="false">IF(AC200&lt;=$AE$97,AH199,0)</f>
        <v>0</v>
      </c>
      <c r="AF200" s="1026" t="n">
        <f aca="false">(AE200*$AE$93*1)/1200</f>
        <v>0</v>
      </c>
      <c r="AG200" s="1022" t="n">
        <f aca="false">IF(AC200&lt;$AE$97,$AE$101-AF200,0)+IF(AC200=$AE$97,$AE$90+$AE$101-AF200,0)</f>
        <v>0</v>
      </c>
      <c r="AH200" s="1026" t="n">
        <f aca="false">AE200-AG200</f>
        <v>0</v>
      </c>
      <c r="AI200" s="1026" t="n">
        <f aca="false">IF(AC200&lt;=$AE$97,AI199+AF200,0)</f>
        <v>0</v>
      </c>
      <c r="AJ200" s="654" t="n">
        <f aca="false">IF(AC200&lt;=$AE$97,AJ199+AG200,0)</f>
        <v>0</v>
      </c>
      <c r="AL200" s="1027" t="n">
        <f aca="false">AL199+1</f>
        <v>91</v>
      </c>
      <c r="AM200" s="1025" t="str">
        <f aca="false">IF(AL200&lt;=$AN$97,DATE(YEAR(AM199),MONTH(AM199)+12/$AN$95,DAY(AM199)),"0")</f>
        <v>0</v>
      </c>
      <c r="AN200" s="1026" t="n">
        <f aca="false">IF(AL200&lt;=$AN$97,AQ199,0)</f>
        <v>0</v>
      </c>
      <c r="AO200" s="1026" t="n">
        <f aca="false">(AN200*$AN$93*1)/1200</f>
        <v>0</v>
      </c>
      <c r="AP200" s="1022" t="n">
        <f aca="false">IF(AL200&lt;$AN$97,$AN$101-AO200,0)+IF(AL200=$AN$97,$AN$90+$AN$101-AO200,0)</f>
        <v>0</v>
      </c>
      <c r="AQ200" s="1026" t="n">
        <f aca="false">AN200-AP200</f>
        <v>0</v>
      </c>
      <c r="AR200" s="1026" t="n">
        <f aca="false">IF(AL200&lt;=$AN$97,AR199+AO200,0)</f>
        <v>0</v>
      </c>
      <c r="AS200" s="654" t="n">
        <f aca="false">IF(AL200&lt;=$AN$97,AS199+AP200,0)</f>
        <v>0</v>
      </c>
      <c r="AU200" s="1027" t="n">
        <f aca="false">AU199+1</f>
        <v>91</v>
      </c>
      <c r="AV200" s="1025" t="str">
        <f aca="false">IF(AU200&lt;=$AW$97,DATE(YEAR(AV199),MONTH(AV199)+12/$AW$95,DAY(AV199)),"0")</f>
        <v>0</v>
      </c>
      <c r="AW200" s="1026" t="n">
        <f aca="false">IF(AU200&lt;=$AW$97,AZ199,0)</f>
        <v>0</v>
      </c>
      <c r="AX200" s="1026" t="n">
        <f aca="false">(AW200*$AW$93*1)/1200</f>
        <v>0</v>
      </c>
      <c r="AY200" s="1022" t="n">
        <f aca="false">IF(AU200&lt;$AW$97,$AW$101-AX200,0)+IF(AU200=$AW$97,$AW$90+$AW$101-AX200,0)</f>
        <v>0</v>
      </c>
      <c r="AZ200" s="1026" t="n">
        <f aca="false">AW200-AY200</f>
        <v>0</v>
      </c>
      <c r="BA200" s="1026" t="n">
        <f aca="false">IF(AU200&lt;=$AW$97,BA199+AX200,0)</f>
        <v>0</v>
      </c>
      <c r="BB200" s="654" t="n">
        <f aca="false">IF(AU200&lt;=$AW$97,BB199+AY200,0)</f>
        <v>0</v>
      </c>
    </row>
    <row r="201" customFormat="false" ht="12.75" hidden="false" customHeight="false" outlineLevel="0" collapsed="false">
      <c r="B201" s="1024" t="n">
        <v>92</v>
      </c>
      <c r="C201" s="1025" t="n">
        <f aca="false">IF(B201&lt;=$D$97,DATE(YEAR(C200),MONTH(C200)+12/$D$94,DAY(C200)),"0")</f>
        <v>47759</v>
      </c>
      <c r="D201" s="1026" t="n">
        <f aca="false">IF(B201=1,$D$90,G200)</f>
        <v>83948.4604881726</v>
      </c>
      <c r="E201" s="1026" t="n">
        <f aca="false">(D201*$D$92*1)/1200</f>
        <v>244.849676423837</v>
      </c>
      <c r="F201" s="1026" t="n">
        <f aca="false">IF(AND(B201&lt;=$D$97,B201&gt;$D$95),$D$101-E201,0)</f>
        <v>827.474135590923</v>
      </c>
      <c r="G201" s="1026" t="n">
        <f aca="false">D201-F201</f>
        <v>83120.9863525817</v>
      </c>
      <c r="H201" s="1026" t="n">
        <f aca="false">IF(B201&lt;=$D$97,E201+H200,0)</f>
        <v>31774.7770579395</v>
      </c>
      <c r="I201" s="654" t="n">
        <f aca="false">IF(B201&lt;=$D$97,F201+I200,0)</f>
        <v>66879.0136474183</v>
      </c>
      <c r="K201" s="1027" t="n">
        <f aca="false">K200+1</f>
        <v>92</v>
      </c>
      <c r="L201" s="1025" t="str">
        <f aca="false">IF(K201&lt;=$M$97,DATE(YEAR(L200),MONTH(L200)+12/$M$94,DAY(L200)),"0")</f>
        <v>0</v>
      </c>
      <c r="M201" s="1026" t="n">
        <f aca="false">IF(K201&lt;=$M$97,P200,0)</f>
        <v>0</v>
      </c>
      <c r="N201" s="1026" t="n">
        <f aca="false">(M201*$M$92*1)/1200</f>
        <v>0</v>
      </c>
      <c r="O201" s="1026" t="n">
        <f aca="false">IF(AND(K201&lt;=$M$97,K201&gt;$M$95),$M$101-N201,0)</f>
        <v>0</v>
      </c>
      <c r="P201" s="1026" t="n">
        <f aca="false">M201-O201</f>
        <v>0</v>
      </c>
      <c r="Q201" s="1026" t="n">
        <f aca="false">IF(K201&lt;=$M$97,Q200+N201,0)</f>
        <v>0</v>
      </c>
      <c r="R201" s="654" t="n">
        <f aca="false">IF(K201&lt;=$D$97,R200+O201,0)</f>
        <v>15000.0000000001</v>
      </c>
      <c r="T201" s="1027" t="n">
        <f aca="false">T200+1</f>
        <v>92</v>
      </c>
      <c r="U201" s="1025" t="str">
        <f aca="false">IF(T201&lt;=$V$97,DATE(YEAR(U200),MONTH(U200)+12/$V$94,DAY(U200)),"0")</f>
        <v>0</v>
      </c>
      <c r="V201" s="1026" t="n">
        <f aca="false">IF(T201&lt;=$V$97,Y200,0)</f>
        <v>0</v>
      </c>
      <c r="W201" s="1026" t="n">
        <f aca="false">(V201*$V$92*1)/1200</f>
        <v>0</v>
      </c>
      <c r="X201" s="1022" t="n">
        <f aca="false">IF(AND(T201&lt;=$V$97,T201&gt;$V$95),$V$101-W201,0)</f>
        <v>0</v>
      </c>
      <c r="Y201" s="1026" t="n">
        <f aca="false">V201-X201</f>
        <v>0</v>
      </c>
      <c r="Z201" s="1026" t="n">
        <f aca="false">IF(T201&lt;=$V$97,Z200+W201,0)</f>
        <v>0</v>
      </c>
      <c r="AA201" s="654" t="n">
        <f aca="false">IF(T201&lt;=$V$97,AA200+X201,0)</f>
        <v>0</v>
      </c>
      <c r="AB201" s="451"/>
      <c r="AC201" s="1027" t="n">
        <f aca="false">AC200+1</f>
        <v>92</v>
      </c>
      <c r="AD201" s="1025" t="str">
        <f aca="false">IF(AC201&lt;=$AE$97,DATE(YEAR(AD200),MONTH(AD200)+12/$AE$95,DAY(AD200)),"0")</f>
        <v>0</v>
      </c>
      <c r="AE201" s="1026" t="n">
        <f aca="false">IF(AC201&lt;=$AE$97,AH200,0)</f>
        <v>0</v>
      </c>
      <c r="AF201" s="1026" t="n">
        <f aca="false">(AE201*$AE$93*1)/1200</f>
        <v>0</v>
      </c>
      <c r="AG201" s="1022" t="n">
        <f aca="false">IF(AC201&lt;$AE$97,$AE$101-AF201,0)+IF(AC201=$AE$97,$AE$90+$AE$101-AF201,0)</f>
        <v>0</v>
      </c>
      <c r="AH201" s="1026" t="n">
        <f aca="false">AE201-AG201</f>
        <v>0</v>
      </c>
      <c r="AI201" s="1026" t="n">
        <f aca="false">IF(AC201&lt;=$AE$97,AI200+AF201,0)</f>
        <v>0</v>
      </c>
      <c r="AJ201" s="654" t="n">
        <f aca="false">IF(AC201&lt;=$AE$97,AJ200+AG201,0)</f>
        <v>0</v>
      </c>
      <c r="AL201" s="1027" t="n">
        <f aca="false">AL200+1</f>
        <v>92</v>
      </c>
      <c r="AM201" s="1025" t="str">
        <f aca="false">IF(AL201&lt;=$AN$97,DATE(YEAR(AM200),MONTH(AM200)+12/$AN$95,DAY(AM200)),"0")</f>
        <v>0</v>
      </c>
      <c r="AN201" s="1026" t="n">
        <f aca="false">IF(AL201&lt;=$AN$97,AQ200,0)</f>
        <v>0</v>
      </c>
      <c r="AO201" s="1026" t="n">
        <f aca="false">(AN201*$AN$93*1)/1200</f>
        <v>0</v>
      </c>
      <c r="AP201" s="1022" t="n">
        <f aca="false">IF(AL201&lt;$AN$97,$AN$101-AO201,0)+IF(AL201=$AN$97,$AN$90+$AN$101-AO201,0)</f>
        <v>0</v>
      </c>
      <c r="AQ201" s="1026" t="n">
        <f aca="false">AN201-AP201</f>
        <v>0</v>
      </c>
      <c r="AR201" s="1026" t="n">
        <f aca="false">IF(AL201&lt;=$AN$97,AR200+AO201,0)</f>
        <v>0</v>
      </c>
      <c r="AS201" s="654" t="n">
        <f aca="false">IF(AL201&lt;=$AN$97,AS200+AP201,0)</f>
        <v>0</v>
      </c>
      <c r="AU201" s="1027" t="n">
        <f aca="false">AU200+1</f>
        <v>92</v>
      </c>
      <c r="AV201" s="1025" t="str">
        <f aca="false">IF(AU201&lt;=$AW$97,DATE(YEAR(AV200),MONTH(AV200)+12/$AW$95,DAY(AV200)),"0")</f>
        <v>0</v>
      </c>
      <c r="AW201" s="1026" t="n">
        <f aca="false">IF(AU201&lt;=$AW$97,AZ200,0)</f>
        <v>0</v>
      </c>
      <c r="AX201" s="1026" t="n">
        <f aca="false">(AW201*$AW$93*1)/1200</f>
        <v>0</v>
      </c>
      <c r="AY201" s="1022" t="n">
        <f aca="false">IF(AU201&lt;$AW$97,$AW$101-AX201,0)+IF(AU201=$AW$97,$AW$90+$AW$101-AX201,0)</f>
        <v>0</v>
      </c>
      <c r="AZ201" s="1026" t="n">
        <f aca="false">AW201-AY201</f>
        <v>0</v>
      </c>
      <c r="BA201" s="1026" t="n">
        <f aca="false">IF(AU201&lt;=$AW$97,BA200+AX201,0)</f>
        <v>0</v>
      </c>
      <c r="BB201" s="654" t="n">
        <f aca="false">IF(AU201&lt;=$AW$97,BB200+AY201,0)</f>
        <v>0</v>
      </c>
    </row>
    <row r="202" customFormat="false" ht="12.75" hidden="false" customHeight="false" outlineLevel="0" collapsed="false">
      <c r="B202" s="1024" t="n">
        <v>93</v>
      </c>
      <c r="C202" s="1025" t="n">
        <f aca="false">IF(B202&lt;=$D$97,DATE(YEAR(C201),MONTH(C201)+12/$D$94,DAY(C201)),"0")</f>
        <v>47790</v>
      </c>
      <c r="D202" s="1026" t="n">
        <f aca="false">IF(B202=1,$D$90,G201)</f>
        <v>83120.9863525817</v>
      </c>
      <c r="E202" s="1026" t="n">
        <f aca="false">(D202*$D$92*1)/1200</f>
        <v>242.43621019503</v>
      </c>
      <c r="F202" s="1026" t="n">
        <f aca="false">IF(AND(B202&lt;=$D$97,B202&gt;$D$95),$D$101-E202,0)</f>
        <v>829.88760181973</v>
      </c>
      <c r="G202" s="1026" t="n">
        <f aca="false">D202-F202</f>
        <v>82291.0987507619</v>
      </c>
      <c r="H202" s="1026" t="n">
        <f aca="false">IF(B202&lt;=$D$97,E202+H201,0)</f>
        <v>32017.2132681345</v>
      </c>
      <c r="I202" s="654" t="n">
        <f aca="false">IF(B202&lt;=$D$97,F202+I201,0)</f>
        <v>67708.9012492381</v>
      </c>
      <c r="K202" s="1027" t="n">
        <f aca="false">K201+1</f>
        <v>93</v>
      </c>
      <c r="L202" s="1025" t="str">
        <f aca="false">IF(K202&lt;=$M$97,DATE(YEAR(L201),MONTH(L201)+12/$M$94,DAY(L201)),"0")</f>
        <v>0</v>
      </c>
      <c r="M202" s="1026" t="n">
        <f aca="false">IF(K202&lt;=$M$97,P201,0)</f>
        <v>0</v>
      </c>
      <c r="N202" s="1026" t="n">
        <f aca="false">(M202*$M$92*1)/1200</f>
        <v>0</v>
      </c>
      <c r="O202" s="1026" t="n">
        <f aca="false">IF(AND(K202&lt;=$M$97,K202&gt;$M$95),$M$101-N202,0)</f>
        <v>0</v>
      </c>
      <c r="P202" s="1026" t="n">
        <f aca="false">M202-O202</f>
        <v>0</v>
      </c>
      <c r="Q202" s="1026" t="n">
        <f aca="false">IF(K202&lt;=$M$97,Q201+N202,0)</f>
        <v>0</v>
      </c>
      <c r="R202" s="654" t="n">
        <f aca="false">IF(K202&lt;=$D$97,R201+O202,0)</f>
        <v>15000.0000000001</v>
      </c>
      <c r="T202" s="1027" t="n">
        <f aca="false">T201+1</f>
        <v>93</v>
      </c>
      <c r="U202" s="1025" t="str">
        <f aca="false">IF(T202&lt;=$V$97,DATE(YEAR(U201),MONTH(U201)+12/$V$94,DAY(U201)),"0")</f>
        <v>0</v>
      </c>
      <c r="V202" s="1026" t="n">
        <f aca="false">IF(T202&lt;=$V$97,Y201,0)</f>
        <v>0</v>
      </c>
      <c r="W202" s="1026" t="n">
        <f aca="false">(V202*$V$92*1)/1200</f>
        <v>0</v>
      </c>
      <c r="X202" s="1022" t="n">
        <f aca="false">IF(AND(T202&lt;=$V$97,T202&gt;$V$95),$V$101-W202,0)</f>
        <v>0</v>
      </c>
      <c r="Y202" s="1026" t="n">
        <f aca="false">V202-X202</f>
        <v>0</v>
      </c>
      <c r="Z202" s="1026" t="n">
        <f aca="false">IF(T202&lt;=$V$97,Z201+W202,0)</f>
        <v>0</v>
      </c>
      <c r="AA202" s="654" t="n">
        <f aca="false">IF(T202&lt;=$V$97,AA201+X202,0)</f>
        <v>0</v>
      </c>
      <c r="AB202" s="451"/>
      <c r="AC202" s="1027" t="n">
        <f aca="false">AC201+1</f>
        <v>93</v>
      </c>
      <c r="AD202" s="1025" t="str">
        <f aca="false">IF(AC202&lt;=$AE$97,DATE(YEAR(AD201),MONTH(AD201)+12/$AE$95,DAY(AD201)),"0")</f>
        <v>0</v>
      </c>
      <c r="AE202" s="1026" t="n">
        <f aca="false">IF(AC202&lt;=$AE$97,AH201,0)</f>
        <v>0</v>
      </c>
      <c r="AF202" s="1026" t="n">
        <f aca="false">(AE202*$AE$93*1)/1200</f>
        <v>0</v>
      </c>
      <c r="AG202" s="1022" t="n">
        <f aca="false">IF(AC202&lt;$AE$97,$AE$101-AF202,0)+IF(AC202=$AE$97,$AE$90+$AE$101-AF202,0)</f>
        <v>0</v>
      </c>
      <c r="AH202" s="1026" t="n">
        <f aca="false">AE202-AG202</f>
        <v>0</v>
      </c>
      <c r="AI202" s="1026" t="n">
        <f aca="false">IF(AC202&lt;=$AE$97,AI201+AF202,0)</f>
        <v>0</v>
      </c>
      <c r="AJ202" s="654" t="n">
        <f aca="false">IF(AC202&lt;=$AE$97,AJ201+AG202,0)</f>
        <v>0</v>
      </c>
      <c r="AL202" s="1027" t="n">
        <f aca="false">AL201+1</f>
        <v>93</v>
      </c>
      <c r="AM202" s="1025" t="str">
        <f aca="false">IF(AL202&lt;=$AN$97,DATE(YEAR(AM201),MONTH(AM201)+12/$AN$95,DAY(AM201)),"0")</f>
        <v>0</v>
      </c>
      <c r="AN202" s="1026" t="n">
        <f aca="false">IF(AL202&lt;=$AN$97,AQ201,0)</f>
        <v>0</v>
      </c>
      <c r="AO202" s="1026" t="n">
        <f aca="false">(AN202*$AN$93*1)/1200</f>
        <v>0</v>
      </c>
      <c r="AP202" s="1022" t="n">
        <f aca="false">IF(AL202&lt;$AN$97,$AN$101-AO202,0)+IF(AL202=$AN$97,$AN$90+$AN$101-AO202,0)</f>
        <v>0</v>
      </c>
      <c r="AQ202" s="1026" t="n">
        <f aca="false">AN202-AP202</f>
        <v>0</v>
      </c>
      <c r="AR202" s="1026" t="n">
        <f aca="false">IF(AL202&lt;=$AN$97,AR201+AO202,0)</f>
        <v>0</v>
      </c>
      <c r="AS202" s="654" t="n">
        <f aca="false">IF(AL202&lt;=$AN$97,AS201+AP202,0)</f>
        <v>0</v>
      </c>
      <c r="AU202" s="1027" t="n">
        <f aca="false">AU201+1</f>
        <v>93</v>
      </c>
      <c r="AV202" s="1025" t="str">
        <f aca="false">IF(AU202&lt;=$AW$97,DATE(YEAR(AV201),MONTH(AV201)+12/$AW$95,DAY(AV201)),"0")</f>
        <v>0</v>
      </c>
      <c r="AW202" s="1026" t="n">
        <f aca="false">IF(AU202&lt;=$AW$97,AZ201,0)</f>
        <v>0</v>
      </c>
      <c r="AX202" s="1026" t="n">
        <f aca="false">(AW202*$AW$93*1)/1200</f>
        <v>0</v>
      </c>
      <c r="AY202" s="1022" t="n">
        <f aca="false">IF(AU202&lt;$AW$97,$AW$101-AX202,0)+IF(AU202=$AW$97,$AW$90+$AW$101-AX202,0)</f>
        <v>0</v>
      </c>
      <c r="AZ202" s="1026" t="n">
        <f aca="false">AW202-AY202</f>
        <v>0</v>
      </c>
      <c r="BA202" s="1026" t="n">
        <f aca="false">IF(AU202&lt;=$AW$97,BA201+AX202,0)</f>
        <v>0</v>
      </c>
      <c r="BB202" s="654" t="n">
        <f aca="false">IF(AU202&lt;=$AW$97,BB201+AY202,0)</f>
        <v>0</v>
      </c>
    </row>
    <row r="203" customFormat="false" ht="12.75" hidden="false" customHeight="false" outlineLevel="0" collapsed="false">
      <c r="B203" s="1024" t="n">
        <v>94</v>
      </c>
      <c r="C203" s="1025" t="n">
        <f aca="false">IF(B203&lt;=$D$97,DATE(YEAR(C202),MONTH(C202)+12/$D$94,DAY(C202)),"0")</f>
        <v>47820</v>
      </c>
      <c r="D203" s="1026" t="n">
        <f aca="false">IF(B203=1,$D$90,G202)</f>
        <v>82291.0987507619</v>
      </c>
      <c r="E203" s="1026" t="n">
        <f aca="false">(D203*$D$92*1)/1200</f>
        <v>240.015704689722</v>
      </c>
      <c r="F203" s="1026" t="n">
        <f aca="false">IF(AND(B203&lt;=$D$97,B203&gt;$D$95),$D$101-E203,0)</f>
        <v>832.308107325037</v>
      </c>
      <c r="G203" s="1026" t="n">
        <f aca="false">D203-F203</f>
        <v>81458.7906434369</v>
      </c>
      <c r="H203" s="1026" t="n">
        <f aca="false">IF(B203&lt;=$D$97,E203+H202,0)</f>
        <v>32257.2289728243</v>
      </c>
      <c r="I203" s="654" t="n">
        <f aca="false">IF(B203&lt;=$D$97,F203+I202,0)</f>
        <v>68541.2093565631</v>
      </c>
      <c r="K203" s="1027" t="n">
        <f aca="false">K202+1</f>
        <v>94</v>
      </c>
      <c r="L203" s="1025" t="str">
        <f aca="false">IF(K203&lt;=$M$97,DATE(YEAR(L202),MONTH(L202)+12/$M$94,DAY(L202)),"0")</f>
        <v>0</v>
      </c>
      <c r="M203" s="1026" t="n">
        <f aca="false">IF(K203&lt;=$M$97,P202,0)</f>
        <v>0</v>
      </c>
      <c r="N203" s="1026" t="n">
        <f aca="false">(M203*$M$92*1)/1200</f>
        <v>0</v>
      </c>
      <c r="O203" s="1026" t="n">
        <f aca="false">IF(AND(K203&lt;=$M$97,K203&gt;$M$95),$M$101-N203,0)</f>
        <v>0</v>
      </c>
      <c r="P203" s="1026" t="n">
        <f aca="false">M203-O203</f>
        <v>0</v>
      </c>
      <c r="Q203" s="1026" t="n">
        <f aca="false">IF(K203&lt;=$M$97,Q202+N203,0)</f>
        <v>0</v>
      </c>
      <c r="R203" s="654" t="n">
        <f aca="false">IF(K203&lt;=$D$97,R202+O203,0)</f>
        <v>15000.0000000001</v>
      </c>
      <c r="T203" s="1027" t="n">
        <f aca="false">T202+1</f>
        <v>94</v>
      </c>
      <c r="U203" s="1025" t="str">
        <f aca="false">IF(T203&lt;=$V$97,DATE(YEAR(U202),MONTH(U202)+12/$V$94,DAY(U202)),"0")</f>
        <v>0</v>
      </c>
      <c r="V203" s="1026" t="n">
        <f aca="false">IF(T203&lt;=$V$97,Y202,0)</f>
        <v>0</v>
      </c>
      <c r="W203" s="1026" t="n">
        <f aca="false">(V203*$V$92*1)/1200</f>
        <v>0</v>
      </c>
      <c r="X203" s="1022" t="n">
        <f aca="false">IF(AND(T203&lt;=$V$97,T203&gt;$V$95),$V$101-W203,0)</f>
        <v>0</v>
      </c>
      <c r="Y203" s="1026" t="n">
        <f aca="false">V203-X203</f>
        <v>0</v>
      </c>
      <c r="Z203" s="1026" t="n">
        <f aca="false">IF(T203&lt;=$V$97,Z202+W203,0)</f>
        <v>0</v>
      </c>
      <c r="AA203" s="654" t="n">
        <f aca="false">IF(T203&lt;=$V$97,AA202+X203,0)</f>
        <v>0</v>
      </c>
      <c r="AB203" s="451"/>
      <c r="AC203" s="1027" t="n">
        <f aca="false">AC202+1</f>
        <v>94</v>
      </c>
      <c r="AD203" s="1025" t="str">
        <f aca="false">IF(AC203&lt;=$AE$97,DATE(YEAR(AD202),MONTH(AD202)+12/$AE$95,DAY(AD202)),"0")</f>
        <v>0</v>
      </c>
      <c r="AE203" s="1026" t="n">
        <f aca="false">IF(AC203&lt;=$AE$97,AH202,0)</f>
        <v>0</v>
      </c>
      <c r="AF203" s="1026" t="n">
        <f aca="false">(AE203*$AE$93*1)/1200</f>
        <v>0</v>
      </c>
      <c r="AG203" s="1022" t="n">
        <f aca="false">IF(AC203&lt;$AE$97,$AE$101-AF203,0)+IF(AC203=$AE$97,$AE$90+$AE$101-AF203,0)</f>
        <v>0</v>
      </c>
      <c r="AH203" s="1026" t="n">
        <f aca="false">AE203-AG203</f>
        <v>0</v>
      </c>
      <c r="AI203" s="1026" t="n">
        <f aca="false">IF(AC203&lt;=$AE$97,AI202+AF203,0)</f>
        <v>0</v>
      </c>
      <c r="AJ203" s="654" t="n">
        <f aca="false">IF(AC203&lt;=$AE$97,AJ202+AG203,0)</f>
        <v>0</v>
      </c>
      <c r="AL203" s="1027" t="n">
        <f aca="false">AL202+1</f>
        <v>94</v>
      </c>
      <c r="AM203" s="1025" t="str">
        <f aca="false">IF(AL203&lt;=$AN$97,DATE(YEAR(AM202),MONTH(AM202)+12/$AN$95,DAY(AM202)),"0")</f>
        <v>0</v>
      </c>
      <c r="AN203" s="1026" t="n">
        <f aca="false">IF(AL203&lt;=$AN$97,AQ202,0)</f>
        <v>0</v>
      </c>
      <c r="AO203" s="1026" t="n">
        <f aca="false">(AN203*$AN$93*1)/1200</f>
        <v>0</v>
      </c>
      <c r="AP203" s="1022" t="n">
        <f aca="false">IF(AL203&lt;$AN$97,$AN$101-AO203,0)+IF(AL203=$AN$97,$AN$90+$AN$101-AO203,0)</f>
        <v>0</v>
      </c>
      <c r="AQ203" s="1026" t="n">
        <f aca="false">AN203-AP203</f>
        <v>0</v>
      </c>
      <c r="AR203" s="1026" t="n">
        <f aca="false">IF(AL203&lt;=$AN$97,AR202+AO203,0)</f>
        <v>0</v>
      </c>
      <c r="AS203" s="654" t="n">
        <f aca="false">IF(AL203&lt;=$AN$97,AS202+AP203,0)</f>
        <v>0</v>
      </c>
      <c r="AU203" s="1027" t="n">
        <f aca="false">AU202+1</f>
        <v>94</v>
      </c>
      <c r="AV203" s="1025" t="str">
        <f aca="false">IF(AU203&lt;=$AW$97,DATE(YEAR(AV202),MONTH(AV202)+12/$AW$95,DAY(AV202)),"0")</f>
        <v>0</v>
      </c>
      <c r="AW203" s="1026" t="n">
        <f aca="false">IF(AU203&lt;=$AW$97,AZ202,0)</f>
        <v>0</v>
      </c>
      <c r="AX203" s="1026" t="n">
        <f aca="false">(AW203*$AW$93*1)/1200</f>
        <v>0</v>
      </c>
      <c r="AY203" s="1022" t="n">
        <f aca="false">IF(AU203&lt;$AW$97,$AW$101-AX203,0)+IF(AU203=$AW$97,$AW$90+$AW$101-AX203,0)</f>
        <v>0</v>
      </c>
      <c r="AZ203" s="1026" t="n">
        <f aca="false">AW203-AY203</f>
        <v>0</v>
      </c>
      <c r="BA203" s="1026" t="n">
        <f aca="false">IF(AU203&lt;=$AW$97,BA202+AX203,0)</f>
        <v>0</v>
      </c>
      <c r="BB203" s="654" t="n">
        <f aca="false">IF(AU203&lt;=$AW$97,BB202+AY203,0)</f>
        <v>0</v>
      </c>
    </row>
    <row r="204" customFormat="false" ht="12.75" hidden="false" customHeight="false" outlineLevel="0" collapsed="false">
      <c r="B204" s="1024" t="n">
        <v>95</v>
      </c>
      <c r="C204" s="1025" t="n">
        <f aca="false">IF(B204&lt;=$D$97,DATE(YEAR(C203),MONTH(C203)+12/$D$94,DAY(C203)),"0")</f>
        <v>47851</v>
      </c>
      <c r="D204" s="1026" t="n">
        <f aca="false">IF(B204=1,$D$90,G203)</f>
        <v>81458.7906434369</v>
      </c>
      <c r="E204" s="1026" t="n">
        <f aca="false">(D204*$D$92*1)/1200</f>
        <v>237.588139376691</v>
      </c>
      <c r="F204" s="1026" t="n">
        <f aca="false">IF(AND(B204&lt;=$D$97,B204&gt;$D$95),$D$101-E204,0)</f>
        <v>834.735672638068</v>
      </c>
      <c r="G204" s="1026" t="n">
        <f aca="false">D204-F204</f>
        <v>80624.0549707988</v>
      </c>
      <c r="H204" s="1026" t="n">
        <f aca="false">IF(B204&lt;=$D$97,E204+H203,0)</f>
        <v>32494.817112201</v>
      </c>
      <c r="I204" s="654" t="n">
        <f aca="false">IF(B204&lt;=$D$97,F204+I203,0)</f>
        <v>69375.9450292012</v>
      </c>
      <c r="K204" s="1027" t="n">
        <f aca="false">K203+1</f>
        <v>95</v>
      </c>
      <c r="L204" s="1025" t="str">
        <f aca="false">IF(K204&lt;=$M$97,DATE(YEAR(L203),MONTH(L203)+12/$M$94,DAY(L203)),"0")</f>
        <v>0</v>
      </c>
      <c r="M204" s="1026" t="n">
        <f aca="false">IF(K204&lt;=$M$97,P203,0)</f>
        <v>0</v>
      </c>
      <c r="N204" s="1026" t="n">
        <f aca="false">(M204*$M$92*1)/1200</f>
        <v>0</v>
      </c>
      <c r="O204" s="1026" t="n">
        <f aca="false">IF(AND(K204&lt;=$M$97,K204&gt;$M$95),$M$101-N204,0)</f>
        <v>0</v>
      </c>
      <c r="P204" s="1026" t="n">
        <f aca="false">M204-O204</f>
        <v>0</v>
      </c>
      <c r="Q204" s="1026" t="n">
        <f aca="false">IF(K204&lt;=$M$97,Q203+N204,0)</f>
        <v>0</v>
      </c>
      <c r="R204" s="654" t="n">
        <f aca="false">IF(K204&lt;=$D$97,R203+O204,0)</f>
        <v>15000.0000000001</v>
      </c>
      <c r="T204" s="1027" t="n">
        <f aca="false">T203+1</f>
        <v>95</v>
      </c>
      <c r="U204" s="1025" t="str">
        <f aca="false">IF(T204&lt;=$V$97,DATE(YEAR(U203),MONTH(U203)+12/$V$94,DAY(U203)),"0")</f>
        <v>0</v>
      </c>
      <c r="V204" s="1026" t="n">
        <f aca="false">IF(T204&lt;=$V$97,Y203,0)</f>
        <v>0</v>
      </c>
      <c r="W204" s="1026" t="n">
        <f aca="false">(V204*$V$92*1)/1200</f>
        <v>0</v>
      </c>
      <c r="X204" s="1022" t="n">
        <f aca="false">IF(AND(T204&lt;=$V$97,T204&gt;$V$95),$V$101-W204,0)</f>
        <v>0</v>
      </c>
      <c r="Y204" s="1026" t="n">
        <f aca="false">V204-X204</f>
        <v>0</v>
      </c>
      <c r="Z204" s="1026" t="n">
        <f aca="false">IF(T204&lt;=$V$97,Z203+W204,0)</f>
        <v>0</v>
      </c>
      <c r="AA204" s="654" t="n">
        <f aca="false">IF(T204&lt;=$V$97,AA203+X204,0)</f>
        <v>0</v>
      </c>
      <c r="AB204" s="451"/>
      <c r="AC204" s="1027" t="n">
        <f aca="false">AC203+1</f>
        <v>95</v>
      </c>
      <c r="AD204" s="1025" t="str">
        <f aca="false">IF(AC204&lt;=$AE$97,DATE(YEAR(AD203),MONTH(AD203)+12/$AE$95,DAY(AD203)),"0")</f>
        <v>0</v>
      </c>
      <c r="AE204" s="1026" t="n">
        <f aca="false">IF(AC204&lt;=$AE$97,AH203,0)</f>
        <v>0</v>
      </c>
      <c r="AF204" s="1026" t="n">
        <f aca="false">(AE204*$AE$93*1)/1200</f>
        <v>0</v>
      </c>
      <c r="AG204" s="1022" t="n">
        <f aca="false">IF(AC204&lt;$AE$97,$AE$101-AF204,0)+IF(AC204=$AE$97,$AE$90+$AE$101-AF204,0)</f>
        <v>0</v>
      </c>
      <c r="AH204" s="1026" t="n">
        <f aca="false">AE204-AG204</f>
        <v>0</v>
      </c>
      <c r="AI204" s="1026" t="n">
        <f aca="false">IF(AC204&lt;=$AE$97,AI203+AF204,0)</f>
        <v>0</v>
      </c>
      <c r="AJ204" s="654" t="n">
        <f aca="false">IF(AC204&lt;=$AE$97,AJ203+AG204,0)</f>
        <v>0</v>
      </c>
      <c r="AL204" s="1027" t="n">
        <f aca="false">AL203+1</f>
        <v>95</v>
      </c>
      <c r="AM204" s="1025" t="str">
        <f aca="false">IF(AL204&lt;=$AN$97,DATE(YEAR(AM203),MONTH(AM203)+12/$AN$95,DAY(AM203)),"0")</f>
        <v>0</v>
      </c>
      <c r="AN204" s="1026" t="n">
        <f aca="false">IF(AL204&lt;=$AN$97,AQ203,0)</f>
        <v>0</v>
      </c>
      <c r="AO204" s="1026" t="n">
        <f aca="false">(AN204*$AN$93*1)/1200</f>
        <v>0</v>
      </c>
      <c r="AP204" s="1022" t="n">
        <f aca="false">IF(AL204&lt;$AN$97,$AN$101-AO204,0)+IF(AL204=$AN$97,$AN$90+$AN$101-AO204,0)</f>
        <v>0</v>
      </c>
      <c r="AQ204" s="1026" t="n">
        <f aca="false">AN204-AP204</f>
        <v>0</v>
      </c>
      <c r="AR204" s="1026" t="n">
        <f aca="false">IF(AL204&lt;=$AN$97,AR203+AO204,0)</f>
        <v>0</v>
      </c>
      <c r="AS204" s="654" t="n">
        <f aca="false">IF(AL204&lt;=$AN$97,AS203+AP204,0)</f>
        <v>0</v>
      </c>
      <c r="AU204" s="1027" t="n">
        <f aca="false">AU203+1</f>
        <v>95</v>
      </c>
      <c r="AV204" s="1025" t="str">
        <f aca="false">IF(AU204&lt;=$AW$97,DATE(YEAR(AV203),MONTH(AV203)+12/$AW$95,DAY(AV203)),"0")</f>
        <v>0</v>
      </c>
      <c r="AW204" s="1026" t="n">
        <f aca="false">IF(AU204&lt;=$AW$97,AZ203,0)</f>
        <v>0</v>
      </c>
      <c r="AX204" s="1026" t="n">
        <f aca="false">(AW204*$AW$93*1)/1200</f>
        <v>0</v>
      </c>
      <c r="AY204" s="1022" t="n">
        <f aca="false">IF(AU204&lt;$AW$97,$AW$101-AX204,0)+IF(AU204=$AW$97,$AW$90+$AW$101-AX204,0)</f>
        <v>0</v>
      </c>
      <c r="AZ204" s="1026" t="n">
        <f aca="false">AW204-AY204</f>
        <v>0</v>
      </c>
      <c r="BA204" s="1026" t="n">
        <f aca="false">IF(AU204&lt;=$AW$97,BA203+AX204,0)</f>
        <v>0</v>
      </c>
      <c r="BB204" s="654" t="n">
        <f aca="false">IF(AU204&lt;=$AW$97,BB203+AY204,0)</f>
        <v>0</v>
      </c>
    </row>
    <row r="205" customFormat="false" ht="12.75" hidden="false" customHeight="false" outlineLevel="0" collapsed="false">
      <c r="B205" s="1024" t="n">
        <v>96</v>
      </c>
      <c r="C205" s="1025" t="n">
        <f aca="false">IF(B205&lt;=$D$97,DATE(YEAR(C204),MONTH(C204)+12/$D$94,DAY(C204)),"0")</f>
        <v>47882</v>
      </c>
      <c r="D205" s="1026" t="n">
        <f aca="false">IF(B205=1,$D$90,G204)</f>
        <v>80624.0549707988</v>
      </c>
      <c r="E205" s="1026" t="n">
        <f aca="false">(D205*$D$92*1)/1200</f>
        <v>235.15349366483</v>
      </c>
      <c r="F205" s="1026" t="n">
        <f aca="false">IF(AND(B205&lt;=$D$97,B205&gt;$D$95),$D$101-E205,0)</f>
        <v>837.170318349929</v>
      </c>
      <c r="G205" s="1026" t="n">
        <f aca="false">D205-F205</f>
        <v>79786.8846524489</v>
      </c>
      <c r="H205" s="1026" t="n">
        <f aca="false">IF(B205&lt;=$D$97,E205+H204,0)</f>
        <v>32729.9706058658</v>
      </c>
      <c r="I205" s="654" t="n">
        <f aca="false">IF(B205&lt;=$D$97,F205+I204,0)</f>
        <v>70213.1153475511</v>
      </c>
      <c r="K205" s="1027" t="n">
        <f aca="false">K204+1</f>
        <v>96</v>
      </c>
      <c r="L205" s="1025" t="str">
        <f aca="false">IF(K205&lt;=$M$97,DATE(YEAR(L204),MONTH(L204)+12/$M$94,DAY(L204)),"0")</f>
        <v>0</v>
      </c>
      <c r="M205" s="1026" t="n">
        <f aca="false">IF(K205&lt;=$M$97,P204,0)</f>
        <v>0</v>
      </c>
      <c r="N205" s="1026" t="n">
        <f aca="false">(M205*$M$92*1)/1200</f>
        <v>0</v>
      </c>
      <c r="O205" s="1026" t="n">
        <f aca="false">IF(AND(K205&lt;=$M$97,K205&gt;$M$95),$M$101-N205,0)</f>
        <v>0</v>
      </c>
      <c r="P205" s="1026" t="n">
        <f aca="false">M205-O205</f>
        <v>0</v>
      </c>
      <c r="Q205" s="1026" t="n">
        <f aca="false">IF(K205&lt;=$M$97,Q204+N205,0)</f>
        <v>0</v>
      </c>
      <c r="R205" s="654" t="n">
        <f aca="false">IF(K205&lt;=$D$97,R204+O205,0)</f>
        <v>15000.0000000001</v>
      </c>
      <c r="T205" s="1027" t="n">
        <f aca="false">T204+1</f>
        <v>96</v>
      </c>
      <c r="U205" s="1025" t="str">
        <f aca="false">IF(T205&lt;=$V$97,DATE(YEAR(U204),MONTH(U204)+12/$V$94,DAY(U204)),"0")</f>
        <v>0</v>
      </c>
      <c r="V205" s="1026" t="n">
        <f aca="false">IF(T205&lt;=$V$97,Y204,0)</f>
        <v>0</v>
      </c>
      <c r="W205" s="1026" t="n">
        <f aca="false">(V205*$V$92*1)/1200</f>
        <v>0</v>
      </c>
      <c r="X205" s="1022" t="n">
        <f aca="false">IF(AND(T205&lt;=$V$97,T205&gt;$V$95),$V$101-W205,0)</f>
        <v>0</v>
      </c>
      <c r="Y205" s="1026" t="n">
        <f aca="false">V205-X205</f>
        <v>0</v>
      </c>
      <c r="Z205" s="1026" t="n">
        <f aca="false">IF(T205&lt;=$V$97,Z204+W205,0)</f>
        <v>0</v>
      </c>
      <c r="AA205" s="654" t="n">
        <f aca="false">IF(T205&lt;=$V$97,AA204+X205,0)</f>
        <v>0</v>
      </c>
      <c r="AB205" s="451"/>
      <c r="AC205" s="1027" t="n">
        <f aca="false">AC204+1</f>
        <v>96</v>
      </c>
      <c r="AD205" s="1025" t="str">
        <f aca="false">IF(AC205&lt;=$AE$97,DATE(YEAR(AD204),MONTH(AD204)+12/$AE$95,DAY(AD204)),"0")</f>
        <v>0</v>
      </c>
      <c r="AE205" s="1026" t="n">
        <f aca="false">IF(AC205&lt;=$AE$97,AH204,0)</f>
        <v>0</v>
      </c>
      <c r="AF205" s="1026" t="n">
        <f aca="false">(AE205*$AE$93*1)/1200</f>
        <v>0</v>
      </c>
      <c r="AG205" s="1022" t="n">
        <f aca="false">IF(AC205&lt;$AE$97,$AE$101-AF205,0)+IF(AC205=$AE$97,$AE$90+$AE$101-AF205,0)</f>
        <v>0</v>
      </c>
      <c r="AH205" s="1026" t="n">
        <f aca="false">AE205-AG205</f>
        <v>0</v>
      </c>
      <c r="AI205" s="1026" t="n">
        <f aca="false">IF(AC205&lt;=$AE$97,AI204+AF205,0)</f>
        <v>0</v>
      </c>
      <c r="AJ205" s="654" t="n">
        <f aca="false">IF(AC205&lt;=$AE$97,AJ204+AG205,0)</f>
        <v>0</v>
      </c>
      <c r="AL205" s="1027" t="n">
        <f aca="false">AL204+1</f>
        <v>96</v>
      </c>
      <c r="AM205" s="1025" t="str">
        <f aca="false">IF(AL205&lt;=$AN$97,DATE(YEAR(AM204),MONTH(AM204)+12/$AN$95,DAY(AM204)),"0")</f>
        <v>0</v>
      </c>
      <c r="AN205" s="1026" t="n">
        <f aca="false">IF(AL205&lt;=$AN$97,AQ204,0)</f>
        <v>0</v>
      </c>
      <c r="AO205" s="1026" t="n">
        <f aca="false">(AN205*$AN$93*1)/1200</f>
        <v>0</v>
      </c>
      <c r="AP205" s="1022" t="n">
        <f aca="false">IF(AL205&lt;$AN$97,$AN$101-AO205,0)+IF(AL205=$AN$97,$AN$90+$AN$101-AO205,0)</f>
        <v>0</v>
      </c>
      <c r="AQ205" s="1026" t="n">
        <f aca="false">AN205-AP205</f>
        <v>0</v>
      </c>
      <c r="AR205" s="1026" t="n">
        <f aca="false">IF(AL205&lt;=$AN$97,AR204+AO205,0)</f>
        <v>0</v>
      </c>
      <c r="AS205" s="654" t="n">
        <f aca="false">IF(AL205&lt;=$AN$97,AS204+AP205,0)</f>
        <v>0</v>
      </c>
      <c r="AU205" s="1027" t="n">
        <f aca="false">AU204+1</f>
        <v>96</v>
      </c>
      <c r="AV205" s="1025" t="str">
        <f aca="false">IF(AU205&lt;=$AW$97,DATE(YEAR(AV204),MONTH(AV204)+12/$AW$95,DAY(AV204)),"0")</f>
        <v>0</v>
      </c>
      <c r="AW205" s="1026" t="n">
        <f aca="false">IF(AU205&lt;=$AW$97,AZ204,0)</f>
        <v>0</v>
      </c>
      <c r="AX205" s="1026" t="n">
        <f aca="false">(AW205*$AW$93*1)/1200</f>
        <v>0</v>
      </c>
      <c r="AY205" s="1022" t="n">
        <f aca="false">IF(AU205&lt;$AW$97,$AW$101-AX205,0)+IF(AU205=$AW$97,$AW$90+$AW$101-AX205,0)</f>
        <v>0</v>
      </c>
      <c r="AZ205" s="1026" t="n">
        <f aca="false">AW205-AY205</f>
        <v>0</v>
      </c>
      <c r="BA205" s="1026" t="n">
        <f aca="false">IF(AU205&lt;=$AW$97,BA204+AX205,0)</f>
        <v>0</v>
      </c>
      <c r="BB205" s="654" t="n">
        <f aca="false">IF(AU205&lt;=$AW$97,BB204+AY205,0)</f>
        <v>0</v>
      </c>
    </row>
    <row r="206" customFormat="false" ht="12.75" hidden="false" customHeight="false" outlineLevel="0" collapsed="false">
      <c r="B206" s="1024" t="n">
        <v>97</v>
      </c>
      <c r="C206" s="1025" t="n">
        <f aca="false">IF(B206&lt;=$D$97,DATE(YEAR(C205),MONTH(C205)+12/$D$94,DAY(C205)),"0")</f>
        <v>47910</v>
      </c>
      <c r="D206" s="1026" t="n">
        <f aca="false">IF(B206=1,$D$90,G205)</f>
        <v>79786.8846524489</v>
      </c>
      <c r="E206" s="1026" t="n">
        <f aca="false">(D206*$D$92*1)/1200</f>
        <v>232.711746902976</v>
      </c>
      <c r="F206" s="1026" t="n">
        <f aca="false">IF(AND(B206&lt;=$D$97,B206&gt;$D$95),$D$101-E206,0)</f>
        <v>839.612065111783</v>
      </c>
      <c r="G206" s="1026" t="n">
        <f aca="false">D206-F206</f>
        <v>78947.2725873371</v>
      </c>
      <c r="H206" s="1026" t="n">
        <f aca="false">IF(B206&lt;=$D$97,E206+H205,0)</f>
        <v>32962.6823527688</v>
      </c>
      <c r="I206" s="654" t="n">
        <f aca="false">IF(B206&lt;=$D$97,F206+I205,0)</f>
        <v>71052.7274126629</v>
      </c>
      <c r="K206" s="1027" t="n">
        <f aca="false">K205+1</f>
        <v>97</v>
      </c>
      <c r="L206" s="1025" t="str">
        <f aca="false">IF(K206&lt;=$M$97,DATE(YEAR(L205),MONTH(L205)+12/$M$94,DAY(L205)),"0")</f>
        <v>0</v>
      </c>
      <c r="M206" s="1026" t="n">
        <f aca="false">IF(K206&lt;=$M$97,P205,0)</f>
        <v>0</v>
      </c>
      <c r="N206" s="1026" t="n">
        <f aca="false">(M206*$M$92*1)/1200</f>
        <v>0</v>
      </c>
      <c r="O206" s="1026" t="n">
        <f aca="false">IF(AND(K206&lt;=$M$97,K206&gt;$M$95),$M$101-N206,0)</f>
        <v>0</v>
      </c>
      <c r="P206" s="1026" t="n">
        <f aca="false">M206-O206</f>
        <v>0</v>
      </c>
      <c r="Q206" s="1026" t="n">
        <f aca="false">IF(K206&lt;=$M$97,Q205+N206,0)</f>
        <v>0</v>
      </c>
      <c r="R206" s="654" t="n">
        <f aca="false">IF(K206&lt;=$D$97,R205+O206,0)</f>
        <v>15000.0000000001</v>
      </c>
      <c r="T206" s="1027" t="n">
        <f aca="false">T205+1</f>
        <v>97</v>
      </c>
      <c r="U206" s="1025" t="str">
        <f aca="false">IF(T206&lt;=$V$97,DATE(YEAR(U205),MONTH(U205)+12/$V$94,DAY(U205)),"0")</f>
        <v>0</v>
      </c>
      <c r="V206" s="1026" t="n">
        <f aca="false">IF(T206&lt;=$V$97,Y205,0)</f>
        <v>0</v>
      </c>
      <c r="W206" s="1026" t="n">
        <f aca="false">(V206*$V$92*1)/1200</f>
        <v>0</v>
      </c>
      <c r="X206" s="1022" t="n">
        <f aca="false">IF(AND(T206&lt;=$V$97,T206&gt;$V$95),$V$101-W206,0)</f>
        <v>0</v>
      </c>
      <c r="Y206" s="1026" t="n">
        <f aca="false">V206-X206</f>
        <v>0</v>
      </c>
      <c r="Z206" s="1026" t="n">
        <f aca="false">IF(T206&lt;=$V$97,Z205+W206,0)</f>
        <v>0</v>
      </c>
      <c r="AA206" s="654" t="n">
        <f aca="false">IF(T206&lt;=$V$97,AA205+X206,0)</f>
        <v>0</v>
      </c>
      <c r="AB206" s="451"/>
      <c r="AC206" s="1027" t="n">
        <f aca="false">AC205+1</f>
        <v>97</v>
      </c>
      <c r="AD206" s="1025" t="str">
        <f aca="false">IF(AC206&lt;=$AE$97,DATE(YEAR(AD205),MONTH(AD205)+12/$AE$95,DAY(AD205)),"0")</f>
        <v>0</v>
      </c>
      <c r="AE206" s="1026" t="n">
        <f aca="false">IF(AC206&lt;=$AE$97,AH205,0)</f>
        <v>0</v>
      </c>
      <c r="AF206" s="1026" t="n">
        <f aca="false">(AE206*$AE$93*1)/1200</f>
        <v>0</v>
      </c>
      <c r="AG206" s="1022" t="n">
        <f aca="false">IF(AC206&lt;$AE$97,$AE$101-AF206,0)+IF(AC206=$AE$97,$AE$90+$AE$101-AF206,0)</f>
        <v>0</v>
      </c>
      <c r="AH206" s="1026" t="n">
        <f aca="false">AE206-AG206</f>
        <v>0</v>
      </c>
      <c r="AI206" s="1026" t="n">
        <f aca="false">IF(AC206&lt;=$AE$97,AI205+AF206,0)</f>
        <v>0</v>
      </c>
      <c r="AJ206" s="654" t="n">
        <f aca="false">IF(AC206&lt;=$AE$97,AJ205+AG206,0)</f>
        <v>0</v>
      </c>
      <c r="AL206" s="1027" t="n">
        <f aca="false">AL205+1</f>
        <v>97</v>
      </c>
      <c r="AM206" s="1025" t="str">
        <f aca="false">IF(AL206&lt;=$AN$97,DATE(YEAR(AM205),MONTH(AM205)+12/$AN$95,DAY(AM205)),"0")</f>
        <v>0</v>
      </c>
      <c r="AN206" s="1026" t="n">
        <f aca="false">IF(AL206&lt;=$AN$97,AQ205,0)</f>
        <v>0</v>
      </c>
      <c r="AO206" s="1026" t="n">
        <f aca="false">(AN206*$AN$93*1)/1200</f>
        <v>0</v>
      </c>
      <c r="AP206" s="1022" t="n">
        <f aca="false">IF(AL206&lt;$AN$97,$AN$101-AO206,0)+IF(AL206=$AN$97,$AN$90+$AN$101-AO206,0)</f>
        <v>0</v>
      </c>
      <c r="AQ206" s="1026" t="n">
        <f aca="false">AN206-AP206</f>
        <v>0</v>
      </c>
      <c r="AR206" s="1026" t="n">
        <f aca="false">IF(AL206&lt;=$AN$97,AR205+AO206,0)</f>
        <v>0</v>
      </c>
      <c r="AS206" s="654" t="n">
        <f aca="false">IF(AL206&lt;=$AN$97,AS205+AP206,0)</f>
        <v>0</v>
      </c>
      <c r="AU206" s="1027" t="n">
        <f aca="false">AU205+1</f>
        <v>97</v>
      </c>
      <c r="AV206" s="1025" t="str">
        <f aca="false">IF(AU206&lt;=$AW$97,DATE(YEAR(AV205),MONTH(AV205)+12/$AW$95,DAY(AV205)),"0")</f>
        <v>0</v>
      </c>
      <c r="AW206" s="1026" t="n">
        <f aca="false">IF(AU206&lt;=$AW$97,AZ205,0)</f>
        <v>0</v>
      </c>
      <c r="AX206" s="1026" t="n">
        <f aca="false">(AW206*$AW$93*1)/1200</f>
        <v>0</v>
      </c>
      <c r="AY206" s="1022" t="n">
        <f aca="false">IF(AU206&lt;$AW$97,$AW$101-AX206,0)+IF(AU206=$AW$97,$AW$90+$AW$101-AX206,0)</f>
        <v>0</v>
      </c>
      <c r="AZ206" s="1026" t="n">
        <f aca="false">AW206-AY206</f>
        <v>0</v>
      </c>
      <c r="BA206" s="1026" t="n">
        <f aca="false">IF(AU206&lt;=$AW$97,BA205+AX206,0)</f>
        <v>0</v>
      </c>
      <c r="BB206" s="654" t="n">
        <f aca="false">IF(AU206&lt;=$AW$97,BB205+AY206,0)</f>
        <v>0</v>
      </c>
    </row>
    <row r="207" customFormat="false" ht="12.75" hidden="false" customHeight="false" outlineLevel="0" collapsed="false">
      <c r="B207" s="1024" t="n">
        <v>98</v>
      </c>
      <c r="C207" s="1025" t="n">
        <f aca="false">IF(B207&lt;=$D$97,DATE(YEAR(C206),MONTH(C206)+12/$D$94,DAY(C206)),"0")</f>
        <v>47941</v>
      </c>
      <c r="D207" s="1026" t="n">
        <f aca="false">IF(B207=1,$D$90,G206)</f>
        <v>78947.2725873371</v>
      </c>
      <c r="E207" s="1026" t="n">
        <f aca="false">(D207*$D$92*1)/1200</f>
        <v>230.262878379733</v>
      </c>
      <c r="F207" s="1026" t="n">
        <f aca="false">IF(AND(B207&lt;=$D$97,B207&gt;$D$95),$D$101-E207,0)</f>
        <v>842.060933635026</v>
      </c>
      <c r="G207" s="1026" t="n">
        <f aca="false">D207-F207</f>
        <v>78105.2116537021</v>
      </c>
      <c r="H207" s="1026" t="n">
        <f aca="false">IF(B207&lt;=$D$97,E207+H206,0)</f>
        <v>33192.9452311485</v>
      </c>
      <c r="I207" s="654" t="n">
        <f aca="false">IF(B207&lt;=$D$97,F207+I206,0)</f>
        <v>71894.7883462979</v>
      </c>
      <c r="K207" s="1027" t="n">
        <f aca="false">K206+1</f>
        <v>98</v>
      </c>
      <c r="L207" s="1025" t="str">
        <f aca="false">IF(K207&lt;=$M$97,DATE(YEAR(L206),MONTH(L206)+12/$M$94,DAY(L206)),"0")</f>
        <v>0</v>
      </c>
      <c r="M207" s="1026" t="n">
        <f aca="false">IF(K207&lt;=$M$97,P206,0)</f>
        <v>0</v>
      </c>
      <c r="N207" s="1026" t="n">
        <f aca="false">(M207*$M$92*1)/1200</f>
        <v>0</v>
      </c>
      <c r="O207" s="1026" t="n">
        <f aca="false">IF(AND(K207&lt;=$M$97,K207&gt;$M$95),$M$101-N207,0)</f>
        <v>0</v>
      </c>
      <c r="P207" s="1026" t="n">
        <f aca="false">M207-O207</f>
        <v>0</v>
      </c>
      <c r="Q207" s="1026" t="n">
        <f aca="false">IF(K207&lt;=$M$97,Q206+N207,0)</f>
        <v>0</v>
      </c>
      <c r="R207" s="654" t="n">
        <f aca="false">IF(K207&lt;=$D$97,R206+O207,0)</f>
        <v>15000.0000000001</v>
      </c>
      <c r="T207" s="1027" t="n">
        <f aca="false">T206+1</f>
        <v>98</v>
      </c>
      <c r="U207" s="1025" t="str">
        <f aca="false">IF(T207&lt;=$V$97,DATE(YEAR(U206),MONTH(U206)+12/$V$94,DAY(U206)),"0")</f>
        <v>0</v>
      </c>
      <c r="V207" s="1026" t="n">
        <f aca="false">IF(T207&lt;=$V$97,Y206,0)</f>
        <v>0</v>
      </c>
      <c r="W207" s="1026" t="n">
        <f aca="false">(V207*$V$92*1)/1200</f>
        <v>0</v>
      </c>
      <c r="X207" s="1022" t="n">
        <f aca="false">IF(AND(T207&lt;=$V$97,T207&gt;$V$95),$V$101-W207,0)</f>
        <v>0</v>
      </c>
      <c r="Y207" s="1026" t="n">
        <f aca="false">V207-X207</f>
        <v>0</v>
      </c>
      <c r="Z207" s="1026" t="n">
        <f aca="false">IF(T207&lt;=$V$97,Z206+W207,0)</f>
        <v>0</v>
      </c>
      <c r="AA207" s="654" t="n">
        <f aca="false">IF(T207&lt;=$V$97,AA206+X207,0)</f>
        <v>0</v>
      </c>
      <c r="AB207" s="451"/>
      <c r="AC207" s="1027" t="n">
        <f aca="false">AC206+1</f>
        <v>98</v>
      </c>
      <c r="AD207" s="1025" t="str">
        <f aca="false">IF(AC207&lt;=$AE$97,DATE(YEAR(AD206),MONTH(AD206)+12/$AE$95,DAY(AD206)),"0")</f>
        <v>0</v>
      </c>
      <c r="AE207" s="1026" t="n">
        <f aca="false">IF(AC207&lt;=$AE$97,AH206,0)</f>
        <v>0</v>
      </c>
      <c r="AF207" s="1026" t="n">
        <f aca="false">(AE207*$AE$93*1)/1200</f>
        <v>0</v>
      </c>
      <c r="AG207" s="1022" t="n">
        <f aca="false">IF(AC207&lt;$AE$97,$AE$101-AF207,0)+IF(AC207=$AE$97,$AE$90+$AE$101-AF207,0)</f>
        <v>0</v>
      </c>
      <c r="AH207" s="1026" t="n">
        <f aca="false">AE207-AG207</f>
        <v>0</v>
      </c>
      <c r="AI207" s="1026" t="n">
        <f aca="false">IF(AC207&lt;=$AE$97,AI206+AF207,0)</f>
        <v>0</v>
      </c>
      <c r="AJ207" s="654" t="n">
        <f aca="false">IF(AC207&lt;=$AE$97,AJ206+AG207,0)</f>
        <v>0</v>
      </c>
      <c r="AL207" s="1027" t="n">
        <f aca="false">AL206+1</f>
        <v>98</v>
      </c>
      <c r="AM207" s="1025" t="str">
        <f aca="false">IF(AL207&lt;=$AN$97,DATE(YEAR(AM206),MONTH(AM206)+12/$AN$95,DAY(AM206)),"0")</f>
        <v>0</v>
      </c>
      <c r="AN207" s="1026" t="n">
        <f aca="false">IF(AL207&lt;=$AN$97,AQ206,0)</f>
        <v>0</v>
      </c>
      <c r="AO207" s="1026" t="n">
        <f aca="false">(AN207*$AN$93*1)/1200</f>
        <v>0</v>
      </c>
      <c r="AP207" s="1022" t="n">
        <f aca="false">IF(AL207&lt;$AN$97,$AN$101-AO207,0)+IF(AL207=$AN$97,$AN$90+$AN$101-AO207,0)</f>
        <v>0</v>
      </c>
      <c r="AQ207" s="1026" t="n">
        <f aca="false">AN207-AP207</f>
        <v>0</v>
      </c>
      <c r="AR207" s="1026" t="n">
        <f aca="false">IF(AL207&lt;=$AN$97,AR206+AO207,0)</f>
        <v>0</v>
      </c>
      <c r="AS207" s="654" t="n">
        <f aca="false">IF(AL207&lt;=$AN$97,AS206+AP207,0)</f>
        <v>0</v>
      </c>
      <c r="AU207" s="1027" t="n">
        <f aca="false">AU206+1</f>
        <v>98</v>
      </c>
      <c r="AV207" s="1025" t="str">
        <f aca="false">IF(AU207&lt;=$AW$97,DATE(YEAR(AV206),MONTH(AV206)+12/$AW$95,DAY(AV206)),"0")</f>
        <v>0</v>
      </c>
      <c r="AW207" s="1026" t="n">
        <f aca="false">IF(AU207&lt;=$AW$97,AZ206,0)</f>
        <v>0</v>
      </c>
      <c r="AX207" s="1026" t="n">
        <f aca="false">(AW207*$AW$93*1)/1200</f>
        <v>0</v>
      </c>
      <c r="AY207" s="1022" t="n">
        <f aca="false">IF(AU207&lt;$AW$97,$AW$101-AX207,0)+IF(AU207=$AW$97,$AW$90+$AW$101-AX207,0)</f>
        <v>0</v>
      </c>
      <c r="AZ207" s="1026" t="n">
        <f aca="false">AW207-AY207</f>
        <v>0</v>
      </c>
      <c r="BA207" s="1026" t="n">
        <f aca="false">IF(AU207&lt;=$AW$97,BA206+AX207,0)</f>
        <v>0</v>
      </c>
      <c r="BB207" s="654" t="n">
        <f aca="false">IF(AU207&lt;=$AW$97,BB206+AY207,0)</f>
        <v>0</v>
      </c>
    </row>
    <row r="208" customFormat="false" ht="12.75" hidden="false" customHeight="false" outlineLevel="0" collapsed="false">
      <c r="B208" s="1024" t="n">
        <v>99</v>
      </c>
      <c r="C208" s="1025" t="n">
        <f aca="false">IF(B208&lt;=$D$97,DATE(YEAR(C207),MONTH(C207)+12/$D$94,DAY(C207)),"0")</f>
        <v>47971</v>
      </c>
      <c r="D208" s="1026" t="n">
        <f aca="false">IF(B208=1,$D$90,G207)</f>
        <v>78105.2116537021</v>
      </c>
      <c r="E208" s="1026" t="n">
        <f aca="false">(D208*$D$92*1)/1200</f>
        <v>227.806867323298</v>
      </c>
      <c r="F208" s="1026" t="n">
        <f aca="false">IF(AND(B208&lt;=$D$97,B208&gt;$D$95),$D$101-E208,0)</f>
        <v>844.516944691462</v>
      </c>
      <c r="G208" s="1026" t="n">
        <f aca="false">D208-F208</f>
        <v>77260.6947090106</v>
      </c>
      <c r="H208" s="1026" t="n">
        <f aca="false">IF(B208&lt;=$D$97,E208+H207,0)</f>
        <v>33420.7520984718</v>
      </c>
      <c r="I208" s="654" t="n">
        <f aca="false">IF(B208&lt;=$D$97,F208+I207,0)</f>
        <v>72739.3052909894</v>
      </c>
      <c r="K208" s="1027" t="n">
        <f aca="false">K207+1</f>
        <v>99</v>
      </c>
      <c r="L208" s="1025" t="str">
        <f aca="false">IF(K208&lt;=$M$97,DATE(YEAR(L207),MONTH(L207)+12/$M$94,DAY(L207)),"0")</f>
        <v>0</v>
      </c>
      <c r="M208" s="1026" t="n">
        <f aca="false">IF(K208&lt;=$M$97,P207,0)</f>
        <v>0</v>
      </c>
      <c r="N208" s="1026" t="n">
        <f aca="false">(M208*$M$92*1)/1200</f>
        <v>0</v>
      </c>
      <c r="O208" s="1026" t="n">
        <f aca="false">IF(AND(K208&lt;=$M$97,K208&gt;$M$95),$M$101-N208,0)</f>
        <v>0</v>
      </c>
      <c r="P208" s="1026" t="n">
        <f aca="false">M208-O208</f>
        <v>0</v>
      </c>
      <c r="Q208" s="1026" t="n">
        <f aca="false">IF(K208&lt;=$M$97,Q207+N208,0)</f>
        <v>0</v>
      </c>
      <c r="R208" s="654" t="n">
        <f aca="false">IF(K208&lt;=$D$97,R207+O208,0)</f>
        <v>15000.0000000001</v>
      </c>
      <c r="T208" s="1027" t="n">
        <f aca="false">T207+1</f>
        <v>99</v>
      </c>
      <c r="U208" s="1025" t="str">
        <f aca="false">IF(T208&lt;=$V$97,DATE(YEAR(U207),MONTH(U207)+12/$V$94,DAY(U207)),"0")</f>
        <v>0</v>
      </c>
      <c r="V208" s="1026" t="n">
        <f aca="false">IF(T208&lt;=$V$97,Y207,0)</f>
        <v>0</v>
      </c>
      <c r="W208" s="1026" t="n">
        <f aca="false">(V208*$V$92*1)/1200</f>
        <v>0</v>
      </c>
      <c r="X208" s="1022" t="n">
        <f aca="false">IF(AND(T208&lt;=$V$97,T208&gt;$V$95),$V$101-W208,0)</f>
        <v>0</v>
      </c>
      <c r="Y208" s="1026" t="n">
        <f aca="false">V208-X208</f>
        <v>0</v>
      </c>
      <c r="Z208" s="1026" t="n">
        <f aca="false">IF(T208&lt;=$V$97,Z207+W208,0)</f>
        <v>0</v>
      </c>
      <c r="AA208" s="654" t="n">
        <f aca="false">IF(T208&lt;=$V$97,AA207+X208,0)</f>
        <v>0</v>
      </c>
      <c r="AB208" s="451"/>
      <c r="AC208" s="1027" t="n">
        <f aca="false">AC207+1</f>
        <v>99</v>
      </c>
      <c r="AD208" s="1025" t="str">
        <f aca="false">IF(AC208&lt;=$AE$97,DATE(YEAR(AD207),MONTH(AD207)+12/$AE$95,DAY(AD207)),"0")</f>
        <v>0</v>
      </c>
      <c r="AE208" s="1026" t="n">
        <f aca="false">IF(AC208&lt;=$AE$97,AH207,0)</f>
        <v>0</v>
      </c>
      <c r="AF208" s="1026" t="n">
        <f aca="false">(AE208*$AE$93*1)/1200</f>
        <v>0</v>
      </c>
      <c r="AG208" s="1022" t="n">
        <f aca="false">IF(AC208&lt;$AE$97,$AE$101-AF208,0)+IF(AC208=$AE$97,$AE$90+$AE$101-AF208,0)</f>
        <v>0</v>
      </c>
      <c r="AH208" s="1026" t="n">
        <f aca="false">AE208-AG208</f>
        <v>0</v>
      </c>
      <c r="AI208" s="1026" t="n">
        <f aca="false">IF(AC208&lt;=$AE$97,AI207+AF208,0)</f>
        <v>0</v>
      </c>
      <c r="AJ208" s="654" t="n">
        <f aca="false">IF(AC208&lt;=$AE$97,AJ207+AG208,0)</f>
        <v>0</v>
      </c>
      <c r="AL208" s="1027" t="n">
        <f aca="false">AL207+1</f>
        <v>99</v>
      </c>
      <c r="AM208" s="1025" t="str">
        <f aca="false">IF(AL208&lt;=$AN$97,DATE(YEAR(AM207),MONTH(AM207)+12/$AN$95,DAY(AM207)),"0")</f>
        <v>0</v>
      </c>
      <c r="AN208" s="1026" t="n">
        <f aca="false">IF(AL208&lt;=$AN$97,AQ207,0)</f>
        <v>0</v>
      </c>
      <c r="AO208" s="1026" t="n">
        <f aca="false">(AN208*$AN$93*1)/1200</f>
        <v>0</v>
      </c>
      <c r="AP208" s="1022" t="n">
        <f aca="false">IF(AL208&lt;$AN$97,$AN$101-AO208,0)+IF(AL208=$AN$97,$AN$90+$AN$101-AO208,0)</f>
        <v>0</v>
      </c>
      <c r="AQ208" s="1026" t="n">
        <f aca="false">AN208-AP208</f>
        <v>0</v>
      </c>
      <c r="AR208" s="1026" t="n">
        <f aca="false">IF(AL208&lt;=$AN$97,AR207+AO208,0)</f>
        <v>0</v>
      </c>
      <c r="AS208" s="654" t="n">
        <f aca="false">IF(AL208&lt;=$AN$97,AS207+AP208,0)</f>
        <v>0</v>
      </c>
      <c r="AU208" s="1027" t="n">
        <f aca="false">AU207+1</f>
        <v>99</v>
      </c>
      <c r="AV208" s="1025" t="str">
        <f aca="false">IF(AU208&lt;=$AW$97,DATE(YEAR(AV207),MONTH(AV207)+12/$AW$95,DAY(AV207)),"0")</f>
        <v>0</v>
      </c>
      <c r="AW208" s="1026" t="n">
        <f aca="false">IF(AU208&lt;=$AW$97,AZ207,0)</f>
        <v>0</v>
      </c>
      <c r="AX208" s="1026" t="n">
        <f aca="false">(AW208*$AW$93*1)/1200</f>
        <v>0</v>
      </c>
      <c r="AY208" s="1022" t="n">
        <f aca="false">IF(AU208&lt;$AW$97,$AW$101-AX208,0)+IF(AU208=$AW$97,$AW$90+$AW$101-AX208,0)</f>
        <v>0</v>
      </c>
      <c r="AZ208" s="1026" t="n">
        <f aca="false">AW208-AY208</f>
        <v>0</v>
      </c>
      <c r="BA208" s="1026" t="n">
        <f aca="false">IF(AU208&lt;=$AW$97,BA207+AX208,0)</f>
        <v>0</v>
      </c>
      <c r="BB208" s="654" t="n">
        <f aca="false">IF(AU208&lt;=$AW$97,BB207+AY208,0)</f>
        <v>0</v>
      </c>
    </row>
    <row r="209" customFormat="false" ht="12.75" hidden="false" customHeight="false" outlineLevel="0" collapsed="false">
      <c r="B209" s="1024" t="n">
        <v>100</v>
      </c>
      <c r="C209" s="1025" t="n">
        <f aca="false">IF(B209&lt;=$D$97,DATE(YEAR(C208),MONTH(C208)+12/$D$94,DAY(C208)),"0")</f>
        <v>48002</v>
      </c>
      <c r="D209" s="1026" t="n">
        <f aca="false">IF(B209=1,$D$90,G208)</f>
        <v>77260.6947090106</v>
      </c>
      <c r="E209" s="1026" t="n">
        <f aca="false">(D209*$D$92*1)/1200</f>
        <v>225.343692901281</v>
      </c>
      <c r="F209" s="1026" t="n">
        <f aca="false">IF(AND(B209&lt;=$D$97,B209&gt;$D$95),$D$101-E209,0)</f>
        <v>846.980119113478</v>
      </c>
      <c r="G209" s="1026" t="n">
        <f aca="false">D209-F209</f>
        <v>76413.7145898972</v>
      </c>
      <c r="H209" s="1026" t="n">
        <f aca="false">IF(B209&lt;=$D$97,E209+H208,0)</f>
        <v>33646.0957913731</v>
      </c>
      <c r="I209" s="654" t="n">
        <f aca="false">IF(B209&lt;=$D$97,F209+I208,0)</f>
        <v>73586.2854101029</v>
      </c>
      <c r="K209" s="1027" t="n">
        <f aca="false">K208+1</f>
        <v>100</v>
      </c>
      <c r="L209" s="1025" t="str">
        <f aca="false">IF(K209&lt;=$M$97,DATE(YEAR(L208),MONTH(L208)+12/$M$94,DAY(L208)),"0")</f>
        <v>0</v>
      </c>
      <c r="M209" s="1026" t="n">
        <f aca="false">IF(K209&lt;=$M$97,P208,0)</f>
        <v>0</v>
      </c>
      <c r="N209" s="1026" t="n">
        <f aca="false">(M209*$M$92*1)/1200</f>
        <v>0</v>
      </c>
      <c r="O209" s="1026" t="n">
        <f aca="false">IF(AND(K209&lt;=$M$97,K209&gt;$M$95),$M$101-N209,0)</f>
        <v>0</v>
      </c>
      <c r="P209" s="1026" t="n">
        <f aca="false">M209-O209</f>
        <v>0</v>
      </c>
      <c r="Q209" s="1026" t="n">
        <f aca="false">IF(K209&lt;=$M$97,Q208+N209,0)</f>
        <v>0</v>
      </c>
      <c r="R209" s="654" t="n">
        <f aca="false">IF(K209&lt;=$D$97,R208+O209,0)</f>
        <v>15000.0000000001</v>
      </c>
      <c r="T209" s="1027" t="n">
        <f aca="false">T208+1</f>
        <v>100</v>
      </c>
      <c r="U209" s="1025" t="str">
        <f aca="false">IF(T209&lt;=$V$97,DATE(YEAR(U208),MONTH(U208)+12/$V$94,DAY(U208)),"0")</f>
        <v>0</v>
      </c>
      <c r="V209" s="1026" t="n">
        <f aca="false">IF(T209&lt;=$V$97,Y208,0)</f>
        <v>0</v>
      </c>
      <c r="W209" s="1026" t="n">
        <f aca="false">(V209*$V$92*1)/1200</f>
        <v>0</v>
      </c>
      <c r="X209" s="1022" t="n">
        <f aca="false">IF(AND(T209&lt;=$V$97,T209&gt;$V$95),$V$101-W209,0)</f>
        <v>0</v>
      </c>
      <c r="Y209" s="1026" t="n">
        <f aca="false">V209-X209</f>
        <v>0</v>
      </c>
      <c r="Z209" s="1026" t="n">
        <f aca="false">IF(T209&lt;=$V$97,Z208+W209,0)</f>
        <v>0</v>
      </c>
      <c r="AA209" s="654" t="n">
        <f aca="false">IF(T209&lt;=$V$97,AA208+X209,0)</f>
        <v>0</v>
      </c>
      <c r="AB209" s="451"/>
      <c r="AC209" s="1027" t="n">
        <f aca="false">AC208+1</f>
        <v>100</v>
      </c>
      <c r="AD209" s="1025" t="str">
        <f aca="false">IF(AC209&lt;=$AE$97,DATE(YEAR(AD208),MONTH(AD208)+12/$AE$95,DAY(AD208)),"0")</f>
        <v>0</v>
      </c>
      <c r="AE209" s="1026" t="n">
        <f aca="false">IF(AC209&lt;=$AE$97,AH208,0)</f>
        <v>0</v>
      </c>
      <c r="AF209" s="1026" t="n">
        <f aca="false">(AE209*$AE$93*1)/1200</f>
        <v>0</v>
      </c>
      <c r="AG209" s="1022" t="n">
        <f aca="false">IF(AC209&lt;$AE$97,$AE$101-AF209,0)+IF(AC209=$AE$97,$AE$90+$AE$101-AF209,0)</f>
        <v>0</v>
      </c>
      <c r="AH209" s="1026" t="n">
        <f aca="false">AE209-AG209</f>
        <v>0</v>
      </c>
      <c r="AI209" s="1026" t="n">
        <f aca="false">IF(AC209&lt;=$AE$97,AI208+AF209,0)</f>
        <v>0</v>
      </c>
      <c r="AJ209" s="654" t="n">
        <f aca="false">IF(AC209&lt;=$AE$97,AJ208+AG209,0)</f>
        <v>0</v>
      </c>
      <c r="AL209" s="1027" t="n">
        <f aca="false">AL208+1</f>
        <v>100</v>
      </c>
      <c r="AM209" s="1025" t="str">
        <f aca="false">IF(AL209&lt;=$AN$97,DATE(YEAR(AM208),MONTH(AM208)+12/$AN$95,DAY(AM208)),"0")</f>
        <v>0</v>
      </c>
      <c r="AN209" s="1026" t="n">
        <f aca="false">IF(AL209&lt;=$AN$97,AQ208,0)</f>
        <v>0</v>
      </c>
      <c r="AO209" s="1026" t="n">
        <f aca="false">(AN209*$AN$93*1)/1200</f>
        <v>0</v>
      </c>
      <c r="AP209" s="1022" t="n">
        <f aca="false">IF(AL209&lt;$AN$97,$AN$101-AO209,0)+IF(AL209=$AN$97,$AN$90+$AN$101-AO209,0)</f>
        <v>0</v>
      </c>
      <c r="AQ209" s="1026" t="n">
        <f aca="false">AN209-AP209</f>
        <v>0</v>
      </c>
      <c r="AR209" s="1026" t="n">
        <f aca="false">IF(AL209&lt;=$AN$97,AR208+AO209,0)</f>
        <v>0</v>
      </c>
      <c r="AS209" s="654" t="n">
        <f aca="false">IF(AL209&lt;=$AN$97,AS208+AP209,0)</f>
        <v>0</v>
      </c>
      <c r="AU209" s="1027" t="n">
        <f aca="false">AU208+1</f>
        <v>100</v>
      </c>
      <c r="AV209" s="1025" t="str">
        <f aca="false">IF(AU209&lt;=$AW$97,DATE(YEAR(AV208),MONTH(AV208)+12/$AW$95,DAY(AV208)),"0")</f>
        <v>0</v>
      </c>
      <c r="AW209" s="1026" t="n">
        <f aca="false">IF(AU209&lt;=$AW$97,AZ208,0)</f>
        <v>0</v>
      </c>
      <c r="AX209" s="1026" t="n">
        <f aca="false">(AW209*$AW$93*1)/1200</f>
        <v>0</v>
      </c>
      <c r="AY209" s="1022" t="n">
        <f aca="false">IF(AU209&lt;$AW$97,$AW$101-AX209,0)+IF(AU209=$AW$97,$AW$90+$AW$101-AX209,0)</f>
        <v>0</v>
      </c>
      <c r="AZ209" s="1026" t="n">
        <f aca="false">AW209-AY209</f>
        <v>0</v>
      </c>
      <c r="BA209" s="1026" t="n">
        <f aca="false">IF(AU209&lt;=$AW$97,BA208+AX209,0)</f>
        <v>0</v>
      </c>
      <c r="BB209" s="654" t="n">
        <f aca="false">IF(AU209&lt;=$AW$97,BB208+AY209,0)</f>
        <v>0</v>
      </c>
    </row>
    <row r="210" customFormat="false" ht="12.75" hidden="false" customHeight="false" outlineLevel="0" collapsed="false">
      <c r="B210" s="1024" t="n">
        <v>101</v>
      </c>
      <c r="C210" s="1025" t="n">
        <f aca="false">IF(B210&lt;=$D$97,DATE(YEAR(C209),MONTH(C209)+12/$D$94,DAY(C209)),"0")</f>
        <v>48032</v>
      </c>
      <c r="D210" s="1026" t="n">
        <f aca="false">IF(B210=1,$D$90,G209)</f>
        <v>76413.7145898972</v>
      </c>
      <c r="E210" s="1026" t="n">
        <f aca="false">(D210*$D$92*1)/1200</f>
        <v>222.873334220533</v>
      </c>
      <c r="F210" s="1026" t="n">
        <f aca="false">IF(AND(B210&lt;=$D$97,B210&gt;$D$95),$D$101-E210,0)</f>
        <v>849.450477794226</v>
      </c>
      <c r="G210" s="1026" t="n">
        <f aca="false">D210-F210</f>
        <v>75564.2641121029</v>
      </c>
      <c r="H210" s="1026" t="n">
        <f aca="false">IF(B210&lt;=$D$97,E210+H209,0)</f>
        <v>33868.9691255936</v>
      </c>
      <c r="I210" s="654" t="n">
        <f aca="false">IF(B210&lt;=$D$97,F210+I209,0)</f>
        <v>74435.7358878971</v>
      </c>
      <c r="K210" s="1027" t="n">
        <f aca="false">K209+1</f>
        <v>101</v>
      </c>
      <c r="L210" s="1025" t="str">
        <f aca="false">IF(K210&lt;=$M$97,DATE(YEAR(L209),MONTH(L209)+12/$M$94,DAY(L209)),"0")</f>
        <v>0</v>
      </c>
      <c r="M210" s="1026" t="n">
        <f aca="false">IF(K210&lt;=$M$97,P209,0)</f>
        <v>0</v>
      </c>
      <c r="N210" s="1026" t="n">
        <f aca="false">(M210*$M$92*1)/1200</f>
        <v>0</v>
      </c>
      <c r="O210" s="1026" t="n">
        <f aca="false">IF(AND(K210&lt;=$M$97,K210&gt;$M$95),$M$101-N210,0)</f>
        <v>0</v>
      </c>
      <c r="P210" s="1026" t="n">
        <f aca="false">M210-O210</f>
        <v>0</v>
      </c>
      <c r="Q210" s="1026" t="n">
        <f aca="false">IF(K210&lt;=$M$97,Q209+N210,0)</f>
        <v>0</v>
      </c>
      <c r="R210" s="654" t="n">
        <f aca="false">IF(K210&lt;=$D$97,R209+O210,0)</f>
        <v>15000.0000000001</v>
      </c>
      <c r="T210" s="1027" t="n">
        <f aca="false">T209+1</f>
        <v>101</v>
      </c>
      <c r="U210" s="1025" t="str">
        <f aca="false">IF(T210&lt;=$V$97,DATE(YEAR(U209),MONTH(U209)+12/$V$94,DAY(U209)),"0")</f>
        <v>0</v>
      </c>
      <c r="V210" s="1026" t="n">
        <f aca="false">IF(T210&lt;=$V$97,Y209,0)</f>
        <v>0</v>
      </c>
      <c r="W210" s="1026" t="n">
        <f aca="false">(V210*$V$92*1)/1200</f>
        <v>0</v>
      </c>
      <c r="X210" s="1022" t="n">
        <f aca="false">IF(AND(T210&lt;=$V$97,T210&gt;$V$95),$V$101-W210,0)</f>
        <v>0</v>
      </c>
      <c r="Y210" s="1026" t="n">
        <f aca="false">V210-X210</f>
        <v>0</v>
      </c>
      <c r="Z210" s="1026" t="n">
        <f aca="false">IF(T210&lt;=$V$97,Z209+W210,0)</f>
        <v>0</v>
      </c>
      <c r="AA210" s="654" t="n">
        <f aca="false">IF(T210&lt;=$V$97,AA209+X210,0)</f>
        <v>0</v>
      </c>
      <c r="AB210" s="451"/>
      <c r="AC210" s="1027" t="n">
        <f aca="false">AC209+1</f>
        <v>101</v>
      </c>
      <c r="AD210" s="1025" t="str">
        <f aca="false">IF(AC210&lt;=$AE$97,DATE(YEAR(AD209),MONTH(AD209)+12/$AE$95,DAY(AD209)),"0")</f>
        <v>0</v>
      </c>
      <c r="AE210" s="1026" t="n">
        <f aca="false">IF(AC210&lt;=$AE$97,AH209,0)</f>
        <v>0</v>
      </c>
      <c r="AF210" s="1026" t="n">
        <f aca="false">(AE210*$AE$93*1)/1200</f>
        <v>0</v>
      </c>
      <c r="AG210" s="1022" t="n">
        <f aca="false">IF(AC210&lt;$AE$97,$AE$101-AF210,0)+IF(AC210=$AE$97,$AE$90+$AE$101-AF210,0)</f>
        <v>0</v>
      </c>
      <c r="AH210" s="1026" t="n">
        <f aca="false">AE210-AG210</f>
        <v>0</v>
      </c>
      <c r="AI210" s="1026" t="n">
        <f aca="false">IF(AC210&lt;=$AE$97,AI209+AF210,0)</f>
        <v>0</v>
      </c>
      <c r="AJ210" s="654" t="n">
        <f aca="false">IF(AC210&lt;=$AE$97,AJ209+AG210,0)</f>
        <v>0</v>
      </c>
      <c r="AL210" s="1027" t="n">
        <f aca="false">AL209+1</f>
        <v>101</v>
      </c>
      <c r="AM210" s="1025" t="str">
        <f aca="false">IF(AL210&lt;=$AN$97,DATE(YEAR(AM209),MONTH(AM209)+12/$AN$95,DAY(AM209)),"0")</f>
        <v>0</v>
      </c>
      <c r="AN210" s="1026" t="n">
        <f aca="false">IF(AL210&lt;=$AN$97,AQ209,0)</f>
        <v>0</v>
      </c>
      <c r="AO210" s="1026" t="n">
        <f aca="false">(AN210*$AN$93*1)/1200</f>
        <v>0</v>
      </c>
      <c r="AP210" s="1022" t="n">
        <f aca="false">IF(AL210&lt;$AN$97,$AN$101-AO210,0)+IF(AL210=$AN$97,$AN$90+$AN$101-AO210,0)</f>
        <v>0</v>
      </c>
      <c r="AQ210" s="1026" t="n">
        <f aca="false">AN210-AP210</f>
        <v>0</v>
      </c>
      <c r="AR210" s="1026" t="n">
        <f aca="false">IF(AL210&lt;=$AN$97,AR209+AO210,0)</f>
        <v>0</v>
      </c>
      <c r="AS210" s="654" t="n">
        <f aca="false">IF(AL210&lt;=$AN$97,AS209+AP210,0)</f>
        <v>0</v>
      </c>
      <c r="AU210" s="1027" t="n">
        <f aca="false">AU209+1</f>
        <v>101</v>
      </c>
      <c r="AV210" s="1025" t="str">
        <f aca="false">IF(AU210&lt;=$AW$97,DATE(YEAR(AV209),MONTH(AV209)+12/$AW$95,DAY(AV209)),"0")</f>
        <v>0</v>
      </c>
      <c r="AW210" s="1026" t="n">
        <f aca="false">IF(AU210&lt;=$AW$97,AZ209,0)</f>
        <v>0</v>
      </c>
      <c r="AX210" s="1026" t="n">
        <f aca="false">(AW210*$AW$93*1)/1200</f>
        <v>0</v>
      </c>
      <c r="AY210" s="1022" t="n">
        <f aca="false">IF(AU210&lt;$AW$97,$AW$101-AX210,0)+IF(AU210=$AW$97,$AW$90+$AW$101-AX210,0)</f>
        <v>0</v>
      </c>
      <c r="AZ210" s="1026" t="n">
        <f aca="false">AW210-AY210</f>
        <v>0</v>
      </c>
      <c r="BA210" s="1026" t="n">
        <f aca="false">IF(AU210&lt;=$AW$97,BA209+AX210,0)</f>
        <v>0</v>
      </c>
      <c r="BB210" s="654" t="n">
        <f aca="false">IF(AU210&lt;=$AW$97,BB209+AY210,0)</f>
        <v>0</v>
      </c>
    </row>
    <row r="211" customFormat="false" ht="12.75" hidden="false" customHeight="false" outlineLevel="0" collapsed="false">
      <c r="B211" s="1024" t="n">
        <v>102</v>
      </c>
      <c r="C211" s="1025" t="n">
        <f aca="false">IF(B211&lt;=$D$97,DATE(YEAR(C210),MONTH(C210)+12/$D$94,DAY(C210)),"0")</f>
        <v>48063</v>
      </c>
      <c r="D211" s="1026" t="n">
        <f aca="false">IF(B211=1,$D$90,G210)</f>
        <v>75564.2641121029</v>
      </c>
      <c r="E211" s="1026" t="n">
        <f aca="false">(D211*$D$92*1)/1200</f>
        <v>220.395770326967</v>
      </c>
      <c r="F211" s="1026" t="n">
        <f aca="false">IF(AND(B211&lt;=$D$97,B211&gt;$D$95),$D$101-E211,0)</f>
        <v>851.928041687793</v>
      </c>
      <c r="G211" s="1026" t="n">
        <f aca="false">D211-F211</f>
        <v>74712.3360704151</v>
      </c>
      <c r="H211" s="1026" t="n">
        <f aca="false">IF(B211&lt;=$D$97,E211+H210,0)</f>
        <v>34089.3648959206</v>
      </c>
      <c r="I211" s="654" t="n">
        <f aca="false">IF(B211&lt;=$D$97,F211+I210,0)</f>
        <v>75287.6639295849</v>
      </c>
      <c r="K211" s="1027" t="n">
        <f aca="false">K210+1</f>
        <v>102</v>
      </c>
      <c r="L211" s="1025" t="str">
        <f aca="false">IF(K211&lt;=$M$97,DATE(YEAR(L210),MONTH(L210)+12/$M$94,DAY(L210)),"0")</f>
        <v>0</v>
      </c>
      <c r="M211" s="1026" t="n">
        <f aca="false">IF(K211&lt;=$M$97,P210,0)</f>
        <v>0</v>
      </c>
      <c r="N211" s="1026" t="n">
        <f aca="false">(M211*$M$92*1)/1200</f>
        <v>0</v>
      </c>
      <c r="O211" s="1026" t="n">
        <f aca="false">IF(AND(K211&lt;=$M$97,K211&gt;$M$95),$M$101-N211,0)</f>
        <v>0</v>
      </c>
      <c r="P211" s="1026" t="n">
        <f aca="false">M211-O211</f>
        <v>0</v>
      </c>
      <c r="Q211" s="1026" t="n">
        <f aca="false">IF(K211&lt;=$M$97,Q210+N211,0)</f>
        <v>0</v>
      </c>
      <c r="R211" s="654" t="n">
        <f aca="false">IF(K211&lt;=$D$97,R210+O211,0)</f>
        <v>15000.0000000001</v>
      </c>
      <c r="T211" s="1027" t="n">
        <f aca="false">T210+1</f>
        <v>102</v>
      </c>
      <c r="U211" s="1025" t="str">
        <f aca="false">IF(T211&lt;=$V$97,DATE(YEAR(U210),MONTH(U210)+12/$V$94,DAY(U210)),"0")</f>
        <v>0</v>
      </c>
      <c r="V211" s="1026" t="n">
        <f aca="false">IF(T211&lt;=$V$97,Y210,0)</f>
        <v>0</v>
      </c>
      <c r="W211" s="1026" t="n">
        <f aca="false">(V211*$V$92*1)/1200</f>
        <v>0</v>
      </c>
      <c r="X211" s="1022" t="n">
        <f aca="false">IF(AND(T211&lt;=$V$97,T211&gt;$V$95),$V$101-W211,0)</f>
        <v>0</v>
      </c>
      <c r="Y211" s="1026" t="n">
        <f aca="false">V211-X211</f>
        <v>0</v>
      </c>
      <c r="Z211" s="1026" t="n">
        <f aca="false">IF(T211&lt;=$V$97,Z210+W211,0)</f>
        <v>0</v>
      </c>
      <c r="AA211" s="654" t="n">
        <f aca="false">IF(T211&lt;=$V$97,AA210+X211,0)</f>
        <v>0</v>
      </c>
      <c r="AB211" s="451"/>
      <c r="AC211" s="1027" t="n">
        <f aca="false">AC210+1</f>
        <v>102</v>
      </c>
      <c r="AD211" s="1025" t="str">
        <f aca="false">IF(AC211&lt;=$AE$97,DATE(YEAR(AD210),MONTH(AD210)+12/$AE$95,DAY(AD210)),"0")</f>
        <v>0</v>
      </c>
      <c r="AE211" s="1026" t="n">
        <f aca="false">IF(AC211&lt;=$AE$97,AH210,0)</f>
        <v>0</v>
      </c>
      <c r="AF211" s="1026" t="n">
        <f aca="false">(AE211*$AE$93*1)/1200</f>
        <v>0</v>
      </c>
      <c r="AG211" s="1022" t="n">
        <f aca="false">IF(AC211&lt;$AE$97,$AE$101-AF211,0)+IF(AC211=$AE$97,$AE$90+$AE$101-AF211,0)</f>
        <v>0</v>
      </c>
      <c r="AH211" s="1026" t="n">
        <f aca="false">AE211-AG211</f>
        <v>0</v>
      </c>
      <c r="AI211" s="1026" t="n">
        <f aca="false">IF(AC211&lt;=$AE$97,AI210+AF211,0)</f>
        <v>0</v>
      </c>
      <c r="AJ211" s="654" t="n">
        <f aca="false">IF(AC211&lt;=$AE$97,AJ210+AG211,0)</f>
        <v>0</v>
      </c>
      <c r="AL211" s="1027" t="n">
        <f aca="false">AL210+1</f>
        <v>102</v>
      </c>
      <c r="AM211" s="1025" t="str">
        <f aca="false">IF(AL211&lt;=$AN$97,DATE(YEAR(AM210),MONTH(AM210)+12/$AN$95,DAY(AM210)),"0")</f>
        <v>0</v>
      </c>
      <c r="AN211" s="1026" t="n">
        <f aca="false">IF(AL211&lt;=$AN$97,AQ210,0)</f>
        <v>0</v>
      </c>
      <c r="AO211" s="1026" t="n">
        <f aca="false">(AN211*$AN$93*1)/1200</f>
        <v>0</v>
      </c>
      <c r="AP211" s="1022" t="n">
        <f aca="false">IF(AL211&lt;$AN$97,$AN$101-AO211,0)+IF(AL211=$AN$97,$AN$90+$AN$101-AO211,0)</f>
        <v>0</v>
      </c>
      <c r="AQ211" s="1026" t="n">
        <f aca="false">AN211-AP211</f>
        <v>0</v>
      </c>
      <c r="AR211" s="1026" t="n">
        <f aca="false">IF(AL211&lt;=$AN$97,AR210+AO211,0)</f>
        <v>0</v>
      </c>
      <c r="AS211" s="654" t="n">
        <f aca="false">IF(AL211&lt;=$AN$97,AS210+AP211,0)</f>
        <v>0</v>
      </c>
      <c r="AU211" s="1027" t="n">
        <f aca="false">AU210+1</f>
        <v>102</v>
      </c>
      <c r="AV211" s="1025" t="str">
        <f aca="false">IF(AU211&lt;=$AW$97,DATE(YEAR(AV210),MONTH(AV210)+12/$AW$95,DAY(AV210)),"0")</f>
        <v>0</v>
      </c>
      <c r="AW211" s="1026" t="n">
        <f aca="false">IF(AU211&lt;=$AW$97,AZ210,0)</f>
        <v>0</v>
      </c>
      <c r="AX211" s="1026" t="n">
        <f aca="false">(AW211*$AW$93*1)/1200</f>
        <v>0</v>
      </c>
      <c r="AY211" s="1022" t="n">
        <f aca="false">IF(AU211&lt;$AW$97,$AW$101-AX211,0)+IF(AU211=$AW$97,$AW$90+$AW$101-AX211,0)</f>
        <v>0</v>
      </c>
      <c r="AZ211" s="1026" t="n">
        <f aca="false">AW211-AY211</f>
        <v>0</v>
      </c>
      <c r="BA211" s="1026" t="n">
        <f aca="false">IF(AU211&lt;=$AW$97,BA210+AX211,0)</f>
        <v>0</v>
      </c>
      <c r="BB211" s="654" t="n">
        <f aca="false">IF(AU211&lt;=$AW$97,BB210+AY211,0)</f>
        <v>0</v>
      </c>
    </row>
    <row r="212" customFormat="false" ht="12.75" hidden="false" customHeight="false" outlineLevel="0" collapsed="false">
      <c r="B212" s="1024" t="n">
        <v>103</v>
      </c>
      <c r="C212" s="1025" t="n">
        <f aca="false">IF(B212&lt;=$D$97,DATE(YEAR(C211),MONTH(C211)+12/$D$94,DAY(C211)),"0")</f>
        <v>48094</v>
      </c>
      <c r="D212" s="1026" t="n">
        <f aca="false">IF(B212=1,$D$90,G211)</f>
        <v>74712.3360704151</v>
      </c>
      <c r="E212" s="1026" t="n">
        <f aca="false">(D212*$D$92*1)/1200</f>
        <v>217.910980205377</v>
      </c>
      <c r="F212" s="1026" t="n">
        <f aca="false">IF(AND(B212&lt;=$D$97,B212&gt;$D$95),$D$101-E212,0)</f>
        <v>854.412831809382</v>
      </c>
      <c r="G212" s="1026" t="n">
        <f aca="false">D212-F212</f>
        <v>73857.9232386058</v>
      </c>
      <c r="H212" s="1026" t="n">
        <f aca="false">IF(B212&lt;=$D$97,E212+H211,0)</f>
        <v>34307.275876126</v>
      </c>
      <c r="I212" s="654" t="n">
        <f aca="false">IF(B212&lt;=$D$97,F212+I211,0)</f>
        <v>76142.0767613943</v>
      </c>
      <c r="K212" s="1027" t="n">
        <f aca="false">K211+1</f>
        <v>103</v>
      </c>
      <c r="L212" s="1025" t="str">
        <f aca="false">IF(K212&lt;=$M$97,DATE(YEAR(L211),MONTH(L211)+12/$M$94,DAY(L211)),"0")</f>
        <v>0</v>
      </c>
      <c r="M212" s="1026" t="n">
        <f aca="false">IF(K212&lt;=$M$97,P211,0)</f>
        <v>0</v>
      </c>
      <c r="N212" s="1026" t="n">
        <f aca="false">(M212*$M$92*1)/1200</f>
        <v>0</v>
      </c>
      <c r="O212" s="1026" t="n">
        <f aca="false">IF(AND(K212&lt;=$M$97,K212&gt;$M$95),$M$101-N212,0)</f>
        <v>0</v>
      </c>
      <c r="P212" s="1026" t="n">
        <f aca="false">M212-O212</f>
        <v>0</v>
      </c>
      <c r="Q212" s="1026" t="n">
        <f aca="false">IF(K212&lt;=$M$97,Q211+N212,0)</f>
        <v>0</v>
      </c>
      <c r="R212" s="654" t="n">
        <f aca="false">IF(K212&lt;=$D$97,R211+O212,0)</f>
        <v>15000.0000000001</v>
      </c>
      <c r="T212" s="1027" t="n">
        <f aca="false">T211+1</f>
        <v>103</v>
      </c>
      <c r="U212" s="1025" t="str">
        <f aca="false">IF(T212&lt;=$V$97,DATE(YEAR(U211),MONTH(U211)+12/$V$94,DAY(U211)),"0")</f>
        <v>0</v>
      </c>
      <c r="V212" s="1026" t="n">
        <f aca="false">IF(T212&lt;=$V$97,Y211,0)</f>
        <v>0</v>
      </c>
      <c r="W212" s="1026" t="n">
        <f aca="false">(V212*$V$92*1)/1200</f>
        <v>0</v>
      </c>
      <c r="X212" s="1022" t="n">
        <f aca="false">IF(AND(T212&lt;=$V$97,T212&gt;$V$95),$V$101-W212,0)</f>
        <v>0</v>
      </c>
      <c r="Y212" s="1026" t="n">
        <f aca="false">V212-X212</f>
        <v>0</v>
      </c>
      <c r="Z212" s="1026" t="n">
        <f aca="false">IF(T212&lt;=$V$97,Z211+W212,0)</f>
        <v>0</v>
      </c>
      <c r="AA212" s="654" t="n">
        <f aca="false">IF(T212&lt;=$V$97,AA211+X212,0)</f>
        <v>0</v>
      </c>
      <c r="AB212" s="451"/>
      <c r="AC212" s="1027" t="n">
        <f aca="false">AC211+1</f>
        <v>103</v>
      </c>
      <c r="AD212" s="1025" t="str">
        <f aca="false">IF(AC212&lt;=$AE$97,DATE(YEAR(AD211),MONTH(AD211)+12/$AE$95,DAY(AD211)),"0")</f>
        <v>0</v>
      </c>
      <c r="AE212" s="1026" t="n">
        <f aca="false">IF(AC212&lt;=$AE$97,AH211,0)</f>
        <v>0</v>
      </c>
      <c r="AF212" s="1026" t="n">
        <f aca="false">(AE212*$AE$93*1)/1200</f>
        <v>0</v>
      </c>
      <c r="AG212" s="1022" t="n">
        <f aca="false">IF(AC212&lt;$AE$97,$AE$101-AF212,0)+IF(AC212=$AE$97,$AE$90+$AE$101-AF212,0)</f>
        <v>0</v>
      </c>
      <c r="AH212" s="1026" t="n">
        <f aca="false">AE212-AG212</f>
        <v>0</v>
      </c>
      <c r="AI212" s="1026" t="n">
        <f aca="false">IF(AC212&lt;=$AE$97,AI211+AF212,0)</f>
        <v>0</v>
      </c>
      <c r="AJ212" s="654" t="n">
        <f aca="false">IF(AC212&lt;=$AE$97,AJ211+AG212,0)</f>
        <v>0</v>
      </c>
      <c r="AL212" s="1027" t="n">
        <f aca="false">AL211+1</f>
        <v>103</v>
      </c>
      <c r="AM212" s="1025" t="str">
        <f aca="false">IF(AL212&lt;=$AN$97,DATE(YEAR(AM211),MONTH(AM211)+12/$AN$95,DAY(AM211)),"0")</f>
        <v>0</v>
      </c>
      <c r="AN212" s="1026" t="n">
        <f aca="false">IF(AL212&lt;=$AN$97,AQ211,0)</f>
        <v>0</v>
      </c>
      <c r="AO212" s="1026" t="n">
        <f aca="false">(AN212*$AN$93*1)/1200</f>
        <v>0</v>
      </c>
      <c r="AP212" s="1022" t="n">
        <f aca="false">IF(AL212&lt;$AN$97,$AN$101-AO212,0)+IF(AL212=$AN$97,$AN$90+$AN$101-AO212,0)</f>
        <v>0</v>
      </c>
      <c r="AQ212" s="1026" t="n">
        <f aca="false">AN212-AP212</f>
        <v>0</v>
      </c>
      <c r="AR212" s="1026" t="n">
        <f aca="false">IF(AL212&lt;=$AN$97,AR211+AO212,0)</f>
        <v>0</v>
      </c>
      <c r="AS212" s="654" t="n">
        <f aca="false">IF(AL212&lt;=$AN$97,AS211+AP212,0)</f>
        <v>0</v>
      </c>
      <c r="AU212" s="1027" t="n">
        <f aca="false">AU211+1</f>
        <v>103</v>
      </c>
      <c r="AV212" s="1025" t="str">
        <f aca="false">IF(AU212&lt;=$AW$97,DATE(YEAR(AV211),MONTH(AV211)+12/$AW$95,DAY(AV211)),"0")</f>
        <v>0</v>
      </c>
      <c r="AW212" s="1026" t="n">
        <f aca="false">IF(AU212&lt;=$AW$97,AZ211,0)</f>
        <v>0</v>
      </c>
      <c r="AX212" s="1026" t="n">
        <f aca="false">(AW212*$AW$93*1)/1200</f>
        <v>0</v>
      </c>
      <c r="AY212" s="1022" t="n">
        <f aca="false">IF(AU212&lt;$AW$97,$AW$101-AX212,0)+IF(AU212=$AW$97,$AW$90+$AW$101-AX212,0)</f>
        <v>0</v>
      </c>
      <c r="AZ212" s="1026" t="n">
        <f aca="false">AW212-AY212</f>
        <v>0</v>
      </c>
      <c r="BA212" s="1026" t="n">
        <f aca="false">IF(AU212&lt;=$AW$97,BA211+AX212,0)</f>
        <v>0</v>
      </c>
      <c r="BB212" s="654" t="n">
        <f aca="false">IF(AU212&lt;=$AW$97,BB211+AY212,0)</f>
        <v>0</v>
      </c>
    </row>
    <row r="213" customFormat="false" ht="12.75" hidden="false" customHeight="false" outlineLevel="0" collapsed="false">
      <c r="B213" s="1024" t="n">
        <v>104</v>
      </c>
      <c r="C213" s="1025" t="n">
        <f aca="false">IF(B213&lt;=$D$97,DATE(YEAR(C212),MONTH(C212)+12/$D$94,DAY(C212)),"0")</f>
        <v>48124</v>
      </c>
      <c r="D213" s="1026" t="n">
        <f aca="false">IF(B213=1,$D$90,G212)</f>
        <v>73857.9232386058</v>
      </c>
      <c r="E213" s="1026" t="n">
        <f aca="false">(D213*$D$92*1)/1200</f>
        <v>215.418942779267</v>
      </c>
      <c r="F213" s="1026" t="n">
        <f aca="false">IF(AND(B213&lt;=$D$97,B213&gt;$D$95),$D$101-E213,0)</f>
        <v>856.904869235493</v>
      </c>
      <c r="G213" s="1026" t="n">
        <f aca="false">D213-F213</f>
        <v>73001.0183693703</v>
      </c>
      <c r="H213" s="1026" t="n">
        <f aca="false">IF(B213&lt;=$D$97,E213+H212,0)</f>
        <v>34522.6948189052</v>
      </c>
      <c r="I213" s="654" t="n">
        <f aca="false">IF(B213&lt;=$D$97,F213+I212,0)</f>
        <v>76998.9816306298</v>
      </c>
      <c r="K213" s="1027" t="n">
        <f aca="false">K212+1</f>
        <v>104</v>
      </c>
      <c r="L213" s="1025" t="str">
        <f aca="false">IF(K213&lt;=$M$97,DATE(YEAR(L212),MONTH(L212)+12/$M$94,DAY(L212)),"0")</f>
        <v>0</v>
      </c>
      <c r="M213" s="1026" t="n">
        <f aca="false">IF(K213&lt;=$M$97,P212,0)</f>
        <v>0</v>
      </c>
      <c r="N213" s="1026" t="n">
        <f aca="false">(M213*$M$92*1)/1200</f>
        <v>0</v>
      </c>
      <c r="O213" s="1026" t="n">
        <f aca="false">IF(AND(K213&lt;=$M$97,K213&gt;$M$95),$M$101-N213,0)</f>
        <v>0</v>
      </c>
      <c r="P213" s="1026" t="n">
        <f aca="false">M213-O213</f>
        <v>0</v>
      </c>
      <c r="Q213" s="1026" t="n">
        <f aca="false">IF(K213&lt;=$M$97,Q212+N213,0)</f>
        <v>0</v>
      </c>
      <c r="R213" s="654" t="n">
        <f aca="false">IF(K213&lt;=$D$97,R212+O213,0)</f>
        <v>15000.0000000001</v>
      </c>
      <c r="T213" s="1027" t="n">
        <f aca="false">T212+1</f>
        <v>104</v>
      </c>
      <c r="U213" s="1025" t="str">
        <f aca="false">IF(T213&lt;=$V$97,DATE(YEAR(U212),MONTH(U212)+12/$V$94,DAY(U212)),"0")</f>
        <v>0</v>
      </c>
      <c r="V213" s="1026" t="n">
        <f aca="false">IF(T213&lt;=$V$97,Y212,0)</f>
        <v>0</v>
      </c>
      <c r="W213" s="1026" t="n">
        <f aca="false">(V213*$V$92*1)/1200</f>
        <v>0</v>
      </c>
      <c r="X213" s="1022" t="n">
        <f aca="false">IF(AND(T213&lt;=$V$97,T213&gt;$V$95),$V$101-W213,0)</f>
        <v>0</v>
      </c>
      <c r="Y213" s="1026" t="n">
        <f aca="false">V213-X213</f>
        <v>0</v>
      </c>
      <c r="Z213" s="1026" t="n">
        <f aca="false">IF(T213&lt;=$V$97,Z212+W213,0)</f>
        <v>0</v>
      </c>
      <c r="AA213" s="654" t="n">
        <f aca="false">IF(T213&lt;=$V$97,AA212+X213,0)</f>
        <v>0</v>
      </c>
      <c r="AB213" s="451"/>
      <c r="AC213" s="1027" t="n">
        <f aca="false">AC212+1</f>
        <v>104</v>
      </c>
      <c r="AD213" s="1025" t="str">
        <f aca="false">IF(AC213&lt;=$AE$97,DATE(YEAR(AD212),MONTH(AD212)+12/$AE$95,DAY(AD212)),"0")</f>
        <v>0</v>
      </c>
      <c r="AE213" s="1026" t="n">
        <f aca="false">IF(AC213&lt;=$AE$97,AH212,0)</f>
        <v>0</v>
      </c>
      <c r="AF213" s="1026" t="n">
        <f aca="false">(AE213*$AE$93*1)/1200</f>
        <v>0</v>
      </c>
      <c r="AG213" s="1022" t="n">
        <f aca="false">IF(AC213&lt;$AE$97,$AE$101-AF213,0)+IF(AC213=$AE$97,$AE$90+$AE$101-AF213,0)</f>
        <v>0</v>
      </c>
      <c r="AH213" s="1026" t="n">
        <f aca="false">AE213-AG213</f>
        <v>0</v>
      </c>
      <c r="AI213" s="1026" t="n">
        <f aca="false">IF(AC213&lt;=$AE$97,AI212+AF213,0)</f>
        <v>0</v>
      </c>
      <c r="AJ213" s="654" t="n">
        <f aca="false">IF(AC213&lt;=$AE$97,AJ212+AG213,0)</f>
        <v>0</v>
      </c>
      <c r="AL213" s="1027" t="n">
        <f aca="false">AL212+1</f>
        <v>104</v>
      </c>
      <c r="AM213" s="1025" t="str">
        <f aca="false">IF(AL213&lt;=$AN$97,DATE(YEAR(AM212),MONTH(AM212)+12/$AN$95,DAY(AM212)),"0")</f>
        <v>0</v>
      </c>
      <c r="AN213" s="1026" t="n">
        <f aca="false">IF(AL213&lt;=$AN$97,AQ212,0)</f>
        <v>0</v>
      </c>
      <c r="AO213" s="1026" t="n">
        <f aca="false">(AN213*$AN$93*1)/1200</f>
        <v>0</v>
      </c>
      <c r="AP213" s="1022" t="n">
        <f aca="false">IF(AL213&lt;$AN$97,$AN$101-AO213,0)+IF(AL213=$AN$97,$AN$90+$AN$101-AO213,0)</f>
        <v>0</v>
      </c>
      <c r="AQ213" s="1026" t="n">
        <f aca="false">AN213-AP213</f>
        <v>0</v>
      </c>
      <c r="AR213" s="1026" t="n">
        <f aca="false">IF(AL213&lt;=$AN$97,AR212+AO213,0)</f>
        <v>0</v>
      </c>
      <c r="AS213" s="654" t="n">
        <f aca="false">IF(AL213&lt;=$AN$97,AS212+AP213,0)</f>
        <v>0</v>
      </c>
      <c r="AU213" s="1027" t="n">
        <f aca="false">AU212+1</f>
        <v>104</v>
      </c>
      <c r="AV213" s="1025" t="str">
        <f aca="false">IF(AU213&lt;=$AW$97,DATE(YEAR(AV212),MONTH(AV212)+12/$AW$95,DAY(AV212)),"0")</f>
        <v>0</v>
      </c>
      <c r="AW213" s="1026" t="n">
        <f aca="false">IF(AU213&lt;=$AW$97,AZ212,0)</f>
        <v>0</v>
      </c>
      <c r="AX213" s="1026" t="n">
        <f aca="false">(AW213*$AW$93*1)/1200</f>
        <v>0</v>
      </c>
      <c r="AY213" s="1022" t="n">
        <f aca="false">IF(AU213&lt;$AW$97,$AW$101-AX213,0)+IF(AU213=$AW$97,$AW$90+$AW$101-AX213,0)</f>
        <v>0</v>
      </c>
      <c r="AZ213" s="1026" t="n">
        <f aca="false">AW213-AY213</f>
        <v>0</v>
      </c>
      <c r="BA213" s="1026" t="n">
        <f aca="false">IF(AU213&lt;=$AW$97,BA212+AX213,0)</f>
        <v>0</v>
      </c>
      <c r="BB213" s="654" t="n">
        <f aca="false">IF(AU213&lt;=$AW$97,BB212+AY213,0)</f>
        <v>0</v>
      </c>
    </row>
    <row r="214" customFormat="false" ht="12.75" hidden="false" customHeight="false" outlineLevel="0" collapsed="false">
      <c r="B214" s="1024" t="n">
        <v>105</v>
      </c>
      <c r="C214" s="1025" t="n">
        <f aca="false">IF(B214&lt;=$D$97,DATE(YEAR(C213),MONTH(C213)+12/$D$94,DAY(C213)),"0")</f>
        <v>48155</v>
      </c>
      <c r="D214" s="1026" t="n">
        <f aca="false">IF(B214=1,$D$90,G213)</f>
        <v>73001.0183693703</v>
      </c>
      <c r="E214" s="1026" t="n">
        <f aca="false">(D214*$D$92*1)/1200</f>
        <v>212.919636910663</v>
      </c>
      <c r="F214" s="1026" t="n">
        <f aca="false">IF(AND(B214&lt;=$D$97,B214&gt;$D$95),$D$101-E214,0)</f>
        <v>859.404175104096</v>
      </c>
      <c r="G214" s="1026" t="n">
        <f aca="false">D214-F214</f>
        <v>72141.6141942662</v>
      </c>
      <c r="H214" s="1026" t="n">
        <f aca="false">IF(B214&lt;=$D$97,E214+H213,0)</f>
        <v>34735.6144558159</v>
      </c>
      <c r="I214" s="654" t="n">
        <f aca="false">IF(B214&lt;=$D$97,F214+I213,0)</f>
        <v>77858.3858057339</v>
      </c>
      <c r="K214" s="1027" t="n">
        <f aca="false">K213+1</f>
        <v>105</v>
      </c>
      <c r="L214" s="1025" t="str">
        <f aca="false">IF(K214&lt;=$M$97,DATE(YEAR(L213),MONTH(L213)+12/$M$94,DAY(L213)),"0")</f>
        <v>0</v>
      </c>
      <c r="M214" s="1026" t="n">
        <f aca="false">IF(K214&lt;=$M$97,P213,0)</f>
        <v>0</v>
      </c>
      <c r="N214" s="1026" t="n">
        <f aca="false">(M214*$M$92*1)/1200</f>
        <v>0</v>
      </c>
      <c r="O214" s="1026" t="n">
        <f aca="false">IF(AND(K214&lt;=$M$97,K214&gt;$M$95),$M$101-N214,0)</f>
        <v>0</v>
      </c>
      <c r="P214" s="1026" t="n">
        <f aca="false">M214-O214</f>
        <v>0</v>
      </c>
      <c r="Q214" s="1026" t="n">
        <f aca="false">IF(K214&lt;=$M$97,Q213+N214,0)</f>
        <v>0</v>
      </c>
      <c r="R214" s="654" t="n">
        <f aca="false">IF(K214&lt;=$D$97,R213+O214,0)</f>
        <v>15000.0000000001</v>
      </c>
      <c r="T214" s="1027" t="n">
        <f aca="false">T213+1</f>
        <v>105</v>
      </c>
      <c r="U214" s="1025" t="str">
        <f aca="false">IF(T214&lt;=$V$97,DATE(YEAR(U213),MONTH(U213)+12/$V$94,DAY(U213)),"0")</f>
        <v>0</v>
      </c>
      <c r="V214" s="1026" t="n">
        <f aca="false">IF(T214&lt;=$V$97,Y213,0)</f>
        <v>0</v>
      </c>
      <c r="W214" s="1026" t="n">
        <f aca="false">(V214*$V$92*1)/1200</f>
        <v>0</v>
      </c>
      <c r="X214" s="1022" t="n">
        <f aca="false">IF(AND(T214&lt;=$V$97,T214&gt;$V$95),$V$101-W214,0)</f>
        <v>0</v>
      </c>
      <c r="Y214" s="1026" t="n">
        <f aca="false">V214-X214</f>
        <v>0</v>
      </c>
      <c r="Z214" s="1026" t="n">
        <f aca="false">IF(T214&lt;=$V$97,Z213+W214,0)</f>
        <v>0</v>
      </c>
      <c r="AA214" s="654" t="n">
        <f aca="false">IF(T214&lt;=$V$97,AA213+X214,0)</f>
        <v>0</v>
      </c>
      <c r="AB214" s="451"/>
      <c r="AC214" s="1027" t="n">
        <f aca="false">AC213+1</f>
        <v>105</v>
      </c>
      <c r="AD214" s="1025" t="str">
        <f aca="false">IF(AC214&lt;=$AE$97,DATE(YEAR(AD213),MONTH(AD213)+12/$AE$95,DAY(AD213)),"0")</f>
        <v>0</v>
      </c>
      <c r="AE214" s="1026" t="n">
        <f aca="false">IF(AC214&lt;=$AE$97,AH213,0)</f>
        <v>0</v>
      </c>
      <c r="AF214" s="1026" t="n">
        <f aca="false">(AE214*$AE$93*1)/1200</f>
        <v>0</v>
      </c>
      <c r="AG214" s="1022" t="n">
        <f aca="false">IF(AC214&lt;$AE$97,$AE$101-AF214,0)+IF(AC214=$AE$97,$AE$90+$AE$101-AF214,0)</f>
        <v>0</v>
      </c>
      <c r="AH214" s="1026" t="n">
        <f aca="false">AE214-AG214</f>
        <v>0</v>
      </c>
      <c r="AI214" s="1026" t="n">
        <f aca="false">IF(AC214&lt;=$AE$97,AI213+AF214,0)</f>
        <v>0</v>
      </c>
      <c r="AJ214" s="654" t="n">
        <f aca="false">IF(AC214&lt;=$AE$97,AJ213+AG214,0)</f>
        <v>0</v>
      </c>
      <c r="AL214" s="1027" t="n">
        <f aca="false">AL213+1</f>
        <v>105</v>
      </c>
      <c r="AM214" s="1025" t="str">
        <f aca="false">IF(AL214&lt;=$AN$97,DATE(YEAR(AM213),MONTH(AM213)+12/$AN$95,DAY(AM213)),"0")</f>
        <v>0</v>
      </c>
      <c r="AN214" s="1026" t="n">
        <f aca="false">IF(AL214&lt;=$AN$97,AQ213,0)</f>
        <v>0</v>
      </c>
      <c r="AO214" s="1026" t="n">
        <f aca="false">(AN214*$AN$93*1)/1200</f>
        <v>0</v>
      </c>
      <c r="AP214" s="1022" t="n">
        <f aca="false">IF(AL214&lt;$AN$97,$AN$101-AO214,0)+IF(AL214=$AN$97,$AN$90+$AN$101-AO214,0)</f>
        <v>0</v>
      </c>
      <c r="AQ214" s="1026" t="n">
        <f aca="false">AN214-AP214</f>
        <v>0</v>
      </c>
      <c r="AR214" s="1026" t="n">
        <f aca="false">IF(AL214&lt;=$AN$97,AR213+AO214,0)</f>
        <v>0</v>
      </c>
      <c r="AS214" s="654" t="n">
        <f aca="false">IF(AL214&lt;=$AN$97,AS213+AP214,0)</f>
        <v>0</v>
      </c>
      <c r="AU214" s="1027" t="n">
        <f aca="false">AU213+1</f>
        <v>105</v>
      </c>
      <c r="AV214" s="1025" t="str">
        <f aca="false">IF(AU214&lt;=$AW$97,DATE(YEAR(AV213),MONTH(AV213)+12/$AW$95,DAY(AV213)),"0")</f>
        <v>0</v>
      </c>
      <c r="AW214" s="1026" t="n">
        <f aca="false">IF(AU214&lt;=$AW$97,AZ213,0)</f>
        <v>0</v>
      </c>
      <c r="AX214" s="1026" t="n">
        <f aca="false">(AW214*$AW$93*1)/1200</f>
        <v>0</v>
      </c>
      <c r="AY214" s="1022" t="n">
        <f aca="false">IF(AU214&lt;$AW$97,$AW$101-AX214,0)+IF(AU214=$AW$97,$AW$90+$AW$101-AX214,0)</f>
        <v>0</v>
      </c>
      <c r="AZ214" s="1026" t="n">
        <f aca="false">AW214-AY214</f>
        <v>0</v>
      </c>
      <c r="BA214" s="1026" t="n">
        <f aca="false">IF(AU214&lt;=$AW$97,BA213+AX214,0)</f>
        <v>0</v>
      </c>
      <c r="BB214" s="654" t="n">
        <f aca="false">IF(AU214&lt;=$AW$97,BB213+AY214,0)</f>
        <v>0</v>
      </c>
    </row>
    <row r="215" customFormat="false" ht="12.75" hidden="false" customHeight="false" outlineLevel="0" collapsed="false">
      <c r="B215" s="1024" t="n">
        <v>106</v>
      </c>
      <c r="C215" s="1025" t="n">
        <f aca="false">IF(B215&lt;=$D$97,DATE(YEAR(C214),MONTH(C214)+12/$D$94,DAY(C214)),"0")</f>
        <v>48185</v>
      </c>
      <c r="D215" s="1026" t="n">
        <f aca="false">IF(B215=1,$D$90,G214)</f>
        <v>72141.6141942662</v>
      </c>
      <c r="E215" s="1026" t="n">
        <f aca="false">(D215*$D$92*1)/1200</f>
        <v>210.413041399943</v>
      </c>
      <c r="F215" s="1026" t="n">
        <f aca="false">IF(AND(B215&lt;=$D$97,B215&gt;$D$95),$D$101-E215,0)</f>
        <v>861.910770614816</v>
      </c>
      <c r="G215" s="1026" t="n">
        <f aca="false">D215-F215</f>
        <v>71279.7034236513</v>
      </c>
      <c r="H215" s="1026" t="n">
        <f aca="false">IF(B215&lt;=$D$97,E215+H214,0)</f>
        <v>34946.0274972158</v>
      </c>
      <c r="I215" s="654" t="n">
        <f aca="false">IF(B215&lt;=$D$97,F215+I214,0)</f>
        <v>78720.2965763487</v>
      </c>
      <c r="K215" s="1027" t="n">
        <f aca="false">K214+1</f>
        <v>106</v>
      </c>
      <c r="L215" s="1025" t="str">
        <f aca="false">IF(K215&lt;=$M$97,DATE(YEAR(L214),MONTH(L214)+12/$M$94,DAY(L214)),"0")</f>
        <v>0</v>
      </c>
      <c r="M215" s="1026" t="n">
        <f aca="false">IF(K215&lt;=$M$97,P214,0)</f>
        <v>0</v>
      </c>
      <c r="N215" s="1026" t="n">
        <f aca="false">(M215*$M$92*1)/1200</f>
        <v>0</v>
      </c>
      <c r="O215" s="1026" t="n">
        <f aca="false">IF(AND(K215&lt;=$M$97,K215&gt;$M$95),$M$101-N215,0)</f>
        <v>0</v>
      </c>
      <c r="P215" s="1026" t="n">
        <f aca="false">M215-O215</f>
        <v>0</v>
      </c>
      <c r="Q215" s="1026" t="n">
        <f aca="false">IF(K215&lt;=$M$97,Q214+N215,0)</f>
        <v>0</v>
      </c>
      <c r="R215" s="654" t="n">
        <f aca="false">IF(K215&lt;=$D$97,R214+O215,0)</f>
        <v>15000.0000000001</v>
      </c>
      <c r="T215" s="1027" t="n">
        <f aca="false">T214+1</f>
        <v>106</v>
      </c>
      <c r="U215" s="1025" t="str">
        <f aca="false">IF(T215&lt;=$V$97,DATE(YEAR(U214),MONTH(U214)+12/$V$94,DAY(U214)),"0")</f>
        <v>0</v>
      </c>
      <c r="V215" s="1026" t="n">
        <f aca="false">IF(T215&lt;=$V$97,Y214,0)</f>
        <v>0</v>
      </c>
      <c r="W215" s="1026" t="n">
        <f aca="false">(V215*$V$92*1)/1200</f>
        <v>0</v>
      </c>
      <c r="X215" s="1022" t="n">
        <f aca="false">IF(AND(T215&lt;=$V$97,T215&gt;$V$95),$V$101-W215,0)</f>
        <v>0</v>
      </c>
      <c r="Y215" s="1026" t="n">
        <f aca="false">V215-X215</f>
        <v>0</v>
      </c>
      <c r="Z215" s="1026" t="n">
        <f aca="false">IF(T215&lt;=$V$97,Z214+W215,0)</f>
        <v>0</v>
      </c>
      <c r="AA215" s="654" t="n">
        <f aca="false">IF(T215&lt;=$V$97,AA214+X215,0)</f>
        <v>0</v>
      </c>
      <c r="AB215" s="451"/>
      <c r="AC215" s="1027" t="n">
        <f aca="false">AC214+1</f>
        <v>106</v>
      </c>
      <c r="AD215" s="1025" t="str">
        <f aca="false">IF(AC215&lt;=$AE$97,DATE(YEAR(AD214),MONTH(AD214)+12/$AE$95,DAY(AD214)),"0")</f>
        <v>0</v>
      </c>
      <c r="AE215" s="1026" t="n">
        <f aca="false">IF(AC215&lt;=$AE$97,AH214,0)</f>
        <v>0</v>
      </c>
      <c r="AF215" s="1026" t="n">
        <f aca="false">(AE215*$AE$93*1)/1200</f>
        <v>0</v>
      </c>
      <c r="AG215" s="1022" t="n">
        <f aca="false">IF(AC215&lt;$AE$97,$AE$101-AF215,0)+IF(AC215=$AE$97,$AE$90+$AE$101-AF215,0)</f>
        <v>0</v>
      </c>
      <c r="AH215" s="1026" t="n">
        <f aca="false">AE215-AG215</f>
        <v>0</v>
      </c>
      <c r="AI215" s="1026" t="n">
        <f aca="false">IF(AC215&lt;=$AE$97,AI214+AF215,0)</f>
        <v>0</v>
      </c>
      <c r="AJ215" s="654" t="n">
        <f aca="false">IF(AC215&lt;=$AE$97,AJ214+AG215,0)</f>
        <v>0</v>
      </c>
      <c r="AL215" s="1027" t="n">
        <f aca="false">AL214+1</f>
        <v>106</v>
      </c>
      <c r="AM215" s="1025" t="str">
        <f aca="false">IF(AL215&lt;=$AN$97,DATE(YEAR(AM214),MONTH(AM214)+12/$AN$95,DAY(AM214)),"0")</f>
        <v>0</v>
      </c>
      <c r="AN215" s="1026" t="n">
        <f aca="false">IF(AL215&lt;=$AN$97,AQ214,0)</f>
        <v>0</v>
      </c>
      <c r="AO215" s="1026" t="n">
        <f aca="false">(AN215*$AN$93*1)/1200</f>
        <v>0</v>
      </c>
      <c r="AP215" s="1022" t="n">
        <f aca="false">IF(AL215&lt;$AN$97,$AN$101-AO215,0)+IF(AL215=$AN$97,$AN$90+$AN$101-AO215,0)</f>
        <v>0</v>
      </c>
      <c r="AQ215" s="1026" t="n">
        <f aca="false">AN215-AP215</f>
        <v>0</v>
      </c>
      <c r="AR215" s="1026" t="n">
        <f aca="false">IF(AL215&lt;=$AN$97,AR214+AO215,0)</f>
        <v>0</v>
      </c>
      <c r="AS215" s="654" t="n">
        <f aca="false">IF(AL215&lt;=$AN$97,AS214+AP215,0)</f>
        <v>0</v>
      </c>
      <c r="AU215" s="1027" t="n">
        <f aca="false">AU214+1</f>
        <v>106</v>
      </c>
      <c r="AV215" s="1025" t="str">
        <f aca="false">IF(AU215&lt;=$AW$97,DATE(YEAR(AV214),MONTH(AV214)+12/$AW$95,DAY(AV214)),"0")</f>
        <v>0</v>
      </c>
      <c r="AW215" s="1026" t="n">
        <f aca="false">IF(AU215&lt;=$AW$97,AZ214,0)</f>
        <v>0</v>
      </c>
      <c r="AX215" s="1026" t="n">
        <f aca="false">(AW215*$AW$93*1)/1200</f>
        <v>0</v>
      </c>
      <c r="AY215" s="1022" t="n">
        <f aca="false">IF(AU215&lt;$AW$97,$AW$101-AX215,0)+IF(AU215=$AW$97,$AW$90+$AW$101-AX215,0)</f>
        <v>0</v>
      </c>
      <c r="AZ215" s="1026" t="n">
        <f aca="false">AW215-AY215</f>
        <v>0</v>
      </c>
      <c r="BA215" s="1026" t="n">
        <f aca="false">IF(AU215&lt;=$AW$97,BA214+AX215,0)</f>
        <v>0</v>
      </c>
      <c r="BB215" s="654" t="n">
        <f aca="false">IF(AU215&lt;=$AW$97,BB214+AY215,0)</f>
        <v>0</v>
      </c>
    </row>
    <row r="216" customFormat="false" ht="12.75" hidden="false" customHeight="false" outlineLevel="0" collapsed="false">
      <c r="B216" s="1024" t="n">
        <v>107</v>
      </c>
      <c r="C216" s="1025" t="n">
        <f aca="false">IF(B216&lt;=$D$97,DATE(YEAR(C215),MONTH(C215)+12/$D$94,DAY(C215)),"0")</f>
        <v>48216</v>
      </c>
      <c r="D216" s="1026" t="n">
        <f aca="false">IF(B216=1,$D$90,G215)</f>
        <v>71279.7034236513</v>
      </c>
      <c r="E216" s="1026" t="n">
        <f aca="false">(D216*$D$92*1)/1200</f>
        <v>207.89913498565</v>
      </c>
      <c r="F216" s="1026" t="n">
        <f aca="false">IF(AND(B216&lt;=$D$97,B216&gt;$D$95),$D$101-E216,0)</f>
        <v>864.42467702911</v>
      </c>
      <c r="G216" s="1026" t="n">
        <f aca="false">D216-F216</f>
        <v>70415.2787466222</v>
      </c>
      <c r="H216" s="1026" t="n">
        <f aca="false">IF(B216&lt;=$D$97,E216+H215,0)</f>
        <v>35153.9266322015</v>
      </c>
      <c r="I216" s="654" t="n">
        <f aca="false">IF(B216&lt;=$D$97,F216+I215,0)</f>
        <v>79584.7212533778</v>
      </c>
      <c r="K216" s="1027" t="n">
        <f aca="false">K215+1</f>
        <v>107</v>
      </c>
      <c r="L216" s="1025" t="str">
        <f aca="false">IF(K216&lt;=$M$97,DATE(YEAR(L215),MONTH(L215)+12/$M$94,DAY(L215)),"0")</f>
        <v>0</v>
      </c>
      <c r="M216" s="1026" t="n">
        <f aca="false">IF(K216&lt;=$M$97,P215,0)</f>
        <v>0</v>
      </c>
      <c r="N216" s="1026" t="n">
        <f aca="false">(M216*$M$92*1)/1200</f>
        <v>0</v>
      </c>
      <c r="O216" s="1026" t="n">
        <f aca="false">IF(AND(K216&lt;=$M$97,K216&gt;$M$95),$M$101-N216,0)</f>
        <v>0</v>
      </c>
      <c r="P216" s="1026" t="n">
        <f aca="false">M216-O216</f>
        <v>0</v>
      </c>
      <c r="Q216" s="1026" t="n">
        <f aca="false">IF(K216&lt;=$M$97,Q215+N216,0)</f>
        <v>0</v>
      </c>
      <c r="R216" s="654" t="n">
        <f aca="false">IF(K216&lt;=$D$97,R215+O216,0)</f>
        <v>15000.0000000001</v>
      </c>
      <c r="T216" s="1027" t="n">
        <f aca="false">T215+1</f>
        <v>107</v>
      </c>
      <c r="U216" s="1025" t="str">
        <f aca="false">IF(T216&lt;=$V$97,DATE(YEAR(U215),MONTH(U215)+12/$V$94,DAY(U215)),"0")</f>
        <v>0</v>
      </c>
      <c r="V216" s="1026" t="n">
        <f aca="false">IF(T216&lt;=$V$97,Y215,0)</f>
        <v>0</v>
      </c>
      <c r="W216" s="1026" t="n">
        <f aca="false">(V216*$V$92*1)/1200</f>
        <v>0</v>
      </c>
      <c r="X216" s="1022" t="n">
        <f aca="false">IF(AND(T216&lt;=$V$97,T216&gt;$V$95),$V$101-W216,0)</f>
        <v>0</v>
      </c>
      <c r="Y216" s="1026" t="n">
        <f aca="false">V216-X216</f>
        <v>0</v>
      </c>
      <c r="Z216" s="1026" t="n">
        <f aca="false">IF(T216&lt;=$V$97,Z215+W216,0)</f>
        <v>0</v>
      </c>
      <c r="AA216" s="654" t="n">
        <f aca="false">IF(T216&lt;=$V$97,AA215+X216,0)</f>
        <v>0</v>
      </c>
      <c r="AB216" s="451"/>
      <c r="AC216" s="1027" t="n">
        <f aca="false">AC215+1</f>
        <v>107</v>
      </c>
      <c r="AD216" s="1025" t="str">
        <f aca="false">IF(AC216&lt;=$AE$97,DATE(YEAR(AD215),MONTH(AD215)+12/$AE$95,DAY(AD215)),"0")</f>
        <v>0</v>
      </c>
      <c r="AE216" s="1026" t="n">
        <f aca="false">IF(AC216&lt;=$AE$97,AH215,0)</f>
        <v>0</v>
      </c>
      <c r="AF216" s="1026" t="n">
        <f aca="false">(AE216*$AE$93*1)/1200</f>
        <v>0</v>
      </c>
      <c r="AG216" s="1022" t="n">
        <f aca="false">IF(AC216&lt;$AE$97,$AE$101-AF216,0)+IF(AC216=$AE$97,$AE$90+$AE$101-AF216,0)</f>
        <v>0</v>
      </c>
      <c r="AH216" s="1026" t="n">
        <f aca="false">AE216-AG216</f>
        <v>0</v>
      </c>
      <c r="AI216" s="1026" t="n">
        <f aca="false">IF(AC216&lt;=$AE$97,AI215+AF216,0)</f>
        <v>0</v>
      </c>
      <c r="AJ216" s="654" t="n">
        <f aca="false">IF(AC216&lt;=$AE$97,AJ215+AG216,0)</f>
        <v>0</v>
      </c>
      <c r="AL216" s="1027" t="n">
        <f aca="false">AL215+1</f>
        <v>107</v>
      </c>
      <c r="AM216" s="1025" t="str">
        <f aca="false">IF(AL216&lt;=$AN$97,DATE(YEAR(AM215),MONTH(AM215)+12/$AN$95,DAY(AM215)),"0")</f>
        <v>0</v>
      </c>
      <c r="AN216" s="1026" t="n">
        <f aca="false">IF(AL216&lt;=$AN$97,AQ215,0)</f>
        <v>0</v>
      </c>
      <c r="AO216" s="1026" t="n">
        <f aca="false">(AN216*$AN$93*1)/1200</f>
        <v>0</v>
      </c>
      <c r="AP216" s="1022" t="n">
        <f aca="false">IF(AL216&lt;$AN$97,$AN$101-AO216,0)+IF(AL216=$AN$97,$AN$90+$AN$101-AO216,0)</f>
        <v>0</v>
      </c>
      <c r="AQ216" s="1026" t="n">
        <f aca="false">AN216-AP216</f>
        <v>0</v>
      </c>
      <c r="AR216" s="1026" t="n">
        <f aca="false">IF(AL216&lt;=$AN$97,AR215+AO216,0)</f>
        <v>0</v>
      </c>
      <c r="AS216" s="654" t="n">
        <f aca="false">IF(AL216&lt;=$AN$97,AS215+AP216,0)</f>
        <v>0</v>
      </c>
      <c r="AU216" s="1027" t="n">
        <f aca="false">AU215+1</f>
        <v>107</v>
      </c>
      <c r="AV216" s="1025" t="str">
        <f aca="false">IF(AU216&lt;=$AW$97,DATE(YEAR(AV215),MONTH(AV215)+12/$AW$95,DAY(AV215)),"0")</f>
        <v>0</v>
      </c>
      <c r="AW216" s="1026" t="n">
        <f aca="false">IF(AU216&lt;=$AW$97,AZ215,0)</f>
        <v>0</v>
      </c>
      <c r="AX216" s="1026" t="n">
        <f aca="false">(AW216*$AW$93*1)/1200</f>
        <v>0</v>
      </c>
      <c r="AY216" s="1022" t="n">
        <f aca="false">IF(AU216&lt;$AW$97,$AW$101-AX216,0)+IF(AU216=$AW$97,$AW$90+$AW$101-AX216,0)</f>
        <v>0</v>
      </c>
      <c r="AZ216" s="1026" t="n">
        <f aca="false">AW216-AY216</f>
        <v>0</v>
      </c>
      <c r="BA216" s="1026" t="n">
        <f aca="false">IF(AU216&lt;=$AW$97,BA215+AX216,0)</f>
        <v>0</v>
      </c>
      <c r="BB216" s="654" t="n">
        <f aca="false">IF(AU216&lt;=$AW$97,BB215+AY216,0)</f>
        <v>0</v>
      </c>
    </row>
    <row r="217" customFormat="false" ht="12.75" hidden="false" customHeight="false" outlineLevel="0" collapsed="false">
      <c r="B217" s="1024" t="n">
        <v>108</v>
      </c>
      <c r="C217" s="1025" t="n">
        <f aca="false">IF(B217&lt;=$D$97,DATE(YEAR(C216),MONTH(C216)+12/$D$94,DAY(C216)),"0")</f>
        <v>48247</v>
      </c>
      <c r="D217" s="1026" t="n">
        <f aca="false">IF(B217=1,$D$90,G216)</f>
        <v>70415.2787466222</v>
      </c>
      <c r="E217" s="1026" t="n">
        <f aca="false">(D217*$D$92*1)/1200</f>
        <v>205.377896344315</v>
      </c>
      <c r="F217" s="1026" t="n">
        <f aca="false">IF(AND(B217&lt;=$D$97,B217&gt;$D$95),$D$101-E217,0)</f>
        <v>866.945915670445</v>
      </c>
      <c r="G217" s="1026" t="n">
        <f aca="false">D217-F217</f>
        <v>69548.3328309518</v>
      </c>
      <c r="H217" s="1026" t="n">
        <f aca="false">IF(B217&lt;=$D$97,E217+H216,0)</f>
        <v>35359.3045285458</v>
      </c>
      <c r="I217" s="654" t="n">
        <f aca="false">IF(B217&lt;=$D$97,F217+I216,0)</f>
        <v>80451.6671690482</v>
      </c>
      <c r="K217" s="1027" t="n">
        <f aca="false">K216+1</f>
        <v>108</v>
      </c>
      <c r="L217" s="1025" t="str">
        <f aca="false">IF(K217&lt;=$M$97,DATE(YEAR(L216),MONTH(L216)+12/$M$94,DAY(L216)),"0")</f>
        <v>0</v>
      </c>
      <c r="M217" s="1026" t="n">
        <f aca="false">IF(K217&lt;=$M$97,P216,0)</f>
        <v>0</v>
      </c>
      <c r="N217" s="1026" t="n">
        <f aca="false">(M217*$M$92*1)/1200</f>
        <v>0</v>
      </c>
      <c r="O217" s="1026" t="n">
        <f aca="false">IF(AND(K217&lt;=$M$97,K217&gt;$M$95),$M$101-N217,0)</f>
        <v>0</v>
      </c>
      <c r="P217" s="1026" t="n">
        <f aca="false">M217-O217</f>
        <v>0</v>
      </c>
      <c r="Q217" s="1026" t="n">
        <f aca="false">IF(K217&lt;=$M$97,Q216+N217,0)</f>
        <v>0</v>
      </c>
      <c r="R217" s="654" t="n">
        <f aca="false">IF(K217&lt;=$D$97,R216+O217,0)</f>
        <v>15000.0000000001</v>
      </c>
      <c r="T217" s="1027" t="n">
        <f aca="false">T216+1</f>
        <v>108</v>
      </c>
      <c r="U217" s="1025" t="str">
        <f aca="false">IF(T217&lt;=$V$97,DATE(YEAR(U216),MONTH(U216)+12/$V$94,DAY(U216)),"0")</f>
        <v>0</v>
      </c>
      <c r="V217" s="1026" t="n">
        <f aca="false">IF(T217&lt;=$V$97,Y216,0)</f>
        <v>0</v>
      </c>
      <c r="W217" s="1026" t="n">
        <f aca="false">(V217*$V$92*1)/1200</f>
        <v>0</v>
      </c>
      <c r="X217" s="1022" t="n">
        <f aca="false">IF(AND(T217&lt;=$V$97,T217&gt;$V$95),$V$101-W217,0)</f>
        <v>0</v>
      </c>
      <c r="Y217" s="1026" t="n">
        <f aca="false">V217-X217</f>
        <v>0</v>
      </c>
      <c r="Z217" s="1026" t="n">
        <f aca="false">IF(T217&lt;=$V$97,Z216+W217,0)</f>
        <v>0</v>
      </c>
      <c r="AA217" s="654" t="n">
        <f aca="false">IF(T217&lt;=$V$97,AA216+X217,0)</f>
        <v>0</v>
      </c>
      <c r="AB217" s="451"/>
      <c r="AC217" s="1027" t="n">
        <f aca="false">AC216+1</f>
        <v>108</v>
      </c>
      <c r="AD217" s="1025" t="str">
        <f aca="false">IF(AC217&lt;=$AE$97,DATE(YEAR(AD216),MONTH(AD216)+12/$AE$95,DAY(AD216)),"0")</f>
        <v>0</v>
      </c>
      <c r="AE217" s="1026" t="n">
        <f aca="false">IF(AC217&lt;=$AE$97,AH216,0)</f>
        <v>0</v>
      </c>
      <c r="AF217" s="1026" t="n">
        <f aca="false">(AE217*$AE$93*1)/1200</f>
        <v>0</v>
      </c>
      <c r="AG217" s="1022" t="n">
        <f aca="false">IF(AC217&lt;$AE$97,$AE$101-AF217,0)+IF(AC217=$AE$97,$AE$90+$AE$101-AF217,0)</f>
        <v>0</v>
      </c>
      <c r="AH217" s="1026" t="n">
        <f aca="false">AE217-AG217</f>
        <v>0</v>
      </c>
      <c r="AI217" s="1026" t="n">
        <f aca="false">IF(AC217&lt;=$AE$97,AI216+AF217,0)</f>
        <v>0</v>
      </c>
      <c r="AJ217" s="654" t="n">
        <f aca="false">IF(AC217&lt;=$AE$97,AJ216+AG217,0)</f>
        <v>0</v>
      </c>
      <c r="AL217" s="1027" t="n">
        <f aca="false">AL216+1</f>
        <v>108</v>
      </c>
      <c r="AM217" s="1025" t="str">
        <f aca="false">IF(AL217&lt;=$AN$97,DATE(YEAR(AM216),MONTH(AM216)+12/$AN$95,DAY(AM216)),"0")</f>
        <v>0</v>
      </c>
      <c r="AN217" s="1026" t="n">
        <f aca="false">IF(AL217&lt;=$AN$97,AQ216,0)</f>
        <v>0</v>
      </c>
      <c r="AO217" s="1026" t="n">
        <f aca="false">(AN217*$AN$93*1)/1200</f>
        <v>0</v>
      </c>
      <c r="AP217" s="1022" t="n">
        <f aca="false">IF(AL217&lt;$AN$97,$AN$101-AO217,0)+IF(AL217=$AN$97,$AN$90+$AN$101-AO217,0)</f>
        <v>0</v>
      </c>
      <c r="AQ217" s="1026" t="n">
        <f aca="false">AN217-AP217</f>
        <v>0</v>
      </c>
      <c r="AR217" s="1026" t="n">
        <f aca="false">IF(AL217&lt;=$AN$97,AR216+AO217,0)</f>
        <v>0</v>
      </c>
      <c r="AS217" s="654" t="n">
        <f aca="false">IF(AL217&lt;=$AN$97,AS216+AP217,0)</f>
        <v>0</v>
      </c>
      <c r="AU217" s="1027" t="n">
        <f aca="false">AU216+1</f>
        <v>108</v>
      </c>
      <c r="AV217" s="1025" t="str">
        <f aca="false">IF(AU217&lt;=$AW$97,DATE(YEAR(AV216),MONTH(AV216)+12/$AW$95,DAY(AV216)),"0")</f>
        <v>0</v>
      </c>
      <c r="AW217" s="1026" t="n">
        <f aca="false">IF(AU217&lt;=$AW$97,AZ216,0)</f>
        <v>0</v>
      </c>
      <c r="AX217" s="1026" t="n">
        <f aca="false">(AW217*$AW$93*1)/1200</f>
        <v>0</v>
      </c>
      <c r="AY217" s="1022" t="n">
        <f aca="false">IF(AU217&lt;$AW$97,$AW$101-AX217,0)+IF(AU217=$AW$97,$AW$90+$AW$101-AX217,0)</f>
        <v>0</v>
      </c>
      <c r="AZ217" s="1026" t="n">
        <f aca="false">AW217-AY217</f>
        <v>0</v>
      </c>
      <c r="BA217" s="1026" t="n">
        <f aca="false">IF(AU217&lt;=$AW$97,BA216+AX217,0)</f>
        <v>0</v>
      </c>
      <c r="BB217" s="654" t="n">
        <f aca="false">IF(AU217&lt;=$AW$97,BB216+AY217,0)</f>
        <v>0</v>
      </c>
    </row>
    <row r="218" customFormat="false" ht="12.75" hidden="false" customHeight="false" outlineLevel="0" collapsed="false">
      <c r="B218" s="1024" t="n">
        <v>109</v>
      </c>
      <c r="C218" s="1025" t="n">
        <f aca="false">IF(B218&lt;=$D$97,DATE(YEAR(C217),MONTH(C217)+12/$D$94,DAY(C217)),"0")</f>
        <v>48276</v>
      </c>
      <c r="D218" s="1026" t="n">
        <f aca="false">IF(B218=1,$D$90,G217)</f>
        <v>69548.3328309518</v>
      </c>
      <c r="E218" s="1026" t="n">
        <f aca="false">(D218*$D$92*1)/1200</f>
        <v>202.849304090276</v>
      </c>
      <c r="F218" s="1026" t="n">
        <f aca="false">IF(AND(B218&lt;=$D$97,B218&gt;$D$95),$D$101-E218,0)</f>
        <v>869.474507924483</v>
      </c>
      <c r="G218" s="1026" t="n">
        <f aca="false">D218-F218</f>
        <v>68678.8583230273</v>
      </c>
      <c r="H218" s="1026" t="n">
        <f aca="false">IF(B218&lt;=$D$97,E218+H217,0)</f>
        <v>35562.1538326361</v>
      </c>
      <c r="I218" s="654" t="n">
        <f aca="false">IF(B218&lt;=$D$97,F218+I217,0)</f>
        <v>81321.1416769727</v>
      </c>
      <c r="K218" s="1027" t="n">
        <f aca="false">K217+1</f>
        <v>109</v>
      </c>
      <c r="L218" s="1025" t="str">
        <f aca="false">IF(K218&lt;=$M$97,DATE(YEAR(L217),MONTH(L217)+12/$M$94,DAY(L217)),"0")</f>
        <v>0</v>
      </c>
      <c r="M218" s="1026" t="n">
        <f aca="false">IF(K218&lt;=$M$97,P217,0)</f>
        <v>0</v>
      </c>
      <c r="N218" s="1026" t="n">
        <f aca="false">(M218*$M$92*1)/1200</f>
        <v>0</v>
      </c>
      <c r="O218" s="1026" t="n">
        <f aca="false">IF(AND(K218&lt;=$M$97,K218&gt;$M$95),$M$101-N218,0)</f>
        <v>0</v>
      </c>
      <c r="P218" s="1026" t="n">
        <f aca="false">M218-O218</f>
        <v>0</v>
      </c>
      <c r="Q218" s="1026" t="n">
        <f aca="false">IF(K218&lt;=$M$97,Q217+N218,0)</f>
        <v>0</v>
      </c>
      <c r="R218" s="654" t="n">
        <f aca="false">IF(K218&lt;=$D$97,R217+O218,0)</f>
        <v>15000.0000000001</v>
      </c>
      <c r="T218" s="1027" t="n">
        <f aca="false">T217+1</f>
        <v>109</v>
      </c>
      <c r="U218" s="1025" t="str">
        <f aca="false">IF(T218&lt;=$V$97,DATE(YEAR(U217),MONTH(U217)+12/$V$94,DAY(U217)),"0")</f>
        <v>0</v>
      </c>
      <c r="V218" s="1026" t="n">
        <f aca="false">IF(T218&lt;=$V$97,Y217,0)</f>
        <v>0</v>
      </c>
      <c r="W218" s="1026" t="n">
        <f aca="false">(V218*$V$92*1)/1200</f>
        <v>0</v>
      </c>
      <c r="X218" s="1022" t="n">
        <f aca="false">IF(AND(T218&lt;=$V$97,T218&gt;$V$95),$V$101-W218,0)</f>
        <v>0</v>
      </c>
      <c r="Y218" s="1026" t="n">
        <f aca="false">V218-X218</f>
        <v>0</v>
      </c>
      <c r="Z218" s="1026" t="n">
        <f aca="false">IF(T218&lt;=$V$97,Z217+W218,0)</f>
        <v>0</v>
      </c>
      <c r="AA218" s="654" t="n">
        <f aca="false">IF(T218&lt;=$V$97,AA217+X218,0)</f>
        <v>0</v>
      </c>
      <c r="AB218" s="451"/>
      <c r="AC218" s="1027" t="n">
        <f aca="false">AC217+1</f>
        <v>109</v>
      </c>
      <c r="AD218" s="1025" t="str">
        <f aca="false">IF(AC218&lt;=$AE$97,DATE(YEAR(AD217),MONTH(AD217)+12/$AE$95,DAY(AD217)),"0")</f>
        <v>0</v>
      </c>
      <c r="AE218" s="1026" t="n">
        <f aca="false">IF(AC218&lt;=$AE$97,AH217,0)</f>
        <v>0</v>
      </c>
      <c r="AF218" s="1026" t="n">
        <f aca="false">(AE218*$AE$93*1)/1200</f>
        <v>0</v>
      </c>
      <c r="AG218" s="1022" t="n">
        <f aca="false">IF(AC218&lt;$AE$97,$AE$101-AF218,0)+IF(AC218=$AE$97,$AE$90+$AE$101-AF218,0)</f>
        <v>0</v>
      </c>
      <c r="AH218" s="1026" t="n">
        <f aca="false">AE218-AG218</f>
        <v>0</v>
      </c>
      <c r="AI218" s="1026" t="n">
        <f aca="false">IF(AC218&lt;=$AE$97,AI217+AF218,0)</f>
        <v>0</v>
      </c>
      <c r="AJ218" s="654" t="n">
        <f aca="false">IF(AC218&lt;=$AE$97,AJ217+AG218,0)</f>
        <v>0</v>
      </c>
      <c r="AL218" s="1027" t="n">
        <f aca="false">AL217+1</f>
        <v>109</v>
      </c>
      <c r="AM218" s="1025" t="str">
        <f aca="false">IF(AL218&lt;=$AN$97,DATE(YEAR(AM217),MONTH(AM217)+12/$AN$95,DAY(AM217)),"0")</f>
        <v>0</v>
      </c>
      <c r="AN218" s="1026" t="n">
        <f aca="false">IF(AL218&lt;=$AN$97,AQ217,0)</f>
        <v>0</v>
      </c>
      <c r="AO218" s="1026" t="n">
        <f aca="false">(AN218*$AN$93*1)/1200</f>
        <v>0</v>
      </c>
      <c r="AP218" s="1022" t="n">
        <f aca="false">IF(AL218&lt;$AN$97,$AN$101-AO218,0)+IF(AL218=$AN$97,$AN$90+$AN$101-AO218,0)</f>
        <v>0</v>
      </c>
      <c r="AQ218" s="1026" t="n">
        <f aca="false">AN218-AP218</f>
        <v>0</v>
      </c>
      <c r="AR218" s="1026" t="n">
        <f aca="false">IF(AL218&lt;=$AN$97,AR217+AO218,0)</f>
        <v>0</v>
      </c>
      <c r="AS218" s="654" t="n">
        <f aca="false">IF(AL218&lt;=$AN$97,AS217+AP218,0)</f>
        <v>0</v>
      </c>
      <c r="AU218" s="1027" t="n">
        <f aca="false">AU217+1</f>
        <v>109</v>
      </c>
      <c r="AV218" s="1025" t="str">
        <f aca="false">IF(AU218&lt;=$AW$97,DATE(YEAR(AV217),MONTH(AV217)+12/$AW$95,DAY(AV217)),"0")</f>
        <v>0</v>
      </c>
      <c r="AW218" s="1026" t="n">
        <f aca="false">IF(AU218&lt;=$AW$97,AZ217,0)</f>
        <v>0</v>
      </c>
      <c r="AX218" s="1026" t="n">
        <f aca="false">(AW218*$AW$93*1)/1200</f>
        <v>0</v>
      </c>
      <c r="AY218" s="1022" t="n">
        <f aca="false">IF(AU218&lt;$AW$97,$AW$101-AX218,0)+IF(AU218=$AW$97,$AW$90+$AW$101-AX218,0)</f>
        <v>0</v>
      </c>
      <c r="AZ218" s="1026" t="n">
        <f aca="false">AW218-AY218</f>
        <v>0</v>
      </c>
      <c r="BA218" s="1026" t="n">
        <f aca="false">IF(AU218&lt;=$AW$97,BA217+AX218,0)</f>
        <v>0</v>
      </c>
      <c r="BB218" s="654" t="n">
        <f aca="false">IF(AU218&lt;=$AW$97,BB217+AY218,0)</f>
        <v>0</v>
      </c>
    </row>
    <row r="219" customFormat="false" ht="12.75" hidden="false" customHeight="false" outlineLevel="0" collapsed="false">
      <c r="B219" s="1024" t="n">
        <v>110</v>
      </c>
      <c r="C219" s="1025" t="n">
        <f aca="false">IF(B219&lt;=$D$97,DATE(YEAR(C218),MONTH(C218)+12/$D$94,DAY(C218)),"0")</f>
        <v>48307</v>
      </c>
      <c r="D219" s="1026" t="n">
        <f aca="false">IF(B219=1,$D$90,G218)</f>
        <v>68678.8583230273</v>
      </c>
      <c r="E219" s="1026" t="n">
        <f aca="false">(D219*$D$92*1)/1200</f>
        <v>200.313336775496</v>
      </c>
      <c r="F219" s="1026" t="n">
        <f aca="false">IF(AND(B219&lt;=$D$97,B219&gt;$D$95),$D$101-E219,0)</f>
        <v>872.010475239263</v>
      </c>
      <c r="G219" s="1026" t="n">
        <f aca="false">D219-F219</f>
        <v>67806.847847788</v>
      </c>
      <c r="H219" s="1026" t="n">
        <f aca="false">IF(B219&lt;=$D$97,E219+H218,0)</f>
        <v>35762.4671694116</v>
      </c>
      <c r="I219" s="654" t="n">
        <f aca="false">IF(B219&lt;=$D$97,F219+I218,0)</f>
        <v>82193.152152212</v>
      </c>
      <c r="K219" s="1027" t="n">
        <f aca="false">K218+1</f>
        <v>110</v>
      </c>
      <c r="L219" s="1025" t="str">
        <f aca="false">IF(K219&lt;=$M$97,DATE(YEAR(L218),MONTH(L218)+12/$M$94,DAY(L218)),"0")</f>
        <v>0</v>
      </c>
      <c r="M219" s="1026" t="n">
        <f aca="false">IF(K219&lt;=$M$97,P218,0)</f>
        <v>0</v>
      </c>
      <c r="N219" s="1026" t="n">
        <f aca="false">(M219*$M$92*1)/1200</f>
        <v>0</v>
      </c>
      <c r="O219" s="1026" t="n">
        <f aca="false">IF(AND(K219&lt;=$M$97,K219&gt;$M$95),$M$101-N219,0)</f>
        <v>0</v>
      </c>
      <c r="P219" s="1026" t="n">
        <f aca="false">M219-O219</f>
        <v>0</v>
      </c>
      <c r="Q219" s="1026" t="n">
        <f aca="false">IF(K219&lt;=$M$97,Q218+N219,0)</f>
        <v>0</v>
      </c>
      <c r="R219" s="654" t="n">
        <f aca="false">IF(K219&lt;=$D$97,R218+O219,0)</f>
        <v>15000.0000000001</v>
      </c>
      <c r="T219" s="1027" t="n">
        <f aca="false">T218+1</f>
        <v>110</v>
      </c>
      <c r="U219" s="1025" t="str">
        <f aca="false">IF(T219&lt;=$V$97,DATE(YEAR(U218),MONTH(U218)+12/$V$94,DAY(U218)),"0")</f>
        <v>0</v>
      </c>
      <c r="V219" s="1026" t="n">
        <f aca="false">IF(T219&lt;=$V$97,Y218,0)</f>
        <v>0</v>
      </c>
      <c r="W219" s="1026" t="n">
        <f aca="false">(V219*$V$92*1)/1200</f>
        <v>0</v>
      </c>
      <c r="X219" s="1022" t="n">
        <f aca="false">IF(AND(T219&lt;=$V$97,T219&gt;$V$95),$V$101-W219,0)</f>
        <v>0</v>
      </c>
      <c r="Y219" s="1026" t="n">
        <f aca="false">V219-X219</f>
        <v>0</v>
      </c>
      <c r="Z219" s="1026" t="n">
        <f aca="false">IF(T219&lt;=$V$97,Z218+W219,0)</f>
        <v>0</v>
      </c>
      <c r="AA219" s="654" t="n">
        <f aca="false">IF(T219&lt;=$V$97,AA218+X219,0)</f>
        <v>0</v>
      </c>
      <c r="AB219" s="451"/>
      <c r="AC219" s="1027" t="n">
        <f aca="false">AC218+1</f>
        <v>110</v>
      </c>
      <c r="AD219" s="1025" t="str">
        <f aca="false">IF(AC219&lt;=$AE$97,DATE(YEAR(AD218),MONTH(AD218)+12/$AE$95,DAY(AD218)),"0")</f>
        <v>0</v>
      </c>
      <c r="AE219" s="1026" t="n">
        <f aca="false">IF(AC219&lt;=$AE$97,AH218,0)</f>
        <v>0</v>
      </c>
      <c r="AF219" s="1026" t="n">
        <f aca="false">(AE219*$AE$93*1)/1200</f>
        <v>0</v>
      </c>
      <c r="AG219" s="1022" t="n">
        <f aca="false">IF(AC219&lt;$AE$97,$AE$101-AF219,0)+IF(AC219=$AE$97,$AE$90+$AE$101-AF219,0)</f>
        <v>0</v>
      </c>
      <c r="AH219" s="1026" t="n">
        <f aca="false">AE219-AG219</f>
        <v>0</v>
      </c>
      <c r="AI219" s="1026" t="n">
        <f aca="false">IF(AC219&lt;=$AE$97,AI218+AF219,0)</f>
        <v>0</v>
      </c>
      <c r="AJ219" s="654" t="n">
        <f aca="false">IF(AC219&lt;=$AE$97,AJ218+AG219,0)</f>
        <v>0</v>
      </c>
      <c r="AL219" s="1027" t="n">
        <f aca="false">AL218+1</f>
        <v>110</v>
      </c>
      <c r="AM219" s="1025" t="str">
        <f aca="false">IF(AL219&lt;=$AN$97,DATE(YEAR(AM218),MONTH(AM218)+12/$AN$95,DAY(AM218)),"0")</f>
        <v>0</v>
      </c>
      <c r="AN219" s="1026" t="n">
        <f aca="false">IF(AL219&lt;=$AN$97,AQ218,0)</f>
        <v>0</v>
      </c>
      <c r="AO219" s="1026" t="n">
        <f aca="false">(AN219*$AN$93*1)/1200</f>
        <v>0</v>
      </c>
      <c r="AP219" s="1022" t="n">
        <f aca="false">IF(AL219&lt;$AN$97,$AN$101-AO219,0)+IF(AL219=$AN$97,$AN$90+$AN$101-AO219,0)</f>
        <v>0</v>
      </c>
      <c r="AQ219" s="1026" t="n">
        <f aca="false">AN219-AP219</f>
        <v>0</v>
      </c>
      <c r="AR219" s="1026" t="n">
        <f aca="false">IF(AL219&lt;=$AN$97,AR218+AO219,0)</f>
        <v>0</v>
      </c>
      <c r="AS219" s="654" t="n">
        <f aca="false">IF(AL219&lt;=$AN$97,AS218+AP219,0)</f>
        <v>0</v>
      </c>
      <c r="AU219" s="1027" t="n">
        <f aca="false">AU218+1</f>
        <v>110</v>
      </c>
      <c r="AV219" s="1025" t="str">
        <f aca="false">IF(AU219&lt;=$AW$97,DATE(YEAR(AV218),MONTH(AV218)+12/$AW$95,DAY(AV218)),"0")</f>
        <v>0</v>
      </c>
      <c r="AW219" s="1026" t="n">
        <f aca="false">IF(AU219&lt;=$AW$97,AZ218,0)</f>
        <v>0</v>
      </c>
      <c r="AX219" s="1026" t="n">
        <f aca="false">(AW219*$AW$93*1)/1200</f>
        <v>0</v>
      </c>
      <c r="AY219" s="1022" t="n">
        <f aca="false">IF(AU219&lt;$AW$97,$AW$101-AX219,0)+IF(AU219=$AW$97,$AW$90+$AW$101-AX219,0)</f>
        <v>0</v>
      </c>
      <c r="AZ219" s="1026" t="n">
        <f aca="false">AW219-AY219</f>
        <v>0</v>
      </c>
      <c r="BA219" s="1026" t="n">
        <f aca="false">IF(AU219&lt;=$AW$97,BA218+AX219,0)</f>
        <v>0</v>
      </c>
      <c r="BB219" s="654" t="n">
        <f aca="false">IF(AU219&lt;=$AW$97,BB218+AY219,0)</f>
        <v>0</v>
      </c>
    </row>
    <row r="220" customFormat="false" ht="12.75" hidden="false" customHeight="false" outlineLevel="0" collapsed="false">
      <c r="B220" s="1024" t="n">
        <v>111</v>
      </c>
      <c r="C220" s="1025" t="n">
        <f aca="false">IF(B220&lt;=$D$97,DATE(YEAR(C219),MONTH(C219)+12/$D$94,DAY(C219)),"0")</f>
        <v>48337</v>
      </c>
      <c r="D220" s="1026" t="n">
        <f aca="false">IF(B220=1,$D$90,G219)</f>
        <v>67806.847847788</v>
      </c>
      <c r="E220" s="1026" t="n">
        <f aca="false">(D220*$D$92*1)/1200</f>
        <v>197.769972889382</v>
      </c>
      <c r="F220" s="1026" t="n">
        <f aca="false">IF(AND(B220&lt;=$D$97,B220&gt;$D$95),$D$101-E220,0)</f>
        <v>874.553839125378</v>
      </c>
      <c r="G220" s="1026" t="n">
        <f aca="false">D220-F220</f>
        <v>66932.2940086627</v>
      </c>
      <c r="H220" s="1026" t="n">
        <f aca="false">IF(B220&lt;=$D$97,E220+H219,0)</f>
        <v>35960.237142301</v>
      </c>
      <c r="I220" s="654" t="n">
        <f aca="false">IF(B220&lt;=$D$97,F220+I219,0)</f>
        <v>83067.7059913374</v>
      </c>
      <c r="K220" s="1027" t="n">
        <f aca="false">K219+1</f>
        <v>111</v>
      </c>
      <c r="L220" s="1025" t="str">
        <f aca="false">IF(K220&lt;=$M$97,DATE(YEAR(L219),MONTH(L219)+12/$M$94,DAY(L219)),"0")</f>
        <v>0</v>
      </c>
      <c r="M220" s="1026" t="n">
        <f aca="false">IF(K220&lt;=$M$97,P219,0)</f>
        <v>0</v>
      </c>
      <c r="N220" s="1026" t="n">
        <f aca="false">(M220*$M$92*1)/1200</f>
        <v>0</v>
      </c>
      <c r="O220" s="1026" t="n">
        <f aca="false">IF(AND(K220&lt;=$M$97,K220&gt;$M$95),$M$101-N220,0)</f>
        <v>0</v>
      </c>
      <c r="P220" s="1026" t="n">
        <f aca="false">M220-O220</f>
        <v>0</v>
      </c>
      <c r="Q220" s="1026" t="n">
        <f aca="false">IF(K220&lt;=$M$97,Q219+N220,0)</f>
        <v>0</v>
      </c>
      <c r="R220" s="654" t="n">
        <f aca="false">IF(K220&lt;=$D$97,R219+O220,0)</f>
        <v>15000.0000000001</v>
      </c>
      <c r="T220" s="1027" t="n">
        <f aca="false">T219+1</f>
        <v>111</v>
      </c>
      <c r="U220" s="1025" t="str">
        <f aca="false">IF(T220&lt;=$V$97,DATE(YEAR(U219),MONTH(U219)+12/$V$94,DAY(U219)),"0")</f>
        <v>0</v>
      </c>
      <c r="V220" s="1026" t="n">
        <f aca="false">IF(T220&lt;=$V$97,Y219,0)</f>
        <v>0</v>
      </c>
      <c r="W220" s="1026" t="n">
        <f aca="false">(V220*$V$92*1)/1200</f>
        <v>0</v>
      </c>
      <c r="X220" s="1022" t="n">
        <f aca="false">IF(AND(T220&lt;=$V$97,T220&gt;$V$95),$V$101-W220,0)</f>
        <v>0</v>
      </c>
      <c r="Y220" s="1026" t="n">
        <f aca="false">V220-X220</f>
        <v>0</v>
      </c>
      <c r="Z220" s="1026" t="n">
        <f aca="false">IF(T220&lt;=$V$97,Z219+W220,0)</f>
        <v>0</v>
      </c>
      <c r="AA220" s="654" t="n">
        <f aca="false">IF(T220&lt;=$V$97,AA219+X220,0)</f>
        <v>0</v>
      </c>
      <c r="AB220" s="451"/>
      <c r="AC220" s="1027" t="n">
        <f aca="false">AC219+1</f>
        <v>111</v>
      </c>
      <c r="AD220" s="1025" t="str">
        <f aca="false">IF(AC220&lt;=$AE$97,DATE(YEAR(AD219),MONTH(AD219)+12/$AE$95,DAY(AD219)),"0")</f>
        <v>0</v>
      </c>
      <c r="AE220" s="1026" t="n">
        <f aca="false">IF(AC220&lt;=$AE$97,AH219,0)</f>
        <v>0</v>
      </c>
      <c r="AF220" s="1026" t="n">
        <f aca="false">(AE220*$AE$93*1)/1200</f>
        <v>0</v>
      </c>
      <c r="AG220" s="1022" t="n">
        <f aca="false">IF(AC220&lt;$AE$97,$AE$101-AF220,0)+IF(AC220=$AE$97,$AE$90+$AE$101-AF220,0)</f>
        <v>0</v>
      </c>
      <c r="AH220" s="1026" t="n">
        <f aca="false">AE220-AG220</f>
        <v>0</v>
      </c>
      <c r="AI220" s="1026" t="n">
        <f aca="false">IF(AC220&lt;=$AE$97,AI219+AF220,0)</f>
        <v>0</v>
      </c>
      <c r="AJ220" s="654" t="n">
        <f aca="false">IF(AC220&lt;=$AE$97,AJ219+AG220,0)</f>
        <v>0</v>
      </c>
      <c r="AL220" s="1027" t="n">
        <f aca="false">AL219+1</f>
        <v>111</v>
      </c>
      <c r="AM220" s="1025" t="str">
        <f aca="false">IF(AL220&lt;=$AN$97,DATE(YEAR(AM219),MONTH(AM219)+12/$AN$95,DAY(AM219)),"0")</f>
        <v>0</v>
      </c>
      <c r="AN220" s="1026" t="n">
        <f aca="false">IF(AL220&lt;=$AN$97,AQ219,0)</f>
        <v>0</v>
      </c>
      <c r="AO220" s="1026" t="n">
        <f aca="false">(AN220*$AN$93*1)/1200</f>
        <v>0</v>
      </c>
      <c r="AP220" s="1022" t="n">
        <f aca="false">IF(AL220&lt;$AN$97,$AN$101-AO220,0)+IF(AL220=$AN$97,$AN$90+$AN$101-AO220,0)</f>
        <v>0</v>
      </c>
      <c r="AQ220" s="1026" t="n">
        <f aca="false">AN220-AP220</f>
        <v>0</v>
      </c>
      <c r="AR220" s="1026" t="n">
        <f aca="false">IF(AL220&lt;=$AN$97,AR219+AO220,0)</f>
        <v>0</v>
      </c>
      <c r="AS220" s="654" t="n">
        <f aca="false">IF(AL220&lt;=$AN$97,AS219+AP220,0)</f>
        <v>0</v>
      </c>
      <c r="AU220" s="1027" t="n">
        <f aca="false">AU219+1</f>
        <v>111</v>
      </c>
      <c r="AV220" s="1025" t="str">
        <f aca="false">IF(AU220&lt;=$AW$97,DATE(YEAR(AV219),MONTH(AV219)+12/$AW$95,DAY(AV219)),"0")</f>
        <v>0</v>
      </c>
      <c r="AW220" s="1026" t="n">
        <f aca="false">IF(AU220&lt;=$AW$97,AZ219,0)</f>
        <v>0</v>
      </c>
      <c r="AX220" s="1026" t="n">
        <f aca="false">(AW220*$AW$93*1)/1200</f>
        <v>0</v>
      </c>
      <c r="AY220" s="1022" t="n">
        <f aca="false">IF(AU220&lt;$AW$97,$AW$101-AX220,0)+IF(AU220=$AW$97,$AW$90+$AW$101-AX220,0)</f>
        <v>0</v>
      </c>
      <c r="AZ220" s="1026" t="n">
        <f aca="false">AW220-AY220</f>
        <v>0</v>
      </c>
      <c r="BA220" s="1026" t="n">
        <f aca="false">IF(AU220&lt;=$AW$97,BA219+AX220,0)</f>
        <v>0</v>
      </c>
      <c r="BB220" s="654" t="n">
        <f aca="false">IF(AU220&lt;=$AW$97,BB219+AY220,0)</f>
        <v>0</v>
      </c>
    </row>
    <row r="221" customFormat="false" ht="12.75" hidden="false" customHeight="false" outlineLevel="0" collapsed="false">
      <c r="B221" s="1024" t="n">
        <v>112</v>
      </c>
      <c r="C221" s="1025" t="n">
        <f aca="false">IF(B221&lt;=$D$97,DATE(YEAR(C220),MONTH(C220)+12/$D$94,DAY(C220)),"0")</f>
        <v>48368</v>
      </c>
      <c r="D221" s="1026" t="n">
        <f aca="false">IF(B221=1,$D$90,G220)</f>
        <v>66932.2940086627</v>
      </c>
      <c r="E221" s="1026" t="n">
        <f aca="false">(D221*$D$92*1)/1200</f>
        <v>195.219190858599</v>
      </c>
      <c r="F221" s="1026" t="n">
        <f aca="false">IF(AND(B221&lt;=$D$97,B221&gt;$D$95),$D$101-E221,0)</f>
        <v>877.10462115616</v>
      </c>
      <c r="G221" s="1026" t="n">
        <f aca="false">D221-F221</f>
        <v>66055.1893875065</v>
      </c>
      <c r="H221" s="1026" t="n">
        <f aca="false">IF(B221&lt;=$D$97,E221+H220,0)</f>
        <v>36155.4563331596</v>
      </c>
      <c r="I221" s="654" t="n">
        <f aca="false">IF(B221&lt;=$D$97,F221+I220,0)</f>
        <v>83944.8106124935</v>
      </c>
      <c r="K221" s="1027" t="n">
        <f aca="false">K220+1</f>
        <v>112</v>
      </c>
      <c r="L221" s="1025" t="str">
        <f aca="false">IF(K221&lt;=$M$97,DATE(YEAR(L220),MONTH(L220)+12/$M$94,DAY(L220)),"0")</f>
        <v>0</v>
      </c>
      <c r="M221" s="1026" t="n">
        <f aca="false">IF(K221&lt;=$M$97,P220,0)</f>
        <v>0</v>
      </c>
      <c r="N221" s="1026" t="n">
        <f aca="false">(M221*$M$92*1)/1200</f>
        <v>0</v>
      </c>
      <c r="O221" s="1026" t="n">
        <f aca="false">IF(AND(K221&lt;=$M$97,K221&gt;$M$95),$M$101-N221,0)</f>
        <v>0</v>
      </c>
      <c r="P221" s="1026" t="n">
        <f aca="false">M221-O221</f>
        <v>0</v>
      </c>
      <c r="Q221" s="1026" t="n">
        <f aca="false">IF(K221&lt;=$M$97,Q220+N221,0)</f>
        <v>0</v>
      </c>
      <c r="R221" s="654" t="n">
        <f aca="false">IF(K221&lt;=$D$97,R220+O221,0)</f>
        <v>15000.0000000001</v>
      </c>
      <c r="T221" s="1027" t="n">
        <f aca="false">T220+1</f>
        <v>112</v>
      </c>
      <c r="U221" s="1025" t="str">
        <f aca="false">IF(T221&lt;=$V$97,DATE(YEAR(U220),MONTH(U220)+12/$V$94,DAY(U220)),"0")</f>
        <v>0</v>
      </c>
      <c r="V221" s="1026" t="n">
        <f aca="false">IF(T221&lt;=$V$97,Y220,0)</f>
        <v>0</v>
      </c>
      <c r="W221" s="1026" t="n">
        <f aca="false">(V221*$V$92*1)/1200</f>
        <v>0</v>
      </c>
      <c r="X221" s="1022" t="n">
        <f aca="false">IF(AND(T221&lt;=$V$97,T221&gt;$V$95),$V$101-W221,0)</f>
        <v>0</v>
      </c>
      <c r="Y221" s="1026" t="n">
        <f aca="false">V221-X221</f>
        <v>0</v>
      </c>
      <c r="Z221" s="1026" t="n">
        <f aca="false">IF(T221&lt;=$V$97,Z220+W221,0)</f>
        <v>0</v>
      </c>
      <c r="AA221" s="654" t="n">
        <f aca="false">IF(T221&lt;=$V$97,AA220+X221,0)</f>
        <v>0</v>
      </c>
      <c r="AB221" s="451"/>
      <c r="AC221" s="1027" t="n">
        <f aca="false">AC220+1</f>
        <v>112</v>
      </c>
      <c r="AD221" s="1025" t="str">
        <f aca="false">IF(AC221&lt;=$AE$97,DATE(YEAR(AD220),MONTH(AD220)+12/$AE$95,DAY(AD220)),"0")</f>
        <v>0</v>
      </c>
      <c r="AE221" s="1026" t="n">
        <f aca="false">IF(AC221&lt;=$AE$97,AH220,0)</f>
        <v>0</v>
      </c>
      <c r="AF221" s="1026" t="n">
        <f aca="false">(AE221*$AE$93*1)/1200</f>
        <v>0</v>
      </c>
      <c r="AG221" s="1022" t="n">
        <f aca="false">IF(AC221&lt;$AE$97,$AE$101-AF221,0)+IF(AC221=$AE$97,$AE$90+$AE$101-AF221,0)</f>
        <v>0</v>
      </c>
      <c r="AH221" s="1026" t="n">
        <f aca="false">AE221-AG221</f>
        <v>0</v>
      </c>
      <c r="AI221" s="1026" t="n">
        <f aca="false">IF(AC221&lt;=$AE$97,AI220+AF221,0)</f>
        <v>0</v>
      </c>
      <c r="AJ221" s="654" t="n">
        <f aca="false">IF(AC221&lt;=$AE$97,AJ220+AG221,0)</f>
        <v>0</v>
      </c>
      <c r="AL221" s="1027" t="n">
        <f aca="false">AL220+1</f>
        <v>112</v>
      </c>
      <c r="AM221" s="1025" t="str">
        <f aca="false">IF(AL221&lt;=$AN$97,DATE(YEAR(AM220),MONTH(AM220)+12/$AN$95,DAY(AM220)),"0")</f>
        <v>0</v>
      </c>
      <c r="AN221" s="1026" t="n">
        <f aca="false">IF(AL221&lt;=$AN$97,AQ220,0)</f>
        <v>0</v>
      </c>
      <c r="AO221" s="1026" t="n">
        <f aca="false">(AN221*$AN$93*1)/1200</f>
        <v>0</v>
      </c>
      <c r="AP221" s="1022" t="n">
        <f aca="false">IF(AL221&lt;$AN$97,$AN$101-AO221,0)+IF(AL221=$AN$97,$AN$90+$AN$101-AO221,0)</f>
        <v>0</v>
      </c>
      <c r="AQ221" s="1026" t="n">
        <f aca="false">AN221-AP221</f>
        <v>0</v>
      </c>
      <c r="AR221" s="1026" t="n">
        <f aca="false">IF(AL221&lt;=$AN$97,AR220+AO221,0)</f>
        <v>0</v>
      </c>
      <c r="AS221" s="654" t="n">
        <f aca="false">IF(AL221&lt;=$AN$97,AS220+AP221,0)</f>
        <v>0</v>
      </c>
      <c r="AU221" s="1027" t="n">
        <f aca="false">AU220+1</f>
        <v>112</v>
      </c>
      <c r="AV221" s="1025" t="str">
        <f aca="false">IF(AU221&lt;=$AW$97,DATE(YEAR(AV220),MONTH(AV220)+12/$AW$95,DAY(AV220)),"0")</f>
        <v>0</v>
      </c>
      <c r="AW221" s="1026" t="n">
        <f aca="false">IF(AU221&lt;=$AW$97,AZ220,0)</f>
        <v>0</v>
      </c>
      <c r="AX221" s="1026" t="n">
        <f aca="false">(AW221*$AW$93*1)/1200</f>
        <v>0</v>
      </c>
      <c r="AY221" s="1022" t="n">
        <f aca="false">IF(AU221&lt;$AW$97,$AW$101-AX221,0)+IF(AU221=$AW$97,$AW$90+$AW$101-AX221,0)</f>
        <v>0</v>
      </c>
      <c r="AZ221" s="1026" t="n">
        <f aca="false">AW221-AY221</f>
        <v>0</v>
      </c>
      <c r="BA221" s="1026" t="n">
        <f aca="false">IF(AU221&lt;=$AW$97,BA220+AX221,0)</f>
        <v>0</v>
      </c>
      <c r="BB221" s="654" t="n">
        <f aca="false">IF(AU221&lt;=$AW$97,BB220+AY221,0)</f>
        <v>0</v>
      </c>
    </row>
    <row r="222" customFormat="false" ht="12.75" hidden="false" customHeight="false" outlineLevel="0" collapsed="false">
      <c r="B222" s="1024" t="n">
        <v>113</v>
      </c>
      <c r="C222" s="1025" t="n">
        <f aca="false">IF(B222&lt;=$D$97,DATE(YEAR(C221),MONTH(C221)+12/$D$94,DAY(C221)),"0")</f>
        <v>48398</v>
      </c>
      <c r="D222" s="1026" t="n">
        <f aca="false">IF(B222=1,$D$90,G221)</f>
        <v>66055.1893875065</v>
      </c>
      <c r="E222" s="1026" t="n">
        <f aca="false">(D222*$D$92*1)/1200</f>
        <v>192.660969046894</v>
      </c>
      <c r="F222" s="1026" t="n">
        <f aca="false">IF(AND(B222&lt;=$D$97,B222&gt;$D$95),$D$101-E222,0)</f>
        <v>879.662842967866</v>
      </c>
      <c r="G222" s="1026" t="n">
        <f aca="false">D222-F222</f>
        <v>65175.5265445386</v>
      </c>
      <c r="H222" s="1026" t="n">
        <f aca="false">IF(B222&lt;=$D$97,E222+H221,0)</f>
        <v>36348.1173022065</v>
      </c>
      <c r="I222" s="654" t="n">
        <f aca="false">IF(B222&lt;=$D$97,F222+I221,0)</f>
        <v>84824.4734554614</v>
      </c>
      <c r="K222" s="1027" t="n">
        <f aca="false">K221+1</f>
        <v>113</v>
      </c>
      <c r="L222" s="1025" t="str">
        <f aca="false">IF(K222&lt;=$M$97,DATE(YEAR(L221),MONTH(L221)+12/$M$94,DAY(L221)),"0")</f>
        <v>0</v>
      </c>
      <c r="M222" s="1026" t="n">
        <f aca="false">IF(K222&lt;=$M$97,P221,0)</f>
        <v>0</v>
      </c>
      <c r="N222" s="1026" t="n">
        <f aca="false">(M222*$M$92*1)/1200</f>
        <v>0</v>
      </c>
      <c r="O222" s="1026" t="n">
        <f aca="false">IF(AND(K222&lt;=$M$97,K222&gt;$M$95),$M$101-N222,0)</f>
        <v>0</v>
      </c>
      <c r="P222" s="1026" t="n">
        <f aca="false">M222-O222</f>
        <v>0</v>
      </c>
      <c r="Q222" s="1026" t="n">
        <f aca="false">IF(K222&lt;=$M$97,Q221+N222,0)</f>
        <v>0</v>
      </c>
      <c r="R222" s="654" t="n">
        <f aca="false">IF(K222&lt;=$D$97,R221+O222,0)</f>
        <v>15000.0000000001</v>
      </c>
      <c r="T222" s="1027" t="n">
        <f aca="false">T221+1</f>
        <v>113</v>
      </c>
      <c r="U222" s="1025" t="str">
        <f aca="false">IF(T222&lt;=$V$97,DATE(YEAR(U221),MONTH(U221)+12/$V$94,DAY(U221)),"0")</f>
        <v>0</v>
      </c>
      <c r="V222" s="1026" t="n">
        <f aca="false">IF(T222&lt;=$V$97,Y221,0)</f>
        <v>0</v>
      </c>
      <c r="W222" s="1026" t="n">
        <f aca="false">(V222*$V$92*1)/1200</f>
        <v>0</v>
      </c>
      <c r="X222" s="1022" t="n">
        <f aca="false">IF(AND(T222&lt;=$V$97,T222&gt;$V$95),$V$101-W222,0)</f>
        <v>0</v>
      </c>
      <c r="Y222" s="1026" t="n">
        <f aca="false">V222-X222</f>
        <v>0</v>
      </c>
      <c r="Z222" s="1026" t="n">
        <f aca="false">IF(T222&lt;=$V$97,Z221+W222,0)</f>
        <v>0</v>
      </c>
      <c r="AA222" s="654" t="n">
        <f aca="false">IF(T222&lt;=$V$97,AA221+X222,0)</f>
        <v>0</v>
      </c>
      <c r="AB222" s="451"/>
      <c r="AC222" s="1027" t="n">
        <f aca="false">AC221+1</f>
        <v>113</v>
      </c>
      <c r="AD222" s="1025" t="str">
        <f aca="false">IF(AC222&lt;=$AE$97,DATE(YEAR(AD221),MONTH(AD221)+12/$AE$95,DAY(AD221)),"0")</f>
        <v>0</v>
      </c>
      <c r="AE222" s="1026" t="n">
        <f aca="false">IF(AC222&lt;=$AE$97,AH221,0)</f>
        <v>0</v>
      </c>
      <c r="AF222" s="1026" t="n">
        <f aca="false">(AE222*$AE$93*1)/1200</f>
        <v>0</v>
      </c>
      <c r="AG222" s="1022" t="n">
        <f aca="false">IF(AC222&lt;$AE$97,$AE$101-AF222,0)+IF(AC222=$AE$97,$AE$90+$AE$101-AF222,0)</f>
        <v>0</v>
      </c>
      <c r="AH222" s="1026" t="n">
        <f aca="false">AE222-AG222</f>
        <v>0</v>
      </c>
      <c r="AI222" s="1026" t="n">
        <f aca="false">IF(AC222&lt;=$AE$97,AI221+AF222,0)</f>
        <v>0</v>
      </c>
      <c r="AJ222" s="654" t="n">
        <f aca="false">IF(AC222&lt;=$AE$97,AJ221+AG222,0)</f>
        <v>0</v>
      </c>
      <c r="AL222" s="1027" t="n">
        <f aca="false">AL221+1</f>
        <v>113</v>
      </c>
      <c r="AM222" s="1025" t="str">
        <f aca="false">IF(AL222&lt;=$AN$97,DATE(YEAR(AM221),MONTH(AM221)+12/$AN$95,DAY(AM221)),"0")</f>
        <v>0</v>
      </c>
      <c r="AN222" s="1026" t="n">
        <f aca="false">IF(AL222&lt;=$AN$97,AQ221,0)</f>
        <v>0</v>
      </c>
      <c r="AO222" s="1026" t="n">
        <f aca="false">(AN222*$AN$93*1)/1200</f>
        <v>0</v>
      </c>
      <c r="AP222" s="1022" t="n">
        <f aca="false">IF(AL222&lt;$AN$97,$AN$101-AO222,0)+IF(AL222=$AN$97,$AN$90+$AN$101-AO222,0)</f>
        <v>0</v>
      </c>
      <c r="AQ222" s="1026" t="n">
        <f aca="false">AN222-AP222</f>
        <v>0</v>
      </c>
      <c r="AR222" s="1026" t="n">
        <f aca="false">IF(AL222&lt;=$AN$97,AR221+AO222,0)</f>
        <v>0</v>
      </c>
      <c r="AS222" s="654" t="n">
        <f aca="false">IF(AL222&lt;=$AN$97,AS221+AP222,0)</f>
        <v>0</v>
      </c>
      <c r="AU222" s="1027" t="n">
        <f aca="false">AU221+1</f>
        <v>113</v>
      </c>
      <c r="AV222" s="1025" t="str">
        <f aca="false">IF(AU222&lt;=$AW$97,DATE(YEAR(AV221),MONTH(AV221)+12/$AW$95,DAY(AV221)),"0")</f>
        <v>0</v>
      </c>
      <c r="AW222" s="1026" t="n">
        <f aca="false">IF(AU222&lt;=$AW$97,AZ221,0)</f>
        <v>0</v>
      </c>
      <c r="AX222" s="1026" t="n">
        <f aca="false">(AW222*$AW$93*1)/1200</f>
        <v>0</v>
      </c>
      <c r="AY222" s="1022" t="n">
        <f aca="false">IF(AU222&lt;$AW$97,$AW$101-AX222,0)+IF(AU222=$AW$97,$AW$90+$AW$101-AX222,0)</f>
        <v>0</v>
      </c>
      <c r="AZ222" s="1026" t="n">
        <f aca="false">AW222-AY222</f>
        <v>0</v>
      </c>
      <c r="BA222" s="1026" t="n">
        <f aca="false">IF(AU222&lt;=$AW$97,BA221+AX222,0)</f>
        <v>0</v>
      </c>
      <c r="BB222" s="654" t="n">
        <f aca="false">IF(AU222&lt;=$AW$97,BB221+AY222,0)</f>
        <v>0</v>
      </c>
    </row>
    <row r="223" customFormat="false" ht="12.75" hidden="false" customHeight="false" outlineLevel="0" collapsed="false">
      <c r="B223" s="1024" t="n">
        <v>114</v>
      </c>
      <c r="C223" s="1025" t="n">
        <f aca="false">IF(B223&lt;=$D$97,DATE(YEAR(C222),MONTH(C222)+12/$D$94,DAY(C222)),"0")</f>
        <v>48429</v>
      </c>
      <c r="D223" s="1026" t="n">
        <f aca="false">IF(B223=1,$D$90,G222)</f>
        <v>65175.5265445386</v>
      </c>
      <c r="E223" s="1026" t="n">
        <f aca="false">(D223*$D$92*1)/1200</f>
        <v>190.095285754904</v>
      </c>
      <c r="F223" s="1026" t="n">
        <f aca="false">IF(AND(B223&lt;=$D$97,B223&gt;$D$95),$D$101-E223,0)</f>
        <v>882.228526259855</v>
      </c>
      <c r="G223" s="1026" t="n">
        <f aca="false">D223-F223</f>
        <v>64293.2980182788</v>
      </c>
      <c r="H223" s="1026" t="n">
        <f aca="false">IF(B223&lt;=$D$97,E223+H222,0)</f>
        <v>36538.2125879614</v>
      </c>
      <c r="I223" s="654" t="n">
        <f aca="false">IF(B223&lt;=$D$97,F223+I222,0)</f>
        <v>85706.7019817212</v>
      </c>
      <c r="K223" s="1027" t="n">
        <f aca="false">K222+1</f>
        <v>114</v>
      </c>
      <c r="L223" s="1025" t="str">
        <f aca="false">IF(K223&lt;=$M$97,DATE(YEAR(L222),MONTH(L222)+12/$M$94,DAY(L222)),"0")</f>
        <v>0</v>
      </c>
      <c r="M223" s="1026" t="n">
        <f aca="false">IF(K223&lt;=$M$97,P222,0)</f>
        <v>0</v>
      </c>
      <c r="N223" s="1026" t="n">
        <f aca="false">(M223*$M$92*1)/1200</f>
        <v>0</v>
      </c>
      <c r="O223" s="1026" t="n">
        <f aca="false">IF(AND(K223&lt;=$M$97,K223&gt;$M$95),$M$101-N223,0)</f>
        <v>0</v>
      </c>
      <c r="P223" s="1026" t="n">
        <f aca="false">M223-O223</f>
        <v>0</v>
      </c>
      <c r="Q223" s="1026" t="n">
        <f aca="false">IF(K223&lt;=$M$97,Q222+N223,0)</f>
        <v>0</v>
      </c>
      <c r="R223" s="654" t="n">
        <f aca="false">IF(K223&lt;=$D$97,R222+O223,0)</f>
        <v>15000.0000000001</v>
      </c>
      <c r="T223" s="1027" t="n">
        <f aca="false">T222+1</f>
        <v>114</v>
      </c>
      <c r="U223" s="1025" t="str">
        <f aca="false">IF(T223&lt;=$V$97,DATE(YEAR(U222),MONTH(U222)+12/$V$94,DAY(U222)),"0")</f>
        <v>0</v>
      </c>
      <c r="V223" s="1026" t="n">
        <f aca="false">IF(T223&lt;=$V$97,Y222,0)</f>
        <v>0</v>
      </c>
      <c r="W223" s="1026" t="n">
        <f aca="false">(V223*$V$92*1)/1200</f>
        <v>0</v>
      </c>
      <c r="X223" s="1022" t="n">
        <f aca="false">IF(AND(T223&lt;=$V$97,T223&gt;$V$95),$V$101-W223,0)</f>
        <v>0</v>
      </c>
      <c r="Y223" s="1026" t="n">
        <f aca="false">V223-X223</f>
        <v>0</v>
      </c>
      <c r="Z223" s="1026" t="n">
        <f aca="false">IF(T223&lt;=$V$97,Z222+W223,0)</f>
        <v>0</v>
      </c>
      <c r="AA223" s="654" t="n">
        <f aca="false">IF(T223&lt;=$V$97,AA222+X223,0)</f>
        <v>0</v>
      </c>
      <c r="AB223" s="451"/>
      <c r="AC223" s="1027" t="n">
        <f aca="false">AC222+1</f>
        <v>114</v>
      </c>
      <c r="AD223" s="1025" t="str">
        <f aca="false">IF(AC223&lt;=$AE$97,DATE(YEAR(AD222),MONTH(AD222)+12/$AE$95,DAY(AD222)),"0")</f>
        <v>0</v>
      </c>
      <c r="AE223" s="1026" t="n">
        <f aca="false">IF(AC223&lt;=$AE$97,AH222,0)</f>
        <v>0</v>
      </c>
      <c r="AF223" s="1026" t="n">
        <f aca="false">(AE223*$AE$93*1)/1200</f>
        <v>0</v>
      </c>
      <c r="AG223" s="1022" t="n">
        <f aca="false">IF(AC223&lt;$AE$97,$AE$101-AF223,0)+IF(AC223=$AE$97,$AE$90+$AE$101-AF223,0)</f>
        <v>0</v>
      </c>
      <c r="AH223" s="1026" t="n">
        <f aca="false">AE223-AG223</f>
        <v>0</v>
      </c>
      <c r="AI223" s="1026" t="n">
        <f aca="false">IF(AC223&lt;=$AE$97,AI222+AF223,0)</f>
        <v>0</v>
      </c>
      <c r="AJ223" s="654" t="n">
        <f aca="false">IF(AC223&lt;=$AE$97,AJ222+AG223,0)</f>
        <v>0</v>
      </c>
      <c r="AL223" s="1027" t="n">
        <f aca="false">AL222+1</f>
        <v>114</v>
      </c>
      <c r="AM223" s="1025" t="str">
        <f aca="false">IF(AL223&lt;=$AN$97,DATE(YEAR(AM222),MONTH(AM222)+12/$AN$95,DAY(AM222)),"0")</f>
        <v>0</v>
      </c>
      <c r="AN223" s="1026" t="n">
        <f aca="false">IF(AL223&lt;=$AN$97,AQ222,0)</f>
        <v>0</v>
      </c>
      <c r="AO223" s="1026" t="n">
        <f aca="false">(AN223*$AN$93*1)/1200</f>
        <v>0</v>
      </c>
      <c r="AP223" s="1022" t="n">
        <f aca="false">IF(AL223&lt;$AN$97,$AN$101-AO223,0)+IF(AL223=$AN$97,$AN$90+$AN$101-AO223,0)</f>
        <v>0</v>
      </c>
      <c r="AQ223" s="1026" t="n">
        <f aca="false">AN223-AP223</f>
        <v>0</v>
      </c>
      <c r="AR223" s="1026" t="n">
        <f aca="false">IF(AL223&lt;=$AN$97,AR222+AO223,0)</f>
        <v>0</v>
      </c>
      <c r="AS223" s="654" t="n">
        <f aca="false">IF(AL223&lt;=$AN$97,AS222+AP223,0)</f>
        <v>0</v>
      </c>
      <c r="AU223" s="1027" t="n">
        <f aca="false">AU222+1</f>
        <v>114</v>
      </c>
      <c r="AV223" s="1025" t="str">
        <f aca="false">IF(AU223&lt;=$AW$97,DATE(YEAR(AV222),MONTH(AV222)+12/$AW$95,DAY(AV222)),"0")</f>
        <v>0</v>
      </c>
      <c r="AW223" s="1026" t="n">
        <f aca="false">IF(AU223&lt;=$AW$97,AZ222,0)</f>
        <v>0</v>
      </c>
      <c r="AX223" s="1026" t="n">
        <f aca="false">(AW223*$AW$93*1)/1200</f>
        <v>0</v>
      </c>
      <c r="AY223" s="1022" t="n">
        <f aca="false">IF(AU223&lt;$AW$97,$AW$101-AX223,0)+IF(AU223=$AW$97,$AW$90+$AW$101-AX223,0)</f>
        <v>0</v>
      </c>
      <c r="AZ223" s="1026" t="n">
        <f aca="false">AW223-AY223</f>
        <v>0</v>
      </c>
      <c r="BA223" s="1026" t="n">
        <f aca="false">IF(AU223&lt;=$AW$97,BA222+AX223,0)</f>
        <v>0</v>
      </c>
      <c r="BB223" s="654" t="n">
        <f aca="false">IF(AU223&lt;=$AW$97,BB222+AY223,0)</f>
        <v>0</v>
      </c>
    </row>
    <row r="224" customFormat="false" ht="12.75" hidden="false" customHeight="false" outlineLevel="0" collapsed="false">
      <c r="B224" s="1024" t="n">
        <v>115</v>
      </c>
      <c r="C224" s="1025" t="n">
        <f aca="false">IF(B224&lt;=$D$97,DATE(YEAR(C223),MONTH(C223)+12/$D$94,DAY(C223)),"0")</f>
        <v>48460</v>
      </c>
      <c r="D224" s="1026" t="n">
        <f aca="false">IF(B224=1,$D$90,G223)</f>
        <v>64293.2980182788</v>
      </c>
      <c r="E224" s="1026" t="n">
        <f aca="false">(D224*$D$92*1)/1200</f>
        <v>187.52211921998</v>
      </c>
      <c r="F224" s="1026" t="n">
        <f aca="false">IF(AND(B224&lt;=$D$97,B224&gt;$D$95),$D$101-E224,0)</f>
        <v>884.80169279478</v>
      </c>
      <c r="G224" s="1026" t="n">
        <f aca="false">D224-F224</f>
        <v>63408.496325484</v>
      </c>
      <c r="H224" s="1026" t="n">
        <f aca="false">IF(B224&lt;=$D$97,E224+H223,0)</f>
        <v>36725.7347071813</v>
      </c>
      <c r="I224" s="654" t="n">
        <f aca="false">IF(B224&lt;=$D$97,F224+I223,0)</f>
        <v>86591.503674516</v>
      </c>
      <c r="K224" s="1027" t="n">
        <f aca="false">K223+1</f>
        <v>115</v>
      </c>
      <c r="L224" s="1025" t="str">
        <f aca="false">IF(K224&lt;=$M$97,DATE(YEAR(L223),MONTH(L223)+12/$M$94,DAY(L223)),"0")</f>
        <v>0</v>
      </c>
      <c r="M224" s="1026" t="n">
        <f aca="false">IF(K224&lt;=$M$97,P223,0)</f>
        <v>0</v>
      </c>
      <c r="N224" s="1026" t="n">
        <f aca="false">(M224*$M$92*1)/1200</f>
        <v>0</v>
      </c>
      <c r="O224" s="1026" t="n">
        <f aca="false">IF(AND(K224&lt;=$M$97,K224&gt;$M$95),$M$101-N224,0)</f>
        <v>0</v>
      </c>
      <c r="P224" s="1026" t="n">
        <f aca="false">M224-O224</f>
        <v>0</v>
      </c>
      <c r="Q224" s="1026" t="n">
        <f aca="false">IF(K224&lt;=$M$97,Q223+N224,0)</f>
        <v>0</v>
      </c>
      <c r="R224" s="654" t="n">
        <f aca="false">IF(K224&lt;=$D$97,R223+O224,0)</f>
        <v>15000.0000000001</v>
      </c>
      <c r="T224" s="1027" t="n">
        <f aca="false">T223+1</f>
        <v>115</v>
      </c>
      <c r="U224" s="1025" t="str">
        <f aca="false">IF(T224&lt;=$V$97,DATE(YEAR(U223),MONTH(U223)+12/$V$94,DAY(U223)),"0")</f>
        <v>0</v>
      </c>
      <c r="V224" s="1026" t="n">
        <f aca="false">IF(T224&lt;=$V$97,Y223,0)</f>
        <v>0</v>
      </c>
      <c r="W224" s="1026" t="n">
        <f aca="false">(V224*$V$92*1)/1200</f>
        <v>0</v>
      </c>
      <c r="X224" s="1022" t="n">
        <f aca="false">IF(AND(T224&lt;=$V$97,T224&gt;$V$95),$V$101-W224,0)</f>
        <v>0</v>
      </c>
      <c r="Y224" s="1026" t="n">
        <f aca="false">V224-X224</f>
        <v>0</v>
      </c>
      <c r="Z224" s="1026" t="n">
        <f aca="false">IF(T224&lt;=$V$97,Z223+W224,0)</f>
        <v>0</v>
      </c>
      <c r="AA224" s="654" t="n">
        <f aca="false">IF(T224&lt;=$V$97,AA223+X224,0)</f>
        <v>0</v>
      </c>
      <c r="AB224" s="451"/>
      <c r="AC224" s="1027" t="n">
        <f aca="false">AC223+1</f>
        <v>115</v>
      </c>
      <c r="AD224" s="1025" t="str">
        <f aca="false">IF(AC224&lt;=$AE$97,DATE(YEAR(AD223),MONTH(AD223)+12/$AE$95,DAY(AD223)),"0")</f>
        <v>0</v>
      </c>
      <c r="AE224" s="1026" t="n">
        <f aca="false">IF(AC224&lt;=$AE$97,AH223,0)</f>
        <v>0</v>
      </c>
      <c r="AF224" s="1026" t="n">
        <f aca="false">(AE224*$AE$93*1)/1200</f>
        <v>0</v>
      </c>
      <c r="AG224" s="1022" t="n">
        <f aca="false">IF(AC224&lt;$AE$97,$AE$101-AF224,0)+IF(AC224=$AE$97,$AE$90+$AE$101-AF224,0)</f>
        <v>0</v>
      </c>
      <c r="AH224" s="1026" t="n">
        <f aca="false">AE224-AG224</f>
        <v>0</v>
      </c>
      <c r="AI224" s="1026" t="n">
        <f aca="false">IF(AC224&lt;=$AE$97,AI223+AF224,0)</f>
        <v>0</v>
      </c>
      <c r="AJ224" s="654" t="n">
        <f aca="false">IF(AC224&lt;=$AE$97,AJ223+AG224,0)</f>
        <v>0</v>
      </c>
      <c r="AL224" s="1027" t="n">
        <f aca="false">AL223+1</f>
        <v>115</v>
      </c>
      <c r="AM224" s="1025" t="str">
        <f aca="false">IF(AL224&lt;=$AN$97,DATE(YEAR(AM223),MONTH(AM223)+12/$AN$95,DAY(AM223)),"0")</f>
        <v>0</v>
      </c>
      <c r="AN224" s="1026" t="n">
        <f aca="false">IF(AL224&lt;=$AN$97,AQ223,0)</f>
        <v>0</v>
      </c>
      <c r="AO224" s="1026" t="n">
        <f aca="false">(AN224*$AN$93*1)/1200</f>
        <v>0</v>
      </c>
      <c r="AP224" s="1022" t="n">
        <f aca="false">IF(AL224&lt;$AN$97,$AN$101-AO224,0)+IF(AL224=$AN$97,$AN$90+$AN$101-AO224,0)</f>
        <v>0</v>
      </c>
      <c r="AQ224" s="1026" t="n">
        <f aca="false">AN224-AP224</f>
        <v>0</v>
      </c>
      <c r="AR224" s="1026" t="n">
        <f aca="false">IF(AL224&lt;=$AN$97,AR223+AO224,0)</f>
        <v>0</v>
      </c>
      <c r="AS224" s="654" t="n">
        <f aca="false">IF(AL224&lt;=$AN$97,AS223+AP224,0)</f>
        <v>0</v>
      </c>
      <c r="AU224" s="1027" t="n">
        <f aca="false">AU223+1</f>
        <v>115</v>
      </c>
      <c r="AV224" s="1025" t="str">
        <f aca="false">IF(AU224&lt;=$AW$97,DATE(YEAR(AV223),MONTH(AV223)+12/$AW$95,DAY(AV223)),"0")</f>
        <v>0</v>
      </c>
      <c r="AW224" s="1026" t="n">
        <f aca="false">IF(AU224&lt;=$AW$97,AZ223,0)</f>
        <v>0</v>
      </c>
      <c r="AX224" s="1026" t="n">
        <f aca="false">(AW224*$AW$93*1)/1200</f>
        <v>0</v>
      </c>
      <c r="AY224" s="1022" t="n">
        <f aca="false">IF(AU224&lt;$AW$97,$AW$101-AX224,0)+IF(AU224=$AW$97,$AW$90+$AW$101-AX224,0)</f>
        <v>0</v>
      </c>
      <c r="AZ224" s="1026" t="n">
        <f aca="false">AW224-AY224</f>
        <v>0</v>
      </c>
      <c r="BA224" s="1026" t="n">
        <f aca="false">IF(AU224&lt;=$AW$97,BA223+AX224,0)</f>
        <v>0</v>
      </c>
      <c r="BB224" s="654" t="n">
        <f aca="false">IF(AU224&lt;=$AW$97,BB223+AY224,0)</f>
        <v>0</v>
      </c>
    </row>
    <row r="225" customFormat="false" ht="12.75" hidden="false" customHeight="false" outlineLevel="0" collapsed="false">
      <c r="B225" s="1024" t="n">
        <v>116</v>
      </c>
      <c r="C225" s="1025" t="n">
        <f aca="false">IF(B225&lt;=$D$97,DATE(YEAR(C224),MONTH(C224)+12/$D$94,DAY(C224)),"0")</f>
        <v>48490</v>
      </c>
      <c r="D225" s="1026" t="n">
        <f aca="false">IF(B225=1,$D$90,G224)</f>
        <v>63408.496325484</v>
      </c>
      <c r="E225" s="1026" t="n">
        <f aca="false">(D225*$D$92*1)/1200</f>
        <v>184.941447615995</v>
      </c>
      <c r="F225" s="1026" t="n">
        <f aca="false">IF(AND(B225&lt;=$D$97,B225&gt;$D$95),$D$101-E225,0)</f>
        <v>887.382364398764</v>
      </c>
      <c r="G225" s="1026" t="n">
        <f aca="false">D225-F225</f>
        <v>62521.1139610852</v>
      </c>
      <c r="H225" s="1026" t="n">
        <f aca="false">IF(B225&lt;=$D$97,E225+H224,0)</f>
        <v>36910.6761547973</v>
      </c>
      <c r="I225" s="654" t="n">
        <f aca="false">IF(B225&lt;=$D$97,F225+I224,0)</f>
        <v>87478.8860389148</v>
      </c>
      <c r="K225" s="1027" t="n">
        <f aca="false">K224+1</f>
        <v>116</v>
      </c>
      <c r="L225" s="1025" t="str">
        <f aca="false">IF(K225&lt;=$M$97,DATE(YEAR(L224),MONTH(L224)+12/$M$94,DAY(L224)),"0")</f>
        <v>0</v>
      </c>
      <c r="M225" s="1026" t="n">
        <f aca="false">IF(K225&lt;=$M$97,P224,0)</f>
        <v>0</v>
      </c>
      <c r="N225" s="1026" t="n">
        <f aca="false">(M225*$M$92*1)/1200</f>
        <v>0</v>
      </c>
      <c r="O225" s="1026" t="n">
        <f aca="false">IF(AND(K225&lt;=$M$97,K225&gt;$M$95),$M$101-N225,0)</f>
        <v>0</v>
      </c>
      <c r="P225" s="1026" t="n">
        <f aca="false">M225-O225</f>
        <v>0</v>
      </c>
      <c r="Q225" s="1026" t="n">
        <f aca="false">IF(K225&lt;=$M$97,Q224+N225,0)</f>
        <v>0</v>
      </c>
      <c r="R225" s="654" t="n">
        <f aca="false">IF(K225&lt;=$D$97,R224+O225,0)</f>
        <v>15000.0000000001</v>
      </c>
      <c r="T225" s="1027" t="n">
        <f aca="false">T224+1</f>
        <v>116</v>
      </c>
      <c r="U225" s="1025" t="str">
        <f aca="false">IF(T225&lt;=$V$97,DATE(YEAR(U224),MONTH(U224)+12/$V$94,DAY(U224)),"0")</f>
        <v>0</v>
      </c>
      <c r="V225" s="1026" t="n">
        <f aca="false">IF(T225&lt;=$V$97,Y224,0)</f>
        <v>0</v>
      </c>
      <c r="W225" s="1026" t="n">
        <f aca="false">(V225*$V$92*1)/1200</f>
        <v>0</v>
      </c>
      <c r="X225" s="1022" t="n">
        <f aca="false">IF(AND(T225&lt;=$V$97,T225&gt;$V$95),$V$101-W225,0)</f>
        <v>0</v>
      </c>
      <c r="Y225" s="1026" t="n">
        <f aca="false">V225-X225</f>
        <v>0</v>
      </c>
      <c r="Z225" s="1026" t="n">
        <f aca="false">IF(T225&lt;=$V$97,Z224+W225,0)</f>
        <v>0</v>
      </c>
      <c r="AA225" s="654" t="n">
        <f aca="false">IF(T225&lt;=$V$97,AA224+X225,0)</f>
        <v>0</v>
      </c>
      <c r="AB225" s="451"/>
      <c r="AC225" s="1027" t="n">
        <f aca="false">AC224+1</f>
        <v>116</v>
      </c>
      <c r="AD225" s="1025" t="str">
        <f aca="false">IF(AC225&lt;=$AE$97,DATE(YEAR(AD224),MONTH(AD224)+12/$AE$95,DAY(AD224)),"0")</f>
        <v>0</v>
      </c>
      <c r="AE225" s="1026" t="n">
        <f aca="false">IF(AC225&lt;=$AE$97,AH224,0)</f>
        <v>0</v>
      </c>
      <c r="AF225" s="1026" t="n">
        <f aca="false">(AE225*$AE$93*1)/1200</f>
        <v>0</v>
      </c>
      <c r="AG225" s="1022" t="n">
        <f aca="false">IF(AC225&lt;$AE$97,$AE$101-AF225,0)+IF(AC225=$AE$97,$AE$90+$AE$101-AF225,0)</f>
        <v>0</v>
      </c>
      <c r="AH225" s="1026" t="n">
        <f aca="false">AE225-AG225</f>
        <v>0</v>
      </c>
      <c r="AI225" s="1026" t="n">
        <f aca="false">IF(AC225&lt;=$AE$97,AI224+AF225,0)</f>
        <v>0</v>
      </c>
      <c r="AJ225" s="654" t="n">
        <f aca="false">IF(AC225&lt;=$AE$97,AJ224+AG225,0)</f>
        <v>0</v>
      </c>
      <c r="AL225" s="1027" t="n">
        <f aca="false">AL224+1</f>
        <v>116</v>
      </c>
      <c r="AM225" s="1025" t="str">
        <f aca="false">IF(AL225&lt;=$AN$97,DATE(YEAR(AM224),MONTH(AM224)+12/$AN$95,DAY(AM224)),"0")</f>
        <v>0</v>
      </c>
      <c r="AN225" s="1026" t="n">
        <f aca="false">IF(AL225&lt;=$AN$97,AQ224,0)</f>
        <v>0</v>
      </c>
      <c r="AO225" s="1026" t="n">
        <f aca="false">(AN225*$AN$93*1)/1200</f>
        <v>0</v>
      </c>
      <c r="AP225" s="1022" t="n">
        <f aca="false">IF(AL225&lt;$AN$97,$AN$101-AO225,0)+IF(AL225=$AN$97,$AN$90+$AN$101-AO225,0)</f>
        <v>0</v>
      </c>
      <c r="AQ225" s="1026" t="n">
        <f aca="false">AN225-AP225</f>
        <v>0</v>
      </c>
      <c r="AR225" s="1026" t="n">
        <f aca="false">IF(AL225&lt;=$AN$97,AR224+AO225,0)</f>
        <v>0</v>
      </c>
      <c r="AS225" s="654" t="n">
        <f aca="false">IF(AL225&lt;=$AN$97,AS224+AP225,0)</f>
        <v>0</v>
      </c>
      <c r="AU225" s="1027" t="n">
        <f aca="false">AU224+1</f>
        <v>116</v>
      </c>
      <c r="AV225" s="1025" t="str">
        <f aca="false">IF(AU225&lt;=$AW$97,DATE(YEAR(AV224),MONTH(AV224)+12/$AW$95,DAY(AV224)),"0")</f>
        <v>0</v>
      </c>
      <c r="AW225" s="1026" t="n">
        <f aca="false">IF(AU225&lt;=$AW$97,AZ224,0)</f>
        <v>0</v>
      </c>
      <c r="AX225" s="1026" t="n">
        <f aca="false">(AW225*$AW$93*1)/1200</f>
        <v>0</v>
      </c>
      <c r="AY225" s="1022" t="n">
        <f aca="false">IF(AU225&lt;$AW$97,$AW$101-AX225,0)+IF(AU225=$AW$97,$AW$90+$AW$101-AX225,0)</f>
        <v>0</v>
      </c>
      <c r="AZ225" s="1026" t="n">
        <f aca="false">AW225-AY225</f>
        <v>0</v>
      </c>
      <c r="BA225" s="1026" t="n">
        <f aca="false">IF(AU225&lt;=$AW$97,BA224+AX225,0)</f>
        <v>0</v>
      </c>
      <c r="BB225" s="654" t="n">
        <f aca="false">IF(AU225&lt;=$AW$97,BB224+AY225,0)</f>
        <v>0</v>
      </c>
    </row>
    <row r="226" customFormat="false" ht="12.75" hidden="false" customHeight="false" outlineLevel="0" collapsed="false">
      <c r="B226" s="1024" t="n">
        <v>117</v>
      </c>
      <c r="C226" s="1025" t="n">
        <f aca="false">IF(B226&lt;=$D$97,DATE(YEAR(C225),MONTH(C225)+12/$D$94,DAY(C225)),"0")</f>
        <v>48521</v>
      </c>
      <c r="D226" s="1026" t="n">
        <f aca="false">IF(B226=1,$D$90,G225)</f>
        <v>62521.1139610852</v>
      </c>
      <c r="E226" s="1026" t="n">
        <f aca="false">(D226*$D$92*1)/1200</f>
        <v>182.353249053165</v>
      </c>
      <c r="F226" s="1026" t="n">
        <f aca="false">IF(AND(B226&lt;=$D$97,B226&gt;$D$95),$D$101-E226,0)</f>
        <v>889.970562961594</v>
      </c>
      <c r="G226" s="1026" t="n">
        <f aca="false">D226-F226</f>
        <v>61631.1433981236</v>
      </c>
      <c r="H226" s="1026" t="n">
        <f aca="false">IF(B226&lt;=$D$97,E226+H225,0)</f>
        <v>37093.0294038505</v>
      </c>
      <c r="I226" s="654" t="n">
        <f aca="false">IF(B226&lt;=$D$97,F226+I225,0)</f>
        <v>88368.8566018764</v>
      </c>
      <c r="K226" s="1027" t="n">
        <f aca="false">K225+1</f>
        <v>117</v>
      </c>
      <c r="L226" s="1025" t="str">
        <f aca="false">IF(K226&lt;=$M$97,DATE(YEAR(L225),MONTH(L225)+12/$M$94,DAY(L225)),"0")</f>
        <v>0</v>
      </c>
      <c r="M226" s="1026" t="n">
        <f aca="false">IF(K226&lt;=$M$97,P225,0)</f>
        <v>0</v>
      </c>
      <c r="N226" s="1026" t="n">
        <f aca="false">(M226*$M$92*1)/1200</f>
        <v>0</v>
      </c>
      <c r="O226" s="1026" t="n">
        <f aca="false">IF(AND(K226&lt;=$M$97,K226&gt;$M$95),$M$101-N226,0)</f>
        <v>0</v>
      </c>
      <c r="P226" s="1026" t="n">
        <f aca="false">M226-O226</f>
        <v>0</v>
      </c>
      <c r="Q226" s="1026" t="n">
        <f aca="false">IF(K226&lt;=$M$97,Q225+N226,0)</f>
        <v>0</v>
      </c>
      <c r="R226" s="654" t="n">
        <f aca="false">IF(K226&lt;=$D$97,R225+O226,0)</f>
        <v>15000.0000000001</v>
      </c>
      <c r="T226" s="1027" t="n">
        <f aca="false">T225+1</f>
        <v>117</v>
      </c>
      <c r="U226" s="1025" t="str">
        <f aca="false">IF(T226&lt;=$V$97,DATE(YEAR(U225),MONTH(U225)+12/$V$94,DAY(U225)),"0")</f>
        <v>0</v>
      </c>
      <c r="V226" s="1026" t="n">
        <f aca="false">IF(T226&lt;=$V$97,Y225,0)</f>
        <v>0</v>
      </c>
      <c r="W226" s="1026" t="n">
        <f aca="false">(V226*$V$92*1)/1200</f>
        <v>0</v>
      </c>
      <c r="X226" s="1022" t="n">
        <f aca="false">IF(AND(T226&lt;=$V$97,T226&gt;$V$95),$V$101-W226,0)</f>
        <v>0</v>
      </c>
      <c r="Y226" s="1026" t="n">
        <f aca="false">V226-X226</f>
        <v>0</v>
      </c>
      <c r="Z226" s="1026" t="n">
        <f aca="false">IF(T226&lt;=$V$97,Z225+W226,0)</f>
        <v>0</v>
      </c>
      <c r="AA226" s="654" t="n">
        <f aca="false">IF(T226&lt;=$V$97,AA225+X226,0)</f>
        <v>0</v>
      </c>
      <c r="AB226" s="451"/>
      <c r="AC226" s="1027" t="n">
        <f aca="false">AC225+1</f>
        <v>117</v>
      </c>
      <c r="AD226" s="1025" t="str">
        <f aca="false">IF(AC226&lt;=$AE$97,DATE(YEAR(AD225),MONTH(AD225)+12/$AE$95,DAY(AD225)),"0")</f>
        <v>0</v>
      </c>
      <c r="AE226" s="1026" t="n">
        <f aca="false">IF(AC226&lt;=$AE$97,AH225,0)</f>
        <v>0</v>
      </c>
      <c r="AF226" s="1026" t="n">
        <f aca="false">(AE226*$AE$93*1)/1200</f>
        <v>0</v>
      </c>
      <c r="AG226" s="1022" t="n">
        <f aca="false">IF(AC226&lt;$AE$97,$AE$101-AF226,0)+IF(AC226=$AE$97,$AE$90+$AE$101-AF226,0)</f>
        <v>0</v>
      </c>
      <c r="AH226" s="1026" t="n">
        <f aca="false">AE226-AG226</f>
        <v>0</v>
      </c>
      <c r="AI226" s="1026" t="n">
        <f aca="false">IF(AC226&lt;=$AE$97,AI225+AF226,0)</f>
        <v>0</v>
      </c>
      <c r="AJ226" s="654" t="n">
        <f aca="false">IF(AC226&lt;=$AE$97,AJ225+AG226,0)</f>
        <v>0</v>
      </c>
      <c r="AL226" s="1027" t="n">
        <f aca="false">AL225+1</f>
        <v>117</v>
      </c>
      <c r="AM226" s="1025" t="str">
        <f aca="false">IF(AL226&lt;=$AN$97,DATE(YEAR(AM225),MONTH(AM225)+12/$AN$95,DAY(AM225)),"0")</f>
        <v>0</v>
      </c>
      <c r="AN226" s="1026" t="n">
        <f aca="false">IF(AL226&lt;=$AN$97,AQ225,0)</f>
        <v>0</v>
      </c>
      <c r="AO226" s="1026" t="n">
        <f aca="false">(AN226*$AN$93*1)/1200</f>
        <v>0</v>
      </c>
      <c r="AP226" s="1022" t="n">
        <f aca="false">IF(AL226&lt;$AN$97,$AN$101-AO226,0)+IF(AL226=$AN$97,$AN$90+$AN$101-AO226,0)</f>
        <v>0</v>
      </c>
      <c r="AQ226" s="1026" t="n">
        <f aca="false">AN226-AP226</f>
        <v>0</v>
      </c>
      <c r="AR226" s="1026" t="n">
        <f aca="false">IF(AL226&lt;=$AN$97,AR225+AO226,0)</f>
        <v>0</v>
      </c>
      <c r="AS226" s="654" t="n">
        <f aca="false">IF(AL226&lt;=$AN$97,AS225+AP226,0)</f>
        <v>0</v>
      </c>
      <c r="AU226" s="1027" t="n">
        <f aca="false">AU225+1</f>
        <v>117</v>
      </c>
      <c r="AV226" s="1025" t="str">
        <f aca="false">IF(AU226&lt;=$AW$97,DATE(YEAR(AV225),MONTH(AV225)+12/$AW$95,DAY(AV225)),"0")</f>
        <v>0</v>
      </c>
      <c r="AW226" s="1026" t="n">
        <f aca="false">IF(AU226&lt;=$AW$97,AZ225,0)</f>
        <v>0</v>
      </c>
      <c r="AX226" s="1026" t="n">
        <f aca="false">(AW226*$AW$93*1)/1200</f>
        <v>0</v>
      </c>
      <c r="AY226" s="1022" t="n">
        <f aca="false">IF(AU226&lt;$AW$97,$AW$101-AX226,0)+IF(AU226=$AW$97,$AW$90+$AW$101-AX226,0)</f>
        <v>0</v>
      </c>
      <c r="AZ226" s="1026" t="n">
        <f aca="false">AW226-AY226</f>
        <v>0</v>
      </c>
      <c r="BA226" s="1026" t="n">
        <f aca="false">IF(AU226&lt;=$AW$97,BA225+AX226,0)</f>
        <v>0</v>
      </c>
      <c r="BB226" s="654" t="n">
        <f aca="false">IF(AU226&lt;=$AW$97,BB225+AY226,0)</f>
        <v>0</v>
      </c>
    </row>
    <row r="227" customFormat="false" ht="12.75" hidden="false" customHeight="false" outlineLevel="0" collapsed="false">
      <c r="B227" s="1024" t="n">
        <v>118</v>
      </c>
      <c r="C227" s="1025" t="n">
        <f aca="false">IF(B227&lt;=$D$97,DATE(YEAR(C226),MONTH(C226)+12/$D$94,DAY(C226)),"0")</f>
        <v>48551</v>
      </c>
      <c r="D227" s="1026" t="n">
        <f aca="false">IF(B227=1,$D$90,G226)</f>
        <v>61631.1433981236</v>
      </c>
      <c r="E227" s="1026" t="n">
        <f aca="false">(D227*$D$92*1)/1200</f>
        <v>179.757501577861</v>
      </c>
      <c r="F227" s="1026" t="n">
        <f aca="false">IF(AND(B227&lt;=$D$97,B227&gt;$D$95),$D$101-E227,0)</f>
        <v>892.566310436899</v>
      </c>
      <c r="G227" s="1026" t="n">
        <f aca="false">D227-F227</f>
        <v>60738.5770876867</v>
      </c>
      <c r="H227" s="1026" t="n">
        <f aca="false">IF(B227&lt;=$D$97,E227+H226,0)</f>
        <v>37272.7869054284</v>
      </c>
      <c r="I227" s="654" t="n">
        <f aca="false">IF(B227&lt;=$D$97,F227+I226,0)</f>
        <v>89261.4229123133</v>
      </c>
      <c r="K227" s="1027" t="n">
        <f aca="false">K226+1</f>
        <v>118</v>
      </c>
      <c r="L227" s="1025" t="str">
        <f aca="false">IF(K227&lt;=$M$97,DATE(YEAR(L226),MONTH(L226)+12/$M$94,DAY(L226)),"0")</f>
        <v>0</v>
      </c>
      <c r="M227" s="1026" t="n">
        <f aca="false">IF(K227&lt;=$M$97,P226,0)</f>
        <v>0</v>
      </c>
      <c r="N227" s="1026" t="n">
        <f aca="false">(M227*$M$92*1)/1200</f>
        <v>0</v>
      </c>
      <c r="O227" s="1026" t="n">
        <f aca="false">IF(AND(K227&lt;=$M$97,K227&gt;$M$95),$M$101-N227,0)</f>
        <v>0</v>
      </c>
      <c r="P227" s="1026" t="n">
        <f aca="false">M227-O227</f>
        <v>0</v>
      </c>
      <c r="Q227" s="1026" t="n">
        <f aca="false">IF(K227&lt;=$M$97,Q226+N227,0)</f>
        <v>0</v>
      </c>
      <c r="R227" s="654" t="n">
        <f aca="false">IF(K227&lt;=$D$97,R226+O227,0)</f>
        <v>15000.0000000001</v>
      </c>
      <c r="T227" s="1027" t="n">
        <f aca="false">T226+1</f>
        <v>118</v>
      </c>
      <c r="U227" s="1025" t="str">
        <f aca="false">IF(T227&lt;=$V$97,DATE(YEAR(U226),MONTH(U226)+12/$V$94,DAY(U226)),"0")</f>
        <v>0</v>
      </c>
      <c r="V227" s="1026" t="n">
        <f aca="false">IF(T227&lt;=$V$97,Y226,0)</f>
        <v>0</v>
      </c>
      <c r="W227" s="1026" t="n">
        <f aca="false">(V227*$V$92*1)/1200</f>
        <v>0</v>
      </c>
      <c r="X227" s="1022" t="n">
        <f aca="false">IF(AND(T227&lt;=$V$97,T227&gt;$V$95),$V$101-W227,0)</f>
        <v>0</v>
      </c>
      <c r="Y227" s="1026" t="n">
        <f aca="false">V227-X227</f>
        <v>0</v>
      </c>
      <c r="Z227" s="1026" t="n">
        <f aca="false">IF(T227&lt;=$V$97,Z226+W227,0)</f>
        <v>0</v>
      </c>
      <c r="AA227" s="654" t="n">
        <f aca="false">IF(T227&lt;=$V$97,AA226+X227,0)</f>
        <v>0</v>
      </c>
      <c r="AB227" s="451"/>
      <c r="AC227" s="1027" t="n">
        <f aca="false">AC226+1</f>
        <v>118</v>
      </c>
      <c r="AD227" s="1025" t="str">
        <f aca="false">IF(AC227&lt;=$AE$97,DATE(YEAR(AD226),MONTH(AD226)+12/$AE$95,DAY(AD226)),"0")</f>
        <v>0</v>
      </c>
      <c r="AE227" s="1026" t="n">
        <f aca="false">IF(AC227&lt;=$AE$97,AH226,0)</f>
        <v>0</v>
      </c>
      <c r="AF227" s="1026" t="n">
        <f aca="false">(AE227*$AE$93*1)/1200</f>
        <v>0</v>
      </c>
      <c r="AG227" s="1022" t="n">
        <f aca="false">IF(AC227&lt;$AE$97,$AE$101-AF227,0)+IF(AC227=$AE$97,$AE$90+$AE$101-AF227,0)</f>
        <v>0</v>
      </c>
      <c r="AH227" s="1026" t="n">
        <f aca="false">AE227-AG227</f>
        <v>0</v>
      </c>
      <c r="AI227" s="1026" t="n">
        <f aca="false">IF(AC227&lt;=$AE$97,AI226+AF227,0)</f>
        <v>0</v>
      </c>
      <c r="AJ227" s="654" t="n">
        <f aca="false">IF(AC227&lt;=$AE$97,AJ226+AG227,0)</f>
        <v>0</v>
      </c>
      <c r="AL227" s="1027" t="n">
        <f aca="false">AL226+1</f>
        <v>118</v>
      </c>
      <c r="AM227" s="1025" t="str">
        <f aca="false">IF(AL227&lt;=$AN$97,DATE(YEAR(AM226),MONTH(AM226)+12/$AN$95,DAY(AM226)),"0")</f>
        <v>0</v>
      </c>
      <c r="AN227" s="1026" t="n">
        <f aca="false">IF(AL227&lt;=$AN$97,AQ226,0)</f>
        <v>0</v>
      </c>
      <c r="AO227" s="1026" t="n">
        <f aca="false">(AN227*$AN$93*1)/1200</f>
        <v>0</v>
      </c>
      <c r="AP227" s="1022" t="n">
        <f aca="false">IF(AL227&lt;$AN$97,$AN$101-AO227,0)+IF(AL227=$AN$97,$AN$90+$AN$101-AO227,0)</f>
        <v>0</v>
      </c>
      <c r="AQ227" s="1026" t="n">
        <f aca="false">AN227-AP227</f>
        <v>0</v>
      </c>
      <c r="AR227" s="1026" t="n">
        <f aca="false">IF(AL227&lt;=$AN$97,AR226+AO227,0)</f>
        <v>0</v>
      </c>
      <c r="AS227" s="654" t="n">
        <f aca="false">IF(AL227&lt;=$AN$97,AS226+AP227,0)</f>
        <v>0</v>
      </c>
      <c r="AU227" s="1027" t="n">
        <f aca="false">AU226+1</f>
        <v>118</v>
      </c>
      <c r="AV227" s="1025" t="str">
        <f aca="false">IF(AU227&lt;=$AW$97,DATE(YEAR(AV226),MONTH(AV226)+12/$AW$95,DAY(AV226)),"0")</f>
        <v>0</v>
      </c>
      <c r="AW227" s="1026" t="n">
        <f aca="false">IF(AU227&lt;=$AW$97,AZ226,0)</f>
        <v>0</v>
      </c>
      <c r="AX227" s="1026" t="n">
        <f aca="false">(AW227*$AW$93*1)/1200</f>
        <v>0</v>
      </c>
      <c r="AY227" s="1022" t="n">
        <f aca="false">IF(AU227&lt;$AW$97,$AW$101-AX227,0)+IF(AU227=$AW$97,$AW$90+$AW$101-AX227,0)</f>
        <v>0</v>
      </c>
      <c r="AZ227" s="1026" t="n">
        <f aca="false">AW227-AY227</f>
        <v>0</v>
      </c>
      <c r="BA227" s="1026" t="n">
        <f aca="false">IF(AU227&lt;=$AW$97,BA226+AX227,0)</f>
        <v>0</v>
      </c>
      <c r="BB227" s="654" t="n">
        <f aca="false">IF(AU227&lt;=$AW$97,BB226+AY227,0)</f>
        <v>0</v>
      </c>
    </row>
    <row r="228" customFormat="false" ht="12.75" hidden="false" customHeight="false" outlineLevel="0" collapsed="false">
      <c r="B228" s="1024" t="n">
        <v>119</v>
      </c>
      <c r="C228" s="1025" t="n">
        <f aca="false">IF(B228&lt;=$D$97,DATE(YEAR(C227),MONTH(C227)+12/$D$94,DAY(C227)),"0")</f>
        <v>48582</v>
      </c>
      <c r="D228" s="1026" t="n">
        <f aca="false">IF(B228=1,$D$90,G227)</f>
        <v>60738.5770876867</v>
      </c>
      <c r="E228" s="1026" t="n">
        <f aca="false">(D228*$D$92*1)/1200</f>
        <v>177.15418317242</v>
      </c>
      <c r="F228" s="1026" t="n">
        <f aca="false">IF(AND(B228&lt;=$D$97,B228&gt;$D$95),$D$101-E228,0)</f>
        <v>895.16962884234</v>
      </c>
      <c r="G228" s="1026" t="n">
        <f aca="false">D228-F228</f>
        <v>59843.4074588444</v>
      </c>
      <c r="H228" s="1026" t="n">
        <f aca="false">IF(B228&lt;=$D$97,E228+H227,0)</f>
        <v>37449.9410886008</v>
      </c>
      <c r="I228" s="654" t="n">
        <f aca="false">IF(B228&lt;=$D$97,F228+I227,0)</f>
        <v>90156.5925411556</v>
      </c>
      <c r="K228" s="1027" t="n">
        <f aca="false">K227+1</f>
        <v>119</v>
      </c>
      <c r="L228" s="1025" t="str">
        <f aca="false">IF(K228&lt;=$M$97,DATE(YEAR(L227),MONTH(L227)+12/$M$94,DAY(L227)),"0")</f>
        <v>0</v>
      </c>
      <c r="M228" s="1026" t="n">
        <f aca="false">IF(K228&lt;=$M$97,P227,0)</f>
        <v>0</v>
      </c>
      <c r="N228" s="1026" t="n">
        <f aca="false">(M228*$M$92*1)/1200</f>
        <v>0</v>
      </c>
      <c r="O228" s="1026" t="n">
        <f aca="false">IF(AND(K228&lt;=$M$97,K228&gt;$M$95),$M$101-N228,0)</f>
        <v>0</v>
      </c>
      <c r="P228" s="1026" t="n">
        <f aca="false">M228-O228</f>
        <v>0</v>
      </c>
      <c r="Q228" s="1026" t="n">
        <f aca="false">IF(K228&lt;=$M$97,Q227+N228,0)</f>
        <v>0</v>
      </c>
      <c r="R228" s="654" t="n">
        <f aca="false">IF(K228&lt;=$D$97,R227+O228,0)</f>
        <v>15000.0000000001</v>
      </c>
      <c r="T228" s="1027" t="n">
        <f aca="false">T227+1</f>
        <v>119</v>
      </c>
      <c r="U228" s="1025" t="str">
        <f aca="false">IF(T228&lt;=$V$97,DATE(YEAR(U227),MONTH(U227)+12/$V$94,DAY(U227)),"0")</f>
        <v>0</v>
      </c>
      <c r="V228" s="1026" t="n">
        <f aca="false">IF(T228&lt;=$V$97,Y227,0)</f>
        <v>0</v>
      </c>
      <c r="W228" s="1026" t="n">
        <f aca="false">(V228*$V$92*1)/1200</f>
        <v>0</v>
      </c>
      <c r="X228" s="1022" t="n">
        <f aca="false">IF(AND(T228&lt;=$V$97,T228&gt;$V$95),$V$101-W228,0)</f>
        <v>0</v>
      </c>
      <c r="Y228" s="1026" t="n">
        <f aca="false">V228-X228</f>
        <v>0</v>
      </c>
      <c r="Z228" s="1026" t="n">
        <f aca="false">IF(T228&lt;=$V$97,Z227+W228,0)</f>
        <v>0</v>
      </c>
      <c r="AA228" s="654" t="n">
        <f aca="false">IF(T228&lt;=$V$97,AA227+X228,0)</f>
        <v>0</v>
      </c>
      <c r="AB228" s="451"/>
      <c r="AC228" s="1027" t="n">
        <f aca="false">AC227+1</f>
        <v>119</v>
      </c>
      <c r="AD228" s="1025" t="str">
        <f aca="false">IF(AC228&lt;=$AE$97,DATE(YEAR(AD227),MONTH(AD227)+12/$AE$95,DAY(AD227)),"0")</f>
        <v>0</v>
      </c>
      <c r="AE228" s="1026" t="n">
        <f aca="false">IF(AC228&lt;=$AE$97,AH227,0)</f>
        <v>0</v>
      </c>
      <c r="AF228" s="1026" t="n">
        <f aca="false">(AE228*$AE$93*1)/1200</f>
        <v>0</v>
      </c>
      <c r="AG228" s="1022" t="n">
        <f aca="false">IF(AC228&lt;$AE$97,$AE$101-AF228,0)+IF(AC228=$AE$97,$AE$90+$AE$101-AF228,0)</f>
        <v>0</v>
      </c>
      <c r="AH228" s="1026" t="n">
        <f aca="false">AE228-AG228</f>
        <v>0</v>
      </c>
      <c r="AI228" s="1026" t="n">
        <f aca="false">IF(AC228&lt;=$AE$97,AI227+AF228,0)</f>
        <v>0</v>
      </c>
      <c r="AJ228" s="654" t="n">
        <f aca="false">IF(AC228&lt;=$AE$97,AJ227+AG228,0)</f>
        <v>0</v>
      </c>
      <c r="AL228" s="1027" t="n">
        <f aca="false">AL227+1</f>
        <v>119</v>
      </c>
      <c r="AM228" s="1025" t="str">
        <f aca="false">IF(AL228&lt;=$AN$97,DATE(YEAR(AM227),MONTH(AM227)+12/$AN$95,DAY(AM227)),"0")</f>
        <v>0</v>
      </c>
      <c r="AN228" s="1026" t="n">
        <f aca="false">IF(AL228&lt;=$AN$97,AQ227,0)</f>
        <v>0</v>
      </c>
      <c r="AO228" s="1026" t="n">
        <f aca="false">(AN228*$AN$93*1)/1200</f>
        <v>0</v>
      </c>
      <c r="AP228" s="1022" t="n">
        <f aca="false">IF(AL228&lt;$AN$97,$AN$101-AO228,0)+IF(AL228=$AN$97,$AN$90+$AN$101-AO228,0)</f>
        <v>0</v>
      </c>
      <c r="AQ228" s="1026" t="n">
        <f aca="false">AN228-AP228</f>
        <v>0</v>
      </c>
      <c r="AR228" s="1026" t="n">
        <f aca="false">IF(AL228&lt;=$AN$97,AR227+AO228,0)</f>
        <v>0</v>
      </c>
      <c r="AS228" s="654" t="n">
        <f aca="false">IF(AL228&lt;=$AN$97,AS227+AP228,0)</f>
        <v>0</v>
      </c>
      <c r="AU228" s="1027" t="n">
        <f aca="false">AU227+1</f>
        <v>119</v>
      </c>
      <c r="AV228" s="1025" t="str">
        <f aca="false">IF(AU228&lt;=$AW$97,DATE(YEAR(AV227),MONTH(AV227)+12/$AW$95,DAY(AV227)),"0")</f>
        <v>0</v>
      </c>
      <c r="AW228" s="1026" t="n">
        <f aca="false">IF(AU228&lt;=$AW$97,AZ227,0)</f>
        <v>0</v>
      </c>
      <c r="AX228" s="1026" t="n">
        <f aca="false">(AW228*$AW$93*1)/1200</f>
        <v>0</v>
      </c>
      <c r="AY228" s="1022" t="n">
        <f aca="false">IF(AU228&lt;$AW$97,$AW$101-AX228,0)+IF(AU228=$AW$97,$AW$90+$AW$101-AX228,0)</f>
        <v>0</v>
      </c>
      <c r="AZ228" s="1026" t="n">
        <f aca="false">AW228-AY228</f>
        <v>0</v>
      </c>
      <c r="BA228" s="1026" t="n">
        <f aca="false">IF(AU228&lt;=$AW$97,BA227+AX228,0)</f>
        <v>0</v>
      </c>
      <c r="BB228" s="654" t="n">
        <f aca="false">IF(AU228&lt;=$AW$97,BB227+AY228,0)</f>
        <v>0</v>
      </c>
    </row>
    <row r="229" customFormat="false" ht="13.5" hidden="false" customHeight="false" outlineLevel="0" collapsed="false">
      <c r="B229" s="1028" t="n">
        <v>120</v>
      </c>
      <c r="C229" s="1029" t="n">
        <f aca="false">IF(B229&lt;=$D$97,DATE(YEAR(C228),MONTH(C228)+12/$D$94,DAY(C228)),"0")</f>
        <v>48613</v>
      </c>
      <c r="D229" s="1030" t="n">
        <f aca="false">IF(B229=1,$D$90,G228)</f>
        <v>59843.4074588444</v>
      </c>
      <c r="E229" s="1030" t="n">
        <f aca="false">(D229*$D$92*1)/1200</f>
        <v>174.543271754963</v>
      </c>
      <c r="F229" s="1030" t="n">
        <f aca="false">IF(AND(B229&lt;=$D$97,B229&gt;$D$95),$D$101-E229,0)</f>
        <v>897.780540259797</v>
      </c>
      <c r="G229" s="1030" t="n">
        <f aca="false">D229-F229</f>
        <v>58945.6269185846</v>
      </c>
      <c r="H229" s="1030" t="n">
        <f aca="false">IF(B229&lt;=$D$97,E229+H228,0)</f>
        <v>37624.4843603557</v>
      </c>
      <c r="I229" s="1031" t="n">
        <f aca="false">IF(B229&lt;=$D$97,F229+I228,0)</f>
        <v>91054.3730814154</v>
      </c>
      <c r="K229" s="1032" t="n">
        <f aca="false">K228+1</f>
        <v>120</v>
      </c>
      <c r="L229" s="1029" t="str">
        <f aca="false">IF(K229&lt;=$M$97,DATE(YEAR(L228),MONTH(L228)+12/$M$94,DAY(L228)),"0")</f>
        <v>0</v>
      </c>
      <c r="M229" s="1030" t="n">
        <f aca="false">IF(K229&lt;=$M$97,P228,0)</f>
        <v>0</v>
      </c>
      <c r="N229" s="1030" t="n">
        <f aca="false">(M229*$M$92*1)/1200</f>
        <v>0</v>
      </c>
      <c r="O229" s="1030" t="n">
        <f aca="false">IF(AND(K229&lt;=$M$97,K229&gt;$M$95),$M$101-N229,0)</f>
        <v>0</v>
      </c>
      <c r="P229" s="1030" t="n">
        <f aca="false">M229-O229</f>
        <v>0</v>
      </c>
      <c r="Q229" s="1030" t="n">
        <f aca="false">IF(K229&lt;=$M$97,Q228+N229,0)</f>
        <v>0</v>
      </c>
      <c r="R229" s="1031" t="n">
        <f aca="false">IF(K229&lt;=$D$97,R228+O229,0)</f>
        <v>15000.0000000001</v>
      </c>
      <c r="T229" s="1032" t="n">
        <f aca="false">T228+1</f>
        <v>120</v>
      </c>
      <c r="U229" s="1029" t="str">
        <f aca="false">IF(T229&lt;=$V$97,DATE(YEAR(U228),MONTH(U228)+12/$V$94,DAY(U228)),"0")</f>
        <v>0</v>
      </c>
      <c r="V229" s="1030" t="n">
        <f aca="false">IF(T229&lt;=$V$97,Y228,0)</f>
        <v>0</v>
      </c>
      <c r="W229" s="1030" t="n">
        <f aca="false">(V229*$V$92*1)/1200</f>
        <v>0</v>
      </c>
      <c r="X229" s="1030" t="n">
        <f aca="false">IF(AND(T229&lt;=$V$97,T229&gt;$V$95),$V$101-W229,0)</f>
        <v>0</v>
      </c>
      <c r="Y229" s="1030" t="n">
        <f aca="false">V229-X229</f>
        <v>0</v>
      </c>
      <c r="Z229" s="1030" t="n">
        <f aca="false">IF(T229&lt;=$V$97,Z228+W229,0)</f>
        <v>0</v>
      </c>
      <c r="AA229" s="1031" t="n">
        <f aca="false">IF(T229&lt;=$V$97,AA228+X229,0)</f>
        <v>0</v>
      </c>
      <c r="AB229" s="451"/>
      <c r="AC229" s="1032" t="n">
        <f aca="false">AC228+1</f>
        <v>120</v>
      </c>
      <c r="AD229" s="1030" t="str">
        <f aca="false">IF(AC229&lt;=$AE$97,DATE(YEAR(AD228),MONTH(AD228)+12/$AE$95,DAY(AD228)),"0")</f>
        <v>0</v>
      </c>
      <c r="AE229" s="1030" t="n">
        <f aca="false">IF(AC229&lt;=$AE$97,AH228,0)</f>
        <v>0</v>
      </c>
      <c r="AF229" s="1030" t="n">
        <f aca="false">(AE229*$AE$93*1)/1200</f>
        <v>0</v>
      </c>
      <c r="AG229" s="1030" t="n">
        <f aca="false">IF(AC229&lt;$AE$97,$AE$101-AF229,0)+IF(AC229=$AE$97,$AE$90+$AE$101-AF229,0)</f>
        <v>0</v>
      </c>
      <c r="AH229" s="1030" t="n">
        <f aca="false">AE229-AG229</f>
        <v>0</v>
      </c>
      <c r="AI229" s="1030" t="n">
        <f aca="false">IF(AC229&lt;=$AE$97,AI228+AF229,0)</f>
        <v>0</v>
      </c>
      <c r="AJ229" s="1031" t="n">
        <f aca="false">IF(AC229&lt;=$AE$97,AJ228+AG229,0)</f>
        <v>0</v>
      </c>
      <c r="AL229" s="1032" t="n">
        <f aca="false">AL228+1</f>
        <v>120</v>
      </c>
      <c r="AM229" s="1030" t="str">
        <f aca="false">IF(AL229&lt;=$AN$97,DATE(YEAR(AM228),MONTH(AM228)+12/$AN$95,DAY(AM228)),"0")</f>
        <v>0</v>
      </c>
      <c r="AN229" s="1030" t="n">
        <f aca="false">IF(AL229&lt;=$AN$97,AQ228,0)</f>
        <v>0</v>
      </c>
      <c r="AO229" s="1030" t="n">
        <f aca="false">(AN229*$AN$93*1)/1200</f>
        <v>0</v>
      </c>
      <c r="AP229" s="1030" t="n">
        <f aca="false">IF(AL229&lt;$AN$97,$AN$101-AO229,0)+IF(AL229=$AN$97,$AN$90+$AN$101-AO229,0)</f>
        <v>0</v>
      </c>
      <c r="AQ229" s="1030" t="n">
        <f aca="false">AN229-AP229</f>
        <v>0</v>
      </c>
      <c r="AR229" s="1030" t="n">
        <f aca="false">IF(AL229&lt;=$AN$97,AR228+AO229,0)</f>
        <v>0</v>
      </c>
      <c r="AS229" s="1031" t="n">
        <f aca="false">IF(AL229&lt;=$AN$97,AS228+AP229,0)</f>
        <v>0</v>
      </c>
      <c r="AU229" s="1032" t="n">
        <f aca="false">AU228+1</f>
        <v>120</v>
      </c>
      <c r="AV229" s="1030" t="str">
        <f aca="false">IF(AU229&lt;=$AW$97,DATE(YEAR(AV228),MONTH(AV228)+12/$AW$95,DAY(AV228)),"0")</f>
        <v>0</v>
      </c>
      <c r="AW229" s="1030" t="n">
        <f aca="false">IF(AU229&lt;=$AW$97,AZ228,0)</f>
        <v>0</v>
      </c>
      <c r="AX229" s="1030" t="n">
        <f aca="false">(AW229*$AW$93*1)/1200</f>
        <v>0</v>
      </c>
      <c r="AY229" s="1030" t="n">
        <f aca="false">IF(AU229&lt;$AW$97,$AW$101-AX229,0)+IF(AU229=$AW$97,$AW$90+$AW$101-AX229,0)</f>
        <v>0</v>
      </c>
      <c r="AZ229" s="1030" t="n">
        <f aca="false">AW229-AY229</f>
        <v>0</v>
      </c>
      <c r="BA229" s="1030" t="n">
        <f aca="false">IF(AU229&lt;=$AW$97,BA228+AX229,0)</f>
        <v>0</v>
      </c>
      <c r="BB229" s="1031" t="n">
        <f aca="false">IF(AU229&lt;=$AW$97,BB228+AY229,0)</f>
        <v>0</v>
      </c>
    </row>
    <row r="230" customFormat="false" ht="13.5" hidden="false" customHeight="false" outlineLevel="0" collapsed="false">
      <c r="B230" s="451"/>
      <c r="C230" s="451"/>
      <c r="D230" s="451"/>
      <c r="E230" s="549"/>
      <c r="F230" s="1033"/>
      <c r="G230" s="451"/>
      <c r="H230" s="451"/>
      <c r="I230" s="451"/>
      <c r="K230" s="451"/>
      <c r="L230" s="451"/>
      <c r="M230" s="451"/>
      <c r="N230" s="549"/>
      <c r="O230" s="1033"/>
      <c r="P230" s="451"/>
      <c r="Q230" s="451"/>
      <c r="R230" s="451"/>
      <c r="T230" s="451"/>
      <c r="U230" s="451"/>
      <c r="V230" s="451"/>
      <c r="X230" s="1033"/>
      <c r="Y230" s="451"/>
      <c r="Z230" s="451"/>
      <c r="AA230" s="451"/>
      <c r="AB230" s="451"/>
      <c r="AC230" s="451"/>
      <c r="AD230" s="451"/>
      <c r="AE230" s="451"/>
      <c r="AF230" s="451"/>
      <c r="AG230" s="929"/>
      <c r="AH230" s="929"/>
      <c r="AI230" s="929"/>
    </row>
    <row r="231" customFormat="false" ht="12.75" hidden="false" customHeight="false" outlineLevel="0" collapsed="false">
      <c r="AB231" s="451"/>
      <c r="AC231" s="451"/>
      <c r="AD231" s="451"/>
      <c r="AE231" s="451"/>
      <c r="AF231" s="451"/>
      <c r="AG231" s="929"/>
      <c r="AH231" s="929"/>
      <c r="AI231" s="929"/>
    </row>
    <row r="232" customFormat="false" ht="12.75" hidden="false" customHeight="false" outlineLevel="0" collapsed="false">
      <c r="A232" s="451"/>
      <c r="B232" s="451"/>
      <c r="C232" s="451"/>
      <c r="D232" s="549"/>
      <c r="E232" s="451"/>
      <c r="F232" s="451"/>
      <c r="G232" s="451"/>
      <c r="H232" s="451"/>
      <c r="J232" s="451"/>
      <c r="K232" s="451"/>
      <c r="L232" s="451"/>
      <c r="M232" s="549"/>
      <c r="N232" s="451"/>
      <c r="O232" s="451"/>
      <c r="P232" s="451"/>
      <c r="Q232" s="451"/>
      <c r="S232" s="451"/>
      <c r="T232" s="451"/>
      <c r="U232" s="451"/>
      <c r="V232" s="549"/>
      <c r="X232" s="451"/>
      <c r="Y232" s="451"/>
      <c r="Z232" s="451"/>
      <c r="AB232" s="451"/>
      <c r="AC232" s="451"/>
      <c r="AD232" s="451"/>
      <c r="AE232" s="451"/>
      <c r="AF232" s="451"/>
      <c r="AG232" s="929"/>
      <c r="AH232" s="929"/>
      <c r="AI232" s="929"/>
    </row>
    <row r="233" customFormat="false" ht="12.75" hidden="false" customHeight="false" outlineLevel="0" collapsed="false">
      <c r="H233" s="93"/>
      <c r="J233" s="451"/>
      <c r="K233" s="1034"/>
      <c r="L233" s="451"/>
      <c r="M233" s="451"/>
      <c r="N233" s="451"/>
      <c r="O233" s="929"/>
      <c r="P233" s="929"/>
      <c r="Q233" s="929"/>
      <c r="S233" s="451"/>
      <c r="T233" s="451"/>
      <c r="U233" s="451"/>
      <c r="V233" s="451"/>
      <c r="X233" s="929"/>
      <c r="Y233" s="929"/>
      <c r="Z233" s="929"/>
      <c r="AB233" s="451"/>
      <c r="AC233" s="451"/>
      <c r="AD233" s="451"/>
      <c r="AE233" s="451"/>
      <c r="AF233" s="451"/>
      <c r="AG233" s="929"/>
      <c r="AH233" s="929"/>
      <c r="AI233" s="929"/>
    </row>
    <row r="234" customFormat="false" ht="12.75" hidden="false" customHeight="false" outlineLevel="0" collapsed="false">
      <c r="H234" s="93"/>
      <c r="J234" s="451"/>
      <c r="K234" s="1034"/>
      <c r="L234" s="451"/>
      <c r="M234" s="451"/>
      <c r="N234" s="451"/>
      <c r="O234" s="929"/>
      <c r="P234" s="929"/>
      <c r="Q234" s="929"/>
      <c r="S234" s="451"/>
      <c r="T234" s="451"/>
      <c r="U234" s="451"/>
      <c r="V234" s="451"/>
      <c r="X234" s="929"/>
      <c r="Y234" s="929"/>
      <c r="Z234" s="929"/>
      <c r="AB234" s="451"/>
      <c r="AC234" s="451"/>
      <c r="AD234" s="451"/>
      <c r="AE234" s="451"/>
      <c r="AF234" s="451"/>
      <c r="AG234" s="929"/>
      <c r="AH234" s="929"/>
      <c r="AI234" s="929"/>
    </row>
    <row r="235" customFormat="false" ht="12.75" hidden="false" customHeight="false" outlineLevel="0" collapsed="false">
      <c r="Y235" s="929"/>
      <c r="Z235" s="929"/>
      <c r="AB235" s="451"/>
      <c r="AC235" s="451"/>
      <c r="AD235" s="451"/>
      <c r="AE235" s="451"/>
      <c r="AF235" s="451"/>
      <c r="AG235" s="929"/>
      <c r="AH235" s="929"/>
      <c r="AI235" s="929"/>
    </row>
    <row r="236" customFormat="false" ht="12.75" hidden="false" customHeight="false" outlineLevel="0" collapsed="false">
      <c r="Y236" s="929"/>
      <c r="Z236" s="929"/>
      <c r="AB236" s="451"/>
      <c r="AC236" s="451"/>
      <c r="AD236" s="451"/>
      <c r="AE236" s="451"/>
      <c r="AF236" s="451"/>
      <c r="AG236" s="929"/>
      <c r="AH236" s="929"/>
      <c r="AI236" s="929"/>
    </row>
    <row r="237" customFormat="false" ht="12.75" hidden="false" customHeight="false" outlineLevel="0" collapsed="false">
      <c r="Y237" s="929"/>
      <c r="Z237" s="929"/>
      <c r="AB237" s="451"/>
      <c r="AC237" s="451"/>
      <c r="AD237" s="451"/>
      <c r="AE237" s="451"/>
      <c r="AF237" s="451"/>
      <c r="AG237" s="929"/>
      <c r="AH237" s="929"/>
      <c r="AI237" s="929"/>
    </row>
    <row r="238" customFormat="false" ht="12.75" hidden="false" customHeight="true" outlineLevel="0" collapsed="false">
      <c r="Y238" s="929"/>
      <c r="Z238" s="929"/>
      <c r="AB238" s="451"/>
      <c r="AC238" s="451"/>
      <c r="AD238" s="451"/>
      <c r="AE238" s="451"/>
      <c r="AF238" s="451"/>
      <c r="AG238" s="929"/>
      <c r="AH238" s="929"/>
      <c r="AI238" s="929"/>
    </row>
    <row r="239" customFormat="false" ht="12.75" hidden="false" customHeight="false" outlineLevel="0" collapsed="false">
      <c r="Y239" s="929"/>
      <c r="Z239" s="929"/>
      <c r="AB239" s="451"/>
      <c r="AC239" s="451"/>
      <c r="AD239" s="451"/>
      <c r="AE239" s="451"/>
      <c r="AF239" s="451"/>
      <c r="AG239" s="929"/>
      <c r="AH239" s="929"/>
      <c r="AI239" s="929"/>
    </row>
    <row r="240" customFormat="false" ht="12.75" hidden="false" customHeight="false" outlineLevel="0" collapsed="false">
      <c r="Y240" s="929"/>
      <c r="Z240" s="929"/>
      <c r="AB240" s="451"/>
      <c r="AC240" s="451"/>
      <c r="AD240" s="451"/>
      <c r="AE240" s="451"/>
      <c r="AF240" s="451"/>
      <c r="AG240" s="929"/>
      <c r="AH240" s="929"/>
      <c r="AI240" s="929"/>
    </row>
    <row r="241" customFormat="false" ht="12.75" hidden="false" customHeight="false" outlineLevel="0" collapsed="false">
      <c r="Y241" s="929"/>
      <c r="Z241" s="929"/>
      <c r="AB241" s="451"/>
      <c r="AC241" s="451"/>
      <c r="AD241" s="451"/>
      <c r="AE241" s="451"/>
      <c r="AF241" s="451"/>
      <c r="AG241" s="929"/>
      <c r="AH241" s="929"/>
      <c r="AI241" s="929"/>
    </row>
    <row r="242" customFormat="false" ht="12.75" hidden="false" customHeight="false" outlineLevel="0" collapsed="false">
      <c r="Y242" s="929"/>
      <c r="Z242" s="929"/>
      <c r="AB242" s="451"/>
      <c r="AC242" s="451"/>
      <c r="AD242" s="451"/>
      <c r="AE242" s="451"/>
      <c r="AF242" s="451"/>
      <c r="AG242" s="929"/>
      <c r="AH242" s="929"/>
      <c r="AI242" s="929"/>
    </row>
    <row r="243" customFormat="false" ht="12.75" hidden="false" customHeight="false" outlineLevel="0" collapsed="false">
      <c r="Y243" s="929"/>
      <c r="Z243" s="929"/>
      <c r="AB243" s="451"/>
      <c r="AC243" s="451"/>
      <c r="AD243" s="451"/>
      <c r="AE243" s="451"/>
      <c r="AF243" s="451"/>
      <c r="AG243" s="929"/>
      <c r="AH243" s="929"/>
      <c r="AI243" s="929"/>
    </row>
    <row r="244" customFormat="false" ht="12.75" hidden="false" customHeight="false" outlineLevel="0" collapsed="false">
      <c r="Y244" s="929"/>
      <c r="Z244" s="929"/>
      <c r="AB244" s="451"/>
      <c r="AC244" s="451"/>
      <c r="AD244" s="451"/>
      <c r="AE244" s="451"/>
      <c r="AF244" s="451"/>
      <c r="AG244" s="929"/>
      <c r="AH244" s="929"/>
      <c r="AI244" s="929"/>
    </row>
    <row r="245" customFormat="false" ht="12.75" hidden="false" customHeight="false" outlineLevel="0" collapsed="false">
      <c r="Y245" s="929"/>
      <c r="Z245" s="929"/>
      <c r="AB245" s="451"/>
      <c r="AC245" s="451"/>
      <c r="AD245" s="451"/>
      <c r="AE245" s="451"/>
      <c r="AF245" s="451"/>
      <c r="AG245" s="929"/>
      <c r="AH245" s="929"/>
      <c r="AI245" s="929"/>
    </row>
    <row r="246" customFormat="false" ht="12.75" hidden="false" customHeight="false" outlineLevel="0" collapsed="false">
      <c r="Y246" s="929"/>
      <c r="Z246" s="929"/>
      <c r="AB246" s="451"/>
      <c r="AC246" s="451"/>
      <c r="AD246" s="451"/>
      <c r="AE246" s="451"/>
      <c r="AF246" s="451"/>
      <c r="AG246" s="929"/>
      <c r="AH246" s="929"/>
      <c r="AI246" s="929"/>
    </row>
    <row r="247" customFormat="false" ht="12.75" hidden="false" customHeight="false" outlineLevel="0" collapsed="false">
      <c r="Y247" s="929"/>
      <c r="Z247" s="929"/>
      <c r="AB247" s="451"/>
      <c r="AC247" s="451"/>
      <c r="AD247" s="451"/>
      <c r="AE247" s="451"/>
      <c r="AF247" s="451"/>
      <c r="AG247" s="929"/>
      <c r="AH247" s="929"/>
      <c r="AI247" s="929"/>
    </row>
    <row r="248" customFormat="false" ht="12.75" hidden="false" customHeight="false" outlineLevel="0" collapsed="false">
      <c r="Y248" s="929"/>
      <c r="Z248" s="929"/>
      <c r="AB248" s="451"/>
      <c r="AC248" s="451"/>
      <c r="AD248" s="451"/>
      <c r="AE248" s="451"/>
      <c r="AF248" s="451"/>
      <c r="AG248" s="929"/>
      <c r="AH248" s="929"/>
      <c r="AI248" s="929"/>
    </row>
    <row r="249" customFormat="false" ht="12.75" hidden="false" customHeight="false" outlineLevel="0" collapsed="false">
      <c r="Y249" s="929"/>
      <c r="Z249" s="929"/>
      <c r="AB249" s="451"/>
      <c r="AC249" s="451"/>
      <c r="AD249" s="451"/>
      <c r="AE249" s="451"/>
      <c r="AF249" s="451"/>
      <c r="AG249" s="929"/>
      <c r="AH249" s="929"/>
      <c r="AI249" s="929"/>
    </row>
    <row r="250" s="23" customFormat="true" ht="12.75" hidden="false" customHeight="false" outlineLevel="0" collapsed="false">
      <c r="W250" s="267"/>
      <c r="Y250" s="999"/>
      <c r="Z250" s="999"/>
      <c r="AG250" s="999"/>
      <c r="AH250" s="999"/>
      <c r="AI250" s="999"/>
    </row>
    <row r="251" customFormat="false" ht="12.75" hidden="false" customHeight="false" outlineLevel="0" collapsed="false">
      <c r="Y251" s="929"/>
      <c r="Z251" s="929"/>
      <c r="AB251" s="451"/>
      <c r="AC251" s="451"/>
      <c r="AD251" s="451"/>
      <c r="AE251" s="451"/>
      <c r="AF251" s="451"/>
      <c r="AG251" s="929"/>
      <c r="AH251" s="929"/>
      <c r="AI251" s="929"/>
    </row>
    <row r="252" customFormat="false" ht="12.75" hidden="false" customHeight="false" outlineLevel="0" collapsed="false">
      <c r="Y252" s="929"/>
      <c r="Z252" s="929"/>
      <c r="AB252" s="451"/>
      <c r="AC252" s="451"/>
      <c r="AD252" s="451"/>
      <c r="AE252" s="451"/>
      <c r="AF252" s="451"/>
      <c r="AG252" s="929"/>
      <c r="AH252" s="929"/>
      <c r="AI252" s="929"/>
    </row>
    <row r="253" customFormat="false" ht="12.75" hidden="false" customHeight="false" outlineLevel="0" collapsed="false">
      <c r="Y253" s="929"/>
      <c r="Z253" s="929"/>
      <c r="AB253" s="451"/>
      <c r="AC253" s="451"/>
      <c r="AD253" s="451"/>
      <c r="AE253" s="451"/>
      <c r="AF253" s="451"/>
      <c r="AG253" s="929"/>
      <c r="AH253" s="929"/>
      <c r="AI253" s="929"/>
    </row>
    <row r="254" customFormat="false" ht="12.75" hidden="false" customHeight="false" outlineLevel="0" collapsed="false">
      <c r="Y254" s="929"/>
      <c r="Z254" s="929"/>
      <c r="AB254" s="451"/>
      <c r="AC254" s="451"/>
      <c r="AD254" s="451"/>
      <c r="AE254" s="451"/>
      <c r="AF254" s="451"/>
      <c r="AG254" s="929"/>
      <c r="AH254" s="929"/>
      <c r="AI254" s="929"/>
    </row>
    <row r="255" customFormat="false" ht="12.75" hidden="false" customHeight="false" outlineLevel="0" collapsed="false">
      <c r="Y255" s="929"/>
      <c r="Z255" s="929"/>
      <c r="AB255" s="451"/>
      <c r="AC255" s="451"/>
      <c r="AD255" s="451"/>
      <c r="AE255" s="451"/>
      <c r="AF255" s="451"/>
      <c r="AG255" s="929"/>
      <c r="AH255" s="929"/>
      <c r="AI255" s="929"/>
    </row>
    <row r="256" customFormat="false" ht="12.75" hidden="false" customHeight="false" outlineLevel="0" collapsed="false">
      <c r="Y256" s="929"/>
      <c r="Z256" s="929"/>
      <c r="AB256" s="451"/>
      <c r="AC256" s="451"/>
      <c r="AD256" s="451"/>
      <c r="AE256" s="451"/>
      <c r="AF256" s="451"/>
      <c r="AG256" s="929"/>
      <c r="AH256" s="929"/>
      <c r="AI256" s="929"/>
    </row>
    <row r="257" customFormat="false" ht="12.75" hidden="false" customHeight="false" outlineLevel="0" collapsed="false">
      <c r="Y257" s="929"/>
      <c r="Z257" s="929"/>
      <c r="AB257" s="451"/>
      <c r="AC257" s="451"/>
      <c r="AD257" s="451"/>
      <c r="AE257" s="451"/>
      <c r="AF257" s="451"/>
      <c r="AG257" s="929"/>
      <c r="AH257" s="929"/>
      <c r="AI257" s="929"/>
    </row>
    <row r="258" customFormat="false" ht="12.75" hidden="false" customHeight="false" outlineLevel="0" collapsed="false">
      <c r="Y258" s="929"/>
      <c r="Z258" s="929"/>
      <c r="AB258" s="451"/>
      <c r="AC258" s="451"/>
      <c r="AD258" s="451"/>
      <c r="AE258" s="451"/>
      <c r="AF258" s="451"/>
      <c r="AG258" s="929"/>
      <c r="AH258" s="929"/>
      <c r="AI258" s="929"/>
    </row>
    <row r="259" customFormat="false" ht="12.75" hidden="false" customHeight="false" outlineLevel="0" collapsed="false">
      <c r="Y259" s="929"/>
      <c r="Z259" s="929"/>
      <c r="AB259" s="451"/>
      <c r="AC259" s="451"/>
      <c r="AD259" s="451"/>
      <c r="AE259" s="451"/>
      <c r="AF259" s="451"/>
      <c r="AG259" s="929"/>
      <c r="AH259" s="929"/>
      <c r="AI259" s="929"/>
    </row>
    <row r="260" customFormat="false" ht="12.75" hidden="false" customHeight="false" outlineLevel="0" collapsed="false">
      <c r="Y260" s="929"/>
      <c r="Z260" s="929"/>
      <c r="AB260" s="451"/>
      <c r="AC260" s="451"/>
      <c r="AD260" s="451"/>
      <c r="AE260" s="451"/>
      <c r="AF260" s="451"/>
      <c r="AG260" s="929"/>
      <c r="AH260" s="929"/>
      <c r="AI260" s="929"/>
    </row>
    <row r="261" customFormat="false" ht="12.75" hidden="false" customHeight="false" outlineLevel="0" collapsed="false">
      <c r="Y261" s="929"/>
      <c r="Z261" s="929"/>
      <c r="AB261" s="451"/>
      <c r="AC261" s="451"/>
      <c r="AD261" s="451"/>
      <c r="AE261" s="451"/>
      <c r="AF261" s="451"/>
      <c r="AG261" s="929"/>
      <c r="AH261" s="929"/>
      <c r="AI261" s="929"/>
    </row>
    <row r="262" s="23" customFormat="true" ht="12.75" hidden="false" customHeight="false" outlineLevel="0" collapsed="false">
      <c r="W262" s="267"/>
      <c r="Y262" s="999"/>
      <c r="Z262" s="999"/>
      <c r="AG262" s="999"/>
      <c r="AH262" s="999"/>
      <c r="AI262" s="999"/>
    </row>
    <row r="263" customFormat="false" ht="12.75" hidden="false" customHeight="false" outlineLevel="0" collapsed="false">
      <c r="Y263" s="929"/>
      <c r="Z263" s="929"/>
      <c r="AB263" s="451"/>
      <c r="AC263" s="451"/>
      <c r="AD263" s="451"/>
      <c r="AE263" s="451"/>
      <c r="AF263" s="451"/>
      <c r="AG263" s="929"/>
      <c r="AH263" s="929"/>
      <c r="AI263" s="929"/>
    </row>
    <row r="264" customFormat="false" ht="12.75" hidden="false" customHeight="false" outlineLevel="0" collapsed="false">
      <c r="Y264" s="929"/>
      <c r="Z264" s="929"/>
      <c r="AB264" s="451"/>
      <c r="AC264" s="451"/>
      <c r="AD264" s="451"/>
      <c r="AE264" s="451"/>
      <c r="AF264" s="451"/>
      <c r="AG264" s="929"/>
      <c r="AH264" s="929"/>
      <c r="AI264" s="929"/>
    </row>
    <row r="265" customFormat="false" ht="12.75" hidden="false" customHeight="false" outlineLevel="0" collapsed="false">
      <c r="Y265" s="929"/>
      <c r="Z265" s="929"/>
      <c r="AB265" s="451"/>
      <c r="AC265" s="451"/>
      <c r="AD265" s="451"/>
      <c r="AE265" s="451"/>
      <c r="AF265" s="451"/>
      <c r="AG265" s="929"/>
      <c r="AH265" s="929"/>
      <c r="AI265" s="929"/>
    </row>
    <row r="266" customFormat="false" ht="12.75" hidden="false" customHeight="false" outlineLevel="0" collapsed="false">
      <c r="Y266" s="929"/>
      <c r="Z266" s="929"/>
      <c r="AB266" s="451"/>
      <c r="AC266" s="451"/>
      <c r="AD266" s="451"/>
      <c r="AE266" s="451"/>
      <c r="AF266" s="451"/>
      <c r="AG266" s="929"/>
      <c r="AH266" s="929"/>
      <c r="AI266" s="929"/>
    </row>
    <row r="267" customFormat="false" ht="12.75" hidden="false" customHeight="false" outlineLevel="0" collapsed="false">
      <c r="Y267" s="929"/>
      <c r="Z267" s="929"/>
      <c r="AB267" s="451"/>
      <c r="AC267" s="451"/>
      <c r="AD267" s="451"/>
      <c r="AE267" s="451"/>
      <c r="AF267" s="451"/>
      <c r="AG267" s="929"/>
      <c r="AH267" s="929"/>
      <c r="AI267" s="929"/>
    </row>
    <row r="268" customFormat="false" ht="12.75" hidden="false" customHeight="false" outlineLevel="0" collapsed="false">
      <c r="Y268" s="929"/>
      <c r="Z268" s="929"/>
      <c r="AB268" s="451"/>
      <c r="AC268" s="451"/>
      <c r="AD268" s="451"/>
      <c r="AE268" s="451"/>
      <c r="AF268" s="451"/>
      <c r="AG268" s="929"/>
      <c r="AH268" s="929"/>
      <c r="AI268" s="929"/>
    </row>
    <row r="269" customFormat="false" ht="12.75" hidden="false" customHeight="false" outlineLevel="0" collapsed="false">
      <c r="Y269" s="929"/>
      <c r="Z269" s="929"/>
      <c r="AB269" s="451"/>
      <c r="AC269" s="451"/>
      <c r="AD269" s="451"/>
      <c r="AE269" s="451"/>
      <c r="AF269" s="451"/>
      <c r="AG269" s="929"/>
      <c r="AH269" s="929"/>
      <c r="AI269" s="929"/>
    </row>
    <row r="270" customFormat="false" ht="12.75" hidden="false" customHeight="false" outlineLevel="0" collapsed="false">
      <c r="Y270" s="929"/>
      <c r="Z270" s="929"/>
      <c r="AB270" s="451"/>
      <c r="AC270" s="451"/>
      <c r="AD270" s="451"/>
      <c r="AE270" s="451"/>
      <c r="AF270" s="451"/>
      <c r="AG270" s="929"/>
      <c r="AH270" s="929"/>
      <c r="AI270" s="929"/>
    </row>
    <row r="271" customFormat="false" ht="12.75" hidden="false" customHeight="false" outlineLevel="0" collapsed="false">
      <c r="Y271" s="929"/>
      <c r="Z271" s="929"/>
      <c r="AB271" s="451"/>
      <c r="AC271" s="451"/>
      <c r="AD271" s="451"/>
      <c r="AE271" s="451"/>
      <c r="AF271" s="451"/>
      <c r="AG271" s="929"/>
      <c r="AH271" s="929"/>
      <c r="AI271" s="929"/>
    </row>
    <row r="272" customFormat="false" ht="12.75" hidden="false" customHeight="false" outlineLevel="0" collapsed="false">
      <c r="Y272" s="929"/>
      <c r="Z272" s="929"/>
      <c r="AB272" s="451"/>
      <c r="AC272" s="451"/>
      <c r="AD272" s="451"/>
      <c r="AE272" s="451"/>
      <c r="AF272" s="451"/>
      <c r="AG272" s="929"/>
      <c r="AH272" s="929"/>
      <c r="AI272" s="929"/>
    </row>
    <row r="273" customFormat="false" ht="12.75" hidden="false" customHeight="false" outlineLevel="0" collapsed="false">
      <c r="Y273" s="929"/>
      <c r="Z273" s="929"/>
      <c r="AB273" s="451"/>
      <c r="AC273" s="451"/>
      <c r="AD273" s="451"/>
      <c r="AE273" s="451"/>
      <c r="AF273" s="451"/>
      <c r="AG273" s="929"/>
      <c r="AH273" s="929"/>
      <c r="AI273" s="929"/>
    </row>
    <row r="274" s="23" customFormat="true" ht="12.75" hidden="false" customHeight="false" outlineLevel="0" collapsed="false">
      <c r="W274" s="267"/>
      <c r="Y274" s="999"/>
      <c r="Z274" s="999"/>
      <c r="AG274" s="999"/>
      <c r="AH274" s="999"/>
      <c r="AI274" s="999"/>
    </row>
    <row r="275" customFormat="false" ht="12.75" hidden="false" customHeight="false" outlineLevel="0" collapsed="false">
      <c r="S275" s="451"/>
      <c r="T275" s="451"/>
      <c r="U275" s="451"/>
      <c r="V275" s="451"/>
      <c r="X275" s="929"/>
      <c r="Y275" s="929"/>
      <c r="Z275" s="929"/>
      <c r="AB275" s="451"/>
      <c r="AC275" s="451"/>
      <c r="AD275" s="451"/>
      <c r="AE275" s="451"/>
      <c r="AF275" s="451"/>
      <c r="AG275" s="929"/>
      <c r="AH275" s="929"/>
      <c r="AI275" s="929"/>
    </row>
    <row r="276" customFormat="false" ht="12.75" hidden="false" customHeight="false" outlineLevel="0" collapsed="false">
      <c r="J276" s="451"/>
      <c r="K276" s="451"/>
      <c r="L276" s="451"/>
      <c r="M276" s="451"/>
      <c r="N276" s="451"/>
      <c r="O276" s="929"/>
      <c r="P276" s="929"/>
      <c r="Q276" s="929"/>
      <c r="S276" s="451"/>
      <c r="T276" s="451"/>
      <c r="U276" s="451"/>
      <c r="V276" s="451"/>
      <c r="X276" s="929"/>
      <c r="Y276" s="929"/>
      <c r="Z276" s="929"/>
      <c r="AB276" s="451"/>
      <c r="AC276" s="451"/>
      <c r="AD276" s="451"/>
      <c r="AE276" s="451"/>
      <c r="AF276" s="451"/>
      <c r="AG276" s="929"/>
      <c r="AH276" s="929"/>
      <c r="AI276" s="929"/>
    </row>
    <row r="277" customFormat="false" ht="12.75" hidden="false" customHeight="false" outlineLevel="0" collapsed="false">
      <c r="J277" s="451"/>
      <c r="K277" s="451"/>
      <c r="L277" s="451"/>
      <c r="M277" s="451"/>
      <c r="N277" s="451"/>
      <c r="O277" s="929"/>
      <c r="P277" s="929"/>
      <c r="Q277" s="929"/>
      <c r="S277" s="451"/>
      <c r="T277" s="451"/>
      <c r="U277" s="451"/>
      <c r="V277" s="451"/>
      <c r="X277" s="929"/>
      <c r="Y277" s="929"/>
      <c r="Z277" s="929"/>
      <c r="AB277" s="451"/>
      <c r="AC277" s="451"/>
      <c r="AD277" s="451"/>
      <c r="AE277" s="451"/>
      <c r="AF277" s="451"/>
      <c r="AG277" s="929"/>
      <c r="AH277" s="929"/>
      <c r="AI277" s="929"/>
    </row>
    <row r="278" customFormat="false" ht="12.75" hidden="false" customHeight="false" outlineLevel="0" collapsed="false">
      <c r="J278" s="451"/>
      <c r="K278" s="451"/>
      <c r="L278" s="451"/>
      <c r="M278" s="451"/>
      <c r="N278" s="451"/>
      <c r="O278" s="929"/>
      <c r="P278" s="929"/>
      <c r="Q278" s="929"/>
      <c r="S278" s="451"/>
      <c r="T278" s="451"/>
      <c r="U278" s="451"/>
      <c r="V278" s="451"/>
      <c r="X278" s="929"/>
      <c r="Y278" s="929"/>
      <c r="Z278" s="929"/>
      <c r="AB278" s="451"/>
      <c r="AC278" s="451"/>
      <c r="AD278" s="451"/>
      <c r="AE278" s="451"/>
      <c r="AF278" s="451"/>
      <c r="AG278" s="929"/>
      <c r="AH278" s="929"/>
      <c r="AI278" s="929"/>
    </row>
    <row r="279" customFormat="false" ht="12.75" hidden="false" customHeight="false" outlineLevel="0" collapsed="false">
      <c r="J279" s="451"/>
      <c r="K279" s="451"/>
      <c r="L279" s="451"/>
      <c r="M279" s="451"/>
      <c r="N279" s="451"/>
      <c r="O279" s="929"/>
      <c r="P279" s="929"/>
      <c r="Q279" s="929"/>
      <c r="S279" s="451"/>
      <c r="T279" s="451"/>
      <c r="U279" s="451"/>
      <c r="V279" s="451"/>
      <c r="X279" s="929"/>
      <c r="Y279" s="929"/>
      <c r="Z279" s="929"/>
      <c r="AB279" s="451"/>
      <c r="AC279" s="451"/>
      <c r="AD279" s="451"/>
      <c r="AE279" s="451"/>
      <c r="AF279" s="451"/>
      <c r="AG279" s="929"/>
      <c r="AH279" s="929"/>
      <c r="AI279" s="929"/>
    </row>
    <row r="280" customFormat="false" ht="12.75" hidden="false" customHeight="false" outlineLevel="0" collapsed="false">
      <c r="J280" s="451"/>
      <c r="K280" s="451"/>
      <c r="L280" s="451"/>
      <c r="M280" s="451"/>
      <c r="N280" s="451"/>
      <c r="O280" s="929"/>
      <c r="P280" s="929"/>
      <c r="Q280" s="929"/>
      <c r="S280" s="451"/>
      <c r="T280" s="451"/>
      <c r="U280" s="451"/>
      <c r="V280" s="451"/>
      <c r="X280" s="929"/>
      <c r="Y280" s="929"/>
      <c r="Z280" s="929"/>
      <c r="AB280" s="451"/>
      <c r="AC280" s="451"/>
      <c r="AD280" s="451"/>
      <c r="AE280" s="451"/>
      <c r="AF280" s="451"/>
      <c r="AG280" s="929"/>
      <c r="AH280" s="929"/>
      <c r="AI280" s="929"/>
    </row>
    <row r="281" customFormat="false" ht="12.75" hidden="false" customHeight="false" outlineLevel="0" collapsed="false">
      <c r="J281" s="451"/>
      <c r="K281" s="451"/>
      <c r="L281" s="451"/>
      <c r="M281" s="451"/>
      <c r="N281" s="451"/>
      <c r="O281" s="929"/>
      <c r="P281" s="929"/>
      <c r="Q281" s="929"/>
      <c r="S281" s="451"/>
      <c r="T281" s="451"/>
      <c r="U281" s="451"/>
      <c r="V281" s="451"/>
      <c r="X281" s="929"/>
      <c r="Y281" s="929"/>
      <c r="Z281" s="929"/>
      <c r="AB281" s="451"/>
      <c r="AC281" s="451"/>
      <c r="AD281" s="451"/>
      <c r="AE281" s="451"/>
      <c r="AF281" s="451"/>
      <c r="AG281" s="929"/>
      <c r="AH281" s="929"/>
      <c r="AI281" s="929"/>
    </row>
    <row r="282" customFormat="false" ht="12.75" hidden="false" customHeight="false" outlineLevel="0" collapsed="false">
      <c r="J282" s="451"/>
      <c r="K282" s="451"/>
      <c r="L282" s="451"/>
      <c r="M282" s="451"/>
      <c r="N282" s="451"/>
      <c r="O282" s="929"/>
      <c r="P282" s="929"/>
      <c r="Q282" s="929"/>
      <c r="S282" s="451"/>
      <c r="T282" s="451"/>
      <c r="U282" s="451"/>
      <c r="V282" s="451"/>
      <c r="X282" s="929"/>
      <c r="Y282" s="929"/>
      <c r="Z282" s="929"/>
      <c r="AB282" s="451"/>
      <c r="AC282" s="451"/>
      <c r="AD282" s="451"/>
      <c r="AE282" s="451"/>
      <c r="AF282" s="451"/>
      <c r="AG282" s="929"/>
      <c r="AH282" s="929"/>
      <c r="AI282" s="929"/>
    </row>
    <row r="283" customFormat="false" ht="12.75" hidden="false" customHeight="false" outlineLevel="0" collapsed="false">
      <c r="J283" s="451"/>
      <c r="K283" s="451"/>
      <c r="L283" s="451"/>
      <c r="M283" s="451"/>
      <c r="N283" s="451"/>
      <c r="O283" s="929"/>
      <c r="P283" s="929"/>
      <c r="Q283" s="929"/>
      <c r="S283" s="451"/>
      <c r="T283" s="451"/>
      <c r="U283" s="451"/>
      <c r="V283" s="451"/>
      <c r="X283" s="929"/>
      <c r="Y283" s="929"/>
      <c r="Z283" s="929"/>
      <c r="AB283" s="451"/>
      <c r="AC283" s="451"/>
      <c r="AD283" s="451"/>
      <c r="AE283" s="451"/>
      <c r="AF283" s="451"/>
      <c r="AG283" s="929"/>
      <c r="AH283" s="929"/>
      <c r="AI283" s="929"/>
    </row>
    <row r="284" customFormat="false" ht="12.75" hidden="false" customHeight="false" outlineLevel="0" collapsed="false">
      <c r="J284" s="451"/>
      <c r="K284" s="451"/>
      <c r="L284" s="451"/>
      <c r="M284" s="451"/>
      <c r="N284" s="451"/>
      <c r="O284" s="929"/>
      <c r="P284" s="929"/>
      <c r="Q284" s="929"/>
      <c r="S284" s="451"/>
      <c r="T284" s="451"/>
      <c r="U284" s="451"/>
      <c r="V284" s="451"/>
      <c r="X284" s="929"/>
      <c r="Y284" s="929"/>
      <c r="Z284" s="929"/>
      <c r="AB284" s="451"/>
      <c r="AC284" s="451"/>
      <c r="AD284" s="451"/>
      <c r="AE284" s="451"/>
      <c r="AF284" s="451"/>
      <c r="AG284" s="929"/>
      <c r="AH284" s="929"/>
      <c r="AI284" s="929"/>
    </row>
    <row r="285" customFormat="false" ht="12.75" hidden="false" customHeight="false" outlineLevel="0" collapsed="false">
      <c r="J285" s="451"/>
      <c r="K285" s="451"/>
      <c r="L285" s="451"/>
      <c r="M285" s="451"/>
      <c r="N285" s="451"/>
      <c r="O285" s="929"/>
      <c r="P285" s="929"/>
      <c r="Q285" s="929"/>
      <c r="S285" s="451"/>
      <c r="T285" s="451"/>
      <c r="U285" s="451"/>
      <c r="V285" s="451"/>
      <c r="X285" s="929"/>
      <c r="Y285" s="929"/>
      <c r="Z285" s="929"/>
      <c r="AB285" s="451"/>
      <c r="AC285" s="451"/>
      <c r="AD285" s="451"/>
      <c r="AE285" s="451"/>
      <c r="AF285" s="451"/>
      <c r="AG285" s="929"/>
      <c r="AH285" s="929"/>
      <c r="AI285" s="929"/>
    </row>
    <row r="286" customFormat="false" ht="12.75" hidden="false" customHeight="false" outlineLevel="0" collapsed="false">
      <c r="J286" s="451"/>
      <c r="K286" s="451"/>
      <c r="L286" s="451"/>
      <c r="M286" s="451"/>
      <c r="N286" s="451"/>
      <c r="O286" s="929"/>
      <c r="P286" s="929"/>
      <c r="Q286" s="929"/>
      <c r="S286" s="451"/>
      <c r="T286" s="451"/>
      <c r="U286" s="451"/>
      <c r="V286" s="451"/>
      <c r="X286" s="929"/>
      <c r="Y286" s="929"/>
      <c r="Z286" s="929"/>
      <c r="AB286" s="451"/>
      <c r="AC286" s="451"/>
      <c r="AD286" s="451"/>
      <c r="AE286" s="451"/>
      <c r="AF286" s="451"/>
      <c r="AG286" s="929"/>
      <c r="AH286" s="929"/>
      <c r="AI286" s="929"/>
    </row>
    <row r="287" customFormat="false" ht="12.75" hidden="false" customHeight="false" outlineLevel="0" collapsed="false">
      <c r="J287" s="451"/>
      <c r="K287" s="451"/>
      <c r="L287" s="451"/>
      <c r="M287" s="451"/>
      <c r="N287" s="451"/>
      <c r="O287" s="929"/>
      <c r="P287" s="929"/>
      <c r="Q287" s="929"/>
      <c r="S287" s="451"/>
      <c r="T287" s="451"/>
      <c r="U287" s="451"/>
      <c r="V287" s="451"/>
      <c r="X287" s="929"/>
      <c r="Y287" s="929"/>
      <c r="Z287" s="929"/>
      <c r="AB287" s="451"/>
      <c r="AC287" s="451"/>
      <c r="AD287" s="451"/>
      <c r="AE287" s="451"/>
      <c r="AF287" s="451"/>
      <c r="AG287" s="929"/>
      <c r="AH287" s="929"/>
      <c r="AI287" s="929"/>
    </row>
    <row r="288" customFormat="false" ht="12.75" hidden="false" customHeight="false" outlineLevel="0" collapsed="false">
      <c r="J288" s="451"/>
      <c r="K288" s="451"/>
      <c r="L288" s="451"/>
      <c r="M288" s="451"/>
      <c r="N288" s="451"/>
      <c r="O288" s="929"/>
      <c r="P288" s="929"/>
      <c r="Q288" s="929"/>
      <c r="S288" s="451"/>
      <c r="T288" s="451"/>
      <c r="U288" s="451"/>
      <c r="V288" s="451"/>
      <c r="X288" s="929"/>
      <c r="Y288" s="929"/>
      <c r="Z288" s="929"/>
      <c r="AB288" s="451"/>
      <c r="AC288" s="451"/>
      <c r="AD288" s="451"/>
      <c r="AE288" s="451"/>
      <c r="AF288" s="451"/>
      <c r="AG288" s="929"/>
      <c r="AH288" s="929"/>
      <c r="AI288" s="929"/>
    </row>
    <row r="289" customFormat="false" ht="12.75" hidden="false" customHeight="false" outlineLevel="0" collapsed="false">
      <c r="J289" s="451"/>
      <c r="K289" s="451"/>
      <c r="L289" s="451"/>
      <c r="M289" s="451"/>
      <c r="N289" s="451"/>
      <c r="O289" s="929"/>
      <c r="P289" s="929"/>
      <c r="Q289" s="929"/>
      <c r="S289" s="451"/>
      <c r="T289" s="451"/>
      <c r="U289" s="451"/>
      <c r="V289" s="451"/>
      <c r="X289" s="929"/>
      <c r="Y289" s="929"/>
      <c r="Z289" s="929"/>
      <c r="AB289" s="451"/>
      <c r="AC289" s="451"/>
      <c r="AD289" s="451"/>
      <c r="AE289" s="451"/>
      <c r="AF289" s="451"/>
      <c r="AG289" s="929"/>
      <c r="AH289" s="929"/>
      <c r="AI289" s="929"/>
    </row>
    <row r="290" customFormat="false" ht="12.75" hidden="false" customHeight="false" outlineLevel="0" collapsed="false">
      <c r="J290" s="451"/>
      <c r="K290" s="451"/>
      <c r="L290" s="451"/>
      <c r="M290" s="451"/>
      <c r="N290" s="451"/>
      <c r="O290" s="929"/>
      <c r="P290" s="929"/>
      <c r="Q290" s="929"/>
      <c r="S290" s="451"/>
      <c r="T290" s="451"/>
      <c r="U290" s="451"/>
      <c r="V290" s="451"/>
      <c r="X290" s="929"/>
      <c r="Y290" s="929"/>
      <c r="Z290" s="929"/>
      <c r="AB290" s="451"/>
      <c r="AC290" s="451"/>
      <c r="AD290" s="451"/>
      <c r="AE290" s="451"/>
      <c r="AF290" s="451"/>
      <c r="AG290" s="929"/>
      <c r="AH290" s="929"/>
      <c r="AI290" s="929"/>
    </row>
    <row r="291" customFormat="false" ht="12.75" hidden="false" customHeight="false" outlineLevel="0" collapsed="false">
      <c r="J291" s="451"/>
      <c r="K291" s="451"/>
      <c r="L291" s="451"/>
      <c r="M291" s="451"/>
      <c r="N291" s="451"/>
      <c r="O291" s="929"/>
      <c r="P291" s="929"/>
      <c r="Q291" s="929"/>
      <c r="S291" s="451"/>
      <c r="T291" s="451"/>
      <c r="U291" s="451"/>
      <c r="V291" s="451"/>
      <c r="X291" s="929"/>
      <c r="Y291" s="929"/>
      <c r="Z291" s="929"/>
      <c r="AB291" s="451"/>
      <c r="AC291" s="451"/>
      <c r="AD291" s="451"/>
      <c r="AE291" s="451"/>
      <c r="AF291" s="451"/>
      <c r="AG291" s="929"/>
      <c r="AH291" s="929"/>
      <c r="AI291" s="929"/>
    </row>
    <row r="292" customFormat="false" ht="12.75" hidden="false" customHeight="false" outlineLevel="0" collapsed="false">
      <c r="J292" s="451"/>
      <c r="K292" s="451"/>
      <c r="L292" s="451"/>
      <c r="M292" s="451"/>
      <c r="N292" s="451"/>
      <c r="O292" s="929"/>
      <c r="P292" s="929"/>
      <c r="Q292" s="929"/>
      <c r="S292" s="451"/>
      <c r="T292" s="451"/>
      <c r="U292" s="451"/>
      <c r="V292" s="451"/>
      <c r="X292" s="929"/>
      <c r="Y292" s="929"/>
      <c r="Z292" s="929"/>
      <c r="AB292" s="451"/>
      <c r="AC292" s="451"/>
      <c r="AD292" s="451"/>
      <c r="AE292" s="451"/>
      <c r="AF292" s="451"/>
      <c r="AG292" s="929"/>
      <c r="AH292" s="929"/>
      <c r="AI292" s="929"/>
    </row>
    <row r="293" customFormat="false" ht="12.75" hidden="false" customHeight="false" outlineLevel="0" collapsed="false">
      <c r="J293" s="451"/>
      <c r="K293" s="451"/>
      <c r="L293" s="451"/>
      <c r="M293" s="451"/>
      <c r="N293" s="451"/>
      <c r="O293" s="929"/>
      <c r="P293" s="929"/>
      <c r="Q293" s="929"/>
      <c r="S293" s="451"/>
      <c r="T293" s="451"/>
      <c r="U293" s="451"/>
      <c r="V293" s="451"/>
      <c r="X293" s="929"/>
      <c r="Y293" s="929"/>
      <c r="Z293" s="929"/>
      <c r="AB293" s="451"/>
      <c r="AC293" s="451"/>
      <c r="AD293" s="451"/>
      <c r="AE293" s="451"/>
      <c r="AF293" s="451"/>
      <c r="AG293" s="929"/>
      <c r="AH293" s="929"/>
      <c r="AI293" s="929"/>
    </row>
    <row r="294" customFormat="false" ht="12.75" hidden="false" customHeight="false" outlineLevel="0" collapsed="false">
      <c r="J294" s="451"/>
      <c r="K294" s="451"/>
      <c r="L294" s="451"/>
      <c r="M294" s="451"/>
      <c r="N294" s="451"/>
      <c r="O294" s="929"/>
      <c r="P294" s="929"/>
      <c r="Q294" s="929"/>
      <c r="S294" s="451"/>
      <c r="T294" s="451"/>
      <c r="U294" s="451"/>
      <c r="V294" s="451"/>
      <c r="X294" s="929"/>
      <c r="Y294" s="929"/>
      <c r="Z294" s="929"/>
      <c r="AB294" s="451"/>
      <c r="AC294" s="451"/>
      <c r="AD294" s="451"/>
      <c r="AE294" s="451"/>
      <c r="AF294" s="451"/>
      <c r="AG294" s="929"/>
      <c r="AH294" s="929"/>
      <c r="AI294" s="929"/>
    </row>
    <row r="295" customFormat="false" ht="12.75" hidden="false" customHeight="false" outlineLevel="0" collapsed="false">
      <c r="J295" s="451"/>
      <c r="K295" s="451"/>
      <c r="L295" s="451"/>
      <c r="M295" s="451"/>
      <c r="N295" s="451"/>
      <c r="O295" s="929"/>
      <c r="P295" s="929"/>
      <c r="Q295" s="929"/>
      <c r="S295" s="451"/>
      <c r="T295" s="451"/>
      <c r="U295" s="451"/>
      <c r="V295" s="451"/>
      <c r="X295" s="929"/>
      <c r="Y295" s="929"/>
      <c r="Z295" s="929"/>
      <c r="AB295" s="451"/>
      <c r="AC295" s="451"/>
      <c r="AD295" s="451"/>
      <c r="AE295" s="451"/>
      <c r="AF295" s="451"/>
      <c r="AG295" s="929"/>
      <c r="AH295" s="929"/>
      <c r="AI295" s="929"/>
    </row>
    <row r="296" customFormat="false" ht="12.75" hidden="false" customHeight="false" outlineLevel="0" collapsed="false">
      <c r="J296" s="451"/>
      <c r="K296" s="451"/>
      <c r="L296" s="451"/>
      <c r="M296" s="451"/>
      <c r="N296" s="451"/>
      <c r="O296" s="929"/>
      <c r="P296" s="929"/>
      <c r="Q296" s="929"/>
      <c r="S296" s="451"/>
      <c r="T296" s="451"/>
      <c r="U296" s="451"/>
      <c r="V296" s="451"/>
      <c r="X296" s="929"/>
      <c r="Y296" s="929"/>
      <c r="Z296" s="929"/>
      <c r="AB296" s="451"/>
      <c r="AC296" s="451"/>
      <c r="AD296" s="451"/>
      <c r="AE296" s="451"/>
      <c r="AF296" s="451"/>
      <c r="AG296" s="929"/>
      <c r="AH296" s="929"/>
      <c r="AI296" s="929"/>
    </row>
    <row r="297" customFormat="false" ht="12.75" hidden="false" customHeight="false" outlineLevel="0" collapsed="false">
      <c r="J297" s="451"/>
      <c r="K297" s="451"/>
      <c r="L297" s="451"/>
      <c r="M297" s="451"/>
      <c r="N297" s="451"/>
      <c r="O297" s="929"/>
      <c r="P297" s="929"/>
      <c r="Q297" s="929"/>
      <c r="S297" s="451"/>
      <c r="T297" s="451"/>
      <c r="U297" s="451"/>
      <c r="V297" s="451"/>
      <c r="X297" s="929"/>
      <c r="Y297" s="929"/>
      <c r="Z297" s="929"/>
      <c r="AB297" s="451"/>
      <c r="AC297" s="451"/>
      <c r="AD297" s="451"/>
      <c r="AE297" s="451"/>
      <c r="AF297" s="451"/>
      <c r="AG297" s="929"/>
      <c r="AH297" s="929"/>
      <c r="AI297" s="929"/>
    </row>
    <row r="298" customFormat="false" ht="12.75" hidden="false" customHeight="false" outlineLevel="0" collapsed="false">
      <c r="J298" s="451"/>
      <c r="K298" s="451"/>
      <c r="L298" s="451"/>
      <c r="M298" s="451"/>
      <c r="N298" s="451"/>
      <c r="O298" s="929"/>
      <c r="P298" s="929"/>
      <c r="Q298" s="929"/>
      <c r="S298" s="451"/>
      <c r="T298" s="451"/>
      <c r="U298" s="451"/>
      <c r="V298" s="451"/>
      <c r="X298" s="929"/>
      <c r="Y298" s="929"/>
      <c r="Z298" s="929"/>
      <c r="AB298" s="451"/>
      <c r="AC298" s="451"/>
      <c r="AD298" s="451"/>
      <c r="AE298" s="451"/>
      <c r="AF298" s="451"/>
      <c r="AG298" s="929"/>
      <c r="AH298" s="929"/>
      <c r="AI298" s="929"/>
    </row>
    <row r="299" customFormat="false" ht="12.75" hidden="false" customHeight="false" outlineLevel="0" collapsed="false">
      <c r="J299" s="451"/>
      <c r="K299" s="451"/>
      <c r="L299" s="451"/>
      <c r="M299" s="451"/>
      <c r="N299" s="451"/>
      <c r="O299" s="929"/>
      <c r="P299" s="929"/>
      <c r="Q299" s="929"/>
      <c r="S299" s="451"/>
      <c r="T299" s="451"/>
      <c r="U299" s="451"/>
      <c r="V299" s="451"/>
      <c r="X299" s="929"/>
      <c r="Y299" s="929"/>
      <c r="Z299" s="929"/>
      <c r="AB299" s="451"/>
      <c r="AC299" s="451"/>
      <c r="AD299" s="451"/>
      <c r="AE299" s="451"/>
      <c r="AF299" s="451"/>
      <c r="AG299" s="929"/>
      <c r="AH299" s="929"/>
      <c r="AI299" s="929"/>
    </row>
    <row r="300" customFormat="false" ht="12.75" hidden="false" customHeight="false" outlineLevel="0" collapsed="false">
      <c r="J300" s="451"/>
      <c r="K300" s="451"/>
      <c r="L300" s="451"/>
      <c r="M300" s="451"/>
      <c r="N300" s="451"/>
      <c r="O300" s="929"/>
      <c r="P300" s="929"/>
      <c r="Q300" s="929"/>
      <c r="S300" s="451"/>
      <c r="T300" s="451"/>
      <c r="U300" s="451"/>
      <c r="V300" s="451"/>
      <c r="X300" s="929"/>
      <c r="Y300" s="929"/>
      <c r="Z300" s="929"/>
      <c r="AB300" s="451"/>
      <c r="AC300" s="451"/>
      <c r="AD300" s="451"/>
      <c r="AE300" s="451"/>
      <c r="AF300" s="451"/>
      <c r="AG300" s="929"/>
      <c r="AH300" s="929"/>
      <c r="AI300" s="929"/>
    </row>
    <row r="301" customFormat="false" ht="12.75" hidden="false" customHeight="false" outlineLevel="0" collapsed="false">
      <c r="J301" s="451"/>
      <c r="K301" s="451"/>
      <c r="L301" s="451"/>
      <c r="M301" s="451"/>
      <c r="N301" s="451"/>
      <c r="O301" s="929"/>
      <c r="P301" s="929"/>
      <c r="Q301" s="929"/>
      <c r="S301" s="451"/>
      <c r="T301" s="451"/>
      <c r="U301" s="451"/>
      <c r="V301" s="451"/>
      <c r="X301" s="929"/>
      <c r="Y301" s="929"/>
      <c r="Z301" s="929"/>
      <c r="AB301" s="451"/>
      <c r="AC301" s="451"/>
      <c r="AD301" s="451"/>
      <c r="AE301" s="451"/>
      <c r="AF301" s="451"/>
      <c r="AG301" s="929"/>
      <c r="AH301" s="929"/>
      <c r="AI301" s="929"/>
    </row>
    <row r="302" customFormat="false" ht="12.75" hidden="false" customHeight="false" outlineLevel="0" collapsed="false">
      <c r="J302" s="451"/>
      <c r="K302" s="451"/>
      <c r="L302" s="451"/>
      <c r="M302" s="451"/>
      <c r="N302" s="451"/>
      <c r="O302" s="929"/>
      <c r="P302" s="929"/>
      <c r="Q302" s="929"/>
      <c r="S302" s="451"/>
      <c r="T302" s="451"/>
      <c r="U302" s="451"/>
      <c r="V302" s="451"/>
      <c r="X302" s="929"/>
      <c r="Y302" s="929"/>
      <c r="Z302" s="929"/>
      <c r="AB302" s="451"/>
      <c r="AC302" s="451"/>
      <c r="AD302" s="451"/>
      <c r="AE302" s="451"/>
      <c r="AF302" s="451"/>
      <c r="AG302" s="929"/>
      <c r="AH302" s="929"/>
      <c r="AI302" s="929"/>
    </row>
    <row r="303" customFormat="false" ht="12.75" hidden="false" customHeight="false" outlineLevel="0" collapsed="false">
      <c r="J303" s="451"/>
      <c r="K303" s="451"/>
      <c r="L303" s="451"/>
      <c r="M303" s="451"/>
      <c r="N303" s="451"/>
      <c r="O303" s="929"/>
      <c r="P303" s="929"/>
      <c r="Q303" s="929"/>
      <c r="S303" s="451"/>
      <c r="T303" s="451"/>
      <c r="U303" s="451"/>
      <c r="V303" s="451"/>
      <c r="X303" s="929"/>
      <c r="Y303" s="929"/>
      <c r="Z303" s="929"/>
      <c r="AB303" s="451"/>
      <c r="AC303" s="451"/>
      <c r="AD303" s="451"/>
      <c r="AE303" s="451"/>
      <c r="AF303" s="451"/>
      <c r="AG303" s="929"/>
      <c r="AH303" s="929"/>
      <c r="AI303" s="929"/>
    </row>
    <row r="304" customFormat="false" ht="12.75" hidden="false" customHeight="false" outlineLevel="0" collapsed="false">
      <c r="J304" s="451"/>
      <c r="K304" s="451"/>
      <c r="L304" s="451"/>
      <c r="M304" s="451"/>
      <c r="N304" s="451"/>
      <c r="O304" s="929"/>
      <c r="P304" s="929"/>
      <c r="Q304" s="929"/>
      <c r="S304" s="451"/>
      <c r="T304" s="451"/>
      <c r="U304" s="451"/>
      <c r="V304" s="451"/>
      <c r="X304" s="929"/>
      <c r="Y304" s="929"/>
      <c r="Z304" s="929"/>
      <c r="AB304" s="451"/>
      <c r="AC304" s="451"/>
      <c r="AD304" s="451"/>
      <c r="AE304" s="451"/>
      <c r="AF304" s="451"/>
      <c r="AG304" s="929"/>
      <c r="AH304" s="929"/>
      <c r="AI304" s="929"/>
    </row>
    <row r="305" customFormat="false" ht="12.75" hidden="false" customHeight="false" outlineLevel="0" collapsed="false">
      <c r="J305" s="451"/>
      <c r="K305" s="451"/>
      <c r="L305" s="451"/>
      <c r="M305" s="451"/>
      <c r="N305" s="451"/>
      <c r="O305" s="929"/>
      <c r="P305" s="929"/>
      <c r="Q305" s="929"/>
      <c r="S305" s="451"/>
      <c r="T305" s="451"/>
      <c r="U305" s="451"/>
      <c r="V305" s="451"/>
      <c r="X305" s="929"/>
      <c r="Y305" s="929"/>
      <c r="Z305" s="929"/>
      <c r="AB305" s="451"/>
      <c r="AC305" s="451"/>
      <c r="AD305" s="451"/>
      <c r="AE305" s="451"/>
      <c r="AF305" s="451"/>
      <c r="AG305" s="929"/>
      <c r="AH305" s="929"/>
      <c r="AI305" s="929"/>
    </row>
    <row r="306" customFormat="false" ht="12.75" hidden="false" customHeight="false" outlineLevel="0" collapsed="false">
      <c r="J306" s="451"/>
      <c r="K306" s="451"/>
      <c r="L306" s="451"/>
      <c r="M306" s="451"/>
      <c r="N306" s="451"/>
      <c r="O306" s="929"/>
      <c r="P306" s="929"/>
      <c r="Q306" s="929"/>
      <c r="S306" s="451"/>
      <c r="T306" s="451"/>
      <c r="U306" s="451"/>
      <c r="V306" s="451"/>
      <c r="X306" s="929"/>
      <c r="Y306" s="929"/>
      <c r="Z306" s="929"/>
      <c r="AB306" s="451"/>
      <c r="AC306" s="451"/>
      <c r="AD306" s="451"/>
      <c r="AE306" s="451"/>
      <c r="AF306" s="451"/>
      <c r="AG306" s="929"/>
      <c r="AH306" s="929"/>
      <c r="AI306" s="929"/>
    </row>
    <row r="307" customFormat="false" ht="12.75" hidden="false" customHeight="false" outlineLevel="0" collapsed="false">
      <c r="J307" s="451"/>
      <c r="K307" s="451"/>
      <c r="L307" s="451"/>
      <c r="M307" s="451"/>
      <c r="N307" s="451"/>
      <c r="O307" s="929"/>
      <c r="P307" s="929"/>
      <c r="Q307" s="929"/>
      <c r="S307" s="451"/>
      <c r="T307" s="451"/>
      <c r="U307" s="451"/>
      <c r="V307" s="451"/>
      <c r="X307" s="929"/>
      <c r="Y307" s="929"/>
      <c r="Z307" s="929"/>
      <c r="AB307" s="451"/>
      <c r="AC307" s="451"/>
      <c r="AD307" s="451"/>
      <c r="AE307" s="451"/>
      <c r="AF307" s="451"/>
      <c r="AG307" s="929"/>
      <c r="AH307" s="929"/>
      <c r="AI307" s="929"/>
    </row>
    <row r="308" customFormat="false" ht="12.75" hidden="false" customHeight="false" outlineLevel="0" collapsed="false">
      <c r="J308" s="451"/>
      <c r="K308" s="451"/>
      <c r="L308" s="451"/>
      <c r="M308" s="451"/>
      <c r="N308" s="451"/>
      <c r="O308" s="929"/>
      <c r="P308" s="929"/>
      <c r="Q308" s="929"/>
      <c r="S308" s="451"/>
      <c r="T308" s="451"/>
      <c r="U308" s="451"/>
      <c r="V308" s="451"/>
      <c r="X308" s="929"/>
      <c r="Y308" s="929"/>
      <c r="Z308" s="929"/>
      <c r="AB308" s="451"/>
      <c r="AC308" s="451"/>
      <c r="AD308" s="451"/>
      <c r="AE308" s="451"/>
      <c r="AF308" s="451"/>
      <c r="AG308" s="929"/>
      <c r="AH308" s="929"/>
      <c r="AI308" s="929"/>
    </row>
    <row r="309" customFormat="false" ht="12.75" hidden="false" customHeight="false" outlineLevel="0" collapsed="false">
      <c r="J309" s="451"/>
      <c r="K309" s="451"/>
      <c r="L309" s="451"/>
      <c r="M309" s="451"/>
      <c r="N309" s="451"/>
      <c r="O309" s="929"/>
      <c r="P309" s="929"/>
      <c r="Q309" s="929"/>
      <c r="S309" s="451"/>
      <c r="T309" s="451"/>
      <c r="U309" s="451"/>
      <c r="V309" s="451"/>
      <c r="X309" s="929"/>
      <c r="Y309" s="929"/>
      <c r="Z309" s="929"/>
      <c r="AB309" s="451"/>
      <c r="AC309" s="451"/>
      <c r="AD309" s="451"/>
      <c r="AE309" s="451"/>
      <c r="AF309" s="451"/>
      <c r="AG309" s="929"/>
      <c r="AH309" s="929"/>
      <c r="AI309" s="929"/>
    </row>
    <row r="310" customFormat="false" ht="12.75" hidden="false" customHeight="false" outlineLevel="0" collapsed="false">
      <c r="J310" s="451"/>
      <c r="K310" s="451"/>
      <c r="L310" s="451"/>
      <c r="M310" s="451"/>
      <c r="N310" s="451"/>
      <c r="O310" s="929"/>
      <c r="P310" s="929"/>
      <c r="Q310" s="929"/>
      <c r="S310" s="451"/>
      <c r="T310" s="451"/>
      <c r="U310" s="451"/>
      <c r="V310" s="451"/>
      <c r="X310" s="929"/>
      <c r="Y310" s="929"/>
      <c r="Z310" s="929"/>
      <c r="AB310" s="451"/>
      <c r="AC310" s="451"/>
      <c r="AD310" s="451"/>
      <c r="AE310" s="451"/>
      <c r="AF310" s="451"/>
      <c r="AG310" s="929"/>
      <c r="AH310" s="929"/>
      <c r="AI310" s="929"/>
    </row>
    <row r="311" customFormat="false" ht="12.75" hidden="false" customHeight="false" outlineLevel="0" collapsed="false">
      <c r="J311" s="451"/>
      <c r="K311" s="451"/>
      <c r="L311" s="451"/>
      <c r="M311" s="451"/>
      <c r="N311" s="451"/>
      <c r="O311" s="929"/>
      <c r="P311" s="929"/>
      <c r="Q311" s="929"/>
      <c r="S311" s="451"/>
      <c r="T311" s="451"/>
      <c r="U311" s="451"/>
      <c r="V311" s="451"/>
      <c r="X311" s="929"/>
      <c r="Y311" s="929"/>
      <c r="Z311" s="929"/>
      <c r="AB311" s="451"/>
      <c r="AC311" s="451"/>
      <c r="AD311" s="451"/>
      <c r="AE311" s="451"/>
      <c r="AF311" s="451"/>
      <c r="AG311" s="929"/>
      <c r="AH311" s="929"/>
      <c r="AI311" s="929"/>
    </row>
    <row r="312" customFormat="false" ht="12.75" hidden="false" customHeight="false" outlineLevel="0" collapsed="false">
      <c r="J312" s="451"/>
      <c r="K312" s="451"/>
      <c r="L312" s="451"/>
      <c r="M312" s="451"/>
      <c r="N312" s="451"/>
      <c r="O312" s="929"/>
      <c r="P312" s="929"/>
      <c r="Q312" s="929"/>
      <c r="S312" s="451"/>
      <c r="T312" s="451"/>
      <c r="U312" s="451"/>
      <c r="V312" s="451"/>
      <c r="X312" s="929"/>
      <c r="Y312" s="929"/>
      <c r="Z312" s="929"/>
      <c r="AB312" s="451"/>
      <c r="AC312" s="451"/>
      <c r="AD312" s="451"/>
      <c r="AE312" s="451"/>
      <c r="AF312" s="451"/>
      <c r="AG312" s="929"/>
      <c r="AH312" s="929"/>
      <c r="AI312" s="929"/>
    </row>
    <row r="313" customFormat="false" ht="12.75" hidden="false" customHeight="false" outlineLevel="0" collapsed="false">
      <c r="J313" s="451"/>
      <c r="K313" s="451"/>
      <c r="L313" s="451"/>
      <c r="M313" s="451"/>
      <c r="N313" s="451"/>
      <c r="O313" s="929"/>
      <c r="P313" s="929"/>
      <c r="Q313" s="929"/>
      <c r="S313" s="451"/>
      <c r="T313" s="451"/>
      <c r="U313" s="451"/>
      <c r="V313" s="451"/>
      <c r="X313" s="929"/>
      <c r="Y313" s="929"/>
      <c r="Z313" s="929"/>
      <c r="AB313" s="451"/>
      <c r="AC313" s="451"/>
      <c r="AD313" s="451"/>
      <c r="AE313" s="451"/>
      <c r="AF313" s="451"/>
      <c r="AG313" s="929"/>
      <c r="AH313" s="929"/>
      <c r="AI313" s="929"/>
    </row>
    <row r="314" customFormat="false" ht="12.75" hidden="false" customHeight="false" outlineLevel="0" collapsed="false">
      <c r="J314" s="451"/>
      <c r="K314" s="451"/>
      <c r="L314" s="451"/>
      <c r="M314" s="451"/>
      <c r="N314" s="451"/>
      <c r="O314" s="929"/>
      <c r="P314" s="929"/>
      <c r="Q314" s="929"/>
      <c r="S314" s="451"/>
      <c r="T314" s="451"/>
      <c r="U314" s="451"/>
      <c r="V314" s="451"/>
      <c r="X314" s="929"/>
      <c r="Y314" s="929"/>
      <c r="Z314" s="929"/>
      <c r="AB314" s="451"/>
      <c r="AC314" s="451"/>
      <c r="AD314" s="451"/>
      <c r="AE314" s="451"/>
      <c r="AF314" s="451"/>
      <c r="AG314" s="929"/>
      <c r="AH314" s="929"/>
      <c r="AI314" s="929"/>
    </row>
    <row r="315" customFormat="false" ht="12.75" hidden="false" customHeight="false" outlineLevel="0" collapsed="false">
      <c r="J315" s="451"/>
      <c r="K315" s="451"/>
      <c r="L315" s="451"/>
      <c r="M315" s="451"/>
      <c r="N315" s="451"/>
      <c r="O315" s="929"/>
      <c r="P315" s="929"/>
      <c r="Q315" s="929"/>
      <c r="S315" s="451"/>
      <c r="T315" s="451"/>
      <c r="U315" s="451"/>
      <c r="V315" s="451"/>
      <c r="X315" s="929"/>
      <c r="Y315" s="929"/>
      <c r="Z315" s="929"/>
      <c r="AB315" s="451"/>
      <c r="AC315" s="451"/>
      <c r="AD315" s="451"/>
      <c r="AE315" s="451"/>
      <c r="AF315" s="451"/>
      <c r="AG315" s="929"/>
      <c r="AH315" s="929"/>
      <c r="AI315" s="929"/>
    </row>
    <row r="316" customFormat="false" ht="12.75" hidden="false" customHeight="false" outlineLevel="0" collapsed="false">
      <c r="J316" s="451"/>
      <c r="K316" s="451"/>
      <c r="L316" s="451"/>
      <c r="M316" s="451"/>
      <c r="N316" s="451"/>
      <c r="O316" s="929"/>
      <c r="P316" s="929"/>
      <c r="Q316" s="929"/>
      <c r="S316" s="451"/>
      <c r="T316" s="451"/>
      <c r="U316" s="451"/>
      <c r="V316" s="451"/>
      <c r="X316" s="929"/>
      <c r="Y316" s="929"/>
      <c r="Z316" s="929"/>
      <c r="AB316" s="451"/>
      <c r="AC316" s="451"/>
      <c r="AD316" s="451"/>
      <c r="AE316" s="451"/>
      <c r="AF316" s="451"/>
      <c r="AG316" s="929"/>
      <c r="AH316" s="929"/>
      <c r="AI316" s="929"/>
    </row>
    <row r="317" customFormat="false" ht="12.75" hidden="false" customHeight="false" outlineLevel="0" collapsed="false">
      <c r="J317" s="451"/>
      <c r="K317" s="451"/>
      <c r="L317" s="451"/>
      <c r="M317" s="451"/>
      <c r="N317" s="451"/>
      <c r="O317" s="929"/>
      <c r="P317" s="929"/>
      <c r="Q317" s="929"/>
      <c r="S317" s="451"/>
      <c r="T317" s="451"/>
      <c r="U317" s="451"/>
      <c r="V317" s="451"/>
      <c r="X317" s="929"/>
      <c r="Y317" s="929"/>
      <c r="Z317" s="929"/>
      <c r="AB317" s="451"/>
      <c r="AC317" s="451"/>
      <c r="AD317" s="451"/>
      <c r="AE317" s="451"/>
      <c r="AF317" s="451"/>
      <c r="AG317" s="929"/>
      <c r="AH317" s="929"/>
      <c r="AI317" s="929"/>
    </row>
    <row r="318" customFormat="false" ht="12.75" hidden="false" customHeight="false" outlineLevel="0" collapsed="false">
      <c r="J318" s="451"/>
      <c r="K318" s="451"/>
      <c r="L318" s="451"/>
      <c r="M318" s="451"/>
      <c r="N318" s="451"/>
      <c r="O318" s="929"/>
      <c r="P318" s="929"/>
      <c r="Q318" s="929"/>
      <c r="S318" s="451"/>
      <c r="T318" s="451"/>
      <c r="U318" s="451"/>
      <c r="V318" s="451"/>
      <c r="X318" s="929"/>
      <c r="Y318" s="929"/>
      <c r="Z318" s="929"/>
      <c r="AB318" s="451"/>
      <c r="AC318" s="451"/>
      <c r="AD318" s="451"/>
      <c r="AE318" s="451"/>
      <c r="AF318" s="451"/>
      <c r="AG318" s="929"/>
      <c r="AH318" s="929"/>
      <c r="AI318" s="929"/>
    </row>
    <row r="319" customFormat="false" ht="12.75" hidden="false" customHeight="false" outlineLevel="0" collapsed="false">
      <c r="J319" s="451"/>
      <c r="K319" s="451"/>
      <c r="L319" s="451"/>
      <c r="M319" s="451"/>
      <c r="N319" s="451"/>
      <c r="O319" s="929"/>
      <c r="P319" s="929"/>
      <c r="Q319" s="929"/>
      <c r="S319" s="451"/>
      <c r="T319" s="451"/>
      <c r="U319" s="451"/>
      <c r="V319" s="451"/>
      <c r="X319" s="929"/>
      <c r="Y319" s="929"/>
      <c r="Z319" s="929"/>
      <c r="AB319" s="451"/>
      <c r="AC319" s="451"/>
      <c r="AD319" s="451"/>
      <c r="AE319" s="451"/>
      <c r="AF319" s="451"/>
      <c r="AG319" s="929"/>
      <c r="AH319" s="929"/>
      <c r="AI319" s="929"/>
    </row>
    <row r="320" customFormat="false" ht="12.75" hidden="false" customHeight="false" outlineLevel="0" collapsed="false">
      <c r="J320" s="451"/>
      <c r="K320" s="451"/>
      <c r="L320" s="451"/>
      <c r="M320" s="451"/>
      <c r="N320" s="451"/>
      <c r="O320" s="929"/>
      <c r="P320" s="929"/>
      <c r="Q320" s="929"/>
      <c r="S320" s="451"/>
      <c r="T320" s="451"/>
      <c r="U320" s="451"/>
      <c r="V320" s="451"/>
      <c r="X320" s="929"/>
      <c r="Y320" s="929"/>
      <c r="Z320" s="929"/>
      <c r="AB320" s="451"/>
      <c r="AC320" s="451"/>
      <c r="AD320" s="451"/>
      <c r="AE320" s="451"/>
      <c r="AF320" s="451"/>
      <c r="AG320" s="929"/>
      <c r="AH320" s="929"/>
      <c r="AI320" s="929"/>
    </row>
    <row r="321" customFormat="false" ht="12.75" hidden="false" customHeight="false" outlineLevel="0" collapsed="false">
      <c r="J321" s="451"/>
      <c r="K321" s="451"/>
      <c r="L321" s="451"/>
      <c r="M321" s="451"/>
      <c r="N321" s="451"/>
      <c r="O321" s="929"/>
      <c r="P321" s="929"/>
      <c r="Q321" s="929"/>
      <c r="S321" s="451"/>
      <c r="T321" s="451"/>
      <c r="U321" s="451"/>
      <c r="V321" s="451"/>
      <c r="X321" s="929"/>
      <c r="Y321" s="929"/>
      <c r="Z321" s="929"/>
      <c r="AB321" s="451"/>
      <c r="AC321" s="451"/>
      <c r="AD321" s="451"/>
      <c r="AE321" s="451"/>
      <c r="AF321" s="451"/>
      <c r="AG321" s="929"/>
      <c r="AH321" s="929"/>
      <c r="AI321" s="929"/>
    </row>
    <row r="322" customFormat="false" ht="12.75" hidden="false" customHeight="false" outlineLevel="0" collapsed="false">
      <c r="J322" s="451"/>
      <c r="K322" s="451"/>
      <c r="L322" s="451"/>
      <c r="M322" s="451"/>
      <c r="N322" s="451"/>
      <c r="O322" s="929"/>
      <c r="P322" s="929"/>
      <c r="Q322" s="929"/>
      <c r="S322" s="451"/>
      <c r="T322" s="451"/>
      <c r="U322" s="451"/>
      <c r="V322" s="451"/>
      <c r="X322" s="929"/>
      <c r="Y322" s="929"/>
      <c r="Z322" s="929"/>
      <c r="AB322" s="451"/>
      <c r="AC322" s="451"/>
      <c r="AD322" s="451"/>
      <c r="AE322" s="451"/>
      <c r="AF322" s="451"/>
      <c r="AG322" s="929"/>
      <c r="AH322" s="929"/>
      <c r="AI322" s="929"/>
    </row>
    <row r="323" customFormat="false" ht="12.75" hidden="false" customHeight="false" outlineLevel="0" collapsed="false">
      <c r="J323" s="451"/>
      <c r="K323" s="451"/>
      <c r="L323" s="451"/>
      <c r="M323" s="451"/>
      <c r="N323" s="451"/>
      <c r="O323" s="929"/>
      <c r="P323" s="929"/>
      <c r="Q323" s="929"/>
      <c r="S323" s="451"/>
      <c r="T323" s="451"/>
      <c r="U323" s="451"/>
      <c r="V323" s="451"/>
      <c r="X323" s="929"/>
      <c r="Y323" s="929"/>
      <c r="Z323" s="929"/>
      <c r="AB323" s="451"/>
      <c r="AC323" s="451"/>
      <c r="AD323" s="451"/>
      <c r="AE323" s="451"/>
      <c r="AF323" s="451"/>
      <c r="AG323" s="929"/>
      <c r="AH323" s="929"/>
      <c r="AI323" s="929"/>
    </row>
    <row r="324" customFormat="false" ht="12.75" hidden="false" customHeight="false" outlineLevel="0" collapsed="false">
      <c r="J324" s="451"/>
      <c r="K324" s="451"/>
      <c r="L324" s="451"/>
      <c r="M324" s="451"/>
      <c r="N324" s="451"/>
      <c r="O324" s="929"/>
      <c r="P324" s="929"/>
      <c r="Q324" s="929"/>
      <c r="S324" s="451"/>
      <c r="T324" s="451"/>
      <c r="U324" s="451"/>
      <c r="V324" s="451"/>
      <c r="X324" s="929"/>
      <c r="Y324" s="929"/>
      <c r="Z324" s="929"/>
      <c r="AB324" s="451"/>
      <c r="AC324" s="451"/>
      <c r="AD324" s="451"/>
      <c r="AE324" s="451"/>
      <c r="AF324" s="451"/>
      <c r="AG324" s="929"/>
      <c r="AH324" s="929"/>
      <c r="AI324" s="929"/>
    </row>
    <row r="325" customFormat="false" ht="12.75" hidden="false" customHeight="false" outlineLevel="0" collapsed="false">
      <c r="J325" s="451"/>
      <c r="K325" s="451"/>
      <c r="L325" s="451"/>
      <c r="M325" s="451"/>
      <c r="N325" s="451"/>
      <c r="O325" s="929"/>
      <c r="P325" s="929"/>
      <c r="Q325" s="929"/>
      <c r="S325" s="451"/>
      <c r="T325" s="451"/>
      <c r="U325" s="451"/>
      <c r="V325" s="451"/>
      <c r="X325" s="929"/>
      <c r="Y325" s="929"/>
      <c r="Z325" s="929"/>
      <c r="AB325" s="451"/>
      <c r="AC325" s="451"/>
      <c r="AD325" s="451"/>
      <c r="AE325" s="451"/>
      <c r="AF325" s="451"/>
      <c r="AG325" s="929"/>
      <c r="AH325" s="929"/>
      <c r="AI325" s="929"/>
    </row>
    <row r="326" customFormat="false" ht="12.75" hidden="false" customHeight="false" outlineLevel="0" collapsed="false">
      <c r="J326" s="451"/>
      <c r="K326" s="451"/>
      <c r="L326" s="451"/>
      <c r="M326" s="451"/>
      <c r="N326" s="451"/>
      <c r="O326" s="929"/>
      <c r="P326" s="929"/>
      <c r="Q326" s="929"/>
      <c r="S326" s="451"/>
      <c r="T326" s="451"/>
      <c r="U326" s="451"/>
      <c r="V326" s="451"/>
      <c r="X326" s="929"/>
      <c r="Y326" s="929"/>
      <c r="Z326" s="929"/>
      <c r="AB326" s="451"/>
      <c r="AC326" s="451"/>
      <c r="AD326" s="451"/>
      <c r="AE326" s="451"/>
      <c r="AF326" s="451"/>
      <c r="AG326" s="929"/>
      <c r="AH326" s="929"/>
      <c r="AI326" s="929"/>
    </row>
    <row r="327" customFormat="false" ht="12.75" hidden="false" customHeight="false" outlineLevel="0" collapsed="false">
      <c r="J327" s="451"/>
      <c r="K327" s="451"/>
      <c r="L327" s="451"/>
      <c r="M327" s="451"/>
      <c r="N327" s="451"/>
      <c r="O327" s="929"/>
      <c r="P327" s="929"/>
      <c r="Q327" s="929"/>
      <c r="S327" s="451"/>
      <c r="T327" s="451"/>
      <c r="U327" s="451"/>
      <c r="V327" s="451"/>
      <c r="X327" s="929"/>
      <c r="Y327" s="929"/>
      <c r="Z327" s="929"/>
      <c r="AB327" s="451"/>
      <c r="AC327" s="451"/>
      <c r="AD327" s="451"/>
      <c r="AE327" s="451"/>
      <c r="AF327" s="451"/>
      <c r="AG327" s="929"/>
      <c r="AH327" s="929"/>
      <c r="AI327" s="929"/>
    </row>
    <row r="328" customFormat="false" ht="12.75" hidden="false" customHeight="false" outlineLevel="0" collapsed="false">
      <c r="J328" s="451"/>
      <c r="K328" s="451"/>
      <c r="L328" s="451"/>
      <c r="M328" s="451"/>
      <c r="N328" s="451"/>
      <c r="O328" s="929"/>
      <c r="P328" s="929"/>
      <c r="Q328" s="929"/>
      <c r="S328" s="451"/>
      <c r="T328" s="451"/>
      <c r="U328" s="451"/>
      <c r="V328" s="451"/>
      <c r="X328" s="929"/>
      <c r="Y328" s="929"/>
      <c r="Z328" s="929"/>
      <c r="AB328" s="451"/>
      <c r="AC328" s="451"/>
      <c r="AD328" s="451"/>
      <c r="AE328" s="451"/>
      <c r="AF328" s="451"/>
      <c r="AG328" s="929"/>
      <c r="AH328" s="929"/>
      <c r="AI328" s="929"/>
    </row>
    <row r="329" customFormat="false" ht="12.75" hidden="false" customHeight="false" outlineLevel="0" collapsed="false">
      <c r="J329" s="451"/>
      <c r="K329" s="451"/>
      <c r="L329" s="451"/>
      <c r="M329" s="451"/>
      <c r="N329" s="451"/>
      <c r="O329" s="929"/>
      <c r="P329" s="929"/>
      <c r="Q329" s="929"/>
      <c r="S329" s="451"/>
      <c r="T329" s="451"/>
      <c r="U329" s="451"/>
      <c r="V329" s="451"/>
      <c r="X329" s="929"/>
      <c r="Y329" s="929"/>
      <c r="Z329" s="929"/>
      <c r="AB329" s="451"/>
      <c r="AC329" s="451"/>
      <c r="AD329" s="451"/>
      <c r="AE329" s="451"/>
      <c r="AF329" s="451"/>
      <c r="AG329" s="929"/>
      <c r="AH329" s="929"/>
      <c r="AI329" s="929"/>
    </row>
    <row r="330" customFormat="false" ht="12.75" hidden="false" customHeight="false" outlineLevel="0" collapsed="false">
      <c r="J330" s="451"/>
      <c r="K330" s="451"/>
      <c r="L330" s="451"/>
      <c r="M330" s="451"/>
      <c r="N330" s="451"/>
      <c r="O330" s="929"/>
      <c r="P330" s="929"/>
      <c r="Q330" s="929"/>
      <c r="S330" s="451"/>
      <c r="T330" s="451"/>
      <c r="U330" s="451"/>
      <c r="V330" s="451"/>
      <c r="X330" s="929"/>
      <c r="Y330" s="929"/>
      <c r="Z330" s="929"/>
      <c r="AB330" s="451"/>
      <c r="AC330" s="451"/>
      <c r="AD330" s="451"/>
      <c r="AE330" s="451"/>
      <c r="AF330" s="451"/>
      <c r="AG330" s="929"/>
      <c r="AH330" s="929"/>
      <c r="AI330" s="929"/>
    </row>
    <row r="331" customFormat="false" ht="12.75" hidden="false" customHeight="false" outlineLevel="0" collapsed="false">
      <c r="J331" s="451"/>
      <c r="K331" s="451"/>
      <c r="L331" s="451"/>
      <c r="M331" s="451"/>
      <c r="N331" s="451"/>
      <c r="O331" s="929"/>
      <c r="P331" s="929"/>
      <c r="Q331" s="929"/>
      <c r="S331" s="451"/>
      <c r="T331" s="451"/>
      <c r="U331" s="451"/>
      <c r="V331" s="451"/>
      <c r="X331" s="929"/>
      <c r="Y331" s="929"/>
      <c r="Z331" s="929"/>
      <c r="AB331" s="451"/>
      <c r="AC331" s="451"/>
      <c r="AD331" s="451"/>
      <c r="AE331" s="451"/>
      <c r="AF331" s="451"/>
      <c r="AG331" s="929"/>
      <c r="AH331" s="929"/>
      <c r="AI331" s="929"/>
    </row>
    <row r="332" customFormat="false" ht="12.75" hidden="false" customHeight="false" outlineLevel="0" collapsed="false">
      <c r="J332" s="451"/>
      <c r="K332" s="451"/>
      <c r="L332" s="451"/>
      <c r="M332" s="451"/>
      <c r="N332" s="451"/>
      <c r="O332" s="929"/>
      <c r="P332" s="929"/>
      <c r="Q332" s="929"/>
      <c r="S332" s="451"/>
      <c r="T332" s="451"/>
      <c r="U332" s="451"/>
      <c r="V332" s="451"/>
      <c r="X332" s="929"/>
      <c r="Y332" s="929"/>
      <c r="Z332" s="929"/>
      <c r="AB332" s="451"/>
      <c r="AC332" s="451"/>
      <c r="AD332" s="451"/>
      <c r="AE332" s="451"/>
      <c r="AF332" s="451"/>
      <c r="AG332" s="929"/>
      <c r="AH332" s="929"/>
      <c r="AI332" s="929"/>
    </row>
    <row r="333" customFormat="false" ht="12.75" hidden="false" customHeight="false" outlineLevel="0" collapsed="false">
      <c r="J333" s="451"/>
      <c r="K333" s="451"/>
      <c r="L333" s="451"/>
      <c r="M333" s="451"/>
      <c r="N333" s="451"/>
      <c r="O333" s="929"/>
      <c r="P333" s="929"/>
      <c r="Q333" s="929"/>
      <c r="S333" s="451"/>
      <c r="T333" s="451"/>
      <c r="U333" s="451"/>
      <c r="V333" s="451"/>
      <c r="X333" s="929"/>
      <c r="Y333" s="929"/>
      <c r="Z333" s="929"/>
      <c r="AB333" s="451"/>
      <c r="AC333" s="451"/>
      <c r="AD333" s="451"/>
      <c r="AE333" s="451"/>
      <c r="AF333" s="451"/>
      <c r="AG333" s="929"/>
      <c r="AH333" s="929"/>
      <c r="AI333" s="929"/>
    </row>
    <row r="334" customFormat="false" ht="12.75" hidden="false" customHeight="false" outlineLevel="0" collapsed="false">
      <c r="J334" s="451"/>
      <c r="K334" s="451"/>
      <c r="L334" s="451"/>
      <c r="M334" s="451"/>
      <c r="N334" s="451"/>
      <c r="O334" s="929"/>
      <c r="P334" s="929"/>
      <c r="Q334" s="929"/>
      <c r="S334" s="451"/>
      <c r="T334" s="451"/>
      <c r="U334" s="451"/>
      <c r="V334" s="451"/>
      <c r="X334" s="929"/>
      <c r="Y334" s="929"/>
      <c r="Z334" s="929"/>
      <c r="AB334" s="451"/>
      <c r="AC334" s="451"/>
      <c r="AD334" s="451"/>
      <c r="AE334" s="451"/>
      <c r="AF334" s="451"/>
      <c r="AG334" s="929"/>
      <c r="AH334" s="929"/>
      <c r="AI334" s="929"/>
    </row>
    <row r="335" customFormat="false" ht="12.75" hidden="false" customHeight="false" outlineLevel="0" collapsed="false">
      <c r="J335" s="451"/>
      <c r="K335" s="451"/>
      <c r="L335" s="451"/>
      <c r="M335" s="451"/>
      <c r="N335" s="451"/>
      <c r="O335" s="929"/>
      <c r="P335" s="929"/>
      <c r="Q335" s="929"/>
      <c r="S335" s="451"/>
      <c r="T335" s="451"/>
      <c r="U335" s="451"/>
      <c r="V335" s="451"/>
      <c r="X335" s="929"/>
      <c r="Y335" s="929"/>
      <c r="Z335" s="929"/>
      <c r="AB335" s="451"/>
      <c r="AC335" s="451"/>
      <c r="AD335" s="451"/>
      <c r="AE335" s="451"/>
      <c r="AF335" s="451"/>
      <c r="AG335" s="929"/>
      <c r="AH335" s="929"/>
      <c r="AI335" s="929"/>
    </row>
    <row r="336" customFormat="false" ht="12.75" hidden="false" customHeight="false" outlineLevel="0" collapsed="false">
      <c r="J336" s="451"/>
      <c r="K336" s="451"/>
      <c r="L336" s="451"/>
      <c r="M336" s="451"/>
      <c r="N336" s="451"/>
      <c r="O336" s="929"/>
      <c r="P336" s="929"/>
      <c r="Q336" s="929"/>
      <c r="S336" s="451"/>
      <c r="T336" s="451"/>
      <c r="U336" s="451"/>
      <c r="V336" s="451"/>
      <c r="X336" s="929"/>
      <c r="Y336" s="929"/>
      <c r="Z336" s="929"/>
      <c r="AB336" s="451"/>
      <c r="AC336" s="451"/>
      <c r="AD336" s="451"/>
      <c r="AE336" s="451"/>
      <c r="AF336" s="451"/>
      <c r="AG336" s="929"/>
      <c r="AH336" s="929"/>
      <c r="AI336" s="929"/>
    </row>
    <row r="337" customFormat="false" ht="12.75" hidden="false" customHeight="false" outlineLevel="0" collapsed="false">
      <c r="J337" s="451"/>
      <c r="K337" s="451"/>
      <c r="L337" s="451"/>
      <c r="M337" s="451"/>
      <c r="N337" s="451"/>
      <c r="O337" s="929"/>
      <c r="P337" s="929"/>
      <c r="Q337" s="929"/>
      <c r="S337" s="451"/>
      <c r="T337" s="451"/>
      <c r="U337" s="451"/>
      <c r="V337" s="451"/>
      <c r="X337" s="929"/>
      <c r="Y337" s="929"/>
      <c r="Z337" s="929"/>
      <c r="AB337" s="451"/>
      <c r="AC337" s="451"/>
      <c r="AD337" s="451"/>
      <c r="AE337" s="451"/>
      <c r="AF337" s="451"/>
      <c r="AG337" s="929"/>
      <c r="AH337" s="929"/>
      <c r="AI337" s="929"/>
    </row>
    <row r="338" customFormat="false" ht="12.75" hidden="false" customHeight="false" outlineLevel="0" collapsed="false">
      <c r="J338" s="451"/>
      <c r="K338" s="451"/>
      <c r="L338" s="451"/>
      <c r="M338" s="451"/>
      <c r="N338" s="451"/>
      <c r="O338" s="929"/>
      <c r="P338" s="929"/>
      <c r="Q338" s="929"/>
      <c r="S338" s="451"/>
      <c r="T338" s="451"/>
      <c r="U338" s="451"/>
      <c r="V338" s="451"/>
      <c r="X338" s="929"/>
      <c r="Y338" s="929"/>
      <c r="Z338" s="929"/>
      <c r="AB338" s="451"/>
      <c r="AC338" s="451"/>
      <c r="AD338" s="451"/>
      <c r="AE338" s="451"/>
      <c r="AF338" s="451"/>
      <c r="AG338" s="929"/>
      <c r="AH338" s="929"/>
      <c r="AI338" s="929"/>
    </row>
    <row r="339" customFormat="false" ht="12.75" hidden="false" customHeight="false" outlineLevel="0" collapsed="false">
      <c r="J339" s="451"/>
      <c r="K339" s="451"/>
      <c r="L339" s="451"/>
      <c r="M339" s="451"/>
      <c r="N339" s="451"/>
      <c r="O339" s="929"/>
      <c r="P339" s="929"/>
      <c r="Q339" s="929"/>
      <c r="S339" s="451"/>
      <c r="T339" s="451"/>
      <c r="U339" s="451"/>
      <c r="V339" s="451"/>
      <c r="X339" s="929"/>
      <c r="Y339" s="929"/>
      <c r="Z339" s="929"/>
      <c r="AB339" s="451"/>
      <c r="AC339" s="451"/>
      <c r="AD339" s="451"/>
      <c r="AE339" s="451"/>
      <c r="AF339" s="451"/>
      <c r="AG339" s="929"/>
      <c r="AH339" s="929"/>
      <c r="AI339" s="929"/>
    </row>
    <row r="340" customFormat="false" ht="12.75" hidden="false" customHeight="false" outlineLevel="0" collapsed="false">
      <c r="J340" s="451"/>
      <c r="K340" s="451"/>
      <c r="L340" s="451"/>
      <c r="M340" s="451"/>
      <c r="N340" s="451"/>
      <c r="O340" s="929"/>
      <c r="P340" s="929"/>
      <c r="Q340" s="929"/>
      <c r="S340" s="451"/>
      <c r="T340" s="451"/>
      <c r="U340" s="451"/>
      <c r="V340" s="451"/>
      <c r="X340" s="929"/>
      <c r="Y340" s="929"/>
      <c r="Z340" s="929"/>
      <c r="AB340" s="451"/>
      <c r="AC340" s="451"/>
      <c r="AD340" s="451"/>
      <c r="AE340" s="451"/>
      <c r="AF340" s="451"/>
      <c r="AG340" s="929"/>
      <c r="AH340" s="929"/>
      <c r="AI340" s="929"/>
    </row>
    <row r="341" customFormat="false" ht="12.75" hidden="false" customHeight="false" outlineLevel="0" collapsed="false">
      <c r="J341" s="451"/>
      <c r="K341" s="451"/>
      <c r="L341" s="451"/>
      <c r="M341" s="451"/>
      <c r="N341" s="451"/>
      <c r="O341" s="929"/>
      <c r="P341" s="929"/>
      <c r="Q341" s="929"/>
      <c r="S341" s="451"/>
      <c r="T341" s="451"/>
      <c r="U341" s="451"/>
      <c r="V341" s="451"/>
      <c r="X341" s="929"/>
      <c r="Y341" s="929"/>
      <c r="Z341" s="929"/>
      <c r="AB341" s="451"/>
      <c r="AC341" s="451"/>
      <c r="AD341" s="451"/>
      <c r="AE341" s="451"/>
      <c r="AF341" s="451"/>
      <c r="AG341" s="929"/>
      <c r="AH341" s="929"/>
      <c r="AI341" s="929"/>
    </row>
    <row r="342" customFormat="false" ht="12.75" hidden="false" customHeight="false" outlineLevel="0" collapsed="false">
      <c r="J342" s="451"/>
      <c r="K342" s="451"/>
      <c r="L342" s="451"/>
      <c r="M342" s="451"/>
      <c r="N342" s="451"/>
      <c r="O342" s="929"/>
      <c r="P342" s="929"/>
      <c r="Q342" s="929"/>
      <c r="S342" s="451"/>
      <c r="T342" s="451"/>
      <c r="U342" s="451"/>
      <c r="V342" s="451"/>
      <c r="X342" s="929"/>
      <c r="Y342" s="929"/>
      <c r="Z342" s="929"/>
      <c r="AB342" s="451"/>
      <c r="AC342" s="451"/>
      <c r="AD342" s="451"/>
      <c r="AE342" s="451"/>
      <c r="AF342" s="451"/>
      <c r="AG342" s="929"/>
      <c r="AH342" s="929"/>
      <c r="AI342" s="929"/>
    </row>
    <row r="343" customFormat="false" ht="12.75" hidden="false" customHeight="false" outlineLevel="0" collapsed="false">
      <c r="J343" s="451"/>
      <c r="K343" s="451"/>
      <c r="L343" s="451"/>
      <c r="M343" s="451"/>
      <c r="N343" s="451"/>
      <c r="O343" s="929"/>
      <c r="P343" s="929"/>
      <c r="Q343" s="929"/>
      <c r="S343" s="451"/>
      <c r="T343" s="451"/>
      <c r="U343" s="451"/>
      <c r="V343" s="451"/>
      <c r="X343" s="929"/>
      <c r="Y343" s="929"/>
      <c r="Z343" s="929"/>
      <c r="AB343" s="451"/>
      <c r="AC343" s="451"/>
      <c r="AD343" s="451"/>
      <c r="AE343" s="451"/>
      <c r="AF343" s="451"/>
      <c r="AG343" s="929"/>
      <c r="AH343" s="929"/>
      <c r="AI343" s="929"/>
    </row>
    <row r="344" customFormat="false" ht="12.75" hidden="false" customHeight="false" outlineLevel="0" collapsed="false">
      <c r="J344" s="451"/>
      <c r="K344" s="451"/>
      <c r="L344" s="451"/>
      <c r="M344" s="451"/>
      <c r="N344" s="451"/>
      <c r="O344" s="929"/>
      <c r="P344" s="929"/>
      <c r="Q344" s="929"/>
      <c r="S344" s="451"/>
      <c r="T344" s="451"/>
      <c r="U344" s="451"/>
      <c r="V344" s="451"/>
      <c r="X344" s="929"/>
      <c r="Y344" s="929"/>
      <c r="Z344" s="929"/>
      <c r="AB344" s="451"/>
      <c r="AC344" s="451"/>
      <c r="AD344" s="451"/>
      <c r="AE344" s="451"/>
      <c r="AF344" s="451"/>
      <c r="AG344" s="929"/>
      <c r="AH344" s="929"/>
      <c r="AI344" s="929"/>
    </row>
    <row r="345" customFormat="false" ht="12.75" hidden="false" customHeight="false" outlineLevel="0" collapsed="false">
      <c r="J345" s="451"/>
      <c r="K345" s="451"/>
      <c r="L345" s="451"/>
      <c r="M345" s="451"/>
      <c r="N345" s="451"/>
      <c r="O345" s="929"/>
      <c r="P345" s="929"/>
      <c r="Q345" s="929"/>
      <c r="S345" s="451"/>
      <c r="T345" s="451"/>
      <c r="U345" s="451"/>
      <c r="V345" s="451"/>
      <c r="X345" s="929"/>
      <c r="Y345" s="929"/>
      <c r="Z345" s="929"/>
      <c r="AB345" s="451"/>
      <c r="AC345" s="451"/>
      <c r="AD345" s="451"/>
      <c r="AE345" s="451"/>
      <c r="AF345" s="451"/>
      <c r="AG345" s="929"/>
      <c r="AH345" s="929"/>
      <c r="AI345" s="929"/>
    </row>
    <row r="346" customFormat="false" ht="12.75" hidden="false" customHeight="false" outlineLevel="0" collapsed="false">
      <c r="J346" s="451"/>
      <c r="K346" s="451"/>
      <c r="L346" s="451"/>
      <c r="M346" s="451"/>
      <c r="N346" s="451"/>
      <c r="O346" s="929"/>
      <c r="P346" s="929"/>
      <c r="Q346" s="929"/>
      <c r="S346" s="451"/>
      <c r="T346" s="451"/>
      <c r="U346" s="451"/>
      <c r="V346" s="451"/>
      <c r="X346" s="929"/>
      <c r="Y346" s="929"/>
      <c r="Z346" s="929"/>
      <c r="AB346" s="451"/>
      <c r="AC346" s="451"/>
      <c r="AD346" s="451"/>
      <c r="AE346" s="451"/>
      <c r="AF346" s="451"/>
      <c r="AG346" s="929"/>
      <c r="AH346" s="929"/>
      <c r="AI346" s="929"/>
    </row>
    <row r="347" customFormat="false" ht="12.75" hidden="false" customHeight="false" outlineLevel="0" collapsed="false">
      <c r="J347" s="451"/>
      <c r="K347" s="451"/>
      <c r="L347" s="451"/>
      <c r="M347" s="451"/>
      <c r="N347" s="451"/>
      <c r="O347" s="929"/>
      <c r="P347" s="929"/>
      <c r="Q347" s="929"/>
      <c r="S347" s="451"/>
      <c r="T347" s="451"/>
      <c r="U347" s="451"/>
      <c r="V347" s="451"/>
      <c r="X347" s="929"/>
      <c r="Y347" s="929"/>
      <c r="Z347" s="929"/>
      <c r="AB347" s="451"/>
      <c r="AC347" s="451"/>
      <c r="AD347" s="451"/>
      <c r="AE347" s="451"/>
      <c r="AF347" s="451"/>
      <c r="AG347" s="929"/>
      <c r="AH347" s="929"/>
      <c r="AI347" s="929"/>
    </row>
    <row r="348" customFormat="false" ht="12.75" hidden="false" customHeight="false" outlineLevel="0" collapsed="false">
      <c r="J348" s="451"/>
      <c r="K348" s="451"/>
      <c r="L348" s="451"/>
      <c r="M348" s="451"/>
      <c r="N348" s="451"/>
      <c r="O348" s="929"/>
      <c r="P348" s="929"/>
      <c r="Q348" s="929"/>
      <c r="S348" s="451"/>
      <c r="T348" s="451"/>
      <c r="U348" s="451"/>
      <c r="V348" s="451"/>
      <c r="X348" s="929"/>
      <c r="Y348" s="929"/>
      <c r="Z348" s="929"/>
      <c r="AB348" s="451"/>
      <c r="AC348" s="451"/>
      <c r="AD348" s="451"/>
      <c r="AE348" s="451"/>
      <c r="AF348" s="451"/>
      <c r="AG348" s="929"/>
      <c r="AH348" s="929"/>
      <c r="AI348" s="929"/>
    </row>
    <row r="349" customFormat="false" ht="12.75" hidden="false" customHeight="false" outlineLevel="0" collapsed="false">
      <c r="J349" s="451"/>
      <c r="K349" s="451"/>
      <c r="L349" s="451"/>
      <c r="M349" s="451"/>
      <c r="N349" s="451"/>
      <c r="O349" s="929"/>
      <c r="P349" s="929"/>
      <c r="Q349" s="929"/>
      <c r="S349" s="451"/>
      <c r="T349" s="451"/>
      <c r="U349" s="451"/>
      <c r="V349" s="451"/>
      <c r="X349" s="929"/>
      <c r="Y349" s="929"/>
      <c r="Z349" s="929"/>
      <c r="AB349" s="451"/>
      <c r="AC349" s="451"/>
      <c r="AD349" s="451"/>
      <c r="AE349" s="451"/>
      <c r="AF349" s="451"/>
      <c r="AG349" s="929"/>
      <c r="AH349" s="929"/>
      <c r="AI349" s="929"/>
    </row>
    <row r="350" customFormat="false" ht="12.75" hidden="false" customHeight="false" outlineLevel="0" collapsed="false">
      <c r="J350" s="451"/>
      <c r="K350" s="451"/>
      <c r="L350" s="451"/>
      <c r="M350" s="451"/>
      <c r="N350" s="451"/>
      <c r="O350" s="929"/>
      <c r="P350" s="929"/>
      <c r="Q350" s="929"/>
      <c r="S350" s="451"/>
      <c r="T350" s="451"/>
      <c r="U350" s="451"/>
      <c r="V350" s="451"/>
      <c r="X350" s="929"/>
      <c r="Y350" s="929"/>
      <c r="Z350" s="929"/>
      <c r="AB350" s="451"/>
      <c r="AC350" s="451"/>
      <c r="AD350" s="451"/>
      <c r="AE350" s="451"/>
      <c r="AF350" s="451"/>
      <c r="AG350" s="929"/>
      <c r="AH350" s="929"/>
      <c r="AI350" s="929"/>
    </row>
    <row r="351" customFormat="false" ht="12.75" hidden="false" customHeight="false" outlineLevel="0" collapsed="false">
      <c r="J351" s="451"/>
      <c r="K351" s="451"/>
      <c r="L351" s="451"/>
      <c r="M351" s="451"/>
      <c r="N351" s="451"/>
      <c r="O351" s="929"/>
      <c r="P351" s="929"/>
      <c r="Q351" s="929"/>
      <c r="S351" s="451"/>
      <c r="T351" s="451"/>
      <c r="U351" s="451"/>
      <c r="V351" s="451"/>
      <c r="X351" s="929"/>
      <c r="Y351" s="929"/>
      <c r="Z351" s="929"/>
      <c r="AB351" s="451"/>
      <c r="AC351" s="451"/>
      <c r="AD351" s="451"/>
      <c r="AE351" s="451"/>
      <c r="AF351" s="451"/>
      <c r="AG351" s="929"/>
      <c r="AH351" s="929"/>
      <c r="AI351" s="929"/>
    </row>
    <row r="352" customFormat="false" ht="12.75" hidden="false" customHeight="false" outlineLevel="0" collapsed="false">
      <c r="J352" s="451"/>
      <c r="K352" s="451"/>
      <c r="L352" s="451"/>
      <c r="M352" s="451"/>
      <c r="N352" s="451"/>
      <c r="O352" s="929"/>
      <c r="P352" s="929"/>
      <c r="Q352" s="929"/>
      <c r="S352" s="451"/>
      <c r="T352" s="451"/>
      <c r="U352" s="451"/>
      <c r="V352" s="451"/>
      <c r="X352" s="929"/>
      <c r="Y352" s="929"/>
      <c r="Z352" s="929"/>
      <c r="AB352" s="451"/>
      <c r="AC352" s="451"/>
      <c r="AD352" s="451"/>
      <c r="AE352" s="451"/>
      <c r="AF352" s="451"/>
      <c r="AG352" s="929"/>
      <c r="AH352" s="929"/>
      <c r="AI352" s="929"/>
    </row>
    <row r="353" customFormat="false" ht="12.75" hidden="false" customHeight="false" outlineLevel="0" collapsed="false">
      <c r="J353" s="451"/>
      <c r="K353" s="451"/>
      <c r="L353" s="451"/>
      <c r="M353" s="451"/>
      <c r="N353" s="451"/>
      <c r="O353" s="929"/>
      <c r="P353" s="929"/>
      <c r="Q353" s="929"/>
      <c r="S353" s="451"/>
      <c r="T353" s="451"/>
      <c r="U353" s="451"/>
      <c r="V353" s="451"/>
      <c r="X353" s="929"/>
      <c r="Y353" s="929"/>
      <c r="Z353" s="929"/>
      <c r="AB353" s="451"/>
      <c r="AC353" s="451"/>
      <c r="AD353" s="451"/>
      <c r="AE353" s="451"/>
      <c r="AF353" s="451"/>
      <c r="AG353" s="929"/>
      <c r="AH353" s="929"/>
      <c r="AI353" s="929"/>
    </row>
    <row r="354" customFormat="false" ht="12.75" hidden="false" customHeight="false" outlineLevel="0" collapsed="false">
      <c r="J354" s="451"/>
      <c r="K354" s="451"/>
      <c r="L354" s="451"/>
      <c r="M354" s="451"/>
      <c r="N354" s="451"/>
      <c r="O354" s="929"/>
      <c r="P354" s="929"/>
      <c r="Q354" s="929"/>
      <c r="S354" s="451"/>
      <c r="T354" s="451"/>
      <c r="U354" s="451"/>
      <c r="V354" s="451"/>
      <c r="X354" s="929"/>
      <c r="Y354" s="929"/>
      <c r="Z354" s="929"/>
      <c r="AB354" s="451"/>
      <c r="AC354" s="451"/>
      <c r="AD354" s="451"/>
      <c r="AE354" s="451"/>
      <c r="AF354" s="451"/>
      <c r="AG354" s="929"/>
      <c r="AH354" s="929"/>
      <c r="AI354" s="929"/>
    </row>
    <row r="355" customFormat="false" ht="12.75" hidden="false" customHeight="false" outlineLevel="0" collapsed="false">
      <c r="J355" s="451"/>
      <c r="K355" s="451"/>
      <c r="L355" s="451"/>
      <c r="M355" s="451"/>
      <c r="N355" s="451"/>
      <c r="O355" s="929"/>
      <c r="P355" s="929"/>
      <c r="Q355" s="929"/>
      <c r="S355" s="451"/>
      <c r="T355" s="451"/>
      <c r="U355" s="451"/>
      <c r="V355" s="451"/>
      <c r="X355" s="929"/>
      <c r="Y355" s="929"/>
      <c r="Z355" s="929"/>
      <c r="AB355" s="451"/>
      <c r="AC355" s="451"/>
      <c r="AD355" s="451"/>
      <c r="AE355" s="451"/>
      <c r="AF355" s="451"/>
      <c r="AG355" s="929"/>
      <c r="AH355" s="929"/>
      <c r="AI355" s="929"/>
    </row>
    <row r="356" customFormat="false" ht="12.75" hidden="false" customHeight="false" outlineLevel="0" collapsed="false">
      <c r="J356" s="451"/>
      <c r="K356" s="451"/>
      <c r="L356" s="451"/>
      <c r="M356" s="451"/>
      <c r="N356" s="451"/>
      <c r="O356" s="929"/>
      <c r="P356" s="929"/>
      <c r="Q356" s="929"/>
      <c r="S356" s="451"/>
      <c r="T356" s="451"/>
      <c r="U356" s="451"/>
      <c r="V356" s="451"/>
      <c r="X356" s="929"/>
      <c r="Y356" s="929"/>
      <c r="Z356" s="929"/>
      <c r="AB356" s="451"/>
      <c r="AC356" s="451"/>
      <c r="AD356" s="451"/>
      <c r="AE356" s="451"/>
      <c r="AF356" s="451"/>
      <c r="AG356" s="929"/>
      <c r="AH356" s="929"/>
      <c r="AI356" s="929"/>
    </row>
    <row r="357" customFormat="false" ht="12.75" hidden="false" customHeight="false" outlineLevel="0" collapsed="false">
      <c r="J357" s="451"/>
      <c r="K357" s="451"/>
      <c r="L357" s="451"/>
      <c r="M357" s="451"/>
      <c r="N357" s="451"/>
      <c r="O357" s="929"/>
      <c r="P357" s="929"/>
      <c r="Q357" s="929"/>
      <c r="S357" s="451"/>
      <c r="T357" s="451"/>
      <c r="U357" s="451"/>
      <c r="V357" s="451"/>
      <c r="X357" s="929"/>
      <c r="Y357" s="929"/>
      <c r="Z357" s="929"/>
      <c r="AB357" s="451"/>
      <c r="AC357" s="451"/>
      <c r="AD357" s="451"/>
      <c r="AE357" s="451"/>
      <c r="AF357" s="451"/>
      <c r="AG357" s="929"/>
      <c r="AH357" s="929"/>
      <c r="AI357" s="929"/>
    </row>
    <row r="358" customFormat="false" ht="12.75" hidden="false" customHeight="false" outlineLevel="0" collapsed="false">
      <c r="J358" s="451"/>
      <c r="K358" s="451"/>
      <c r="L358" s="451"/>
      <c r="M358" s="451"/>
      <c r="N358" s="451"/>
      <c r="O358" s="929"/>
      <c r="P358" s="929"/>
      <c r="Q358" s="929"/>
      <c r="S358" s="451"/>
      <c r="T358" s="451"/>
      <c r="U358" s="451"/>
      <c r="V358" s="451"/>
      <c r="X358" s="929"/>
      <c r="Y358" s="929"/>
      <c r="Z358" s="929"/>
      <c r="AB358" s="451"/>
      <c r="AC358" s="451"/>
      <c r="AD358" s="451"/>
      <c r="AE358" s="451"/>
      <c r="AF358" s="451"/>
      <c r="AG358" s="929"/>
      <c r="AH358" s="929"/>
      <c r="AI358" s="929"/>
    </row>
    <row r="359" customFormat="false" ht="12.75" hidden="false" customHeight="false" outlineLevel="0" collapsed="false">
      <c r="J359" s="451"/>
      <c r="K359" s="451"/>
      <c r="L359" s="451"/>
      <c r="M359" s="451"/>
      <c r="N359" s="451"/>
      <c r="O359" s="929"/>
      <c r="P359" s="929"/>
      <c r="Q359" s="929"/>
      <c r="S359" s="451"/>
      <c r="T359" s="451"/>
      <c r="U359" s="451"/>
      <c r="V359" s="451"/>
      <c r="X359" s="929"/>
      <c r="Y359" s="929"/>
      <c r="Z359" s="929"/>
      <c r="AB359" s="451"/>
      <c r="AC359" s="451"/>
      <c r="AD359" s="451"/>
      <c r="AE359" s="451"/>
      <c r="AF359" s="451"/>
      <c r="AG359" s="929"/>
      <c r="AH359" s="929"/>
      <c r="AI359" s="929"/>
    </row>
    <row r="360" customFormat="false" ht="12.75" hidden="false" customHeight="false" outlineLevel="0" collapsed="false">
      <c r="J360" s="451"/>
      <c r="K360" s="451"/>
      <c r="L360" s="451"/>
      <c r="M360" s="451"/>
      <c r="N360" s="451"/>
      <c r="O360" s="929"/>
      <c r="P360" s="929"/>
      <c r="Q360" s="929"/>
      <c r="S360" s="451"/>
      <c r="T360" s="451"/>
      <c r="U360" s="451"/>
      <c r="V360" s="451"/>
      <c r="X360" s="929"/>
      <c r="Y360" s="929"/>
      <c r="Z360" s="929"/>
      <c r="AB360" s="451"/>
      <c r="AC360" s="451"/>
      <c r="AD360" s="451"/>
      <c r="AE360" s="451"/>
      <c r="AF360" s="451"/>
      <c r="AG360" s="929"/>
      <c r="AH360" s="929"/>
      <c r="AI360" s="929"/>
    </row>
    <row r="361" customFormat="false" ht="12.75" hidden="false" customHeight="false" outlineLevel="0" collapsed="false">
      <c r="J361" s="451"/>
      <c r="K361" s="451"/>
      <c r="L361" s="451"/>
      <c r="M361" s="451"/>
      <c r="N361" s="451"/>
      <c r="O361" s="929"/>
      <c r="P361" s="929"/>
      <c r="Q361" s="929"/>
      <c r="S361" s="451"/>
      <c r="T361" s="451"/>
      <c r="U361" s="451"/>
      <c r="V361" s="451"/>
      <c r="X361" s="929"/>
      <c r="Y361" s="929"/>
      <c r="Z361" s="929"/>
      <c r="AB361" s="451"/>
      <c r="AC361" s="451"/>
      <c r="AD361" s="451"/>
      <c r="AE361" s="451"/>
      <c r="AF361" s="451"/>
      <c r="AG361" s="929"/>
      <c r="AH361" s="929"/>
      <c r="AI361" s="929"/>
    </row>
    <row r="362" customFormat="false" ht="12.75" hidden="false" customHeight="false" outlineLevel="0" collapsed="false">
      <c r="J362" s="451"/>
      <c r="K362" s="451"/>
      <c r="L362" s="451"/>
      <c r="M362" s="451"/>
      <c r="N362" s="451"/>
      <c r="O362" s="929"/>
      <c r="P362" s="929"/>
      <c r="Q362" s="929"/>
      <c r="S362" s="451"/>
      <c r="T362" s="451"/>
      <c r="U362" s="451"/>
      <c r="V362" s="451"/>
      <c r="X362" s="929"/>
      <c r="Y362" s="929"/>
      <c r="Z362" s="929"/>
      <c r="AB362" s="451"/>
      <c r="AC362" s="451"/>
      <c r="AD362" s="451"/>
      <c r="AE362" s="451"/>
      <c r="AF362" s="451"/>
      <c r="AG362" s="929"/>
      <c r="AH362" s="929"/>
      <c r="AI362" s="929"/>
    </row>
    <row r="363" customFormat="false" ht="12.75" hidden="false" customHeight="false" outlineLevel="0" collapsed="false">
      <c r="J363" s="451"/>
      <c r="K363" s="451"/>
      <c r="L363" s="451"/>
      <c r="M363" s="451"/>
      <c r="N363" s="451"/>
      <c r="O363" s="929"/>
      <c r="P363" s="929"/>
      <c r="Q363" s="929"/>
      <c r="S363" s="451"/>
      <c r="T363" s="451"/>
      <c r="U363" s="451"/>
      <c r="V363" s="451"/>
      <c r="X363" s="929"/>
      <c r="Y363" s="929"/>
      <c r="Z363" s="929"/>
      <c r="AB363" s="451"/>
      <c r="AC363" s="451"/>
      <c r="AD363" s="451"/>
      <c r="AE363" s="451"/>
      <c r="AF363" s="451"/>
      <c r="AG363" s="929"/>
      <c r="AH363" s="929"/>
      <c r="AI363" s="929"/>
    </row>
    <row r="364" customFormat="false" ht="12.75" hidden="false" customHeight="false" outlineLevel="0" collapsed="false">
      <c r="J364" s="451"/>
      <c r="K364" s="451"/>
      <c r="L364" s="451"/>
      <c r="M364" s="451"/>
      <c r="N364" s="451"/>
      <c r="O364" s="929"/>
      <c r="P364" s="929"/>
      <c r="Q364" s="929"/>
      <c r="S364" s="451"/>
      <c r="T364" s="451"/>
      <c r="U364" s="451"/>
      <c r="V364" s="451"/>
      <c r="X364" s="929"/>
      <c r="Y364" s="929"/>
      <c r="Z364" s="929"/>
      <c r="AB364" s="451"/>
      <c r="AC364" s="451"/>
      <c r="AD364" s="451"/>
      <c r="AE364" s="451"/>
      <c r="AF364" s="451"/>
      <c r="AG364" s="929"/>
      <c r="AH364" s="929"/>
      <c r="AI364" s="929"/>
    </row>
    <row r="365" customFormat="false" ht="12.75" hidden="false" customHeight="false" outlineLevel="0" collapsed="false">
      <c r="J365" s="451"/>
      <c r="K365" s="451"/>
      <c r="L365" s="451"/>
      <c r="M365" s="451"/>
      <c r="N365" s="451"/>
      <c r="O365" s="929"/>
      <c r="P365" s="929"/>
      <c r="Q365" s="929"/>
      <c r="S365" s="451"/>
      <c r="T365" s="451"/>
      <c r="U365" s="451"/>
      <c r="V365" s="451"/>
      <c r="X365" s="929"/>
      <c r="Y365" s="929"/>
      <c r="Z365" s="929"/>
      <c r="AB365" s="451"/>
      <c r="AC365" s="451"/>
      <c r="AD365" s="451"/>
      <c r="AE365" s="451"/>
      <c r="AF365" s="451"/>
      <c r="AG365" s="929"/>
      <c r="AH365" s="929"/>
      <c r="AI365" s="929"/>
    </row>
    <row r="366" customFormat="false" ht="12.75" hidden="false" customHeight="false" outlineLevel="0" collapsed="false">
      <c r="J366" s="451"/>
      <c r="K366" s="451"/>
      <c r="L366" s="451"/>
      <c r="M366" s="451"/>
      <c r="N366" s="451"/>
      <c r="O366" s="929"/>
      <c r="P366" s="929"/>
      <c r="Q366" s="929"/>
      <c r="S366" s="451"/>
      <c r="T366" s="451"/>
      <c r="U366" s="451"/>
      <c r="V366" s="451"/>
      <c r="X366" s="929"/>
      <c r="Y366" s="929"/>
      <c r="Z366" s="929"/>
      <c r="AB366" s="451"/>
      <c r="AC366" s="451"/>
      <c r="AD366" s="451"/>
      <c r="AE366" s="451"/>
      <c r="AF366" s="451"/>
      <c r="AG366" s="929"/>
      <c r="AH366" s="929"/>
      <c r="AI366" s="929"/>
    </row>
    <row r="367" customFormat="false" ht="12.75" hidden="false" customHeight="false" outlineLevel="0" collapsed="false">
      <c r="J367" s="451"/>
      <c r="K367" s="451"/>
      <c r="L367" s="451"/>
      <c r="M367" s="451"/>
      <c r="N367" s="451"/>
      <c r="O367" s="929"/>
      <c r="P367" s="929"/>
      <c r="Q367" s="929"/>
      <c r="S367" s="451"/>
      <c r="T367" s="451"/>
      <c r="U367" s="451"/>
      <c r="V367" s="451"/>
      <c r="X367" s="929"/>
      <c r="Y367" s="929"/>
      <c r="Z367" s="929"/>
      <c r="AB367" s="451"/>
      <c r="AC367" s="451"/>
      <c r="AD367" s="451"/>
      <c r="AE367" s="451"/>
      <c r="AF367" s="451"/>
      <c r="AG367" s="929"/>
      <c r="AH367" s="929"/>
      <c r="AI367" s="929"/>
    </row>
    <row r="368" customFormat="false" ht="12.75" hidden="false" customHeight="false" outlineLevel="0" collapsed="false">
      <c r="J368" s="451"/>
      <c r="K368" s="451"/>
      <c r="L368" s="451"/>
      <c r="M368" s="451"/>
      <c r="N368" s="451"/>
      <c r="O368" s="929"/>
      <c r="P368" s="929"/>
      <c r="Q368" s="929"/>
      <c r="S368" s="451"/>
      <c r="T368" s="451"/>
      <c r="U368" s="451"/>
      <c r="V368" s="451"/>
      <c r="X368" s="929"/>
      <c r="Y368" s="929"/>
      <c r="Z368" s="929"/>
      <c r="AB368" s="451"/>
      <c r="AC368" s="451"/>
      <c r="AD368" s="451"/>
      <c r="AE368" s="451"/>
      <c r="AF368" s="451"/>
      <c r="AG368" s="929"/>
      <c r="AH368" s="929"/>
      <c r="AI368" s="929"/>
    </row>
    <row r="369" customFormat="false" ht="12.75" hidden="false" customHeight="false" outlineLevel="0" collapsed="false">
      <c r="J369" s="451"/>
      <c r="K369" s="451"/>
      <c r="L369" s="451"/>
      <c r="M369" s="451"/>
      <c r="N369" s="451"/>
      <c r="O369" s="929"/>
      <c r="P369" s="929"/>
      <c r="Q369" s="929"/>
      <c r="S369" s="451"/>
      <c r="T369" s="451"/>
      <c r="U369" s="451"/>
      <c r="V369" s="451"/>
      <c r="X369" s="929"/>
      <c r="Y369" s="929"/>
      <c r="Z369" s="929"/>
      <c r="AB369" s="451"/>
      <c r="AC369" s="451"/>
      <c r="AD369" s="451"/>
      <c r="AE369" s="451"/>
      <c r="AF369" s="451"/>
      <c r="AG369" s="929"/>
      <c r="AH369" s="929"/>
      <c r="AI369" s="929"/>
    </row>
    <row r="370" customFormat="false" ht="12.75" hidden="false" customHeight="false" outlineLevel="0" collapsed="false">
      <c r="J370" s="451"/>
      <c r="K370" s="451"/>
      <c r="L370" s="451"/>
      <c r="M370" s="451"/>
      <c r="N370" s="451"/>
      <c r="O370" s="929"/>
      <c r="P370" s="929"/>
      <c r="Q370" s="929"/>
      <c r="S370" s="451"/>
      <c r="T370" s="451"/>
      <c r="U370" s="451"/>
      <c r="V370" s="451"/>
      <c r="X370" s="929"/>
      <c r="Y370" s="929"/>
      <c r="Z370" s="929"/>
      <c r="AB370" s="451"/>
      <c r="AC370" s="451"/>
      <c r="AD370" s="451"/>
      <c r="AE370" s="451"/>
      <c r="AF370" s="451"/>
      <c r="AG370" s="929"/>
      <c r="AH370" s="929"/>
      <c r="AI370" s="929"/>
    </row>
    <row r="371" customFormat="false" ht="12.75" hidden="false" customHeight="false" outlineLevel="0" collapsed="false">
      <c r="J371" s="451"/>
      <c r="K371" s="451"/>
      <c r="L371" s="451"/>
      <c r="M371" s="451"/>
      <c r="N371" s="451"/>
      <c r="O371" s="929"/>
      <c r="P371" s="929"/>
      <c r="Q371" s="929"/>
      <c r="S371" s="451"/>
      <c r="T371" s="451"/>
      <c r="U371" s="451"/>
      <c r="V371" s="451"/>
      <c r="X371" s="929"/>
      <c r="Y371" s="929"/>
      <c r="Z371" s="929"/>
      <c r="AB371" s="451"/>
      <c r="AC371" s="451"/>
      <c r="AD371" s="451"/>
      <c r="AE371" s="451"/>
      <c r="AF371" s="451"/>
      <c r="AG371" s="929"/>
      <c r="AH371" s="929"/>
      <c r="AI371" s="929"/>
    </row>
    <row r="372" customFormat="false" ht="12.75" hidden="false" customHeight="false" outlineLevel="0" collapsed="false">
      <c r="J372" s="451"/>
      <c r="K372" s="451"/>
      <c r="L372" s="451"/>
      <c r="M372" s="451"/>
      <c r="N372" s="451"/>
      <c r="O372" s="929"/>
      <c r="P372" s="929"/>
      <c r="Q372" s="929"/>
      <c r="S372" s="451"/>
      <c r="T372" s="451"/>
      <c r="U372" s="451"/>
      <c r="V372" s="451"/>
      <c r="X372" s="929"/>
      <c r="Y372" s="929"/>
      <c r="Z372" s="929"/>
      <c r="AB372" s="451"/>
      <c r="AC372" s="451"/>
      <c r="AD372" s="451"/>
      <c r="AE372" s="451"/>
      <c r="AF372" s="451"/>
      <c r="AG372" s="929"/>
      <c r="AH372" s="929"/>
      <c r="AI372" s="929"/>
    </row>
    <row r="373" customFormat="false" ht="12.75" hidden="false" customHeight="false" outlineLevel="0" collapsed="false">
      <c r="J373" s="451"/>
      <c r="K373" s="451"/>
      <c r="L373" s="451"/>
      <c r="M373" s="451"/>
      <c r="N373" s="451"/>
      <c r="O373" s="929"/>
      <c r="P373" s="929"/>
      <c r="Q373" s="929"/>
      <c r="S373" s="451"/>
      <c r="T373" s="451"/>
      <c r="U373" s="451"/>
      <c r="V373" s="451"/>
      <c r="X373" s="929"/>
      <c r="Y373" s="929"/>
      <c r="Z373" s="929"/>
      <c r="AB373" s="451"/>
      <c r="AC373" s="451"/>
      <c r="AD373" s="451"/>
      <c r="AE373" s="451"/>
      <c r="AF373" s="451"/>
      <c r="AG373" s="929"/>
      <c r="AH373" s="929"/>
      <c r="AI373" s="929"/>
    </row>
    <row r="374" customFormat="false" ht="12.75" hidden="false" customHeight="false" outlineLevel="0" collapsed="false">
      <c r="J374" s="451"/>
      <c r="K374" s="451"/>
      <c r="L374" s="451"/>
      <c r="M374" s="451"/>
      <c r="N374" s="451"/>
      <c r="O374" s="929"/>
      <c r="P374" s="929"/>
      <c r="Q374" s="929"/>
      <c r="S374" s="451"/>
      <c r="T374" s="451"/>
      <c r="U374" s="451"/>
      <c r="V374" s="451"/>
      <c r="X374" s="929"/>
      <c r="Y374" s="929"/>
      <c r="Z374" s="929"/>
      <c r="AB374" s="451"/>
      <c r="AC374" s="451"/>
      <c r="AD374" s="451"/>
      <c r="AE374" s="451"/>
      <c r="AF374" s="451"/>
      <c r="AG374" s="929"/>
      <c r="AH374" s="929"/>
      <c r="AI374" s="929"/>
    </row>
    <row r="375" customFormat="false" ht="12.75" hidden="false" customHeight="false" outlineLevel="0" collapsed="false">
      <c r="J375" s="451"/>
      <c r="K375" s="451"/>
      <c r="L375" s="451"/>
      <c r="M375" s="451"/>
      <c r="N375" s="451"/>
      <c r="O375" s="929"/>
      <c r="P375" s="929"/>
      <c r="Q375" s="929"/>
      <c r="S375" s="451"/>
      <c r="T375" s="451"/>
      <c r="U375" s="451"/>
      <c r="V375" s="451"/>
      <c r="X375" s="929"/>
      <c r="Y375" s="929"/>
      <c r="Z375" s="929"/>
      <c r="AB375" s="451"/>
      <c r="AC375" s="451"/>
      <c r="AD375" s="451"/>
      <c r="AE375" s="451"/>
      <c r="AF375" s="451"/>
      <c r="AG375" s="929"/>
      <c r="AH375" s="929"/>
      <c r="AI375" s="929"/>
    </row>
    <row r="376" customFormat="false" ht="12.75" hidden="false" customHeight="false" outlineLevel="0" collapsed="false">
      <c r="J376" s="451"/>
      <c r="K376" s="451"/>
      <c r="L376" s="451"/>
      <c r="M376" s="451"/>
      <c r="N376" s="451"/>
      <c r="O376" s="929"/>
      <c r="P376" s="929"/>
      <c r="Q376" s="929"/>
      <c r="S376" s="451"/>
      <c r="T376" s="451"/>
      <c r="U376" s="451"/>
      <c r="V376" s="451"/>
      <c r="X376" s="929"/>
      <c r="Y376" s="929"/>
      <c r="Z376" s="929"/>
      <c r="AB376" s="451"/>
      <c r="AC376" s="451"/>
      <c r="AD376" s="451"/>
      <c r="AE376" s="451"/>
      <c r="AF376" s="451"/>
      <c r="AG376" s="929"/>
      <c r="AH376" s="929"/>
      <c r="AI376" s="929"/>
    </row>
    <row r="377" customFormat="false" ht="12.75" hidden="false" customHeight="false" outlineLevel="0" collapsed="false">
      <c r="J377" s="451"/>
      <c r="K377" s="451"/>
      <c r="L377" s="451"/>
      <c r="M377" s="451"/>
      <c r="N377" s="451"/>
      <c r="O377" s="929"/>
      <c r="P377" s="929"/>
      <c r="Q377" s="929"/>
      <c r="S377" s="451"/>
      <c r="T377" s="451"/>
      <c r="U377" s="451"/>
      <c r="V377" s="451"/>
      <c r="X377" s="929"/>
      <c r="Y377" s="929"/>
      <c r="Z377" s="929"/>
      <c r="AB377" s="451"/>
      <c r="AC377" s="451"/>
      <c r="AD377" s="451"/>
      <c r="AE377" s="451"/>
      <c r="AF377" s="451"/>
      <c r="AG377" s="929"/>
      <c r="AH377" s="929"/>
      <c r="AI377" s="929"/>
    </row>
    <row r="378" customFormat="false" ht="12.75" hidden="false" customHeight="false" outlineLevel="0" collapsed="false">
      <c r="J378" s="451"/>
      <c r="K378" s="451"/>
      <c r="L378" s="451"/>
      <c r="M378" s="451"/>
      <c r="N378" s="451"/>
      <c r="O378" s="929"/>
      <c r="P378" s="929"/>
      <c r="Q378" s="929"/>
      <c r="S378" s="451"/>
      <c r="T378" s="451"/>
      <c r="U378" s="451"/>
      <c r="V378" s="451"/>
      <c r="X378" s="929"/>
      <c r="Y378" s="929"/>
      <c r="Z378" s="929"/>
      <c r="AB378" s="451"/>
      <c r="AC378" s="451"/>
      <c r="AD378" s="451"/>
      <c r="AE378" s="451"/>
      <c r="AF378" s="451"/>
      <c r="AG378" s="929"/>
      <c r="AH378" s="929"/>
      <c r="AI378" s="929"/>
    </row>
    <row r="379" customFormat="false" ht="12.75" hidden="false" customHeight="false" outlineLevel="0" collapsed="false">
      <c r="J379" s="451"/>
      <c r="K379" s="451"/>
      <c r="L379" s="451"/>
      <c r="M379" s="451"/>
      <c r="N379" s="451"/>
      <c r="O379" s="929"/>
      <c r="P379" s="929"/>
      <c r="Q379" s="929"/>
      <c r="S379" s="451"/>
      <c r="T379" s="451"/>
      <c r="U379" s="451"/>
      <c r="V379" s="451"/>
      <c r="X379" s="929"/>
      <c r="Y379" s="929"/>
      <c r="Z379" s="929"/>
      <c r="AB379" s="451"/>
      <c r="AC379" s="451"/>
      <c r="AD379" s="451"/>
      <c r="AE379" s="451"/>
      <c r="AF379" s="451"/>
      <c r="AG379" s="929"/>
      <c r="AH379" s="929"/>
      <c r="AI379" s="929"/>
    </row>
    <row r="380" customFormat="false" ht="12.75" hidden="false" customHeight="false" outlineLevel="0" collapsed="false">
      <c r="J380" s="451"/>
      <c r="K380" s="451"/>
      <c r="L380" s="451"/>
      <c r="M380" s="451"/>
      <c r="N380" s="451"/>
      <c r="O380" s="929"/>
      <c r="P380" s="929"/>
      <c r="Q380" s="929"/>
      <c r="S380" s="451"/>
      <c r="T380" s="451"/>
      <c r="U380" s="451"/>
      <c r="V380" s="451"/>
      <c r="X380" s="929"/>
      <c r="Y380" s="929"/>
      <c r="Z380" s="929"/>
      <c r="AB380" s="451"/>
      <c r="AC380" s="451"/>
      <c r="AD380" s="451"/>
      <c r="AE380" s="451"/>
      <c r="AF380" s="451"/>
      <c r="AG380" s="929"/>
      <c r="AH380" s="929"/>
      <c r="AI380" s="929"/>
    </row>
    <row r="381" customFormat="false" ht="12.75" hidden="false" customHeight="false" outlineLevel="0" collapsed="false">
      <c r="J381" s="451"/>
      <c r="K381" s="451"/>
      <c r="L381" s="451"/>
      <c r="M381" s="451"/>
      <c r="N381" s="451"/>
      <c r="O381" s="929"/>
      <c r="P381" s="929"/>
      <c r="Q381" s="929"/>
      <c r="S381" s="451"/>
      <c r="T381" s="451"/>
      <c r="U381" s="451"/>
      <c r="V381" s="451"/>
      <c r="X381" s="929"/>
      <c r="Y381" s="929"/>
      <c r="Z381" s="929"/>
      <c r="AB381" s="451"/>
      <c r="AC381" s="451"/>
      <c r="AD381" s="451"/>
      <c r="AE381" s="451"/>
      <c r="AF381" s="451"/>
      <c r="AG381" s="929"/>
      <c r="AH381" s="929"/>
      <c r="AI381" s="929"/>
    </row>
    <row r="382" customFormat="false" ht="12.75" hidden="false" customHeight="false" outlineLevel="0" collapsed="false">
      <c r="J382" s="451"/>
      <c r="K382" s="451"/>
      <c r="L382" s="451"/>
      <c r="M382" s="451"/>
      <c r="N382" s="451"/>
      <c r="O382" s="929"/>
      <c r="P382" s="929"/>
      <c r="Q382" s="929"/>
      <c r="S382" s="451"/>
      <c r="T382" s="451"/>
      <c r="U382" s="451"/>
      <c r="V382" s="451"/>
      <c r="X382" s="929"/>
      <c r="Y382" s="929"/>
      <c r="Z382" s="929"/>
      <c r="AB382" s="451"/>
      <c r="AC382" s="451"/>
      <c r="AD382" s="451"/>
      <c r="AE382" s="451"/>
      <c r="AF382" s="451"/>
      <c r="AG382" s="929"/>
      <c r="AH382" s="929"/>
      <c r="AI382" s="929"/>
    </row>
    <row r="383" customFormat="false" ht="12.75" hidden="false" customHeight="false" outlineLevel="0" collapsed="false">
      <c r="J383" s="451"/>
      <c r="K383" s="451"/>
      <c r="L383" s="451"/>
      <c r="M383" s="451"/>
      <c r="N383" s="451"/>
      <c r="O383" s="929"/>
      <c r="P383" s="929"/>
      <c r="Q383" s="929"/>
      <c r="S383" s="451"/>
      <c r="T383" s="451"/>
      <c r="U383" s="451"/>
      <c r="V383" s="451"/>
      <c r="X383" s="929"/>
      <c r="Y383" s="929"/>
      <c r="Z383" s="929"/>
      <c r="AB383" s="451"/>
      <c r="AC383" s="451"/>
      <c r="AD383" s="451"/>
      <c r="AE383" s="451"/>
      <c r="AF383" s="451"/>
      <c r="AG383" s="929"/>
      <c r="AH383" s="929"/>
      <c r="AI383" s="929"/>
    </row>
    <row r="384" customFormat="false" ht="12.75" hidden="false" customHeight="false" outlineLevel="0" collapsed="false">
      <c r="J384" s="451"/>
      <c r="K384" s="451"/>
      <c r="L384" s="451"/>
      <c r="M384" s="451"/>
      <c r="N384" s="451"/>
      <c r="O384" s="929"/>
      <c r="P384" s="929"/>
      <c r="Q384" s="929"/>
      <c r="S384" s="451"/>
      <c r="T384" s="451"/>
      <c r="U384" s="451"/>
      <c r="V384" s="451"/>
      <c r="X384" s="929"/>
      <c r="Y384" s="929"/>
      <c r="Z384" s="929"/>
      <c r="AB384" s="451"/>
      <c r="AC384" s="451"/>
      <c r="AD384" s="451"/>
      <c r="AE384" s="451"/>
      <c r="AF384" s="451"/>
      <c r="AG384" s="929"/>
      <c r="AH384" s="929"/>
      <c r="AI384" s="929"/>
    </row>
    <row r="385" customFormat="false" ht="12.75" hidden="false" customHeight="false" outlineLevel="0" collapsed="false">
      <c r="J385" s="451"/>
      <c r="K385" s="451"/>
      <c r="L385" s="451"/>
      <c r="M385" s="451"/>
      <c r="N385" s="451"/>
      <c r="O385" s="929"/>
      <c r="P385" s="929"/>
      <c r="Q385" s="929"/>
      <c r="S385" s="451"/>
      <c r="T385" s="451"/>
      <c r="U385" s="451"/>
      <c r="V385" s="451"/>
      <c r="X385" s="929"/>
      <c r="Y385" s="929"/>
      <c r="Z385" s="929"/>
      <c r="AB385" s="451"/>
      <c r="AC385" s="451"/>
      <c r="AD385" s="451"/>
      <c r="AE385" s="451"/>
      <c r="AF385" s="451"/>
      <c r="AG385" s="929"/>
      <c r="AH385" s="929"/>
      <c r="AI385" s="929"/>
    </row>
    <row r="386" customFormat="false" ht="12.75" hidden="false" customHeight="false" outlineLevel="0" collapsed="false">
      <c r="J386" s="451"/>
      <c r="K386" s="451"/>
      <c r="L386" s="451"/>
      <c r="M386" s="451"/>
      <c r="N386" s="451"/>
      <c r="O386" s="929"/>
      <c r="P386" s="929"/>
      <c r="Q386" s="929"/>
      <c r="S386" s="451"/>
      <c r="T386" s="451"/>
      <c r="U386" s="451"/>
      <c r="V386" s="451"/>
      <c r="X386" s="929"/>
      <c r="Y386" s="929"/>
      <c r="Z386" s="929"/>
      <c r="AB386" s="451"/>
      <c r="AC386" s="451"/>
      <c r="AD386" s="451"/>
      <c r="AE386" s="451"/>
      <c r="AF386" s="451"/>
      <c r="AG386" s="929"/>
      <c r="AH386" s="929"/>
      <c r="AI386" s="929"/>
    </row>
    <row r="387" customFormat="false" ht="12.75" hidden="false" customHeight="false" outlineLevel="0" collapsed="false">
      <c r="J387" s="451"/>
      <c r="K387" s="451"/>
      <c r="L387" s="451"/>
      <c r="M387" s="451"/>
      <c r="N387" s="451"/>
      <c r="O387" s="929"/>
      <c r="P387" s="929"/>
      <c r="Q387" s="929"/>
      <c r="S387" s="451"/>
      <c r="T387" s="451"/>
      <c r="U387" s="451"/>
      <c r="V387" s="451"/>
      <c r="X387" s="929"/>
      <c r="Y387" s="929"/>
      <c r="Z387" s="929"/>
      <c r="AB387" s="451"/>
      <c r="AC387" s="451"/>
      <c r="AD387" s="451"/>
      <c r="AE387" s="451"/>
      <c r="AF387" s="451"/>
      <c r="AG387" s="929"/>
      <c r="AH387" s="929"/>
      <c r="AI387" s="929"/>
    </row>
    <row r="388" customFormat="false" ht="12.75" hidden="false" customHeight="false" outlineLevel="0" collapsed="false">
      <c r="J388" s="451"/>
      <c r="K388" s="451"/>
      <c r="L388" s="451"/>
      <c r="M388" s="451"/>
      <c r="N388" s="451"/>
      <c r="O388" s="929"/>
      <c r="P388" s="929"/>
      <c r="Q388" s="929"/>
      <c r="S388" s="451"/>
      <c r="T388" s="451"/>
      <c r="U388" s="451"/>
      <c r="V388" s="451"/>
      <c r="X388" s="929"/>
      <c r="Y388" s="929"/>
      <c r="Z388" s="929"/>
      <c r="AB388" s="451"/>
      <c r="AC388" s="451"/>
      <c r="AD388" s="451"/>
      <c r="AE388" s="451"/>
      <c r="AF388" s="451"/>
      <c r="AG388" s="929"/>
      <c r="AH388" s="929"/>
      <c r="AI388" s="929"/>
    </row>
    <row r="389" customFormat="false" ht="12.75" hidden="false" customHeight="false" outlineLevel="0" collapsed="false">
      <c r="J389" s="451"/>
      <c r="K389" s="451"/>
      <c r="L389" s="451"/>
      <c r="M389" s="451"/>
      <c r="N389" s="451"/>
      <c r="O389" s="929"/>
      <c r="P389" s="929"/>
      <c r="Q389" s="929"/>
      <c r="S389" s="451"/>
      <c r="T389" s="451"/>
      <c r="U389" s="451"/>
      <c r="V389" s="451"/>
      <c r="X389" s="929"/>
      <c r="Y389" s="929"/>
      <c r="Z389" s="929"/>
      <c r="AB389" s="451"/>
      <c r="AC389" s="451"/>
      <c r="AD389" s="451"/>
      <c r="AE389" s="451"/>
      <c r="AF389" s="451"/>
      <c r="AG389" s="929"/>
      <c r="AH389" s="929"/>
      <c r="AI389" s="929"/>
    </row>
    <row r="390" customFormat="false" ht="12.75" hidden="false" customHeight="false" outlineLevel="0" collapsed="false">
      <c r="J390" s="451"/>
      <c r="K390" s="451"/>
      <c r="L390" s="451"/>
      <c r="M390" s="451"/>
      <c r="N390" s="451"/>
      <c r="O390" s="929"/>
      <c r="P390" s="929"/>
      <c r="Q390" s="929"/>
      <c r="S390" s="451"/>
      <c r="T390" s="451"/>
      <c r="U390" s="451"/>
      <c r="V390" s="451"/>
      <c r="X390" s="929"/>
      <c r="Y390" s="929"/>
      <c r="Z390" s="929"/>
      <c r="AB390" s="451"/>
      <c r="AC390" s="451"/>
      <c r="AD390" s="451"/>
      <c r="AE390" s="451"/>
      <c r="AF390" s="451"/>
      <c r="AG390" s="929"/>
      <c r="AH390" s="929"/>
      <c r="AI390" s="929"/>
    </row>
    <row r="391" customFormat="false" ht="12.75" hidden="false" customHeight="false" outlineLevel="0" collapsed="false">
      <c r="J391" s="451"/>
      <c r="K391" s="451"/>
      <c r="L391" s="451"/>
      <c r="M391" s="451"/>
      <c r="N391" s="451"/>
      <c r="O391" s="929"/>
      <c r="P391" s="929"/>
      <c r="Q391" s="929"/>
      <c r="S391" s="451"/>
      <c r="T391" s="451"/>
      <c r="U391" s="451"/>
      <c r="V391" s="451"/>
      <c r="X391" s="929"/>
      <c r="Y391" s="929"/>
      <c r="Z391" s="929"/>
      <c r="AB391" s="451"/>
      <c r="AC391" s="451"/>
      <c r="AD391" s="451"/>
      <c r="AE391" s="451"/>
      <c r="AF391" s="451"/>
      <c r="AG391" s="929"/>
      <c r="AH391" s="929"/>
      <c r="AI391" s="929"/>
    </row>
    <row r="392" customFormat="false" ht="12.75" hidden="false" customHeight="false" outlineLevel="0" collapsed="false">
      <c r="J392" s="451"/>
      <c r="K392" s="451"/>
      <c r="L392" s="451"/>
      <c r="M392" s="451"/>
      <c r="N392" s="451"/>
      <c r="O392" s="929"/>
      <c r="P392" s="929"/>
      <c r="Q392" s="929"/>
      <c r="S392" s="451"/>
      <c r="T392" s="451"/>
      <c r="U392" s="451"/>
      <c r="V392" s="451"/>
      <c r="X392" s="929"/>
      <c r="Y392" s="929"/>
      <c r="Z392" s="929"/>
      <c r="AB392" s="451"/>
      <c r="AC392" s="451"/>
      <c r="AD392" s="451"/>
      <c r="AE392" s="451"/>
      <c r="AF392" s="451"/>
      <c r="AG392" s="929"/>
      <c r="AH392" s="929"/>
      <c r="AI392" s="929"/>
    </row>
    <row r="393" customFormat="false" ht="12.75" hidden="false" customHeight="false" outlineLevel="0" collapsed="false">
      <c r="J393" s="451"/>
      <c r="K393" s="451"/>
      <c r="L393" s="451"/>
      <c r="M393" s="451"/>
      <c r="N393" s="451"/>
      <c r="O393" s="929"/>
      <c r="P393" s="929"/>
      <c r="Q393" s="929"/>
      <c r="S393" s="451"/>
      <c r="T393" s="451"/>
      <c r="U393" s="451"/>
      <c r="V393" s="451"/>
      <c r="X393" s="929"/>
      <c r="Y393" s="929"/>
      <c r="Z393" s="929"/>
      <c r="AB393" s="451"/>
      <c r="AC393" s="451"/>
      <c r="AD393" s="451"/>
      <c r="AE393" s="451"/>
      <c r="AF393" s="451"/>
      <c r="AG393" s="929"/>
      <c r="AH393" s="929"/>
      <c r="AI393" s="929"/>
    </row>
    <row r="394" customFormat="false" ht="12.75" hidden="false" customHeight="false" outlineLevel="0" collapsed="false">
      <c r="J394" s="451"/>
      <c r="K394" s="451"/>
      <c r="L394" s="451"/>
      <c r="M394" s="451"/>
      <c r="N394" s="451"/>
      <c r="O394" s="929"/>
      <c r="P394" s="929"/>
      <c r="Q394" s="929"/>
      <c r="S394" s="451"/>
      <c r="T394" s="451"/>
      <c r="U394" s="451"/>
      <c r="V394" s="451"/>
      <c r="X394" s="929"/>
      <c r="Y394" s="929"/>
      <c r="Z394" s="929"/>
      <c r="AB394" s="451"/>
      <c r="AC394" s="451"/>
      <c r="AD394" s="451"/>
      <c r="AE394" s="451"/>
      <c r="AF394" s="451"/>
      <c r="AG394" s="929"/>
      <c r="AH394" s="929"/>
      <c r="AI394" s="929"/>
    </row>
    <row r="395" customFormat="false" ht="12.75" hidden="false" customHeight="false" outlineLevel="0" collapsed="false">
      <c r="J395" s="451"/>
      <c r="K395" s="451"/>
      <c r="L395" s="451"/>
      <c r="M395" s="451"/>
      <c r="N395" s="451"/>
      <c r="O395" s="929"/>
      <c r="P395" s="929"/>
      <c r="Q395" s="929"/>
      <c r="S395" s="451"/>
      <c r="T395" s="451"/>
      <c r="U395" s="451"/>
      <c r="V395" s="451"/>
      <c r="X395" s="929"/>
      <c r="Y395" s="929"/>
      <c r="Z395" s="929"/>
      <c r="AB395" s="451"/>
      <c r="AC395" s="451"/>
      <c r="AD395" s="451"/>
      <c r="AE395" s="451"/>
      <c r="AF395" s="451"/>
      <c r="AG395" s="929"/>
      <c r="AH395" s="929"/>
      <c r="AI395" s="929"/>
    </row>
    <row r="396" customFormat="false" ht="12.75" hidden="false" customHeight="false" outlineLevel="0" collapsed="false">
      <c r="J396" s="451"/>
      <c r="K396" s="451"/>
      <c r="L396" s="451"/>
      <c r="M396" s="451"/>
      <c r="N396" s="451"/>
      <c r="O396" s="929"/>
      <c r="P396" s="929"/>
      <c r="Q396" s="929"/>
      <c r="S396" s="451"/>
      <c r="T396" s="451"/>
      <c r="U396" s="451"/>
      <c r="V396" s="451"/>
      <c r="X396" s="929"/>
      <c r="Y396" s="929"/>
      <c r="Z396" s="929"/>
      <c r="AB396" s="451"/>
      <c r="AC396" s="451"/>
      <c r="AD396" s="451"/>
      <c r="AE396" s="451"/>
      <c r="AF396" s="451"/>
      <c r="AG396" s="929"/>
      <c r="AH396" s="929"/>
      <c r="AI396" s="929"/>
    </row>
    <row r="397" customFormat="false" ht="12.75" hidden="false" customHeight="false" outlineLevel="0" collapsed="false">
      <c r="J397" s="451"/>
      <c r="K397" s="451"/>
      <c r="L397" s="451"/>
      <c r="M397" s="451"/>
      <c r="N397" s="451"/>
      <c r="O397" s="929"/>
      <c r="P397" s="929"/>
      <c r="Q397" s="929"/>
      <c r="S397" s="451"/>
      <c r="T397" s="451"/>
      <c r="U397" s="451"/>
      <c r="V397" s="451"/>
      <c r="X397" s="929"/>
      <c r="Y397" s="929"/>
      <c r="Z397" s="929"/>
      <c r="AB397" s="451"/>
      <c r="AC397" s="451"/>
      <c r="AD397" s="451"/>
      <c r="AE397" s="451"/>
      <c r="AF397" s="451"/>
      <c r="AG397" s="929"/>
      <c r="AH397" s="929"/>
      <c r="AI397" s="929"/>
    </row>
    <row r="398" customFormat="false" ht="12.75" hidden="false" customHeight="false" outlineLevel="0" collapsed="false">
      <c r="J398" s="451"/>
      <c r="K398" s="451"/>
      <c r="L398" s="451"/>
      <c r="M398" s="451"/>
      <c r="N398" s="451"/>
      <c r="O398" s="929"/>
      <c r="P398" s="929"/>
      <c r="Q398" s="929"/>
      <c r="S398" s="451"/>
      <c r="T398" s="451"/>
      <c r="U398" s="451"/>
      <c r="V398" s="451"/>
      <c r="X398" s="929"/>
      <c r="Y398" s="929"/>
      <c r="Z398" s="929"/>
      <c r="AB398" s="451"/>
      <c r="AC398" s="451"/>
      <c r="AD398" s="451"/>
      <c r="AE398" s="451"/>
      <c r="AF398" s="451"/>
      <c r="AG398" s="929"/>
      <c r="AH398" s="929"/>
      <c r="AI398" s="929"/>
    </row>
    <row r="399" customFormat="false" ht="12.75" hidden="false" customHeight="false" outlineLevel="0" collapsed="false">
      <c r="J399" s="451"/>
      <c r="K399" s="451"/>
      <c r="L399" s="451"/>
      <c r="M399" s="451"/>
      <c r="N399" s="451"/>
      <c r="O399" s="929"/>
      <c r="P399" s="929"/>
      <c r="Q399" s="929"/>
      <c r="S399" s="451"/>
      <c r="T399" s="451"/>
      <c r="U399" s="451"/>
      <c r="V399" s="451"/>
      <c r="X399" s="929"/>
      <c r="Y399" s="929"/>
      <c r="Z399" s="929"/>
      <c r="AB399" s="451"/>
      <c r="AC399" s="451"/>
      <c r="AD399" s="451"/>
      <c r="AE399" s="451"/>
      <c r="AF399" s="451"/>
      <c r="AG399" s="929"/>
      <c r="AH399" s="929"/>
      <c r="AI399" s="929"/>
    </row>
    <row r="400" customFormat="false" ht="12.75" hidden="false" customHeight="false" outlineLevel="0" collapsed="false">
      <c r="J400" s="451"/>
      <c r="K400" s="451"/>
      <c r="L400" s="451"/>
      <c r="M400" s="451"/>
      <c r="N400" s="451"/>
      <c r="O400" s="929"/>
      <c r="P400" s="929"/>
      <c r="Q400" s="929"/>
      <c r="S400" s="451"/>
      <c r="T400" s="451"/>
      <c r="U400" s="451"/>
      <c r="V400" s="451"/>
      <c r="X400" s="929"/>
      <c r="Y400" s="929"/>
      <c r="Z400" s="929"/>
      <c r="AB400" s="451"/>
      <c r="AC400" s="451"/>
      <c r="AD400" s="451"/>
      <c r="AE400" s="451"/>
      <c r="AF400" s="451"/>
      <c r="AG400" s="929"/>
      <c r="AH400" s="929"/>
      <c r="AI400" s="929"/>
    </row>
    <row r="401" customFormat="false" ht="12.75" hidden="false" customHeight="false" outlineLevel="0" collapsed="false">
      <c r="J401" s="451"/>
      <c r="K401" s="451"/>
      <c r="L401" s="451"/>
      <c r="M401" s="451"/>
      <c r="N401" s="451"/>
      <c r="O401" s="929"/>
      <c r="P401" s="929"/>
      <c r="Q401" s="929"/>
      <c r="S401" s="451"/>
      <c r="T401" s="451"/>
      <c r="U401" s="451"/>
      <c r="V401" s="451"/>
      <c r="X401" s="929"/>
      <c r="Y401" s="929"/>
      <c r="Z401" s="929"/>
      <c r="AB401" s="451"/>
      <c r="AC401" s="451"/>
      <c r="AD401" s="451"/>
      <c r="AE401" s="451"/>
      <c r="AF401" s="451"/>
      <c r="AG401" s="929"/>
      <c r="AH401" s="929"/>
      <c r="AI401" s="929"/>
    </row>
    <row r="402" customFormat="false" ht="12.75" hidden="false" customHeight="false" outlineLevel="0" collapsed="false">
      <c r="J402" s="451"/>
      <c r="K402" s="451"/>
      <c r="L402" s="451"/>
      <c r="M402" s="451"/>
      <c r="N402" s="451"/>
      <c r="O402" s="929"/>
      <c r="P402" s="929"/>
      <c r="Q402" s="929"/>
      <c r="S402" s="451"/>
      <c r="T402" s="451"/>
      <c r="U402" s="451"/>
      <c r="V402" s="451"/>
      <c r="X402" s="929"/>
      <c r="Y402" s="929"/>
      <c r="Z402" s="929"/>
      <c r="AB402" s="451"/>
      <c r="AC402" s="451"/>
      <c r="AD402" s="451"/>
      <c r="AE402" s="451"/>
      <c r="AF402" s="451"/>
      <c r="AG402" s="929"/>
      <c r="AH402" s="929"/>
      <c r="AI402" s="929"/>
    </row>
    <row r="403" customFormat="false" ht="12.75" hidden="false" customHeight="false" outlineLevel="0" collapsed="false">
      <c r="J403" s="451"/>
      <c r="K403" s="451"/>
      <c r="L403" s="451"/>
      <c r="M403" s="451"/>
      <c r="N403" s="451"/>
      <c r="O403" s="929"/>
      <c r="P403" s="929"/>
      <c r="Q403" s="929"/>
      <c r="S403" s="451"/>
      <c r="T403" s="451"/>
      <c r="U403" s="451"/>
      <c r="V403" s="451"/>
      <c r="X403" s="929"/>
      <c r="Y403" s="929"/>
      <c r="Z403" s="929"/>
      <c r="AB403" s="451"/>
      <c r="AC403" s="451"/>
      <c r="AD403" s="451"/>
      <c r="AE403" s="451"/>
      <c r="AF403" s="451"/>
      <c r="AG403" s="929"/>
      <c r="AH403" s="929"/>
      <c r="AI403" s="929"/>
    </row>
    <row r="404" customFormat="false" ht="12.75" hidden="false" customHeight="false" outlineLevel="0" collapsed="false">
      <c r="J404" s="451"/>
      <c r="K404" s="451"/>
      <c r="L404" s="451"/>
      <c r="M404" s="451"/>
      <c r="N404" s="451"/>
      <c r="O404" s="929"/>
      <c r="P404" s="929"/>
      <c r="Q404" s="929"/>
      <c r="S404" s="451"/>
      <c r="T404" s="451"/>
      <c r="U404" s="451"/>
      <c r="V404" s="451"/>
      <c r="X404" s="929"/>
      <c r="Y404" s="929"/>
      <c r="Z404" s="929"/>
      <c r="AB404" s="451"/>
      <c r="AC404" s="451"/>
      <c r="AD404" s="451"/>
      <c r="AE404" s="451"/>
      <c r="AF404" s="451"/>
      <c r="AG404" s="929"/>
      <c r="AH404" s="929"/>
      <c r="AI404" s="929"/>
    </row>
    <row r="405" customFormat="false" ht="12.75" hidden="false" customHeight="false" outlineLevel="0" collapsed="false">
      <c r="J405" s="451"/>
      <c r="K405" s="451"/>
      <c r="L405" s="451"/>
      <c r="M405" s="451"/>
      <c r="N405" s="451"/>
      <c r="O405" s="929"/>
      <c r="P405" s="929"/>
      <c r="Q405" s="929"/>
      <c r="S405" s="451"/>
      <c r="T405" s="451"/>
      <c r="U405" s="451"/>
      <c r="V405" s="451"/>
      <c r="X405" s="929"/>
      <c r="Y405" s="929"/>
      <c r="Z405" s="929"/>
      <c r="AB405" s="451"/>
      <c r="AC405" s="451"/>
      <c r="AD405" s="451"/>
      <c r="AE405" s="451"/>
      <c r="AF405" s="451"/>
      <c r="AG405" s="929"/>
      <c r="AH405" s="929"/>
      <c r="AI405" s="929"/>
    </row>
    <row r="406" customFormat="false" ht="12.75" hidden="false" customHeight="false" outlineLevel="0" collapsed="false">
      <c r="J406" s="451"/>
      <c r="K406" s="451"/>
      <c r="L406" s="451"/>
      <c r="M406" s="451"/>
      <c r="N406" s="451"/>
      <c r="O406" s="929"/>
      <c r="P406" s="929"/>
      <c r="Q406" s="929"/>
      <c r="S406" s="451"/>
      <c r="T406" s="451"/>
      <c r="U406" s="451"/>
      <c r="V406" s="451"/>
      <c r="X406" s="929"/>
      <c r="Y406" s="929"/>
      <c r="Z406" s="929"/>
      <c r="AB406" s="451"/>
      <c r="AC406" s="451"/>
      <c r="AD406" s="451"/>
      <c r="AE406" s="451"/>
      <c r="AF406" s="451"/>
      <c r="AG406" s="929"/>
      <c r="AH406" s="929"/>
      <c r="AI406" s="929"/>
    </row>
    <row r="407" customFormat="false" ht="12.75" hidden="false" customHeight="false" outlineLevel="0" collapsed="false">
      <c r="J407" s="451"/>
      <c r="K407" s="451"/>
      <c r="L407" s="451"/>
      <c r="M407" s="451"/>
      <c r="N407" s="451"/>
      <c r="O407" s="929"/>
      <c r="P407" s="929"/>
      <c r="Q407" s="929"/>
      <c r="S407" s="451"/>
      <c r="T407" s="451"/>
      <c r="U407" s="451"/>
      <c r="V407" s="451"/>
      <c r="X407" s="929"/>
      <c r="Y407" s="929"/>
      <c r="Z407" s="929"/>
      <c r="AB407" s="451"/>
      <c r="AC407" s="451"/>
      <c r="AD407" s="451"/>
      <c r="AE407" s="451"/>
      <c r="AF407" s="451"/>
      <c r="AG407" s="929"/>
      <c r="AH407" s="929"/>
      <c r="AI407" s="929"/>
    </row>
    <row r="408" customFormat="false" ht="12.75" hidden="false" customHeight="false" outlineLevel="0" collapsed="false">
      <c r="J408" s="451"/>
      <c r="K408" s="451"/>
      <c r="L408" s="451"/>
      <c r="M408" s="451"/>
      <c r="N408" s="451"/>
      <c r="O408" s="929"/>
      <c r="P408" s="929"/>
      <c r="Q408" s="929"/>
      <c r="S408" s="451"/>
      <c r="T408" s="451"/>
      <c r="U408" s="451"/>
      <c r="V408" s="451"/>
      <c r="X408" s="929"/>
      <c r="Y408" s="929"/>
      <c r="Z408" s="929"/>
      <c r="AB408" s="451"/>
      <c r="AC408" s="451"/>
      <c r="AD408" s="451"/>
      <c r="AE408" s="451"/>
      <c r="AF408" s="451"/>
      <c r="AG408" s="929"/>
      <c r="AH408" s="929"/>
      <c r="AI408" s="929"/>
    </row>
    <row r="409" customFormat="false" ht="12.75" hidden="false" customHeight="false" outlineLevel="0" collapsed="false">
      <c r="J409" s="451"/>
      <c r="K409" s="451"/>
      <c r="L409" s="451"/>
      <c r="M409" s="451"/>
      <c r="N409" s="451"/>
      <c r="O409" s="929"/>
      <c r="P409" s="929"/>
      <c r="Q409" s="929"/>
      <c r="S409" s="451"/>
      <c r="T409" s="451"/>
      <c r="U409" s="451"/>
      <c r="V409" s="451"/>
      <c r="X409" s="929"/>
      <c r="Y409" s="929"/>
      <c r="Z409" s="929"/>
      <c r="AB409" s="451"/>
      <c r="AC409" s="451"/>
      <c r="AD409" s="451"/>
      <c r="AE409" s="451"/>
      <c r="AF409" s="451"/>
      <c r="AG409" s="929"/>
      <c r="AH409" s="929"/>
      <c r="AI409" s="929"/>
    </row>
    <row r="410" customFormat="false" ht="12.75" hidden="false" customHeight="false" outlineLevel="0" collapsed="false">
      <c r="J410" s="451"/>
      <c r="K410" s="451"/>
      <c r="L410" s="451"/>
      <c r="M410" s="451"/>
      <c r="N410" s="451"/>
      <c r="O410" s="929"/>
      <c r="P410" s="929"/>
      <c r="Q410" s="929"/>
      <c r="S410" s="451"/>
      <c r="T410" s="451"/>
      <c r="U410" s="451"/>
      <c r="V410" s="451"/>
      <c r="X410" s="929"/>
      <c r="Y410" s="929"/>
      <c r="Z410" s="929"/>
      <c r="AB410" s="451"/>
      <c r="AC410" s="451"/>
      <c r="AD410" s="451"/>
      <c r="AE410" s="451"/>
      <c r="AF410" s="451"/>
      <c r="AG410" s="929"/>
      <c r="AH410" s="929"/>
      <c r="AI410" s="929"/>
    </row>
    <row r="411" customFormat="false" ht="12.75" hidden="false" customHeight="false" outlineLevel="0" collapsed="false">
      <c r="J411" s="451"/>
      <c r="K411" s="451"/>
      <c r="L411" s="451"/>
      <c r="M411" s="451"/>
      <c r="N411" s="451"/>
      <c r="O411" s="929"/>
      <c r="P411" s="929"/>
      <c r="Q411" s="929"/>
      <c r="S411" s="451"/>
      <c r="T411" s="451"/>
      <c r="U411" s="451"/>
      <c r="V411" s="451"/>
      <c r="X411" s="929"/>
      <c r="Y411" s="929"/>
      <c r="Z411" s="929"/>
      <c r="AB411" s="451"/>
      <c r="AC411" s="451"/>
      <c r="AD411" s="451"/>
      <c r="AE411" s="451"/>
      <c r="AF411" s="451"/>
      <c r="AG411" s="929"/>
      <c r="AH411" s="929"/>
      <c r="AI411" s="929"/>
    </row>
    <row r="412" customFormat="false" ht="12.75" hidden="false" customHeight="false" outlineLevel="0" collapsed="false">
      <c r="J412" s="451"/>
      <c r="K412" s="451"/>
      <c r="L412" s="451"/>
      <c r="M412" s="451"/>
      <c r="N412" s="451"/>
      <c r="O412" s="929"/>
      <c r="P412" s="929"/>
      <c r="Q412" s="929"/>
      <c r="S412" s="451"/>
      <c r="T412" s="451"/>
      <c r="U412" s="451"/>
      <c r="V412" s="451"/>
      <c r="X412" s="929"/>
      <c r="Y412" s="929"/>
      <c r="Z412" s="929"/>
      <c r="AB412" s="451"/>
      <c r="AC412" s="451"/>
      <c r="AD412" s="451"/>
      <c r="AE412" s="451"/>
      <c r="AF412" s="451"/>
      <c r="AG412" s="929"/>
      <c r="AH412" s="929"/>
      <c r="AI412" s="929"/>
    </row>
    <row r="413" customFormat="false" ht="12.75" hidden="false" customHeight="false" outlineLevel="0" collapsed="false">
      <c r="J413" s="451"/>
      <c r="K413" s="451"/>
      <c r="L413" s="451"/>
      <c r="M413" s="451"/>
      <c r="N413" s="451"/>
      <c r="O413" s="929"/>
      <c r="P413" s="929"/>
      <c r="Q413" s="929"/>
      <c r="S413" s="451"/>
      <c r="T413" s="451"/>
      <c r="U413" s="451"/>
      <c r="V413" s="451"/>
      <c r="X413" s="929"/>
      <c r="Y413" s="929"/>
      <c r="Z413" s="929"/>
      <c r="AB413" s="451"/>
      <c r="AC413" s="451"/>
      <c r="AD413" s="451"/>
      <c r="AE413" s="451"/>
      <c r="AF413" s="451"/>
      <c r="AG413" s="929"/>
      <c r="AH413" s="929"/>
      <c r="AI413" s="929"/>
    </row>
    <row r="414" customFormat="false" ht="12.75" hidden="false" customHeight="false" outlineLevel="0" collapsed="false">
      <c r="J414" s="451"/>
      <c r="K414" s="451"/>
      <c r="L414" s="451"/>
      <c r="M414" s="451"/>
      <c r="N414" s="451"/>
      <c r="O414" s="929"/>
      <c r="P414" s="929"/>
      <c r="Q414" s="929"/>
      <c r="S414" s="451"/>
      <c r="T414" s="451"/>
      <c r="U414" s="451"/>
      <c r="V414" s="451"/>
      <c r="X414" s="929"/>
      <c r="Y414" s="929"/>
      <c r="Z414" s="929"/>
      <c r="AB414" s="451"/>
      <c r="AC414" s="451"/>
      <c r="AD414" s="451"/>
      <c r="AE414" s="451"/>
      <c r="AF414" s="451"/>
      <c r="AG414" s="929"/>
      <c r="AH414" s="929"/>
      <c r="AI414" s="929"/>
    </row>
    <row r="415" customFormat="false" ht="12.75" hidden="false" customHeight="false" outlineLevel="0" collapsed="false">
      <c r="J415" s="451"/>
      <c r="K415" s="451"/>
      <c r="L415" s="451"/>
      <c r="M415" s="451"/>
      <c r="N415" s="451"/>
      <c r="O415" s="929"/>
      <c r="P415" s="929"/>
      <c r="Q415" s="929"/>
      <c r="S415" s="451"/>
      <c r="T415" s="451"/>
      <c r="U415" s="451"/>
      <c r="V415" s="451"/>
      <c r="X415" s="929"/>
      <c r="Y415" s="929"/>
      <c r="Z415" s="929"/>
      <c r="AB415" s="451"/>
      <c r="AC415" s="451"/>
      <c r="AD415" s="451"/>
      <c r="AE415" s="451"/>
      <c r="AF415" s="451"/>
      <c r="AG415" s="929"/>
      <c r="AH415" s="929"/>
      <c r="AI415" s="929"/>
    </row>
    <row r="416" customFormat="false" ht="12.75" hidden="false" customHeight="false" outlineLevel="0" collapsed="false">
      <c r="J416" s="451"/>
      <c r="K416" s="451"/>
      <c r="L416" s="451"/>
      <c r="M416" s="451"/>
      <c r="N416" s="451"/>
      <c r="O416" s="929"/>
      <c r="P416" s="929"/>
      <c r="Q416" s="929"/>
      <c r="S416" s="451"/>
      <c r="T416" s="451"/>
      <c r="U416" s="451"/>
      <c r="V416" s="451"/>
      <c r="X416" s="929"/>
      <c r="Y416" s="929"/>
      <c r="Z416" s="929"/>
      <c r="AB416" s="451"/>
      <c r="AC416" s="451"/>
      <c r="AD416" s="451"/>
      <c r="AE416" s="451"/>
      <c r="AF416" s="451"/>
      <c r="AG416" s="929"/>
      <c r="AH416" s="929"/>
      <c r="AI416" s="929"/>
    </row>
    <row r="417" customFormat="false" ht="12.75" hidden="false" customHeight="false" outlineLevel="0" collapsed="false">
      <c r="J417" s="451"/>
      <c r="K417" s="451"/>
      <c r="L417" s="451"/>
      <c r="M417" s="451"/>
      <c r="N417" s="451"/>
      <c r="O417" s="929"/>
      <c r="P417" s="929"/>
      <c r="Q417" s="929"/>
      <c r="S417" s="451"/>
      <c r="T417" s="451"/>
      <c r="U417" s="451"/>
      <c r="V417" s="451"/>
      <c r="X417" s="929"/>
      <c r="Y417" s="929"/>
      <c r="Z417" s="929"/>
      <c r="AB417" s="451"/>
      <c r="AC417" s="451"/>
      <c r="AD417" s="451"/>
      <c r="AE417" s="451"/>
      <c r="AF417" s="451"/>
      <c r="AG417" s="929"/>
      <c r="AH417" s="929"/>
      <c r="AI417" s="929"/>
    </row>
    <row r="418" customFormat="false" ht="12.75" hidden="false" customHeight="false" outlineLevel="0" collapsed="false">
      <c r="J418" s="451"/>
      <c r="K418" s="451"/>
      <c r="L418" s="451"/>
      <c r="M418" s="451"/>
      <c r="N418" s="451"/>
      <c r="O418" s="929"/>
      <c r="P418" s="929"/>
      <c r="Q418" s="929"/>
      <c r="S418" s="451"/>
      <c r="T418" s="451"/>
      <c r="U418" s="451"/>
      <c r="V418" s="451"/>
      <c r="X418" s="929"/>
      <c r="Y418" s="929"/>
      <c r="Z418" s="929"/>
      <c r="AB418" s="451"/>
      <c r="AC418" s="451"/>
      <c r="AD418" s="451"/>
      <c r="AE418" s="451"/>
      <c r="AF418" s="451"/>
      <c r="AG418" s="929"/>
      <c r="AH418" s="929"/>
      <c r="AI418" s="929"/>
    </row>
    <row r="419" customFormat="false" ht="12.75" hidden="false" customHeight="false" outlineLevel="0" collapsed="false">
      <c r="J419" s="451"/>
      <c r="K419" s="451"/>
      <c r="L419" s="451"/>
      <c r="M419" s="451"/>
      <c r="N419" s="451"/>
      <c r="O419" s="929"/>
      <c r="P419" s="929"/>
      <c r="Q419" s="929"/>
      <c r="S419" s="451"/>
      <c r="T419" s="451"/>
      <c r="U419" s="451"/>
      <c r="V419" s="451"/>
      <c r="X419" s="929"/>
      <c r="Y419" s="929"/>
      <c r="Z419" s="929"/>
      <c r="AB419" s="451"/>
      <c r="AC419" s="451"/>
      <c r="AD419" s="451"/>
      <c r="AE419" s="451"/>
      <c r="AF419" s="451"/>
      <c r="AG419" s="929"/>
      <c r="AH419" s="929"/>
      <c r="AI419" s="929"/>
    </row>
    <row r="420" customFormat="false" ht="12.75" hidden="false" customHeight="false" outlineLevel="0" collapsed="false">
      <c r="J420" s="451"/>
      <c r="K420" s="451"/>
      <c r="L420" s="451"/>
      <c r="M420" s="451"/>
      <c r="N420" s="451"/>
      <c r="O420" s="929"/>
      <c r="P420" s="929"/>
      <c r="Q420" s="929"/>
      <c r="S420" s="451"/>
      <c r="T420" s="451"/>
      <c r="U420" s="451"/>
      <c r="V420" s="451"/>
      <c r="X420" s="929"/>
      <c r="Y420" s="929"/>
      <c r="Z420" s="929"/>
      <c r="AB420" s="451"/>
      <c r="AC420" s="451"/>
      <c r="AD420" s="451"/>
      <c r="AE420" s="451"/>
      <c r="AF420" s="451"/>
      <c r="AG420" s="929"/>
      <c r="AH420" s="929"/>
      <c r="AI420" s="929"/>
    </row>
    <row r="421" customFormat="false" ht="12.75" hidden="false" customHeight="false" outlineLevel="0" collapsed="false">
      <c r="J421" s="451"/>
      <c r="K421" s="451"/>
      <c r="L421" s="451"/>
      <c r="M421" s="451"/>
      <c r="N421" s="451"/>
      <c r="O421" s="929"/>
      <c r="P421" s="929"/>
      <c r="Q421" s="929"/>
      <c r="S421" s="451"/>
      <c r="T421" s="451"/>
      <c r="U421" s="451"/>
      <c r="V421" s="451"/>
      <c r="X421" s="929"/>
      <c r="Y421" s="929"/>
      <c r="Z421" s="929"/>
      <c r="AB421" s="451"/>
      <c r="AC421" s="451"/>
      <c r="AD421" s="451"/>
      <c r="AE421" s="451"/>
      <c r="AF421" s="451"/>
      <c r="AG421" s="929"/>
      <c r="AH421" s="929"/>
      <c r="AI421" s="929"/>
    </row>
    <row r="422" customFormat="false" ht="12.75" hidden="false" customHeight="false" outlineLevel="0" collapsed="false">
      <c r="J422" s="451"/>
      <c r="K422" s="451"/>
      <c r="L422" s="451"/>
      <c r="M422" s="451"/>
      <c r="N422" s="451"/>
      <c r="O422" s="929"/>
      <c r="P422" s="929"/>
      <c r="Q422" s="929"/>
      <c r="S422" s="451"/>
      <c r="T422" s="451"/>
      <c r="U422" s="451"/>
      <c r="V422" s="451"/>
      <c r="X422" s="929"/>
      <c r="Y422" s="929"/>
      <c r="Z422" s="929"/>
      <c r="AB422" s="451"/>
      <c r="AC422" s="451"/>
      <c r="AD422" s="451"/>
      <c r="AE422" s="451"/>
      <c r="AF422" s="451"/>
      <c r="AG422" s="929"/>
      <c r="AH422" s="929"/>
      <c r="AI422" s="929"/>
    </row>
    <row r="423" customFormat="false" ht="12.75" hidden="false" customHeight="false" outlineLevel="0" collapsed="false">
      <c r="J423" s="451"/>
      <c r="K423" s="451"/>
      <c r="L423" s="451"/>
      <c r="M423" s="451"/>
      <c r="N423" s="451"/>
      <c r="O423" s="929"/>
      <c r="P423" s="929"/>
      <c r="Q423" s="929"/>
      <c r="S423" s="451"/>
      <c r="T423" s="451"/>
      <c r="U423" s="451"/>
      <c r="V423" s="451"/>
      <c r="X423" s="929"/>
      <c r="Y423" s="929"/>
      <c r="Z423" s="929"/>
      <c r="AB423" s="451"/>
      <c r="AC423" s="451"/>
      <c r="AD423" s="451"/>
      <c r="AE423" s="451"/>
      <c r="AF423" s="451"/>
      <c r="AG423" s="929"/>
      <c r="AH423" s="929"/>
      <c r="AI423" s="929"/>
    </row>
    <row r="424" customFormat="false" ht="12.75" hidden="false" customHeight="false" outlineLevel="0" collapsed="false">
      <c r="J424" s="451"/>
      <c r="K424" s="451"/>
      <c r="L424" s="451"/>
      <c r="M424" s="451"/>
      <c r="N424" s="451"/>
      <c r="O424" s="929"/>
      <c r="P424" s="929"/>
      <c r="Q424" s="929"/>
      <c r="S424" s="451"/>
      <c r="T424" s="451"/>
      <c r="U424" s="451"/>
      <c r="V424" s="451"/>
      <c r="X424" s="929"/>
      <c r="Y424" s="929"/>
      <c r="Z424" s="929"/>
      <c r="AB424" s="451"/>
      <c r="AC424" s="451"/>
      <c r="AD424" s="451"/>
      <c r="AE424" s="451"/>
      <c r="AF424" s="451"/>
      <c r="AG424" s="929"/>
      <c r="AH424" s="929"/>
      <c r="AI424" s="929"/>
    </row>
    <row r="425" customFormat="false" ht="12.75" hidden="false" customHeight="false" outlineLevel="0" collapsed="false">
      <c r="J425" s="451"/>
      <c r="K425" s="451"/>
      <c r="L425" s="451"/>
      <c r="M425" s="451"/>
      <c r="N425" s="451"/>
      <c r="O425" s="929"/>
      <c r="P425" s="929"/>
      <c r="Q425" s="929"/>
      <c r="S425" s="451"/>
      <c r="T425" s="451"/>
      <c r="U425" s="451"/>
      <c r="V425" s="451"/>
      <c r="X425" s="929"/>
      <c r="Y425" s="929"/>
      <c r="Z425" s="929"/>
      <c r="AB425" s="451"/>
      <c r="AC425" s="451"/>
      <c r="AD425" s="451"/>
      <c r="AE425" s="451"/>
      <c r="AF425" s="451"/>
      <c r="AG425" s="929"/>
      <c r="AH425" s="929"/>
      <c r="AI425" s="929"/>
    </row>
    <row r="426" customFormat="false" ht="12.75" hidden="false" customHeight="false" outlineLevel="0" collapsed="false">
      <c r="J426" s="451"/>
      <c r="K426" s="451"/>
      <c r="L426" s="451"/>
      <c r="M426" s="451"/>
      <c r="N426" s="451"/>
      <c r="O426" s="929"/>
      <c r="P426" s="929"/>
      <c r="Q426" s="929"/>
      <c r="S426" s="451"/>
      <c r="T426" s="451"/>
      <c r="U426" s="451"/>
      <c r="V426" s="451"/>
      <c r="X426" s="929"/>
      <c r="Y426" s="929"/>
      <c r="Z426" s="929"/>
      <c r="AB426" s="451"/>
      <c r="AC426" s="451"/>
      <c r="AD426" s="451"/>
      <c r="AE426" s="451"/>
      <c r="AF426" s="451"/>
      <c r="AG426" s="929"/>
      <c r="AH426" s="929"/>
      <c r="AI426" s="929"/>
    </row>
    <row r="427" customFormat="false" ht="12.75" hidden="false" customHeight="false" outlineLevel="0" collapsed="false">
      <c r="J427" s="451"/>
      <c r="K427" s="451"/>
      <c r="L427" s="451"/>
      <c r="M427" s="451"/>
      <c r="N427" s="451"/>
      <c r="O427" s="929"/>
      <c r="P427" s="929"/>
      <c r="Q427" s="929"/>
      <c r="S427" s="451"/>
      <c r="T427" s="451"/>
      <c r="U427" s="451"/>
      <c r="V427" s="451"/>
      <c r="X427" s="929"/>
      <c r="Y427" s="929"/>
      <c r="Z427" s="929"/>
      <c r="AB427" s="451"/>
      <c r="AC427" s="451"/>
      <c r="AD427" s="451"/>
      <c r="AE427" s="451"/>
      <c r="AF427" s="451"/>
      <c r="AG427" s="929"/>
      <c r="AH427" s="929"/>
      <c r="AI427" s="929"/>
    </row>
    <row r="428" customFormat="false" ht="12.75" hidden="false" customHeight="false" outlineLevel="0" collapsed="false">
      <c r="J428" s="451"/>
      <c r="K428" s="451"/>
      <c r="L428" s="451"/>
      <c r="M428" s="451"/>
      <c r="N428" s="451"/>
      <c r="O428" s="929"/>
      <c r="P428" s="929"/>
      <c r="Q428" s="929"/>
      <c r="S428" s="451"/>
      <c r="T428" s="451"/>
      <c r="U428" s="451"/>
      <c r="V428" s="451"/>
      <c r="X428" s="929"/>
      <c r="Y428" s="929"/>
      <c r="Z428" s="929"/>
      <c r="AB428" s="451"/>
      <c r="AC428" s="451"/>
      <c r="AD428" s="451"/>
      <c r="AE428" s="451"/>
      <c r="AF428" s="451"/>
      <c r="AG428" s="929"/>
      <c r="AH428" s="929"/>
      <c r="AI428" s="929"/>
    </row>
    <row r="429" customFormat="false" ht="12.75" hidden="false" customHeight="false" outlineLevel="0" collapsed="false">
      <c r="J429" s="451"/>
      <c r="K429" s="451"/>
      <c r="L429" s="451"/>
      <c r="M429" s="451"/>
      <c r="N429" s="451"/>
      <c r="O429" s="929"/>
      <c r="P429" s="929"/>
      <c r="Q429" s="929"/>
      <c r="S429" s="451"/>
      <c r="T429" s="451"/>
      <c r="U429" s="451"/>
      <c r="V429" s="451"/>
      <c r="X429" s="929"/>
      <c r="Y429" s="929"/>
      <c r="Z429" s="929"/>
      <c r="AB429" s="451"/>
      <c r="AC429" s="451"/>
      <c r="AD429" s="451"/>
      <c r="AE429" s="451"/>
      <c r="AF429" s="451"/>
      <c r="AG429" s="929"/>
      <c r="AH429" s="929"/>
      <c r="AI429" s="929"/>
    </row>
    <row r="430" customFormat="false" ht="12.75" hidden="false" customHeight="false" outlineLevel="0" collapsed="false">
      <c r="J430" s="451"/>
      <c r="K430" s="451"/>
      <c r="L430" s="451"/>
      <c r="M430" s="451"/>
      <c r="N430" s="451"/>
      <c r="O430" s="929"/>
      <c r="P430" s="929"/>
      <c r="Q430" s="929"/>
      <c r="S430" s="451"/>
      <c r="T430" s="451"/>
      <c r="U430" s="451"/>
      <c r="V430" s="451"/>
      <c r="X430" s="929"/>
      <c r="Y430" s="929"/>
      <c r="Z430" s="929"/>
      <c r="AB430" s="451"/>
      <c r="AC430" s="451"/>
      <c r="AD430" s="451"/>
      <c r="AE430" s="451"/>
      <c r="AF430" s="451"/>
      <c r="AG430" s="929"/>
      <c r="AH430" s="929"/>
      <c r="AI430" s="929"/>
    </row>
    <row r="431" customFormat="false" ht="12.75" hidden="false" customHeight="false" outlineLevel="0" collapsed="false">
      <c r="J431" s="451"/>
      <c r="K431" s="451"/>
      <c r="L431" s="451"/>
      <c r="M431" s="451"/>
      <c r="N431" s="451"/>
      <c r="O431" s="929"/>
      <c r="P431" s="929"/>
      <c r="Q431" s="929"/>
      <c r="S431" s="451"/>
      <c r="T431" s="451"/>
      <c r="U431" s="451"/>
      <c r="V431" s="451"/>
      <c r="X431" s="929"/>
      <c r="Y431" s="929"/>
      <c r="Z431" s="929"/>
      <c r="AB431" s="451"/>
      <c r="AC431" s="451"/>
      <c r="AD431" s="451"/>
      <c r="AE431" s="451"/>
      <c r="AF431" s="451"/>
      <c r="AG431" s="929"/>
      <c r="AH431" s="929"/>
      <c r="AI431" s="929"/>
    </row>
    <row r="432" customFormat="false" ht="12.75" hidden="false" customHeight="false" outlineLevel="0" collapsed="false">
      <c r="J432" s="451"/>
      <c r="K432" s="451"/>
      <c r="L432" s="451"/>
      <c r="M432" s="451"/>
      <c r="N432" s="451"/>
      <c r="O432" s="929"/>
      <c r="P432" s="929"/>
      <c r="Q432" s="929"/>
      <c r="S432" s="451"/>
      <c r="T432" s="451"/>
      <c r="U432" s="451"/>
      <c r="V432" s="451"/>
      <c r="X432" s="929"/>
      <c r="Y432" s="929"/>
      <c r="Z432" s="929"/>
      <c r="AB432" s="451"/>
      <c r="AC432" s="451"/>
      <c r="AD432" s="451"/>
      <c r="AE432" s="451"/>
      <c r="AF432" s="451"/>
      <c r="AG432" s="929"/>
      <c r="AH432" s="929"/>
      <c r="AI432" s="929"/>
    </row>
    <row r="433" customFormat="false" ht="12.75" hidden="false" customHeight="false" outlineLevel="0" collapsed="false">
      <c r="J433" s="451"/>
      <c r="K433" s="451"/>
      <c r="L433" s="451"/>
      <c r="M433" s="451"/>
      <c r="N433" s="451"/>
      <c r="O433" s="929"/>
      <c r="P433" s="929"/>
      <c r="Q433" s="929"/>
      <c r="S433" s="451"/>
      <c r="T433" s="451"/>
      <c r="U433" s="451"/>
      <c r="V433" s="451"/>
      <c r="X433" s="929"/>
      <c r="Y433" s="929"/>
      <c r="Z433" s="929"/>
      <c r="AB433" s="451"/>
      <c r="AC433" s="451"/>
      <c r="AD433" s="451"/>
      <c r="AE433" s="451"/>
      <c r="AF433" s="451"/>
      <c r="AG433" s="929"/>
      <c r="AH433" s="929"/>
      <c r="AI433" s="929"/>
    </row>
    <row r="434" customFormat="false" ht="12.75" hidden="false" customHeight="false" outlineLevel="0" collapsed="false">
      <c r="J434" s="451"/>
      <c r="K434" s="451"/>
      <c r="L434" s="451"/>
      <c r="M434" s="451"/>
      <c r="N434" s="451"/>
      <c r="O434" s="929"/>
      <c r="P434" s="929"/>
      <c r="Q434" s="929"/>
      <c r="S434" s="451"/>
      <c r="T434" s="451"/>
      <c r="U434" s="451"/>
      <c r="V434" s="451"/>
      <c r="X434" s="929"/>
      <c r="Y434" s="929"/>
      <c r="Z434" s="929"/>
      <c r="AB434" s="451"/>
      <c r="AC434" s="451"/>
      <c r="AD434" s="451"/>
      <c r="AE434" s="451"/>
      <c r="AF434" s="451"/>
      <c r="AG434" s="929"/>
      <c r="AH434" s="929"/>
      <c r="AI434" s="929"/>
    </row>
    <row r="435" customFormat="false" ht="12.75" hidden="false" customHeight="false" outlineLevel="0" collapsed="false">
      <c r="J435" s="451"/>
      <c r="K435" s="451"/>
      <c r="L435" s="451"/>
      <c r="M435" s="451"/>
      <c r="N435" s="451"/>
      <c r="O435" s="929"/>
      <c r="P435" s="929"/>
      <c r="Q435" s="929"/>
      <c r="S435" s="451"/>
      <c r="T435" s="451"/>
      <c r="U435" s="451"/>
      <c r="V435" s="451"/>
      <c r="X435" s="929"/>
      <c r="Y435" s="929"/>
      <c r="Z435" s="929"/>
      <c r="AB435" s="451"/>
      <c r="AC435" s="451"/>
      <c r="AD435" s="451"/>
      <c r="AE435" s="451"/>
      <c r="AF435" s="451"/>
      <c r="AG435" s="929"/>
      <c r="AH435" s="929"/>
      <c r="AI435" s="929"/>
    </row>
    <row r="436" customFormat="false" ht="12.75" hidden="false" customHeight="false" outlineLevel="0" collapsed="false">
      <c r="J436" s="451"/>
      <c r="K436" s="451"/>
      <c r="L436" s="451"/>
      <c r="M436" s="451"/>
      <c r="N436" s="451"/>
      <c r="O436" s="929"/>
      <c r="P436" s="929"/>
      <c r="Q436" s="929"/>
      <c r="S436" s="451"/>
      <c r="T436" s="451"/>
      <c r="U436" s="451"/>
      <c r="V436" s="451"/>
      <c r="X436" s="929"/>
      <c r="Y436" s="929"/>
      <c r="Z436" s="929"/>
      <c r="AB436" s="451"/>
      <c r="AC436" s="451"/>
      <c r="AD436" s="451"/>
      <c r="AE436" s="451"/>
      <c r="AF436" s="451"/>
      <c r="AG436" s="929"/>
      <c r="AH436" s="929"/>
      <c r="AI436" s="929"/>
    </row>
    <row r="437" customFormat="false" ht="12.75" hidden="false" customHeight="false" outlineLevel="0" collapsed="false">
      <c r="J437" s="451"/>
      <c r="K437" s="451"/>
      <c r="L437" s="451"/>
      <c r="M437" s="451"/>
      <c r="N437" s="451"/>
      <c r="O437" s="929"/>
      <c r="P437" s="929"/>
      <c r="Q437" s="929"/>
      <c r="S437" s="451"/>
      <c r="T437" s="451"/>
      <c r="U437" s="451"/>
      <c r="V437" s="451"/>
      <c r="X437" s="929"/>
      <c r="Y437" s="929"/>
      <c r="Z437" s="929"/>
      <c r="AB437" s="451"/>
      <c r="AC437" s="451"/>
      <c r="AD437" s="451"/>
      <c r="AE437" s="451"/>
      <c r="AF437" s="451"/>
      <c r="AG437" s="929"/>
      <c r="AH437" s="929"/>
      <c r="AI437" s="929"/>
    </row>
    <row r="438" customFormat="false" ht="12.75" hidden="false" customHeight="false" outlineLevel="0" collapsed="false">
      <c r="J438" s="451"/>
      <c r="K438" s="451"/>
      <c r="L438" s="451"/>
      <c r="M438" s="451"/>
      <c r="N438" s="451"/>
      <c r="O438" s="929"/>
      <c r="P438" s="929"/>
      <c r="Q438" s="929"/>
      <c r="S438" s="451"/>
      <c r="T438" s="451"/>
      <c r="U438" s="451"/>
      <c r="V438" s="451"/>
      <c r="X438" s="929"/>
      <c r="Y438" s="929"/>
      <c r="Z438" s="929"/>
      <c r="AB438" s="451"/>
      <c r="AC438" s="451"/>
      <c r="AD438" s="451"/>
      <c r="AE438" s="451"/>
      <c r="AF438" s="451"/>
      <c r="AG438" s="929"/>
      <c r="AH438" s="929"/>
      <c r="AI438" s="929"/>
    </row>
    <row r="439" customFormat="false" ht="12.75" hidden="false" customHeight="false" outlineLevel="0" collapsed="false">
      <c r="J439" s="451"/>
      <c r="K439" s="451"/>
      <c r="L439" s="451"/>
      <c r="M439" s="451"/>
      <c r="N439" s="451"/>
      <c r="O439" s="929"/>
      <c r="P439" s="929"/>
      <c r="Q439" s="929"/>
      <c r="S439" s="451"/>
      <c r="T439" s="451"/>
      <c r="U439" s="451"/>
      <c r="V439" s="451"/>
      <c r="X439" s="929"/>
      <c r="Y439" s="929"/>
      <c r="Z439" s="929"/>
      <c r="AB439" s="451"/>
      <c r="AC439" s="451"/>
      <c r="AD439" s="451"/>
      <c r="AE439" s="451"/>
      <c r="AF439" s="451"/>
      <c r="AG439" s="929"/>
      <c r="AH439" s="929"/>
      <c r="AI439" s="929"/>
    </row>
    <row r="440" customFormat="false" ht="12.75" hidden="false" customHeight="false" outlineLevel="0" collapsed="false">
      <c r="J440" s="451"/>
      <c r="K440" s="451"/>
      <c r="L440" s="451"/>
      <c r="M440" s="451"/>
      <c r="N440" s="451"/>
      <c r="O440" s="929"/>
      <c r="P440" s="929"/>
      <c r="Q440" s="929"/>
      <c r="S440" s="451"/>
      <c r="T440" s="451"/>
      <c r="U440" s="451"/>
      <c r="V440" s="451"/>
      <c r="X440" s="929"/>
      <c r="Y440" s="929"/>
      <c r="Z440" s="929"/>
      <c r="AB440" s="451"/>
      <c r="AC440" s="451"/>
      <c r="AD440" s="451"/>
      <c r="AE440" s="451"/>
      <c r="AF440" s="451"/>
      <c r="AG440" s="929"/>
      <c r="AH440" s="929"/>
      <c r="AI440" s="929"/>
    </row>
    <row r="441" customFormat="false" ht="12.75" hidden="false" customHeight="false" outlineLevel="0" collapsed="false">
      <c r="J441" s="451"/>
      <c r="K441" s="451"/>
      <c r="L441" s="451"/>
      <c r="M441" s="451"/>
      <c r="N441" s="451"/>
      <c r="O441" s="929"/>
      <c r="P441" s="929"/>
      <c r="Q441" s="929"/>
      <c r="S441" s="451"/>
      <c r="T441" s="451"/>
      <c r="U441" s="451"/>
      <c r="V441" s="451"/>
      <c r="X441" s="929"/>
      <c r="Y441" s="929"/>
      <c r="Z441" s="929"/>
      <c r="AB441" s="451"/>
      <c r="AC441" s="451"/>
      <c r="AD441" s="451"/>
      <c r="AE441" s="451"/>
      <c r="AF441" s="451"/>
      <c r="AG441" s="929"/>
      <c r="AH441" s="929"/>
      <c r="AI441" s="929"/>
    </row>
    <row r="442" customFormat="false" ht="12.75" hidden="false" customHeight="false" outlineLevel="0" collapsed="false">
      <c r="J442" s="451"/>
      <c r="K442" s="451"/>
      <c r="L442" s="451"/>
      <c r="M442" s="451"/>
      <c r="N442" s="451"/>
      <c r="O442" s="929"/>
      <c r="P442" s="929"/>
      <c r="Q442" s="929"/>
      <c r="S442" s="451"/>
      <c r="T442" s="451"/>
      <c r="U442" s="451"/>
      <c r="V442" s="451"/>
      <c r="X442" s="929"/>
      <c r="Y442" s="929"/>
      <c r="Z442" s="929"/>
      <c r="AB442" s="451"/>
      <c r="AC442" s="451"/>
      <c r="AD442" s="451"/>
      <c r="AE442" s="451"/>
      <c r="AF442" s="451"/>
      <c r="AG442" s="929"/>
      <c r="AH442" s="929"/>
      <c r="AI442" s="929"/>
    </row>
    <row r="443" customFormat="false" ht="12.75" hidden="false" customHeight="false" outlineLevel="0" collapsed="false">
      <c r="J443" s="451"/>
      <c r="K443" s="451"/>
      <c r="L443" s="451"/>
      <c r="M443" s="451"/>
      <c r="N443" s="451"/>
      <c r="O443" s="929"/>
      <c r="P443" s="929"/>
      <c r="Q443" s="929"/>
      <c r="S443" s="451"/>
      <c r="T443" s="451"/>
      <c r="U443" s="451"/>
      <c r="V443" s="451"/>
      <c r="X443" s="929"/>
      <c r="Y443" s="929"/>
      <c r="Z443" s="929"/>
      <c r="AB443" s="451"/>
      <c r="AC443" s="451"/>
      <c r="AD443" s="451"/>
      <c r="AE443" s="451"/>
      <c r="AF443" s="451"/>
      <c r="AG443" s="929"/>
      <c r="AH443" s="929"/>
      <c r="AI443" s="929"/>
    </row>
    <row r="444" customFormat="false" ht="12.75" hidden="false" customHeight="false" outlineLevel="0" collapsed="false">
      <c r="J444" s="451"/>
      <c r="K444" s="451"/>
      <c r="L444" s="451"/>
      <c r="M444" s="451"/>
      <c r="N444" s="451"/>
      <c r="O444" s="929"/>
      <c r="P444" s="929"/>
      <c r="Q444" s="929"/>
      <c r="S444" s="451"/>
      <c r="T444" s="451"/>
      <c r="U444" s="451"/>
      <c r="V444" s="451"/>
      <c r="X444" s="929"/>
      <c r="Y444" s="929"/>
      <c r="Z444" s="929"/>
      <c r="AB444" s="451"/>
      <c r="AC444" s="451"/>
      <c r="AD444" s="451"/>
      <c r="AE444" s="451"/>
      <c r="AF444" s="451"/>
      <c r="AG444" s="929"/>
      <c r="AH444" s="929"/>
      <c r="AI444" s="929"/>
    </row>
    <row r="445" customFormat="false" ht="12.75" hidden="false" customHeight="false" outlineLevel="0" collapsed="false">
      <c r="J445" s="451"/>
      <c r="K445" s="451"/>
      <c r="L445" s="451"/>
      <c r="M445" s="451"/>
      <c r="N445" s="451"/>
      <c r="O445" s="929"/>
      <c r="P445" s="929"/>
      <c r="Q445" s="929"/>
      <c r="S445" s="451"/>
      <c r="T445" s="451"/>
      <c r="U445" s="451"/>
      <c r="V445" s="451"/>
      <c r="X445" s="929"/>
      <c r="Y445" s="929"/>
      <c r="Z445" s="929"/>
      <c r="AB445" s="451"/>
      <c r="AC445" s="451"/>
      <c r="AD445" s="451"/>
      <c r="AE445" s="451"/>
      <c r="AF445" s="451"/>
      <c r="AG445" s="929"/>
      <c r="AH445" s="929"/>
      <c r="AI445" s="929"/>
    </row>
    <row r="446" customFormat="false" ht="12.75" hidden="false" customHeight="false" outlineLevel="0" collapsed="false">
      <c r="J446" s="451"/>
      <c r="K446" s="451"/>
      <c r="L446" s="451"/>
      <c r="M446" s="451"/>
      <c r="N446" s="451"/>
      <c r="O446" s="929"/>
      <c r="P446" s="929"/>
      <c r="Q446" s="929"/>
      <c r="S446" s="451"/>
      <c r="T446" s="451"/>
      <c r="U446" s="451"/>
      <c r="V446" s="451"/>
      <c r="X446" s="929"/>
      <c r="Y446" s="929"/>
      <c r="Z446" s="929"/>
      <c r="AB446" s="451"/>
      <c r="AC446" s="451"/>
      <c r="AD446" s="451"/>
      <c r="AE446" s="451"/>
      <c r="AF446" s="451"/>
      <c r="AG446" s="929"/>
      <c r="AH446" s="929"/>
      <c r="AI446" s="929"/>
    </row>
    <row r="447" customFormat="false" ht="12.75" hidden="false" customHeight="false" outlineLevel="0" collapsed="false">
      <c r="J447" s="451"/>
      <c r="K447" s="451"/>
      <c r="L447" s="451"/>
      <c r="M447" s="451"/>
      <c r="N447" s="451"/>
      <c r="O447" s="929"/>
      <c r="P447" s="929"/>
      <c r="Q447" s="929"/>
      <c r="S447" s="451"/>
      <c r="T447" s="451"/>
      <c r="U447" s="451"/>
      <c r="V447" s="451"/>
      <c r="X447" s="929"/>
      <c r="Y447" s="929"/>
      <c r="Z447" s="929"/>
      <c r="AB447" s="451"/>
      <c r="AC447" s="451"/>
      <c r="AD447" s="451"/>
      <c r="AE447" s="451"/>
      <c r="AF447" s="451"/>
      <c r="AG447" s="929"/>
      <c r="AH447" s="929"/>
      <c r="AI447" s="929"/>
    </row>
    <row r="448" customFormat="false" ht="12.75" hidden="false" customHeight="false" outlineLevel="0" collapsed="false">
      <c r="J448" s="451"/>
      <c r="K448" s="451"/>
      <c r="L448" s="451"/>
      <c r="M448" s="451"/>
      <c r="N448" s="451"/>
      <c r="O448" s="929"/>
      <c r="P448" s="929"/>
      <c r="Q448" s="929"/>
      <c r="S448" s="451"/>
      <c r="T448" s="451"/>
      <c r="U448" s="451"/>
      <c r="V448" s="451"/>
      <c r="X448" s="929"/>
      <c r="Y448" s="929"/>
      <c r="Z448" s="929"/>
      <c r="AB448" s="451"/>
      <c r="AC448" s="451"/>
      <c r="AD448" s="451"/>
      <c r="AE448" s="451"/>
      <c r="AF448" s="451"/>
      <c r="AG448" s="929"/>
      <c r="AH448" s="929"/>
      <c r="AI448" s="929"/>
    </row>
    <row r="449" customFormat="false" ht="12.75" hidden="false" customHeight="false" outlineLevel="0" collapsed="false">
      <c r="J449" s="451"/>
      <c r="K449" s="451"/>
      <c r="L449" s="451"/>
      <c r="M449" s="451"/>
      <c r="N449" s="451"/>
      <c r="O449" s="929"/>
      <c r="P449" s="929"/>
      <c r="Q449" s="929"/>
      <c r="S449" s="451"/>
      <c r="T449" s="451"/>
      <c r="U449" s="451"/>
      <c r="V449" s="451"/>
      <c r="X449" s="929"/>
      <c r="Y449" s="929"/>
      <c r="Z449" s="929"/>
      <c r="AB449" s="451"/>
      <c r="AC449" s="451"/>
      <c r="AD449" s="451"/>
      <c r="AE449" s="451"/>
      <c r="AF449" s="451"/>
      <c r="AG449" s="929"/>
      <c r="AH449" s="929"/>
      <c r="AI449" s="929"/>
    </row>
    <row r="450" customFormat="false" ht="12.75" hidden="false" customHeight="false" outlineLevel="0" collapsed="false">
      <c r="J450" s="451"/>
      <c r="K450" s="451"/>
      <c r="L450" s="451"/>
      <c r="M450" s="451"/>
      <c r="N450" s="451"/>
      <c r="O450" s="929"/>
      <c r="P450" s="929"/>
      <c r="Q450" s="929"/>
      <c r="S450" s="451"/>
      <c r="T450" s="451"/>
      <c r="U450" s="451"/>
      <c r="V450" s="451"/>
      <c r="X450" s="929"/>
      <c r="Y450" s="929"/>
      <c r="Z450" s="929"/>
      <c r="AB450" s="451"/>
      <c r="AC450" s="451"/>
      <c r="AD450" s="451"/>
      <c r="AE450" s="451"/>
      <c r="AF450" s="451"/>
      <c r="AG450" s="929"/>
      <c r="AH450" s="929"/>
      <c r="AI450" s="929"/>
    </row>
    <row r="451" customFormat="false" ht="12.75" hidden="false" customHeight="false" outlineLevel="0" collapsed="false">
      <c r="J451" s="451"/>
      <c r="K451" s="451"/>
      <c r="L451" s="451"/>
      <c r="M451" s="451"/>
      <c r="N451" s="451"/>
      <c r="O451" s="929"/>
      <c r="P451" s="929"/>
      <c r="Q451" s="929"/>
      <c r="S451" s="451"/>
      <c r="T451" s="451"/>
      <c r="U451" s="451"/>
      <c r="V451" s="451"/>
      <c r="X451" s="929"/>
      <c r="Y451" s="929"/>
      <c r="Z451" s="929"/>
      <c r="AB451" s="451"/>
      <c r="AC451" s="451"/>
      <c r="AD451" s="451"/>
      <c r="AE451" s="451"/>
      <c r="AF451" s="451"/>
      <c r="AG451" s="929"/>
      <c r="AH451" s="929"/>
      <c r="AI451" s="929"/>
    </row>
    <row r="452" customFormat="false" ht="12.75" hidden="false" customHeight="false" outlineLevel="0" collapsed="false">
      <c r="J452" s="451"/>
      <c r="K452" s="451"/>
      <c r="L452" s="451"/>
      <c r="M452" s="451"/>
      <c r="N452" s="451"/>
      <c r="O452" s="929"/>
      <c r="P452" s="929"/>
      <c r="Q452" s="929"/>
      <c r="S452" s="451"/>
      <c r="T452" s="451"/>
      <c r="U452" s="451"/>
      <c r="V452" s="451"/>
      <c r="X452" s="929"/>
      <c r="Y452" s="929"/>
      <c r="Z452" s="929"/>
      <c r="AB452" s="451"/>
      <c r="AC452" s="451"/>
      <c r="AD452" s="451"/>
      <c r="AE452" s="451"/>
      <c r="AF452" s="451"/>
      <c r="AG452" s="929"/>
      <c r="AH452" s="929"/>
      <c r="AI452" s="929"/>
    </row>
    <row r="453" customFormat="false" ht="12.75" hidden="false" customHeight="false" outlineLevel="0" collapsed="false">
      <c r="J453" s="451"/>
      <c r="K453" s="451"/>
      <c r="L453" s="451"/>
      <c r="M453" s="451"/>
      <c r="N453" s="451"/>
      <c r="O453" s="929"/>
      <c r="P453" s="929"/>
      <c r="Q453" s="929"/>
      <c r="S453" s="451"/>
      <c r="T453" s="451"/>
      <c r="U453" s="451"/>
      <c r="V453" s="451"/>
      <c r="X453" s="929"/>
      <c r="Y453" s="929"/>
      <c r="Z453" s="929"/>
      <c r="AB453" s="451"/>
      <c r="AC453" s="451"/>
      <c r="AD453" s="451"/>
      <c r="AE453" s="451"/>
      <c r="AF453" s="451"/>
      <c r="AG453" s="929"/>
      <c r="AH453" s="929"/>
      <c r="AI453" s="929"/>
    </row>
    <row r="454" customFormat="false" ht="12.75" hidden="false" customHeight="false" outlineLevel="0" collapsed="false">
      <c r="J454" s="451"/>
      <c r="K454" s="451"/>
      <c r="L454" s="451"/>
      <c r="M454" s="451"/>
      <c r="N454" s="451"/>
      <c r="O454" s="929"/>
      <c r="P454" s="929"/>
      <c r="Q454" s="929"/>
      <c r="S454" s="451"/>
      <c r="T454" s="451"/>
      <c r="U454" s="451"/>
      <c r="V454" s="451"/>
      <c r="X454" s="929"/>
      <c r="Y454" s="929"/>
      <c r="Z454" s="929"/>
      <c r="AB454" s="451"/>
      <c r="AC454" s="451"/>
      <c r="AD454" s="451"/>
      <c r="AE454" s="451"/>
      <c r="AF454" s="451"/>
      <c r="AG454" s="929"/>
      <c r="AH454" s="929"/>
      <c r="AI454" s="929"/>
    </row>
    <row r="455" customFormat="false" ht="12.75" hidden="false" customHeight="false" outlineLevel="0" collapsed="false">
      <c r="J455" s="451"/>
      <c r="K455" s="451"/>
      <c r="L455" s="451"/>
      <c r="M455" s="451"/>
      <c r="N455" s="451"/>
      <c r="O455" s="929"/>
      <c r="P455" s="929"/>
      <c r="Q455" s="929"/>
      <c r="S455" s="451"/>
      <c r="T455" s="451"/>
      <c r="U455" s="451"/>
      <c r="V455" s="451"/>
      <c r="X455" s="929"/>
      <c r="Y455" s="929"/>
      <c r="Z455" s="929"/>
      <c r="AB455" s="451"/>
      <c r="AC455" s="451"/>
      <c r="AD455" s="451"/>
      <c r="AE455" s="451"/>
      <c r="AF455" s="451"/>
      <c r="AG455" s="929"/>
      <c r="AH455" s="929"/>
      <c r="AI455" s="929"/>
    </row>
    <row r="456" customFormat="false" ht="12.75" hidden="false" customHeight="false" outlineLevel="0" collapsed="false">
      <c r="J456" s="451"/>
      <c r="K456" s="451"/>
      <c r="L456" s="451"/>
      <c r="M456" s="451"/>
      <c r="N456" s="451"/>
      <c r="O456" s="929"/>
      <c r="P456" s="929"/>
      <c r="Q456" s="929"/>
      <c r="S456" s="451"/>
      <c r="T456" s="451"/>
      <c r="U456" s="451"/>
      <c r="V456" s="451"/>
      <c r="X456" s="929"/>
      <c r="Y456" s="929"/>
      <c r="Z456" s="929"/>
      <c r="AB456" s="451"/>
      <c r="AC456" s="451"/>
      <c r="AD456" s="451"/>
      <c r="AE456" s="451"/>
      <c r="AF456" s="451"/>
      <c r="AG456" s="929"/>
      <c r="AH456" s="929"/>
      <c r="AI456" s="929"/>
    </row>
    <row r="457" customFormat="false" ht="12.75" hidden="false" customHeight="false" outlineLevel="0" collapsed="false">
      <c r="J457" s="451"/>
      <c r="K457" s="451"/>
      <c r="L457" s="451"/>
      <c r="M457" s="451"/>
      <c r="N457" s="451"/>
      <c r="O457" s="929"/>
      <c r="P457" s="929"/>
      <c r="Q457" s="929"/>
      <c r="S457" s="451"/>
      <c r="T457" s="451"/>
      <c r="U457" s="451"/>
      <c r="V457" s="451"/>
      <c r="X457" s="929"/>
      <c r="Y457" s="929"/>
      <c r="Z457" s="929"/>
      <c r="AB457" s="451"/>
      <c r="AC457" s="451"/>
      <c r="AD457" s="451"/>
      <c r="AE457" s="451"/>
      <c r="AF457" s="451"/>
      <c r="AG457" s="929"/>
      <c r="AH457" s="929"/>
      <c r="AI457" s="929"/>
    </row>
    <row r="458" customFormat="false" ht="12.75" hidden="false" customHeight="false" outlineLevel="0" collapsed="false">
      <c r="J458" s="451"/>
      <c r="K458" s="451"/>
      <c r="L458" s="451"/>
      <c r="M458" s="451"/>
      <c r="N458" s="451"/>
      <c r="O458" s="929"/>
      <c r="P458" s="929"/>
      <c r="Q458" s="929"/>
      <c r="S458" s="451"/>
      <c r="T458" s="451"/>
      <c r="U458" s="451"/>
      <c r="V458" s="451"/>
      <c r="X458" s="929"/>
      <c r="Y458" s="929"/>
      <c r="Z458" s="929"/>
      <c r="AB458" s="451"/>
      <c r="AC458" s="451"/>
      <c r="AD458" s="451"/>
      <c r="AE458" s="451"/>
      <c r="AF458" s="451"/>
      <c r="AG458" s="929"/>
      <c r="AH458" s="929"/>
      <c r="AI458" s="929"/>
    </row>
    <row r="459" customFormat="false" ht="12.75" hidden="false" customHeight="false" outlineLevel="0" collapsed="false">
      <c r="J459" s="451"/>
      <c r="K459" s="451"/>
      <c r="L459" s="451"/>
      <c r="M459" s="451"/>
      <c r="N459" s="451"/>
      <c r="O459" s="929"/>
      <c r="P459" s="929"/>
      <c r="Q459" s="929"/>
      <c r="S459" s="451"/>
      <c r="T459" s="451"/>
      <c r="U459" s="451"/>
      <c r="V459" s="451"/>
      <c r="X459" s="929"/>
      <c r="Y459" s="929"/>
      <c r="Z459" s="929"/>
      <c r="AB459" s="451"/>
      <c r="AC459" s="451"/>
      <c r="AD459" s="451"/>
      <c r="AE459" s="451"/>
      <c r="AF459" s="451"/>
      <c r="AG459" s="929"/>
      <c r="AH459" s="929"/>
      <c r="AI459" s="929"/>
    </row>
    <row r="460" customFormat="false" ht="12.75" hidden="false" customHeight="false" outlineLevel="0" collapsed="false">
      <c r="J460" s="451"/>
      <c r="K460" s="451"/>
      <c r="L460" s="451"/>
      <c r="M460" s="451"/>
      <c r="N460" s="451"/>
      <c r="O460" s="929"/>
      <c r="P460" s="929"/>
      <c r="Q460" s="929"/>
      <c r="S460" s="451"/>
      <c r="T460" s="451"/>
      <c r="U460" s="451"/>
      <c r="V460" s="451"/>
      <c r="X460" s="929"/>
      <c r="Y460" s="929"/>
      <c r="Z460" s="929"/>
      <c r="AB460" s="451"/>
      <c r="AC460" s="451"/>
      <c r="AD460" s="451"/>
      <c r="AE460" s="451"/>
      <c r="AF460" s="451"/>
      <c r="AG460" s="929"/>
      <c r="AH460" s="929"/>
      <c r="AI460" s="929"/>
    </row>
    <row r="461" customFormat="false" ht="12.75" hidden="false" customHeight="false" outlineLevel="0" collapsed="false">
      <c r="J461" s="451"/>
      <c r="K461" s="451"/>
      <c r="L461" s="451"/>
      <c r="M461" s="451"/>
      <c r="N461" s="451"/>
      <c r="O461" s="929"/>
      <c r="P461" s="929"/>
      <c r="Q461" s="929"/>
      <c r="S461" s="451"/>
      <c r="T461" s="451"/>
      <c r="U461" s="451"/>
      <c r="V461" s="451"/>
      <c r="X461" s="929"/>
      <c r="Y461" s="929"/>
      <c r="Z461" s="929"/>
      <c r="AB461" s="451"/>
      <c r="AC461" s="451"/>
      <c r="AD461" s="451"/>
      <c r="AE461" s="451"/>
      <c r="AF461" s="451"/>
      <c r="AG461" s="929"/>
      <c r="AH461" s="929"/>
      <c r="AI461" s="929"/>
    </row>
    <row r="462" customFormat="false" ht="12.75" hidden="false" customHeight="false" outlineLevel="0" collapsed="false">
      <c r="J462" s="451"/>
      <c r="K462" s="451"/>
      <c r="L462" s="451"/>
      <c r="M462" s="451"/>
      <c r="N462" s="451"/>
      <c r="O462" s="929"/>
      <c r="P462" s="929"/>
      <c r="Q462" s="929"/>
      <c r="S462" s="451"/>
      <c r="T462" s="451"/>
      <c r="U462" s="451"/>
      <c r="V462" s="451"/>
      <c r="X462" s="929"/>
      <c r="Y462" s="929"/>
      <c r="Z462" s="929"/>
      <c r="AB462" s="451"/>
      <c r="AC462" s="451"/>
      <c r="AD462" s="451"/>
      <c r="AE462" s="451"/>
      <c r="AF462" s="451"/>
      <c r="AG462" s="929"/>
      <c r="AH462" s="929"/>
      <c r="AI462" s="929"/>
    </row>
    <row r="463" customFormat="false" ht="12.75" hidden="false" customHeight="false" outlineLevel="0" collapsed="false">
      <c r="J463" s="451"/>
      <c r="K463" s="451"/>
      <c r="L463" s="451"/>
      <c r="M463" s="451"/>
      <c r="N463" s="451"/>
      <c r="O463" s="929"/>
      <c r="P463" s="929"/>
      <c r="Q463" s="929"/>
      <c r="S463" s="451"/>
      <c r="T463" s="451"/>
      <c r="U463" s="451"/>
      <c r="V463" s="451"/>
      <c r="X463" s="929"/>
      <c r="Y463" s="929"/>
      <c r="Z463" s="929"/>
      <c r="AB463" s="451"/>
      <c r="AC463" s="451"/>
      <c r="AD463" s="451"/>
      <c r="AE463" s="451"/>
      <c r="AF463" s="451"/>
      <c r="AG463" s="929"/>
      <c r="AH463" s="929"/>
      <c r="AI463" s="929"/>
    </row>
    <row r="464" customFormat="false" ht="12.75" hidden="false" customHeight="false" outlineLevel="0" collapsed="false">
      <c r="J464" s="451"/>
      <c r="K464" s="451"/>
      <c r="L464" s="451"/>
      <c r="M464" s="451"/>
      <c r="N464" s="451"/>
      <c r="O464" s="929"/>
      <c r="P464" s="929"/>
      <c r="Q464" s="929"/>
      <c r="S464" s="451"/>
      <c r="T464" s="451"/>
      <c r="U464" s="451"/>
      <c r="V464" s="451"/>
      <c r="X464" s="929"/>
      <c r="Y464" s="929"/>
      <c r="Z464" s="929"/>
      <c r="AB464" s="451"/>
      <c r="AC464" s="451"/>
      <c r="AD464" s="451"/>
      <c r="AE464" s="451"/>
      <c r="AF464" s="451"/>
      <c r="AG464" s="929"/>
      <c r="AH464" s="929"/>
      <c r="AI464" s="929"/>
    </row>
    <row r="465" customFormat="false" ht="12.75" hidden="false" customHeight="false" outlineLevel="0" collapsed="false">
      <c r="J465" s="451"/>
      <c r="K465" s="451"/>
      <c r="L465" s="451"/>
      <c r="M465" s="451"/>
      <c r="N465" s="451"/>
      <c r="O465" s="929"/>
      <c r="P465" s="929"/>
      <c r="Q465" s="929"/>
      <c r="S465" s="451"/>
      <c r="T465" s="451"/>
      <c r="U465" s="451"/>
      <c r="V465" s="451"/>
      <c r="X465" s="929"/>
      <c r="Y465" s="929"/>
      <c r="Z465" s="929"/>
      <c r="AB465" s="451"/>
      <c r="AC465" s="451"/>
      <c r="AD465" s="451"/>
      <c r="AE465" s="451"/>
      <c r="AF465" s="451"/>
      <c r="AG465" s="929"/>
      <c r="AH465" s="929"/>
      <c r="AI465" s="929"/>
    </row>
    <row r="466" customFormat="false" ht="12.75" hidden="false" customHeight="false" outlineLevel="0" collapsed="false">
      <c r="J466" s="451"/>
      <c r="K466" s="451"/>
      <c r="L466" s="451"/>
      <c r="M466" s="451"/>
      <c r="N466" s="451"/>
      <c r="O466" s="929"/>
      <c r="P466" s="929"/>
      <c r="Q466" s="929"/>
      <c r="S466" s="451"/>
      <c r="T466" s="451"/>
      <c r="U466" s="451"/>
      <c r="V466" s="451"/>
      <c r="X466" s="929"/>
      <c r="Y466" s="929"/>
      <c r="Z466" s="929"/>
      <c r="AB466" s="451"/>
      <c r="AC466" s="451"/>
      <c r="AD466" s="451"/>
      <c r="AE466" s="451"/>
      <c r="AF466" s="451"/>
      <c r="AG466" s="929"/>
      <c r="AH466" s="929"/>
      <c r="AI466" s="929"/>
    </row>
    <row r="467" customFormat="false" ht="12.75" hidden="false" customHeight="false" outlineLevel="0" collapsed="false">
      <c r="J467" s="451"/>
      <c r="K467" s="451"/>
      <c r="L467" s="451"/>
      <c r="M467" s="451"/>
      <c r="N467" s="451"/>
      <c r="O467" s="929"/>
      <c r="P467" s="929"/>
      <c r="Q467" s="929"/>
      <c r="S467" s="451"/>
      <c r="T467" s="451"/>
      <c r="U467" s="451"/>
      <c r="V467" s="451"/>
      <c r="X467" s="929"/>
      <c r="Y467" s="929"/>
      <c r="Z467" s="929"/>
      <c r="AB467" s="451"/>
      <c r="AC467" s="451"/>
      <c r="AD467" s="451"/>
      <c r="AE467" s="451"/>
      <c r="AF467" s="451"/>
      <c r="AG467" s="929"/>
      <c r="AH467" s="929"/>
      <c r="AI467" s="929"/>
    </row>
    <row r="468" customFormat="false" ht="12.75" hidden="false" customHeight="false" outlineLevel="0" collapsed="false">
      <c r="J468" s="451"/>
      <c r="K468" s="451"/>
      <c r="L468" s="451"/>
      <c r="M468" s="451"/>
      <c r="N468" s="451"/>
      <c r="O468" s="929"/>
      <c r="P468" s="929"/>
      <c r="Q468" s="929"/>
      <c r="S468" s="451"/>
      <c r="T468" s="451"/>
      <c r="U468" s="451"/>
      <c r="V468" s="451"/>
      <c r="X468" s="929"/>
      <c r="Y468" s="929"/>
      <c r="Z468" s="929"/>
      <c r="AB468" s="451"/>
      <c r="AC468" s="451"/>
      <c r="AD468" s="451"/>
      <c r="AE468" s="451"/>
      <c r="AF468" s="451"/>
      <c r="AG468" s="929"/>
      <c r="AH468" s="929"/>
      <c r="AI468" s="929"/>
    </row>
    <row r="469" customFormat="false" ht="12.75" hidden="false" customHeight="false" outlineLevel="0" collapsed="false">
      <c r="J469" s="451"/>
      <c r="K469" s="451"/>
      <c r="L469" s="451"/>
      <c r="M469" s="451"/>
      <c r="N469" s="451"/>
      <c r="O469" s="929"/>
      <c r="P469" s="929"/>
      <c r="Q469" s="929"/>
      <c r="S469" s="451"/>
      <c r="T469" s="451"/>
      <c r="U469" s="451"/>
      <c r="V469" s="451"/>
      <c r="X469" s="929"/>
      <c r="Y469" s="929"/>
      <c r="Z469" s="929"/>
      <c r="AB469" s="451"/>
      <c r="AC469" s="451"/>
      <c r="AD469" s="451"/>
      <c r="AE469" s="451"/>
      <c r="AF469" s="451"/>
      <c r="AG469" s="929"/>
      <c r="AH469" s="929"/>
      <c r="AI469" s="929"/>
    </row>
    <row r="470" customFormat="false" ht="12.75" hidden="false" customHeight="false" outlineLevel="0" collapsed="false">
      <c r="J470" s="451"/>
      <c r="K470" s="451"/>
      <c r="L470" s="451"/>
      <c r="M470" s="451"/>
      <c r="N470" s="451"/>
      <c r="O470" s="929"/>
      <c r="P470" s="929"/>
      <c r="Q470" s="929"/>
      <c r="S470" s="451"/>
      <c r="T470" s="451"/>
      <c r="U470" s="451"/>
      <c r="V470" s="451"/>
      <c r="X470" s="929"/>
      <c r="Y470" s="929"/>
      <c r="Z470" s="929"/>
      <c r="AB470" s="451"/>
      <c r="AC470" s="451"/>
      <c r="AD470" s="451"/>
      <c r="AE470" s="451"/>
      <c r="AF470" s="451"/>
      <c r="AG470" s="929"/>
      <c r="AH470" s="929"/>
      <c r="AI470" s="929"/>
    </row>
    <row r="471" customFormat="false" ht="12.75" hidden="false" customHeight="false" outlineLevel="0" collapsed="false">
      <c r="J471" s="451"/>
      <c r="K471" s="451"/>
      <c r="L471" s="451"/>
      <c r="M471" s="451"/>
      <c r="N471" s="451"/>
      <c r="O471" s="929"/>
      <c r="P471" s="929"/>
      <c r="Q471" s="929"/>
      <c r="S471" s="451"/>
      <c r="T471" s="451"/>
      <c r="U471" s="451"/>
      <c r="V471" s="451"/>
      <c r="X471" s="929"/>
      <c r="Y471" s="929"/>
      <c r="Z471" s="929"/>
      <c r="AB471" s="451"/>
      <c r="AC471" s="451"/>
      <c r="AD471" s="451"/>
      <c r="AE471" s="451"/>
      <c r="AF471" s="451"/>
      <c r="AG471" s="929"/>
      <c r="AH471" s="929"/>
      <c r="AI471" s="929"/>
    </row>
    <row r="472" customFormat="false" ht="12.75" hidden="false" customHeight="false" outlineLevel="0" collapsed="false">
      <c r="J472" s="451"/>
      <c r="K472" s="451"/>
      <c r="L472" s="451"/>
      <c r="M472" s="451"/>
      <c r="N472" s="451"/>
      <c r="O472" s="929"/>
      <c r="P472" s="929"/>
      <c r="Q472" s="929"/>
      <c r="S472" s="451"/>
      <c r="T472" s="451"/>
      <c r="U472" s="451"/>
      <c r="V472" s="451"/>
      <c r="X472" s="929"/>
      <c r="Y472" s="929"/>
      <c r="Z472" s="929"/>
      <c r="AB472" s="451"/>
      <c r="AC472" s="451"/>
      <c r="AD472" s="451"/>
      <c r="AE472" s="451"/>
      <c r="AF472" s="451"/>
      <c r="AG472" s="929"/>
      <c r="AH472" s="929"/>
      <c r="AI472" s="929"/>
    </row>
    <row r="473" customFormat="false" ht="12.75" hidden="false" customHeight="false" outlineLevel="0" collapsed="false">
      <c r="J473" s="451"/>
      <c r="K473" s="451"/>
      <c r="L473" s="451"/>
      <c r="M473" s="451"/>
      <c r="N473" s="451"/>
      <c r="O473" s="929"/>
      <c r="P473" s="929"/>
      <c r="Q473" s="929"/>
      <c r="S473" s="451"/>
      <c r="T473" s="451"/>
      <c r="U473" s="451"/>
      <c r="V473" s="451"/>
      <c r="X473" s="929"/>
      <c r="Y473" s="929"/>
      <c r="Z473" s="929"/>
      <c r="AB473" s="451"/>
      <c r="AC473" s="451"/>
      <c r="AD473" s="451"/>
      <c r="AE473" s="451"/>
      <c r="AF473" s="451"/>
      <c r="AG473" s="929"/>
      <c r="AH473" s="929"/>
      <c r="AI473" s="929"/>
    </row>
    <row r="474" customFormat="false" ht="12.75" hidden="false" customHeight="false" outlineLevel="0" collapsed="false">
      <c r="J474" s="451"/>
      <c r="K474" s="451"/>
      <c r="L474" s="451"/>
      <c r="M474" s="451"/>
      <c r="N474" s="451"/>
      <c r="O474" s="929"/>
      <c r="P474" s="929"/>
      <c r="Q474" s="929"/>
      <c r="S474" s="451"/>
      <c r="T474" s="451"/>
      <c r="U474" s="451"/>
      <c r="V474" s="451"/>
      <c r="X474" s="929"/>
      <c r="Y474" s="929"/>
      <c r="Z474" s="929"/>
      <c r="AB474" s="451"/>
      <c r="AC474" s="451"/>
      <c r="AD474" s="451"/>
      <c r="AE474" s="451"/>
      <c r="AF474" s="451"/>
      <c r="AG474" s="929"/>
      <c r="AH474" s="929"/>
      <c r="AI474" s="929"/>
    </row>
    <row r="475" customFormat="false" ht="12.75" hidden="false" customHeight="false" outlineLevel="0" collapsed="false">
      <c r="J475" s="451"/>
      <c r="K475" s="451"/>
      <c r="L475" s="451"/>
      <c r="M475" s="451"/>
      <c r="N475" s="451"/>
      <c r="O475" s="929"/>
      <c r="P475" s="929"/>
      <c r="Q475" s="929"/>
      <c r="S475" s="451"/>
      <c r="T475" s="451"/>
      <c r="U475" s="451"/>
      <c r="V475" s="451"/>
      <c r="X475" s="929"/>
      <c r="Y475" s="929"/>
      <c r="Z475" s="929"/>
      <c r="AB475" s="451"/>
      <c r="AC475" s="451"/>
      <c r="AD475" s="451"/>
      <c r="AE475" s="451"/>
      <c r="AF475" s="451"/>
      <c r="AG475" s="929"/>
      <c r="AH475" s="929"/>
      <c r="AI475" s="929"/>
    </row>
    <row r="476" customFormat="false" ht="12.75" hidden="false" customHeight="false" outlineLevel="0" collapsed="false">
      <c r="J476" s="451"/>
      <c r="K476" s="451"/>
      <c r="L476" s="451"/>
      <c r="M476" s="451"/>
      <c r="N476" s="451"/>
      <c r="O476" s="929"/>
      <c r="P476" s="929"/>
      <c r="Q476" s="929"/>
      <c r="S476" s="451"/>
      <c r="T476" s="451"/>
      <c r="U476" s="451"/>
      <c r="V476" s="451"/>
      <c r="X476" s="929"/>
      <c r="Y476" s="929"/>
      <c r="Z476" s="929"/>
      <c r="AB476" s="451"/>
      <c r="AC476" s="451"/>
      <c r="AD476" s="451"/>
      <c r="AE476" s="451"/>
      <c r="AF476" s="451"/>
      <c r="AG476" s="929"/>
      <c r="AH476" s="929"/>
      <c r="AI476" s="929"/>
    </row>
    <row r="477" customFormat="false" ht="12.75" hidden="false" customHeight="false" outlineLevel="0" collapsed="false">
      <c r="J477" s="451"/>
      <c r="K477" s="451"/>
      <c r="L477" s="451"/>
      <c r="M477" s="451"/>
      <c r="N477" s="451"/>
      <c r="O477" s="929"/>
      <c r="P477" s="929"/>
      <c r="Q477" s="929"/>
      <c r="S477" s="451"/>
      <c r="T477" s="451"/>
      <c r="U477" s="451"/>
      <c r="V477" s="451"/>
      <c r="X477" s="929"/>
      <c r="Y477" s="929"/>
      <c r="Z477" s="929"/>
      <c r="AB477" s="451"/>
      <c r="AC477" s="451"/>
      <c r="AD477" s="451"/>
      <c r="AE477" s="451"/>
      <c r="AF477" s="451"/>
      <c r="AG477" s="929"/>
      <c r="AH477" s="929"/>
      <c r="AI477" s="929"/>
    </row>
    <row r="478" customFormat="false" ht="12.75" hidden="false" customHeight="false" outlineLevel="0" collapsed="false">
      <c r="J478" s="451"/>
      <c r="K478" s="451"/>
      <c r="L478" s="451"/>
      <c r="M478" s="451"/>
      <c r="N478" s="451"/>
      <c r="O478" s="929"/>
      <c r="P478" s="929"/>
      <c r="Q478" s="929"/>
      <c r="S478" s="451"/>
      <c r="T478" s="451"/>
      <c r="U478" s="451"/>
      <c r="V478" s="451"/>
      <c r="X478" s="929"/>
      <c r="Y478" s="929"/>
      <c r="Z478" s="929"/>
      <c r="AB478" s="451"/>
      <c r="AC478" s="451"/>
      <c r="AD478" s="451"/>
      <c r="AE478" s="451"/>
      <c r="AF478" s="451"/>
      <c r="AG478" s="929"/>
      <c r="AH478" s="929"/>
      <c r="AI478" s="929"/>
    </row>
    <row r="479" customFormat="false" ht="12.75" hidden="false" customHeight="false" outlineLevel="0" collapsed="false">
      <c r="J479" s="451"/>
      <c r="K479" s="451"/>
      <c r="L479" s="451"/>
      <c r="M479" s="451"/>
      <c r="N479" s="451"/>
      <c r="O479" s="929"/>
      <c r="P479" s="929"/>
      <c r="Q479" s="929"/>
      <c r="S479" s="451"/>
      <c r="T479" s="451"/>
      <c r="U479" s="451"/>
      <c r="V479" s="451"/>
      <c r="X479" s="929"/>
      <c r="Y479" s="929"/>
      <c r="Z479" s="929"/>
      <c r="AB479" s="451"/>
      <c r="AC479" s="451"/>
      <c r="AD479" s="451"/>
      <c r="AE479" s="451"/>
      <c r="AF479" s="451"/>
      <c r="AG479" s="929"/>
      <c r="AH479" s="929"/>
      <c r="AI479" s="929"/>
    </row>
    <row r="480" customFormat="false" ht="12.75" hidden="false" customHeight="false" outlineLevel="0" collapsed="false">
      <c r="J480" s="451"/>
      <c r="K480" s="451"/>
      <c r="L480" s="451"/>
      <c r="M480" s="451"/>
      <c r="N480" s="451"/>
      <c r="O480" s="929"/>
      <c r="P480" s="929"/>
      <c r="Q480" s="929"/>
      <c r="S480" s="451"/>
      <c r="T480" s="451"/>
      <c r="U480" s="451"/>
      <c r="V480" s="451"/>
      <c r="X480" s="929"/>
      <c r="Y480" s="929"/>
      <c r="Z480" s="929"/>
      <c r="AB480" s="451"/>
      <c r="AC480" s="451"/>
      <c r="AD480" s="451"/>
      <c r="AE480" s="451"/>
      <c r="AF480" s="451"/>
      <c r="AG480" s="929"/>
      <c r="AH480" s="929"/>
      <c r="AI480" s="929"/>
    </row>
    <row r="481" customFormat="false" ht="12.75" hidden="false" customHeight="false" outlineLevel="0" collapsed="false">
      <c r="J481" s="451"/>
      <c r="K481" s="451"/>
      <c r="L481" s="451"/>
      <c r="M481" s="451"/>
      <c r="N481" s="451"/>
      <c r="O481" s="929"/>
      <c r="P481" s="929"/>
      <c r="Q481" s="929"/>
      <c r="S481" s="451"/>
      <c r="T481" s="451"/>
      <c r="U481" s="451"/>
      <c r="V481" s="451"/>
      <c r="X481" s="929"/>
      <c r="Y481" s="929"/>
      <c r="Z481" s="929"/>
      <c r="AB481" s="451"/>
      <c r="AC481" s="451"/>
      <c r="AD481" s="451"/>
      <c r="AE481" s="451"/>
      <c r="AF481" s="451"/>
      <c r="AG481" s="929"/>
      <c r="AH481" s="929"/>
      <c r="AI481" s="929"/>
    </row>
    <row r="482" customFormat="false" ht="12.75" hidden="false" customHeight="false" outlineLevel="0" collapsed="false">
      <c r="J482" s="451"/>
      <c r="K482" s="451"/>
      <c r="L482" s="451"/>
      <c r="M482" s="451"/>
      <c r="N482" s="451"/>
      <c r="O482" s="929"/>
      <c r="P482" s="929"/>
      <c r="Q482" s="929"/>
      <c r="S482" s="451"/>
      <c r="T482" s="451"/>
      <c r="U482" s="451"/>
      <c r="V482" s="451"/>
      <c r="X482" s="929"/>
      <c r="Y482" s="929"/>
      <c r="Z482" s="929"/>
      <c r="AB482" s="451"/>
      <c r="AC482" s="451"/>
      <c r="AD482" s="451"/>
      <c r="AE482" s="451"/>
      <c r="AF482" s="451"/>
      <c r="AG482" s="929"/>
      <c r="AH482" s="929"/>
      <c r="AI482" s="929"/>
    </row>
    <row r="483" customFormat="false" ht="12.75" hidden="false" customHeight="false" outlineLevel="0" collapsed="false">
      <c r="J483" s="451"/>
      <c r="K483" s="451"/>
      <c r="L483" s="451"/>
      <c r="M483" s="451"/>
      <c r="N483" s="451"/>
      <c r="O483" s="929"/>
      <c r="P483" s="929"/>
      <c r="Q483" s="929"/>
      <c r="S483" s="451"/>
      <c r="T483" s="451"/>
      <c r="U483" s="451"/>
      <c r="V483" s="451"/>
      <c r="X483" s="929"/>
      <c r="Y483" s="929"/>
      <c r="Z483" s="929"/>
      <c r="AB483" s="451"/>
      <c r="AC483" s="451"/>
      <c r="AD483" s="451"/>
      <c r="AE483" s="451"/>
      <c r="AF483" s="451"/>
      <c r="AG483" s="929"/>
      <c r="AH483" s="929"/>
      <c r="AI483" s="929"/>
    </row>
    <row r="484" customFormat="false" ht="12.75" hidden="false" customHeight="false" outlineLevel="0" collapsed="false">
      <c r="J484" s="451"/>
      <c r="K484" s="451"/>
      <c r="L484" s="451"/>
      <c r="M484" s="451"/>
      <c r="N484" s="451"/>
      <c r="O484" s="929"/>
      <c r="P484" s="929"/>
      <c r="Q484" s="929"/>
      <c r="S484" s="451"/>
      <c r="T484" s="451"/>
      <c r="U484" s="451"/>
      <c r="V484" s="451"/>
      <c r="X484" s="929"/>
      <c r="Y484" s="929"/>
      <c r="Z484" s="929"/>
      <c r="AB484" s="451"/>
      <c r="AC484" s="451"/>
      <c r="AD484" s="451"/>
      <c r="AE484" s="451"/>
      <c r="AF484" s="451"/>
      <c r="AG484" s="929"/>
      <c r="AH484" s="929"/>
      <c r="AI484" s="929"/>
    </row>
    <row r="485" customFormat="false" ht="12.75" hidden="false" customHeight="false" outlineLevel="0" collapsed="false">
      <c r="J485" s="451"/>
      <c r="K485" s="451"/>
      <c r="L485" s="451"/>
      <c r="M485" s="451"/>
      <c r="N485" s="451"/>
      <c r="O485" s="929"/>
      <c r="P485" s="929"/>
      <c r="Q485" s="929"/>
      <c r="S485" s="451"/>
      <c r="T485" s="451"/>
      <c r="U485" s="451"/>
      <c r="V485" s="451"/>
      <c r="X485" s="929"/>
      <c r="Y485" s="929"/>
      <c r="Z485" s="929"/>
      <c r="AB485" s="451"/>
      <c r="AC485" s="451"/>
      <c r="AD485" s="451"/>
      <c r="AE485" s="451"/>
      <c r="AF485" s="451"/>
      <c r="AG485" s="929"/>
      <c r="AH485" s="929"/>
      <c r="AI485" s="929"/>
    </row>
    <row r="486" customFormat="false" ht="12.75" hidden="false" customHeight="false" outlineLevel="0" collapsed="false">
      <c r="J486" s="451"/>
      <c r="K486" s="451"/>
      <c r="L486" s="451"/>
      <c r="M486" s="451"/>
      <c r="N486" s="451"/>
      <c r="O486" s="929"/>
      <c r="P486" s="929"/>
      <c r="Q486" s="929"/>
      <c r="S486" s="451"/>
      <c r="T486" s="451"/>
      <c r="U486" s="451"/>
      <c r="V486" s="451"/>
      <c r="X486" s="929"/>
      <c r="Y486" s="929"/>
      <c r="Z486" s="929"/>
      <c r="AB486" s="451"/>
      <c r="AC486" s="451"/>
      <c r="AD486" s="451"/>
      <c r="AE486" s="451"/>
      <c r="AF486" s="451"/>
      <c r="AG486" s="929"/>
      <c r="AH486" s="929"/>
      <c r="AI486" s="929"/>
    </row>
    <row r="487" customFormat="false" ht="12.75" hidden="false" customHeight="false" outlineLevel="0" collapsed="false">
      <c r="J487" s="451"/>
      <c r="K487" s="451"/>
      <c r="L487" s="451"/>
      <c r="M487" s="451"/>
      <c r="N487" s="451"/>
      <c r="O487" s="929"/>
      <c r="P487" s="929"/>
      <c r="Q487" s="929"/>
      <c r="S487" s="451"/>
      <c r="T487" s="451"/>
      <c r="U487" s="451"/>
      <c r="V487" s="451"/>
      <c r="X487" s="929"/>
      <c r="Y487" s="929"/>
      <c r="Z487" s="929"/>
      <c r="AB487" s="451"/>
      <c r="AC487" s="451"/>
      <c r="AD487" s="451"/>
      <c r="AE487" s="451"/>
      <c r="AF487" s="451"/>
      <c r="AG487" s="929"/>
      <c r="AH487" s="929"/>
      <c r="AI487" s="929"/>
    </row>
    <row r="488" customFormat="false" ht="12.75" hidden="false" customHeight="false" outlineLevel="0" collapsed="false">
      <c r="J488" s="451"/>
      <c r="K488" s="451"/>
      <c r="L488" s="451"/>
      <c r="M488" s="451"/>
      <c r="N488" s="451"/>
      <c r="O488" s="929"/>
      <c r="P488" s="929"/>
      <c r="Q488" s="929"/>
      <c r="S488" s="451"/>
      <c r="T488" s="451"/>
      <c r="U488" s="451"/>
      <c r="V488" s="451"/>
      <c r="X488" s="929"/>
      <c r="Y488" s="929"/>
      <c r="Z488" s="929"/>
      <c r="AB488" s="451"/>
      <c r="AC488" s="451"/>
      <c r="AD488" s="451"/>
      <c r="AE488" s="451"/>
      <c r="AF488" s="451"/>
      <c r="AG488" s="929"/>
      <c r="AH488" s="929"/>
      <c r="AI488" s="929"/>
    </row>
    <row r="489" customFormat="false" ht="12.75" hidden="false" customHeight="false" outlineLevel="0" collapsed="false">
      <c r="J489" s="451"/>
      <c r="K489" s="451"/>
      <c r="L489" s="451"/>
      <c r="M489" s="451"/>
      <c r="N489" s="451"/>
      <c r="O489" s="929"/>
      <c r="P489" s="929"/>
      <c r="Q489" s="929"/>
      <c r="S489" s="451"/>
      <c r="T489" s="451"/>
      <c r="U489" s="451"/>
      <c r="V489" s="451"/>
      <c r="X489" s="929"/>
      <c r="Y489" s="929"/>
      <c r="Z489" s="929"/>
      <c r="AB489" s="451"/>
      <c r="AC489" s="451"/>
      <c r="AD489" s="451"/>
      <c r="AE489" s="451"/>
      <c r="AF489" s="451"/>
      <c r="AG489" s="929"/>
      <c r="AH489" s="929"/>
      <c r="AI489" s="929"/>
    </row>
    <row r="490" customFormat="false" ht="12.75" hidden="false" customHeight="false" outlineLevel="0" collapsed="false">
      <c r="J490" s="451"/>
      <c r="K490" s="451"/>
      <c r="L490" s="451"/>
      <c r="M490" s="451"/>
      <c r="N490" s="451"/>
      <c r="O490" s="929"/>
      <c r="P490" s="929"/>
      <c r="Q490" s="929"/>
      <c r="S490" s="451"/>
      <c r="T490" s="451"/>
      <c r="U490" s="451"/>
      <c r="V490" s="451"/>
      <c r="X490" s="929"/>
      <c r="Y490" s="929"/>
      <c r="Z490" s="929"/>
      <c r="AB490" s="451"/>
      <c r="AC490" s="451"/>
      <c r="AD490" s="451"/>
      <c r="AE490" s="451"/>
      <c r="AF490" s="451"/>
      <c r="AG490" s="929"/>
      <c r="AH490" s="929"/>
      <c r="AI490" s="929"/>
    </row>
    <row r="491" customFormat="false" ht="12.75" hidden="false" customHeight="false" outlineLevel="0" collapsed="false">
      <c r="J491" s="451"/>
      <c r="K491" s="451"/>
      <c r="L491" s="451"/>
      <c r="M491" s="451"/>
      <c r="N491" s="451"/>
      <c r="O491" s="929"/>
      <c r="P491" s="929"/>
      <c r="Q491" s="929"/>
      <c r="S491" s="451"/>
      <c r="T491" s="451"/>
      <c r="U491" s="451"/>
      <c r="V491" s="451"/>
      <c r="X491" s="929"/>
      <c r="Y491" s="929"/>
      <c r="Z491" s="929"/>
      <c r="AB491" s="451"/>
      <c r="AC491" s="451"/>
      <c r="AD491" s="451"/>
      <c r="AE491" s="451"/>
      <c r="AF491" s="451"/>
      <c r="AG491" s="929"/>
      <c r="AH491" s="929"/>
      <c r="AI491" s="929"/>
    </row>
    <row r="492" customFormat="false" ht="12.75" hidden="false" customHeight="false" outlineLevel="0" collapsed="false">
      <c r="J492" s="451"/>
      <c r="K492" s="451"/>
      <c r="L492" s="451"/>
      <c r="M492" s="451"/>
      <c r="N492" s="451"/>
      <c r="O492" s="929"/>
      <c r="P492" s="929"/>
      <c r="Q492" s="929"/>
      <c r="S492" s="451"/>
      <c r="T492" s="451"/>
      <c r="U492" s="451"/>
      <c r="V492" s="451"/>
      <c r="X492" s="929"/>
      <c r="Y492" s="929"/>
      <c r="Z492" s="929"/>
      <c r="AB492" s="451"/>
      <c r="AC492" s="451"/>
      <c r="AD492" s="451"/>
      <c r="AE492" s="451"/>
      <c r="AF492" s="451"/>
      <c r="AG492" s="929"/>
      <c r="AH492" s="929"/>
      <c r="AI492" s="929"/>
    </row>
    <row r="493" customFormat="false" ht="12.75" hidden="false" customHeight="false" outlineLevel="0" collapsed="false">
      <c r="J493" s="451"/>
      <c r="K493" s="451"/>
      <c r="L493" s="451"/>
      <c r="M493" s="451"/>
      <c r="N493" s="451"/>
      <c r="O493" s="929"/>
      <c r="P493" s="929"/>
      <c r="Q493" s="929"/>
      <c r="S493" s="451"/>
      <c r="T493" s="451"/>
      <c r="U493" s="451"/>
      <c r="V493" s="451"/>
      <c r="X493" s="929"/>
      <c r="Y493" s="929"/>
      <c r="Z493" s="929"/>
      <c r="AB493" s="451"/>
      <c r="AC493" s="451"/>
      <c r="AD493" s="451"/>
      <c r="AE493" s="451"/>
      <c r="AF493" s="451"/>
      <c r="AG493" s="929"/>
      <c r="AH493" s="929"/>
      <c r="AI493" s="929"/>
    </row>
    <row r="494" customFormat="false" ht="12.75" hidden="false" customHeight="false" outlineLevel="0" collapsed="false">
      <c r="J494" s="451"/>
      <c r="K494" s="451"/>
      <c r="L494" s="451"/>
      <c r="M494" s="451"/>
      <c r="N494" s="451"/>
      <c r="O494" s="929"/>
      <c r="P494" s="929"/>
      <c r="Q494" s="929"/>
      <c r="S494" s="451"/>
      <c r="T494" s="451"/>
      <c r="U494" s="451"/>
      <c r="V494" s="451"/>
      <c r="X494" s="929"/>
      <c r="Y494" s="929"/>
      <c r="Z494" s="929"/>
      <c r="AB494" s="451"/>
      <c r="AC494" s="451"/>
      <c r="AD494" s="451"/>
      <c r="AE494" s="451"/>
      <c r="AF494" s="451"/>
      <c r="AG494" s="929"/>
      <c r="AH494" s="929"/>
      <c r="AI494" s="929"/>
    </row>
    <row r="495" customFormat="false" ht="12.75" hidden="false" customHeight="false" outlineLevel="0" collapsed="false">
      <c r="J495" s="451"/>
      <c r="K495" s="451"/>
      <c r="L495" s="451"/>
      <c r="M495" s="451"/>
      <c r="N495" s="451"/>
      <c r="O495" s="929"/>
      <c r="P495" s="929"/>
      <c r="Q495" s="929"/>
      <c r="S495" s="451"/>
      <c r="T495" s="451"/>
      <c r="U495" s="451"/>
      <c r="V495" s="451"/>
      <c r="X495" s="929"/>
      <c r="Y495" s="929"/>
      <c r="Z495" s="929"/>
      <c r="AB495" s="451"/>
      <c r="AC495" s="451"/>
      <c r="AD495" s="451"/>
      <c r="AE495" s="451"/>
      <c r="AF495" s="451"/>
      <c r="AG495" s="929"/>
      <c r="AH495" s="929"/>
      <c r="AI495" s="929"/>
    </row>
    <row r="496" customFormat="false" ht="12.75" hidden="false" customHeight="false" outlineLevel="0" collapsed="false">
      <c r="J496" s="451"/>
      <c r="K496" s="451"/>
      <c r="L496" s="451"/>
      <c r="M496" s="451"/>
      <c r="N496" s="451"/>
      <c r="O496" s="929"/>
      <c r="P496" s="929"/>
      <c r="Q496" s="929"/>
      <c r="S496" s="451"/>
      <c r="T496" s="451"/>
      <c r="U496" s="451"/>
      <c r="V496" s="451"/>
      <c r="X496" s="929"/>
      <c r="Y496" s="929"/>
      <c r="Z496" s="929"/>
      <c r="AB496" s="451"/>
      <c r="AC496" s="451"/>
      <c r="AD496" s="451"/>
      <c r="AE496" s="451"/>
      <c r="AF496" s="451"/>
      <c r="AG496" s="929"/>
      <c r="AH496" s="929"/>
      <c r="AI496" s="929"/>
    </row>
    <row r="497" customFormat="false" ht="12.75" hidden="false" customHeight="false" outlineLevel="0" collapsed="false">
      <c r="J497" s="451"/>
      <c r="K497" s="451"/>
      <c r="L497" s="451"/>
      <c r="M497" s="451"/>
      <c r="N497" s="451"/>
      <c r="O497" s="929"/>
      <c r="P497" s="929"/>
      <c r="Q497" s="929"/>
      <c r="S497" s="451"/>
      <c r="T497" s="451"/>
      <c r="U497" s="451"/>
      <c r="V497" s="451"/>
      <c r="X497" s="929"/>
      <c r="Y497" s="929"/>
      <c r="Z497" s="929"/>
      <c r="AB497" s="451"/>
      <c r="AC497" s="451"/>
      <c r="AD497" s="451"/>
      <c r="AE497" s="451"/>
      <c r="AF497" s="451"/>
      <c r="AG497" s="929"/>
      <c r="AH497" s="929"/>
      <c r="AI497" s="929"/>
    </row>
    <row r="498" customFormat="false" ht="12.75" hidden="false" customHeight="false" outlineLevel="0" collapsed="false">
      <c r="J498" s="451"/>
      <c r="K498" s="451"/>
      <c r="L498" s="451"/>
      <c r="M498" s="451"/>
      <c r="N498" s="451"/>
      <c r="O498" s="929"/>
      <c r="P498" s="929"/>
      <c r="Q498" s="929"/>
      <c r="S498" s="451"/>
      <c r="T498" s="451"/>
      <c r="U498" s="451"/>
      <c r="V498" s="451"/>
      <c r="X498" s="929"/>
      <c r="Y498" s="929"/>
      <c r="Z498" s="929"/>
      <c r="AB498" s="451"/>
      <c r="AC498" s="451"/>
      <c r="AD498" s="451"/>
      <c r="AE498" s="451"/>
      <c r="AF498" s="451"/>
      <c r="AG498" s="929"/>
      <c r="AH498" s="929"/>
      <c r="AI498" s="929"/>
    </row>
    <row r="499" customFormat="false" ht="12.75" hidden="false" customHeight="false" outlineLevel="0" collapsed="false">
      <c r="J499" s="451"/>
      <c r="K499" s="451"/>
      <c r="L499" s="451"/>
      <c r="M499" s="451"/>
      <c r="N499" s="451"/>
      <c r="O499" s="929"/>
      <c r="P499" s="929"/>
      <c r="Q499" s="929"/>
      <c r="S499" s="451"/>
      <c r="T499" s="451"/>
      <c r="U499" s="451"/>
      <c r="V499" s="451"/>
      <c r="X499" s="929"/>
      <c r="Y499" s="929"/>
      <c r="Z499" s="929"/>
      <c r="AB499" s="451"/>
      <c r="AC499" s="451"/>
      <c r="AD499" s="451"/>
      <c r="AE499" s="451"/>
      <c r="AF499" s="451"/>
      <c r="AG499" s="929"/>
      <c r="AH499" s="929"/>
      <c r="AI499" s="929"/>
    </row>
    <row r="500" customFormat="false" ht="12.75" hidden="false" customHeight="false" outlineLevel="0" collapsed="false">
      <c r="J500" s="451"/>
      <c r="K500" s="451"/>
      <c r="L500" s="451"/>
      <c r="M500" s="451"/>
      <c r="N500" s="451"/>
      <c r="O500" s="929"/>
      <c r="P500" s="929"/>
      <c r="Q500" s="929"/>
      <c r="S500" s="451"/>
      <c r="T500" s="451"/>
      <c r="U500" s="451"/>
      <c r="V500" s="451"/>
      <c r="X500" s="929"/>
      <c r="Y500" s="929"/>
      <c r="Z500" s="929"/>
      <c r="AB500" s="451"/>
      <c r="AC500" s="451"/>
      <c r="AD500" s="451"/>
      <c r="AE500" s="451"/>
      <c r="AF500" s="451"/>
      <c r="AG500" s="929"/>
      <c r="AH500" s="929"/>
      <c r="AI500" s="929"/>
    </row>
    <row r="501" customFormat="false" ht="12.75" hidden="false" customHeight="false" outlineLevel="0" collapsed="false">
      <c r="J501" s="451"/>
      <c r="K501" s="451"/>
      <c r="L501" s="451"/>
      <c r="M501" s="451"/>
      <c r="N501" s="451"/>
      <c r="O501" s="929"/>
      <c r="P501" s="929"/>
      <c r="Q501" s="929"/>
      <c r="S501" s="451"/>
      <c r="T501" s="451"/>
      <c r="U501" s="451"/>
      <c r="V501" s="451"/>
      <c r="X501" s="929"/>
      <c r="Y501" s="929"/>
      <c r="Z501" s="929"/>
      <c r="AB501" s="451"/>
      <c r="AC501" s="451"/>
      <c r="AD501" s="451"/>
      <c r="AE501" s="451"/>
      <c r="AF501" s="451"/>
      <c r="AG501" s="929"/>
      <c r="AH501" s="929"/>
      <c r="AI501" s="929"/>
    </row>
    <row r="502" customFormat="false" ht="12.75" hidden="false" customHeight="false" outlineLevel="0" collapsed="false">
      <c r="J502" s="451"/>
      <c r="K502" s="451"/>
      <c r="L502" s="451"/>
      <c r="M502" s="451"/>
      <c r="N502" s="451"/>
      <c r="O502" s="929"/>
      <c r="P502" s="929"/>
      <c r="Q502" s="929"/>
      <c r="S502" s="451"/>
      <c r="T502" s="451"/>
      <c r="U502" s="451"/>
      <c r="V502" s="451"/>
      <c r="X502" s="929"/>
      <c r="Y502" s="929"/>
      <c r="Z502" s="929"/>
      <c r="AB502" s="451"/>
      <c r="AC502" s="451"/>
      <c r="AD502" s="451"/>
      <c r="AE502" s="451"/>
      <c r="AF502" s="451"/>
      <c r="AG502" s="929"/>
      <c r="AH502" s="929"/>
      <c r="AI502" s="929"/>
    </row>
    <row r="503" customFormat="false" ht="12.75" hidden="false" customHeight="false" outlineLevel="0" collapsed="false">
      <c r="J503" s="451"/>
      <c r="K503" s="451"/>
      <c r="L503" s="451"/>
      <c r="M503" s="451"/>
      <c r="N503" s="451"/>
      <c r="O503" s="929"/>
      <c r="P503" s="929"/>
      <c r="Q503" s="929"/>
      <c r="S503" s="451"/>
      <c r="T503" s="451"/>
      <c r="U503" s="451"/>
      <c r="V503" s="451"/>
      <c r="X503" s="929"/>
      <c r="Y503" s="929"/>
      <c r="Z503" s="929"/>
      <c r="AB503" s="451"/>
      <c r="AC503" s="451"/>
      <c r="AD503" s="451"/>
      <c r="AE503" s="451"/>
      <c r="AF503" s="451"/>
      <c r="AG503" s="929"/>
      <c r="AH503" s="929"/>
      <c r="AI503" s="929"/>
    </row>
    <row r="504" customFormat="false" ht="12.75" hidden="false" customHeight="false" outlineLevel="0" collapsed="false">
      <c r="J504" s="451"/>
      <c r="K504" s="451"/>
      <c r="L504" s="451"/>
      <c r="M504" s="451"/>
      <c r="N504" s="451"/>
      <c r="O504" s="929"/>
      <c r="P504" s="929"/>
      <c r="Q504" s="929"/>
      <c r="S504" s="451"/>
      <c r="T504" s="451"/>
      <c r="U504" s="451"/>
      <c r="V504" s="451"/>
      <c r="X504" s="929"/>
      <c r="Y504" s="929"/>
      <c r="Z504" s="929"/>
      <c r="AB504" s="451"/>
      <c r="AC504" s="451"/>
      <c r="AD504" s="451"/>
      <c r="AE504" s="451"/>
      <c r="AF504" s="451"/>
      <c r="AG504" s="929"/>
      <c r="AH504" s="929"/>
      <c r="AI504" s="929"/>
    </row>
    <row r="505" customFormat="false" ht="12.75" hidden="false" customHeight="false" outlineLevel="0" collapsed="false">
      <c r="J505" s="451"/>
      <c r="K505" s="451"/>
      <c r="L505" s="451"/>
      <c r="M505" s="451"/>
      <c r="N505" s="451"/>
      <c r="O505" s="929"/>
      <c r="P505" s="929"/>
      <c r="Q505" s="929"/>
      <c r="S505" s="451"/>
      <c r="T505" s="451"/>
      <c r="U505" s="451"/>
      <c r="V505" s="451"/>
      <c r="X505" s="929"/>
      <c r="Y505" s="929"/>
      <c r="Z505" s="929"/>
      <c r="AB505" s="451"/>
      <c r="AC505" s="451"/>
      <c r="AD505" s="451"/>
      <c r="AE505" s="451"/>
      <c r="AF505" s="451"/>
      <c r="AG505" s="929"/>
      <c r="AH505" s="929"/>
      <c r="AI505" s="929"/>
    </row>
    <row r="506" customFormat="false" ht="12.75" hidden="false" customHeight="false" outlineLevel="0" collapsed="false">
      <c r="J506" s="451"/>
      <c r="K506" s="451"/>
      <c r="L506" s="451"/>
      <c r="M506" s="451"/>
      <c r="N506" s="451"/>
      <c r="O506" s="929"/>
      <c r="P506" s="929"/>
      <c r="Q506" s="929"/>
      <c r="S506" s="451"/>
      <c r="T506" s="451"/>
      <c r="U506" s="451"/>
      <c r="V506" s="451"/>
      <c r="X506" s="929"/>
      <c r="Y506" s="929"/>
      <c r="Z506" s="929"/>
      <c r="AB506" s="451"/>
      <c r="AC506" s="451"/>
      <c r="AD506" s="451"/>
      <c r="AE506" s="451"/>
      <c r="AF506" s="451"/>
      <c r="AG506" s="929"/>
      <c r="AH506" s="929"/>
      <c r="AI506" s="929"/>
    </row>
    <row r="507" customFormat="false" ht="12.75" hidden="false" customHeight="false" outlineLevel="0" collapsed="false">
      <c r="J507" s="451"/>
      <c r="K507" s="451"/>
      <c r="L507" s="451"/>
      <c r="M507" s="451"/>
      <c r="N507" s="451"/>
      <c r="O507" s="929"/>
      <c r="P507" s="929"/>
      <c r="Q507" s="929"/>
      <c r="S507" s="451"/>
      <c r="T507" s="451"/>
      <c r="U507" s="451"/>
      <c r="V507" s="451"/>
      <c r="X507" s="929"/>
      <c r="Y507" s="929"/>
      <c r="Z507" s="929"/>
      <c r="AB507" s="451"/>
      <c r="AC507" s="451"/>
      <c r="AD507" s="451"/>
      <c r="AE507" s="451"/>
      <c r="AF507" s="451"/>
      <c r="AG507" s="929"/>
      <c r="AH507" s="929"/>
      <c r="AI507" s="929"/>
    </row>
    <row r="508" customFormat="false" ht="12.75" hidden="false" customHeight="false" outlineLevel="0" collapsed="false">
      <c r="J508" s="451"/>
      <c r="K508" s="451"/>
      <c r="L508" s="451"/>
      <c r="M508" s="451"/>
      <c r="N508" s="451"/>
      <c r="O508" s="929"/>
      <c r="P508" s="929"/>
      <c r="Q508" s="929"/>
      <c r="S508" s="451"/>
      <c r="T508" s="451"/>
      <c r="U508" s="451"/>
      <c r="V508" s="451"/>
      <c r="X508" s="929"/>
      <c r="Y508" s="929"/>
      <c r="Z508" s="929"/>
      <c r="AB508" s="451"/>
      <c r="AC508" s="451"/>
      <c r="AD508" s="451"/>
      <c r="AE508" s="451"/>
      <c r="AF508" s="451"/>
      <c r="AG508" s="929"/>
      <c r="AH508" s="929"/>
      <c r="AI508" s="929"/>
    </row>
    <row r="509" customFormat="false" ht="12.75" hidden="false" customHeight="false" outlineLevel="0" collapsed="false">
      <c r="J509" s="451"/>
      <c r="K509" s="451"/>
      <c r="L509" s="451"/>
      <c r="M509" s="451"/>
      <c r="N509" s="451"/>
      <c r="O509" s="929"/>
      <c r="P509" s="929"/>
      <c r="Q509" s="929"/>
      <c r="S509" s="451"/>
      <c r="T509" s="451"/>
      <c r="U509" s="451"/>
      <c r="V509" s="451"/>
      <c r="X509" s="929"/>
      <c r="Y509" s="929"/>
      <c r="Z509" s="929"/>
      <c r="AB509" s="451"/>
      <c r="AC509" s="451"/>
      <c r="AD509" s="451"/>
      <c r="AE509" s="451"/>
      <c r="AF509" s="451"/>
      <c r="AG509" s="929"/>
      <c r="AH509" s="929"/>
      <c r="AI509" s="929"/>
    </row>
    <row r="510" customFormat="false" ht="12.75" hidden="false" customHeight="false" outlineLevel="0" collapsed="false">
      <c r="J510" s="451"/>
      <c r="K510" s="451"/>
      <c r="L510" s="451"/>
      <c r="M510" s="451"/>
      <c r="N510" s="451"/>
      <c r="O510" s="929"/>
      <c r="P510" s="929"/>
      <c r="Q510" s="929"/>
      <c r="S510" s="451"/>
      <c r="T510" s="451"/>
      <c r="U510" s="451"/>
      <c r="V510" s="451"/>
      <c r="X510" s="929"/>
      <c r="Y510" s="929"/>
      <c r="Z510" s="929"/>
      <c r="AB510" s="451"/>
      <c r="AC510" s="451"/>
      <c r="AD510" s="451"/>
      <c r="AE510" s="451"/>
      <c r="AF510" s="451"/>
      <c r="AG510" s="929"/>
      <c r="AH510" s="929"/>
      <c r="AI510" s="929"/>
    </row>
    <row r="511" customFormat="false" ht="12.75" hidden="false" customHeight="false" outlineLevel="0" collapsed="false">
      <c r="J511" s="451"/>
      <c r="K511" s="451"/>
      <c r="L511" s="451"/>
      <c r="M511" s="451"/>
      <c r="N511" s="451"/>
      <c r="O511" s="929"/>
      <c r="P511" s="929"/>
      <c r="Q511" s="929"/>
      <c r="S511" s="451"/>
      <c r="T511" s="451"/>
      <c r="U511" s="451"/>
      <c r="V511" s="451"/>
      <c r="X511" s="929"/>
      <c r="Y511" s="929"/>
      <c r="Z511" s="929"/>
      <c r="AB511" s="451"/>
      <c r="AC511" s="451"/>
      <c r="AD511" s="451"/>
      <c r="AE511" s="451"/>
      <c r="AF511" s="451"/>
      <c r="AG511" s="929"/>
      <c r="AH511" s="929"/>
      <c r="AI511" s="929"/>
    </row>
    <row r="512" customFormat="false" ht="12.75" hidden="false" customHeight="false" outlineLevel="0" collapsed="false">
      <c r="J512" s="451"/>
      <c r="K512" s="451"/>
      <c r="L512" s="451"/>
      <c r="M512" s="451"/>
      <c r="N512" s="451"/>
      <c r="O512" s="929"/>
      <c r="P512" s="929"/>
      <c r="Q512" s="929"/>
      <c r="S512" s="451"/>
      <c r="T512" s="451"/>
      <c r="U512" s="451"/>
      <c r="V512" s="451"/>
      <c r="X512" s="929"/>
      <c r="Y512" s="929"/>
      <c r="Z512" s="929"/>
      <c r="AB512" s="451"/>
      <c r="AC512" s="451"/>
      <c r="AD512" s="451"/>
      <c r="AE512" s="451"/>
      <c r="AF512" s="451"/>
      <c r="AG512" s="929"/>
      <c r="AH512" s="929"/>
      <c r="AI512" s="929"/>
    </row>
    <row r="513" customFormat="false" ht="12.75" hidden="false" customHeight="false" outlineLevel="0" collapsed="false">
      <c r="J513" s="451"/>
      <c r="K513" s="451"/>
      <c r="L513" s="451"/>
      <c r="M513" s="451"/>
      <c r="N513" s="451"/>
      <c r="O513" s="929"/>
      <c r="P513" s="929"/>
      <c r="Q513" s="929"/>
      <c r="S513" s="451"/>
      <c r="T513" s="451"/>
      <c r="U513" s="451"/>
      <c r="V513" s="451"/>
      <c r="X513" s="929"/>
      <c r="Y513" s="929"/>
      <c r="Z513" s="929"/>
      <c r="AB513" s="451"/>
      <c r="AC513" s="451"/>
      <c r="AD513" s="451"/>
      <c r="AE513" s="451"/>
      <c r="AF513" s="451"/>
      <c r="AG513" s="929"/>
      <c r="AH513" s="929"/>
      <c r="AI513" s="929"/>
    </row>
    <row r="514" customFormat="false" ht="12.75" hidden="false" customHeight="false" outlineLevel="0" collapsed="false">
      <c r="J514" s="451"/>
      <c r="K514" s="451"/>
      <c r="L514" s="451"/>
      <c r="M514" s="451"/>
      <c r="N514" s="451"/>
      <c r="O514" s="929"/>
      <c r="P514" s="929"/>
      <c r="Q514" s="929"/>
      <c r="S514" s="451"/>
      <c r="T514" s="451"/>
      <c r="U514" s="451"/>
      <c r="V514" s="451"/>
      <c r="X514" s="929"/>
      <c r="Y514" s="929"/>
      <c r="Z514" s="929"/>
      <c r="AB514" s="451"/>
      <c r="AC514" s="451"/>
      <c r="AD514" s="451"/>
      <c r="AE514" s="451"/>
      <c r="AF514" s="451"/>
      <c r="AG514" s="929"/>
      <c r="AH514" s="929"/>
      <c r="AI514" s="929"/>
    </row>
    <row r="515" customFormat="false" ht="12.75" hidden="false" customHeight="false" outlineLevel="0" collapsed="false">
      <c r="J515" s="451"/>
      <c r="K515" s="451"/>
      <c r="L515" s="451"/>
      <c r="M515" s="451"/>
      <c r="N515" s="451"/>
      <c r="O515" s="929"/>
      <c r="P515" s="929"/>
      <c r="Q515" s="929"/>
      <c r="S515" s="451"/>
      <c r="T515" s="451"/>
      <c r="U515" s="451"/>
      <c r="V515" s="451"/>
      <c r="X515" s="929"/>
      <c r="Y515" s="929"/>
      <c r="Z515" s="929"/>
      <c r="AB515" s="451"/>
      <c r="AC515" s="451"/>
      <c r="AD515" s="451"/>
      <c r="AE515" s="451"/>
      <c r="AF515" s="451"/>
      <c r="AG515" s="929"/>
      <c r="AH515" s="929"/>
      <c r="AI515" s="929"/>
    </row>
    <row r="516" customFormat="false" ht="12.75" hidden="false" customHeight="false" outlineLevel="0" collapsed="false">
      <c r="J516" s="451"/>
      <c r="K516" s="451"/>
      <c r="L516" s="451"/>
      <c r="M516" s="451"/>
      <c r="N516" s="451"/>
      <c r="O516" s="929"/>
      <c r="P516" s="929"/>
      <c r="Q516" s="929"/>
      <c r="S516" s="451"/>
      <c r="T516" s="451"/>
      <c r="U516" s="451"/>
      <c r="V516" s="451"/>
      <c r="X516" s="929"/>
      <c r="Y516" s="929"/>
      <c r="Z516" s="929"/>
      <c r="AB516" s="451"/>
      <c r="AC516" s="451"/>
      <c r="AD516" s="451"/>
      <c r="AE516" s="451"/>
      <c r="AF516" s="451"/>
      <c r="AG516" s="929"/>
      <c r="AH516" s="929"/>
      <c r="AI516" s="929"/>
    </row>
    <row r="517" customFormat="false" ht="12.75" hidden="false" customHeight="false" outlineLevel="0" collapsed="false">
      <c r="J517" s="451"/>
      <c r="K517" s="451"/>
      <c r="L517" s="451"/>
      <c r="M517" s="451"/>
      <c r="N517" s="451"/>
      <c r="O517" s="929"/>
      <c r="P517" s="929"/>
      <c r="Q517" s="929"/>
      <c r="S517" s="451"/>
      <c r="T517" s="451"/>
      <c r="U517" s="451"/>
      <c r="V517" s="451"/>
      <c r="X517" s="929"/>
      <c r="Y517" s="929"/>
      <c r="Z517" s="929"/>
      <c r="AB517" s="451"/>
      <c r="AC517" s="451"/>
      <c r="AD517" s="451"/>
      <c r="AE517" s="451"/>
      <c r="AF517" s="451"/>
      <c r="AG517" s="929"/>
      <c r="AH517" s="929"/>
      <c r="AI517" s="929"/>
    </row>
    <row r="518" customFormat="false" ht="12.75" hidden="false" customHeight="false" outlineLevel="0" collapsed="false">
      <c r="J518" s="451"/>
      <c r="K518" s="451"/>
      <c r="L518" s="451"/>
      <c r="M518" s="451"/>
      <c r="N518" s="451"/>
      <c r="O518" s="929"/>
      <c r="P518" s="929"/>
      <c r="Q518" s="929"/>
      <c r="S518" s="451"/>
      <c r="T518" s="451"/>
      <c r="U518" s="451"/>
      <c r="V518" s="451"/>
      <c r="X518" s="929"/>
      <c r="Y518" s="929"/>
      <c r="Z518" s="929"/>
      <c r="AB518" s="451"/>
      <c r="AC518" s="451"/>
      <c r="AD518" s="451"/>
      <c r="AE518" s="451"/>
      <c r="AF518" s="451"/>
      <c r="AG518" s="929"/>
      <c r="AH518" s="929"/>
      <c r="AI518" s="929"/>
    </row>
    <row r="519" customFormat="false" ht="12.75" hidden="false" customHeight="false" outlineLevel="0" collapsed="false">
      <c r="J519" s="451"/>
      <c r="K519" s="451"/>
      <c r="L519" s="451"/>
      <c r="M519" s="451"/>
      <c r="N519" s="451"/>
      <c r="O519" s="929"/>
      <c r="P519" s="929"/>
      <c r="Q519" s="929"/>
      <c r="S519" s="451"/>
      <c r="T519" s="451"/>
      <c r="U519" s="451"/>
      <c r="V519" s="451"/>
      <c r="X519" s="929"/>
      <c r="Y519" s="929"/>
      <c r="Z519" s="929"/>
      <c r="AB519" s="451"/>
      <c r="AC519" s="451"/>
      <c r="AD519" s="451"/>
      <c r="AE519" s="451"/>
      <c r="AF519" s="451"/>
      <c r="AG519" s="929"/>
      <c r="AH519" s="929"/>
      <c r="AI519" s="929"/>
    </row>
    <row r="520" customFormat="false" ht="12.75" hidden="false" customHeight="false" outlineLevel="0" collapsed="false">
      <c r="J520" s="451"/>
      <c r="K520" s="451"/>
      <c r="L520" s="451"/>
      <c r="M520" s="451"/>
      <c r="N520" s="451"/>
      <c r="O520" s="929"/>
      <c r="P520" s="929"/>
      <c r="Q520" s="929"/>
      <c r="S520" s="451"/>
      <c r="T520" s="451"/>
      <c r="U520" s="451"/>
      <c r="V520" s="451"/>
      <c r="X520" s="929"/>
      <c r="Y520" s="929"/>
      <c r="Z520" s="929"/>
      <c r="AB520" s="451"/>
      <c r="AC520" s="451"/>
      <c r="AD520" s="451"/>
      <c r="AE520" s="451"/>
      <c r="AF520" s="451"/>
      <c r="AG520" s="929"/>
      <c r="AH520" s="929"/>
      <c r="AI520" s="929"/>
    </row>
    <row r="521" customFormat="false" ht="12.75" hidden="false" customHeight="false" outlineLevel="0" collapsed="false">
      <c r="J521" s="451"/>
      <c r="K521" s="451"/>
      <c r="L521" s="451"/>
      <c r="M521" s="451"/>
      <c r="N521" s="451"/>
      <c r="O521" s="929"/>
      <c r="P521" s="929"/>
      <c r="Q521" s="929"/>
      <c r="S521" s="451"/>
      <c r="T521" s="451"/>
      <c r="U521" s="451"/>
      <c r="V521" s="451"/>
      <c r="X521" s="929"/>
      <c r="Y521" s="929"/>
      <c r="Z521" s="929"/>
      <c r="AB521" s="451"/>
      <c r="AC521" s="451"/>
      <c r="AD521" s="451"/>
      <c r="AE521" s="451"/>
      <c r="AF521" s="451"/>
      <c r="AG521" s="929"/>
      <c r="AH521" s="929"/>
      <c r="AI521" s="929"/>
    </row>
    <row r="522" customFormat="false" ht="12.75" hidden="false" customHeight="false" outlineLevel="0" collapsed="false">
      <c r="J522" s="451"/>
      <c r="K522" s="451"/>
      <c r="L522" s="451"/>
      <c r="M522" s="451"/>
      <c r="N522" s="451"/>
      <c r="O522" s="929"/>
      <c r="P522" s="929"/>
      <c r="Q522" s="929"/>
      <c r="S522" s="451"/>
      <c r="T522" s="451"/>
      <c r="U522" s="451"/>
      <c r="V522" s="451"/>
      <c r="X522" s="929"/>
      <c r="Y522" s="929"/>
      <c r="Z522" s="929"/>
      <c r="AB522" s="451"/>
      <c r="AC522" s="451"/>
      <c r="AD522" s="451"/>
      <c r="AE522" s="451"/>
      <c r="AF522" s="451"/>
      <c r="AG522" s="929"/>
      <c r="AH522" s="929"/>
      <c r="AI522" s="929"/>
    </row>
    <row r="523" customFormat="false" ht="12.75" hidden="false" customHeight="false" outlineLevel="0" collapsed="false">
      <c r="J523" s="451"/>
      <c r="K523" s="451"/>
      <c r="L523" s="451"/>
      <c r="M523" s="451"/>
      <c r="N523" s="451"/>
      <c r="O523" s="929"/>
      <c r="P523" s="929"/>
      <c r="Q523" s="929"/>
      <c r="S523" s="451"/>
      <c r="T523" s="451"/>
      <c r="U523" s="451"/>
      <c r="V523" s="451"/>
      <c r="X523" s="929"/>
      <c r="Y523" s="929"/>
      <c r="Z523" s="929"/>
      <c r="AB523" s="451"/>
      <c r="AC523" s="451"/>
      <c r="AD523" s="451"/>
      <c r="AE523" s="451"/>
      <c r="AF523" s="451"/>
      <c r="AG523" s="929"/>
      <c r="AH523" s="929"/>
      <c r="AI523" s="929"/>
    </row>
    <row r="524" customFormat="false" ht="12.75" hidden="false" customHeight="false" outlineLevel="0" collapsed="false">
      <c r="J524" s="451"/>
      <c r="K524" s="451"/>
      <c r="L524" s="451"/>
      <c r="M524" s="451"/>
      <c r="N524" s="451"/>
      <c r="O524" s="929"/>
      <c r="P524" s="929"/>
      <c r="Q524" s="929"/>
      <c r="S524" s="451"/>
      <c r="T524" s="451"/>
      <c r="U524" s="451"/>
      <c r="V524" s="451"/>
      <c r="X524" s="929"/>
      <c r="Y524" s="929"/>
      <c r="Z524" s="929"/>
      <c r="AB524" s="451"/>
      <c r="AC524" s="451"/>
      <c r="AD524" s="451"/>
      <c r="AE524" s="451"/>
      <c r="AF524" s="451"/>
      <c r="AG524" s="929"/>
      <c r="AH524" s="929"/>
      <c r="AI524" s="929"/>
    </row>
    <row r="525" customFormat="false" ht="12.75" hidden="false" customHeight="false" outlineLevel="0" collapsed="false">
      <c r="J525" s="451"/>
      <c r="K525" s="451"/>
      <c r="L525" s="451"/>
      <c r="M525" s="451"/>
      <c r="N525" s="451"/>
      <c r="O525" s="929"/>
      <c r="P525" s="929"/>
      <c r="Q525" s="929"/>
      <c r="S525" s="451"/>
      <c r="T525" s="451"/>
      <c r="U525" s="451"/>
      <c r="V525" s="451"/>
      <c r="X525" s="929"/>
      <c r="Y525" s="929"/>
      <c r="Z525" s="929"/>
      <c r="AB525" s="451"/>
      <c r="AC525" s="451"/>
      <c r="AD525" s="451"/>
      <c r="AE525" s="451"/>
      <c r="AF525" s="451"/>
      <c r="AG525" s="929"/>
      <c r="AH525" s="929"/>
      <c r="AI525" s="929"/>
    </row>
    <row r="526" customFormat="false" ht="12.75" hidden="false" customHeight="false" outlineLevel="0" collapsed="false">
      <c r="J526" s="451"/>
      <c r="K526" s="451"/>
      <c r="L526" s="451"/>
      <c r="M526" s="451"/>
      <c r="N526" s="451"/>
      <c r="O526" s="929"/>
      <c r="P526" s="929"/>
      <c r="Q526" s="929"/>
      <c r="S526" s="451"/>
      <c r="T526" s="451"/>
      <c r="U526" s="451"/>
      <c r="V526" s="451"/>
      <c r="X526" s="929"/>
      <c r="Y526" s="929"/>
      <c r="Z526" s="929"/>
      <c r="AB526" s="451"/>
      <c r="AC526" s="451"/>
      <c r="AD526" s="451"/>
      <c r="AE526" s="451"/>
      <c r="AF526" s="451"/>
      <c r="AG526" s="929"/>
      <c r="AH526" s="929"/>
      <c r="AI526" s="929"/>
    </row>
    <row r="527" customFormat="false" ht="12.75" hidden="false" customHeight="false" outlineLevel="0" collapsed="false">
      <c r="J527" s="451"/>
      <c r="K527" s="451"/>
      <c r="L527" s="451"/>
      <c r="M527" s="451"/>
      <c r="N527" s="451"/>
      <c r="O527" s="929"/>
      <c r="P527" s="929"/>
      <c r="Q527" s="929"/>
      <c r="S527" s="451"/>
      <c r="T527" s="451"/>
      <c r="U527" s="451"/>
      <c r="V527" s="451"/>
      <c r="X527" s="929"/>
      <c r="Y527" s="929"/>
      <c r="Z527" s="929"/>
      <c r="AB527" s="451"/>
      <c r="AC527" s="451"/>
      <c r="AD527" s="451"/>
      <c r="AE527" s="451"/>
      <c r="AF527" s="451"/>
      <c r="AG527" s="929"/>
      <c r="AH527" s="929"/>
      <c r="AI527" s="929"/>
    </row>
    <row r="528" customFormat="false" ht="12.75" hidden="false" customHeight="false" outlineLevel="0" collapsed="false">
      <c r="J528" s="451"/>
      <c r="K528" s="451"/>
      <c r="L528" s="451"/>
      <c r="M528" s="451"/>
      <c r="N528" s="451"/>
      <c r="O528" s="929"/>
      <c r="P528" s="929"/>
      <c r="Q528" s="929"/>
      <c r="S528" s="451"/>
      <c r="T528" s="451"/>
      <c r="U528" s="451"/>
      <c r="V528" s="451"/>
      <c r="X528" s="929"/>
      <c r="Y528" s="929"/>
      <c r="Z528" s="929"/>
      <c r="AB528" s="451"/>
      <c r="AC528" s="451"/>
      <c r="AD528" s="451"/>
      <c r="AE528" s="451"/>
      <c r="AF528" s="451"/>
      <c r="AG528" s="929"/>
      <c r="AH528" s="929"/>
      <c r="AI528" s="929"/>
    </row>
    <row r="529" customFormat="false" ht="12.75" hidden="false" customHeight="false" outlineLevel="0" collapsed="false">
      <c r="J529" s="451"/>
      <c r="K529" s="451"/>
      <c r="L529" s="451"/>
      <c r="M529" s="451"/>
      <c r="N529" s="451"/>
      <c r="O529" s="929"/>
      <c r="P529" s="929"/>
      <c r="Q529" s="929"/>
      <c r="S529" s="451"/>
      <c r="T529" s="451"/>
      <c r="U529" s="451"/>
      <c r="V529" s="451"/>
      <c r="X529" s="929"/>
      <c r="Y529" s="929"/>
      <c r="Z529" s="929"/>
      <c r="AB529" s="451"/>
      <c r="AC529" s="451"/>
      <c r="AD529" s="451"/>
      <c r="AE529" s="451"/>
      <c r="AF529" s="451"/>
      <c r="AG529" s="929"/>
      <c r="AH529" s="929"/>
      <c r="AI529" s="929"/>
    </row>
    <row r="530" customFormat="false" ht="12.75" hidden="false" customHeight="false" outlineLevel="0" collapsed="false">
      <c r="J530" s="451"/>
      <c r="K530" s="451"/>
      <c r="L530" s="451"/>
      <c r="M530" s="451"/>
      <c r="N530" s="451"/>
      <c r="O530" s="929"/>
      <c r="P530" s="929"/>
      <c r="Q530" s="929"/>
      <c r="S530" s="451"/>
      <c r="T530" s="451"/>
      <c r="U530" s="451"/>
      <c r="V530" s="451"/>
      <c r="X530" s="929"/>
      <c r="Y530" s="929"/>
      <c r="Z530" s="929"/>
      <c r="AB530" s="451"/>
      <c r="AC530" s="451"/>
      <c r="AD530" s="451"/>
      <c r="AE530" s="451"/>
      <c r="AF530" s="451"/>
      <c r="AG530" s="929"/>
      <c r="AH530" s="929"/>
      <c r="AI530" s="929"/>
    </row>
    <row r="531" customFormat="false" ht="12.75" hidden="false" customHeight="false" outlineLevel="0" collapsed="false">
      <c r="J531" s="451"/>
      <c r="K531" s="451"/>
      <c r="L531" s="451"/>
      <c r="M531" s="451"/>
      <c r="N531" s="451"/>
      <c r="O531" s="929"/>
      <c r="P531" s="929"/>
      <c r="Q531" s="929"/>
      <c r="S531" s="451"/>
      <c r="T531" s="451"/>
      <c r="U531" s="451"/>
      <c r="V531" s="451"/>
      <c r="X531" s="929"/>
      <c r="Y531" s="929"/>
      <c r="Z531" s="929"/>
      <c r="AB531" s="451"/>
      <c r="AC531" s="451"/>
      <c r="AD531" s="451"/>
      <c r="AE531" s="451"/>
      <c r="AF531" s="451"/>
      <c r="AG531" s="929"/>
      <c r="AH531" s="929"/>
      <c r="AI531" s="929"/>
    </row>
    <row r="532" customFormat="false" ht="12.75" hidden="false" customHeight="false" outlineLevel="0" collapsed="false">
      <c r="J532" s="451"/>
      <c r="K532" s="451"/>
      <c r="L532" s="451"/>
      <c r="M532" s="451"/>
      <c r="N532" s="451"/>
      <c r="O532" s="929"/>
      <c r="P532" s="929"/>
      <c r="Q532" s="929"/>
      <c r="S532" s="451"/>
      <c r="T532" s="451"/>
      <c r="U532" s="451"/>
      <c r="V532" s="451"/>
      <c r="X532" s="929"/>
      <c r="Y532" s="929"/>
      <c r="Z532" s="929"/>
      <c r="AB532" s="451"/>
      <c r="AC532" s="451"/>
      <c r="AD532" s="451"/>
      <c r="AE532" s="451"/>
      <c r="AF532" s="451"/>
      <c r="AG532" s="929"/>
      <c r="AH532" s="929"/>
      <c r="AI532" s="929"/>
    </row>
    <row r="533" customFormat="false" ht="12.75" hidden="false" customHeight="false" outlineLevel="0" collapsed="false">
      <c r="J533" s="451"/>
      <c r="K533" s="451"/>
      <c r="L533" s="451"/>
      <c r="M533" s="451"/>
      <c r="N533" s="451"/>
      <c r="O533" s="929"/>
      <c r="P533" s="929"/>
      <c r="Q533" s="929"/>
      <c r="S533" s="451"/>
      <c r="T533" s="451"/>
      <c r="U533" s="451"/>
      <c r="V533" s="451"/>
      <c r="X533" s="929"/>
      <c r="Y533" s="929"/>
      <c r="Z533" s="929"/>
      <c r="AB533" s="451"/>
      <c r="AC533" s="451"/>
      <c r="AD533" s="451"/>
      <c r="AE533" s="451"/>
      <c r="AF533" s="451"/>
      <c r="AG533" s="929"/>
      <c r="AH533" s="929"/>
      <c r="AI533" s="929"/>
    </row>
    <row r="534" customFormat="false" ht="12.75" hidden="false" customHeight="false" outlineLevel="0" collapsed="false">
      <c r="J534" s="451"/>
      <c r="K534" s="451"/>
      <c r="L534" s="451"/>
      <c r="M534" s="451"/>
      <c r="N534" s="451"/>
      <c r="O534" s="929"/>
      <c r="P534" s="929"/>
      <c r="Q534" s="929"/>
      <c r="S534" s="451"/>
      <c r="T534" s="451"/>
      <c r="U534" s="451"/>
      <c r="V534" s="451"/>
      <c r="X534" s="929"/>
      <c r="Y534" s="929"/>
      <c r="Z534" s="929"/>
      <c r="AB534" s="451"/>
      <c r="AC534" s="451"/>
      <c r="AD534" s="451"/>
      <c r="AE534" s="451"/>
      <c r="AF534" s="451"/>
      <c r="AG534" s="929"/>
      <c r="AH534" s="929"/>
      <c r="AI534" s="929"/>
    </row>
    <row r="535" customFormat="false" ht="12.75" hidden="false" customHeight="false" outlineLevel="0" collapsed="false">
      <c r="J535" s="451"/>
      <c r="K535" s="451"/>
      <c r="L535" s="451"/>
      <c r="M535" s="451"/>
      <c r="N535" s="451"/>
      <c r="O535" s="929"/>
      <c r="P535" s="929"/>
      <c r="Q535" s="929"/>
      <c r="S535" s="451"/>
      <c r="T535" s="451"/>
      <c r="U535" s="451"/>
      <c r="V535" s="451"/>
      <c r="X535" s="929"/>
      <c r="Y535" s="929"/>
      <c r="Z535" s="929"/>
      <c r="AB535" s="451"/>
      <c r="AC535" s="451"/>
      <c r="AD535" s="451"/>
      <c r="AE535" s="451"/>
      <c r="AF535" s="451"/>
      <c r="AG535" s="929"/>
      <c r="AH535" s="929"/>
      <c r="AI535" s="929"/>
    </row>
    <row r="536" customFormat="false" ht="12.75" hidden="false" customHeight="false" outlineLevel="0" collapsed="false">
      <c r="J536" s="451"/>
      <c r="K536" s="451"/>
      <c r="L536" s="451"/>
      <c r="M536" s="451"/>
      <c r="N536" s="451"/>
      <c r="O536" s="929"/>
      <c r="P536" s="929"/>
      <c r="Q536" s="929"/>
      <c r="S536" s="451"/>
      <c r="T536" s="451"/>
      <c r="U536" s="451"/>
      <c r="V536" s="451"/>
      <c r="X536" s="929"/>
      <c r="Y536" s="929"/>
      <c r="Z536" s="929"/>
      <c r="AB536" s="451"/>
      <c r="AC536" s="451"/>
      <c r="AD536" s="451"/>
      <c r="AE536" s="451"/>
      <c r="AF536" s="451"/>
      <c r="AG536" s="929"/>
      <c r="AH536" s="929"/>
      <c r="AI536" s="929"/>
    </row>
    <row r="537" customFormat="false" ht="12.75" hidden="false" customHeight="false" outlineLevel="0" collapsed="false">
      <c r="J537" s="451"/>
      <c r="K537" s="451"/>
      <c r="L537" s="451"/>
      <c r="M537" s="451"/>
      <c r="N537" s="451"/>
      <c r="O537" s="929"/>
      <c r="P537" s="929"/>
      <c r="Q537" s="929"/>
      <c r="S537" s="451"/>
      <c r="T537" s="451"/>
      <c r="U537" s="451"/>
      <c r="V537" s="451"/>
      <c r="X537" s="929"/>
      <c r="Y537" s="929"/>
      <c r="Z537" s="929"/>
      <c r="AB537" s="451"/>
      <c r="AC537" s="451"/>
      <c r="AD537" s="451"/>
      <c r="AE537" s="451"/>
      <c r="AF537" s="451"/>
      <c r="AG537" s="929"/>
      <c r="AH537" s="929"/>
      <c r="AI537" s="929"/>
    </row>
    <row r="538" customFormat="false" ht="12.75" hidden="false" customHeight="false" outlineLevel="0" collapsed="false">
      <c r="J538" s="451"/>
      <c r="K538" s="451"/>
      <c r="L538" s="451"/>
      <c r="M538" s="451"/>
      <c r="N538" s="451"/>
      <c r="O538" s="929"/>
      <c r="P538" s="929"/>
      <c r="Q538" s="929"/>
      <c r="S538" s="451"/>
      <c r="T538" s="451"/>
      <c r="U538" s="451"/>
      <c r="V538" s="451"/>
      <c r="X538" s="929"/>
      <c r="Y538" s="929"/>
      <c r="Z538" s="929"/>
      <c r="AB538" s="451"/>
      <c r="AC538" s="451"/>
      <c r="AD538" s="451"/>
      <c r="AE538" s="451"/>
      <c r="AF538" s="451"/>
      <c r="AG538" s="929"/>
      <c r="AH538" s="929"/>
      <c r="AI538" s="929"/>
    </row>
    <row r="539" customFormat="false" ht="12.75" hidden="false" customHeight="false" outlineLevel="0" collapsed="false">
      <c r="J539" s="451"/>
      <c r="K539" s="451"/>
      <c r="L539" s="451"/>
      <c r="M539" s="451"/>
      <c r="N539" s="451"/>
      <c r="O539" s="929"/>
      <c r="P539" s="929"/>
      <c r="Q539" s="929"/>
      <c r="S539" s="451"/>
      <c r="T539" s="451"/>
      <c r="U539" s="451"/>
      <c r="V539" s="451"/>
      <c r="X539" s="929"/>
      <c r="Y539" s="929"/>
      <c r="Z539" s="929"/>
      <c r="AB539" s="451"/>
      <c r="AC539" s="451"/>
      <c r="AD539" s="451"/>
      <c r="AE539" s="451"/>
      <c r="AF539" s="451"/>
      <c r="AG539" s="929"/>
      <c r="AH539" s="929"/>
      <c r="AI539" s="929"/>
    </row>
    <row r="540" customFormat="false" ht="12.75" hidden="false" customHeight="false" outlineLevel="0" collapsed="false">
      <c r="J540" s="451"/>
      <c r="K540" s="451"/>
      <c r="L540" s="451"/>
      <c r="M540" s="451"/>
      <c r="N540" s="451"/>
      <c r="O540" s="929"/>
      <c r="P540" s="929"/>
      <c r="Q540" s="929"/>
      <c r="S540" s="451"/>
      <c r="T540" s="451"/>
      <c r="U540" s="451"/>
      <c r="V540" s="451"/>
      <c r="X540" s="929"/>
      <c r="Y540" s="929"/>
      <c r="Z540" s="929"/>
      <c r="AB540" s="451"/>
      <c r="AC540" s="451"/>
      <c r="AD540" s="451"/>
      <c r="AE540" s="451"/>
      <c r="AF540" s="451"/>
      <c r="AG540" s="929"/>
      <c r="AH540" s="929"/>
      <c r="AI540" s="929"/>
    </row>
    <row r="541" customFormat="false" ht="12.75" hidden="false" customHeight="false" outlineLevel="0" collapsed="false">
      <c r="J541" s="451"/>
      <c r="K541" s="451"/>
      <c r="L541" s="451"/>
      <c r="M541" s="451"/>
      <c r="N541" s="451"/>
      <c r="O541" s="929"/>
      <c r="P541" s="929"/>
      <c r="Q541" s="929"/>
      <c r="S541" s="451"/>
      <c r="T541" s="451"/>
      <c r="U541" s="451"/>
      <c r="V541" s="451"/>
      <c r="X541" s="929"/>
      <c r="Y541" s="929"/>
      <c r="Z541" s="929"/>
      <c r="AB541" s="451"/>
      <c r="AC541" s="451"/>
      <c r="AD541" s="451"/>
      <c r="AE541" s="451"/>
      <c r="AF541" s="451"/>
      <c r="AG541" s="929"/>
      <c r="AH541" s="929"/>
      <c r="AI541" s="929"/>
    </row>
    <row r="542" customFormat="false" ht="12.75" hidden="false" customHeight="false" outlineLevel="0" collapsed="false">
      <c r="J542" s="451"/>
      <c r="K542" s="451"/>
      <c r="L542" s="451"/>
      <c r="M542" s="451"/>
      <c r="N542" s="451"/>
      <c r="O542" s="929"/>
      <c r="P542" s="929"/>
      <c r="Q542" s="929"/>
      <c r="S542" s="451"/>
      <c r="T542" s="451"/>
      <c r="U542" s="451"/>
      <c r="V542" s="451"/>
      <c r="X542" s="929"/>
      <c r="Y542" s="929"/>
      <c r="Z542" s="929"/>
      <c r="AB542" s="451"/>
      <c r="AC542" s="451"/>
      <c r="AD542" s="451"/>
      <c r="AE542" s="451"/>
      <c r="AF542" s="451"/>
      <c r="AG542" s="929"/>
      <c r="AH542" s="929"/>
      <c r="AI542" s="929"/>
    </row>
    <row r="543" customFormat="false" ht="12.75" hidden="false" customHeight="false" outlineLevel="0" collapsed="false">
      <c r="J543" s="451"/>
      <c r="K543" s="451"/>
      <c r="L543" s="451"/>
      <c r="M543" s="451"/>
      <c r="N543" s="451"/>
      <c r="O543" s="929"/>
      <c r="P543" s="929"/>
      <c r="Q543" s="929"/>
      <c r="S543" s="451"/>
      <c r="T543" s="451"/>
      <c r="U543" s="451"/>
      <c r="V543" s="451"/>
      <c r="X543" s="929"/>
      <c r="Y543" s="929"/>
      <c r="Z543" s="929"/>
      <c r="AB543" s="451"/>
      <c r="AC543" s="451"/>
      <c r="AD543" s="451"/>
      <c r="AE543" s="451"/>
      <c r="AF543" s="451"/>
      <c r="AG543" s="929"/>
      <c r="AH543" s="929"/>
      <c r="AI543" s="929"/>
    </row>
    <row r="544" customFormat="false" ht="12.75" hidden="false" customHeight="false" outlineLevel="0" collapsed="false">
      <c r="J544" s="451"/>
      <c r="K544" s="451"/>
      <c r="L544" s="451"/>
      <c r="M544" s="451"/>
      <c r="N544" s="451"/>
      <c r="O544" s="929"/>
      <c r="P544" s="929"/>
      <c r="Q544" s="929"/>
      <c r="S544" s="451"/>
      <c r="T544" s="451"/>
      <c r="U544" s="451"/>
      <c r="V544" s="451"/>
      <c r="X544" s="929"/>
      <c r="Y544" s="929"/>
      <c r="Z544" s="929"/>
      <c r="AB544" s="451"/>
      <c r="AC544" s="451"/>
      <c r="AD544" s="451"/>
      <c r="AE544" s="451"/>
      <c r="AF544" s="451"/>
      <c r="AG544" s="929"/>
      <c r="AH544" s="929"/>
      <c r="AI544" s="929"/>
    </row>
    <row r="545" customFormat="false" ht="12.75" hidden="false" customHeight="false" outlineLevel="0" collapsed="false">
      <c r="J545" s="451"/>
      <c r="K545" s="451"/>
      <c r="L545" s="451"/>
      <c r="M545" s="451"/>
      <c r="N545" s="451"/>
      <c r="O545" s="929"/>
      <c r="P545" s="929"/>
      <c r="Q545" s="929"/>
      <c r="S545" s="451"/>
      <c r="T545" s="451"/>
      <c r="U545" s="451"/>
      <c r="V545" s="451"/>
      <c r="X545" s="929"/>
      <c r="Y545" s="929"/>
      <c r="Z545" s="929"/>
      <c r="AB545" s="451"/>
      <c r="AC545" s="451"/>
      <c r="AD545" s="451"/>
      <c r="AE545" s="451"/>
      <c r="AF545" s="451"/>
      <c r="AG545" s="929"/>
      <c r="AH545" s="929"/>
      <c r="AI545" s="929"/>
    </row>
    <row r="546" customFormat="false" ht="12.75" hidden="false" customHeight="false" outlineLevel="0" collapsed="false">
      <c r="J546" s="451"/>
      <c r="K546" s="451"/>
      <c r="L546" s="451"/>
      <c r="M546" s="451"/>
      <c r="N546" s="451"/>
      <c r="O546" s="929"/>
      <c r="P546" s="929"/>
      <c r="Q546" s="929"/>
      <c r="S546" s="451"/>
      <c r="T546" s="451"/>
      <c r="U546" s="451"/>
      <c r="V546" s="451"/>
      <c r="X546" s="929"/>
      <c r="Y546" s="929"/>
      <c r="Z546" s="929"/>
      <c r="AB546" s="451"/>
      <c r="AC546" s="451"/>
      <c r="AD546" s="451"/>
      <c r="AE546" s="451"/>
      <c r="AF546" s="451"/>
      <c r="AG546" s="929"/>
      <c r="AH546" s="929"/>
      <c r="AI546" s="929"/>
    </row>
    <row r="547" customFormat="false" ht="12.75" hidden="false" customHeight="false" outlineLevel="0" collapsed="false">
      <c r="J547" s="451"/>
      <c r="K547" s="451"/>
      <c r="L547" s="451"/>
      <c r="M547" s="451"/>
      <c r="N547" s="451"/>
      <c r="O547" s="929"/>
      <c r="P547" s="929"/>
      <c r="Q547" s="929"/>
      <c r="S547" s="451"/>
      <c r="T547" s="451"/>
      <c r="U547" s="451"/>
      <c r="V547" s="451"/>
      <c r="X547" s="929"/>
      <c r="Y547" s="929"/>
      <c r="Z547" s="929"/>
      <c r="AB547" s="451"/>
      <c r="AC547" s="451"/>
      <c r="AD547" s="451"/>
      <c r="AE547" s="451"/>
      <c r="AF547" s="451"/>
      <c r="AG547" s="929"/>
      <c r="AH547" s="929"/>
      <c r="AI547" s="929"/>
    </row>
    <row r="548" customFormat="false" ht="12.75" hidden="false" customHeight="false" outlineLevel="0" collapsed="false">
      <c r="J548" s="451"/>
      <c r="K548" s="451"/>
      <c r="L548" s="451"/>
      <c r="M548" s="451"/>
      <c r="N548" s="451"/>
      <c r="O548" s="929"/>
      <c r="P548" s="929"/>
      <c r="Q548" s="929"/>
      <c r="S548" s="451"/>
      <c r="T548" s="451"/>
      <c r="U548" s="451"/>
      <c r="V548" s="451"/>
      <c r="X548" s="929"/>
      <c r="Y548" s="929"/>
      <c r="Z548" s="929"/>
      <c r="AB548" s="451"/>
      <c r="AC548" s="451"/>
      <c r="AD548" s="451"/>
      <c r="AE548" s="451"/>
      <c r="AF548" s="451"/>
      <c r="AG548" s="929"/>
      <c r="AH548" s="929"/>
      <c r="AI548" s="929"/>
    </row>
    <row r="549" customFormat="false" ht="12.75" hidden="false" customHeight="false" outlineLevel="0" collapsed="false">
      <c r="J549" s="451"/>
      <c r="K549" s="451"/>
      <c r="L549" s="451"/>
      <c r="M549" s="451"/>
      <c r="N549" s="451"/>
      <c r="O549" s="929"/>
      <c r="P549" s="929"/>
      <c r="Q549" s="929"/>
      <c r="S549" s="451"/>
      <c r="T549" s="451"/>
      <c r="U549" s="451"/>
      <c r="V549" s="451"/>
      <c r="X549" s="929"/>
      <c r="Y549" s="929"/>
      <c r="Z549" s="929"/>
      <c r="AB549" s="451"/>
      <c r="AC549" s="451"/>
      <c r="AD549" s="451"/>
      <c r="AE549" s="451"/>
      <c r="AF549" s="451"/>
      <c r="AG549" s="929"/>
      <c r="AH549" s="929"/>
      <c r="AI549" s="929"/>
    </row>
    <row r="550" customFormat="false" ht="12.75" hidden="false" customHeight="false" outlineLevel="0" collapsed="false">
      <c r="J550" s="451"/>
      <c r="K550" s="451"/>
      <c r="L550" s="451"/>
      <c r="M550" s="451"/>
      <c r="N550" s="451"/>
      <c r="O550" s="929"/>
      <c r="P550" s="929"/>
      <c r="Q550" s="929"/>
      <c r="S550" s="451"/>
      <c r="T550" s="451"/>
      <c r="U550" s="451"/>
      <c r="V550" s="451"/>
      <c r="X550" s="929"/>
      <c r="Y550" s="929"/>
      <c r="Z550" s="929"/>
      <c r="AB550" s="451"/>
      <c r="AC550" s="451"/>
      <c r="AD550" s="451"/>
      <c r="AE550" s="451"/>
      <c r="AF550" s="451"/>
      <c r="AG550" s="929"/>
      <c r="AH550" s="929"/>
      <c r="AI550" s="929"/>
    </row>
    <row r="551" customFormat="false" ht="12.75" hidden="false" customHeight="false" outlineLevel="0" collapsed="false">
      <c r="J551" s="451"/>
      <c r="K551" s="451"/>
      <c r="L551" s="451"/>
      <c r="M551" s="451"/>
      <c r="N551" s="451"/>
      <c r="O551" s="929"/>
      <c r="P551" s="929"/>
      <c r="Q551" s="929"/>
      <c r="S551" s="451"/>
      <c r="T551" s="451"/>
      <c r="U551" s="451"/>
      <c r="V551" s="451"/>
      <c r="X551" s="929"/>
      <c r="Y551" s="929"/>
      <c r="Z551" s="929"/>
      <c r="AB551" s="451"/>
      <c r="AC551" s="451"/>
      <c r="AD551" s="451"/>
      <c r="AE551" s="451"/>
      <c r="AF551" s="451"/>
      <c r="AG551" s="929"/>
      <c r="AH551" s="929"/>
      <c r="AI551" s="929"/>
    </row>
    <row r="552" customFormat="false" ht="12.75" hidden="false" customHeight="false" outlineLevel="0" collapsed="false">
      <c r="J552" s="451"/>
      <c r="K552" s="451"/>
      <c r="L552" s="451"/>
      <c r="M552" s="451"/>
      <c r="N552" s="451"/>
      <c r="O552" s="929"/>
      <c r="P552" s="929"/>
      <c r="Q552" s="929"/>
      <c r="S552" s="451"/>
      <c r="T552" s="451"/>
      <c r="U552" s="451"/>
      <c r="V552" s="451"/>
      <c r="X552" s="929"/>
      <c r="Y552" s="929"/>
      <c r="Z552" s="929"/>
      <c r="AB552" s="451"/>
      <c r="AC552" s="451"/>
      <c r="AD552" s="451"/>
      <c r="AE552" s="451"/>
      <c r="AF552" s="451"/>
      <c r="AG552" s="929"/>
      <c r="AH552" s="929"/>
      <c r="AI552" s="929"/>
    </row>
    <row r="553" customFormat="false" ht="12.75" hidden="false" customHeight="false" outlineLevel="0" collapsed="false">
      <c r="J553" s="451"/>
      <c r="K553" s="451"/>
      <c r="L553" s="451"/>
      <c r="M553" s="451"/>
      <c r="N553" s="451"/>
      <c r="O553" s="929"/>
      <c r="P553" s="929"/>
      <c r="Q553" s="929"/>
      <c r="S553" s="451"/>
      <c r="T553" s="451"/>
      <c r="U553" s="451"/>
      <c r="V553" s="451"/>
      <c r="X553" s="929"/>
      <c r="Y553" s="929"/>
      <c r="Z553" s="929"/>
      <c r="AB553" s="451"/>
      <c r="AC553" s="451"/>
      <c r="AD553" s="451"/>
      <c r="AE553" s="451"/>
      <c r="AF553" s="451"/>
      <c r="AG553" s="929"/>
      <c r="AH553" s="929"/>
      <c r="AI553" s="929"/>
    </row>
    <row r="554" customFormat="false" ht="12.75" hidden="false" customHeight="false" outlineLevel="0" collapsed="false">
      <c r="J554" s="451"/>
      <c r="K554" s="451"/>
      <c r="L554" s="451"/>
      <c r="M554" s="451"/>
      <c r="N554" s="451"/>
      <c r="O554" s="929"/>
      <c r="P554" s="929"/>
      <c r="Q554" s="929"/>
      <c r="S554" s="451"/>
      <c r="T554" s="451"/>
      <c r="U554" s="451"/>
      <c r="V554" s="451"/>
      <c r="X554" s="929"/>
      <c r="Y554" s="929"/>
      <c r="Z554" s="929"/>
      <c r="AB554" s="451"/>
      <c r="AC554" s="451"/>
      <c r="AD554" s="451"/>
      <c r="AE554" s="451"/>
      <c r="AF554" s="451"/>
      <c r="AG554" s="929"/>
      <c r="AH554" s="929"/>
      <c r="AI554" s="929"/>
    </row>
    <row r="555" customFormat="false" ht="12.75" hidden="false" customHeight="false" outlineLevel="0" collapsed="false">
      <c r="J555" s="451"/>
      <c r="K555" s="451"/>
      <c r="L555" s="451"/>
      <c r="M555" s="451"/>
      <c r="N555" s="451"/>
      <c r="O555" s="929"/>
      <c r="P555" s="929"/>
      <c r="Q555" s="929"/>
      <c r="S555" s="451"/>
      <c r="T555" s="451"/>
      <c r="U555" s="451"/>
      <c r="V555" s="451"/>
      <c r="X555" s="929"/>
      <c r="Y555" s="929"/>
      <c r="Z555" s="929"/>
      <c r="AB555" s="451"/>
      <c r="AC555" s="451"/>
      <c r="AD555" s="451"/>
      <c r="AE555" s="451"/>
      <c r="AF555" s="451"/>
      <c r="AG555" s="929"/>
      <c r="AH555" s="929"/>
      <c r="AI555" s="929"/>
    </row>
    <row r="556" customFormat="false" ht="12.75" hidden="false" customHeight="false" outlineLevel="0" collapsed="false">
      <c r="J556" s="451"/>
      <c r="K556" s="451"/>
      <c r="L556" s="451"/>
      <c r="M556" s="451"/>
      <c r="N556" s="451"/>
      <c r="O556" s="929"/>
      <c r="P556" s="929"/>
      <c r="Q556" s="929"/>
      <c r="S556" s="451"/>
      <c r="T556" s="451"/>
      <c r="U556" s="451"/>
      <c r="V556" s="451"/>
      <c r="X556" s="929"/>
      <c r="Y556" s="929"/>
      <c r="Z556" s="929"/>
      <c r="AB556" s="451"/>
      <c r="AC556" s="451"/>
      <c r="AD556" s="451"/>
      <c r="AE556" s="451"/>
      <c r="AF556" s="451"/>
      <c r="AG556" s="929"/>
      <c r="AH556" s="929"/>
      <c r="AI556" s="929"/>
    </row>
    <row r="557" customFormat="false" ht="12.75" hidden="false" customHeight="false" outlineLevel="0" collapsed="false">
      <c r="J557" s="451"/>
      <c r="K557" s="451"/>
      <c r="L557" s="451"/>
      <c r="M557" s="451"/>
      <c r="N557" s="451"/>
      <c r="O557" s="929"/>
      <c r="P557" s="929"/>
      <c r="Q557" s="929"/>
      <c r="S557" s="451"/>
      <c r="T557" s="451"/>
      <c r="U557" s="451"/>
      <c r="V557" s="451"/>
      <c r="X557" s="929"/>
      <c r="Y557" s="929"/>
      <c r="Z557" s="929"/>
      <c r="AB557" s="451"/>
      <c r="AC557" s="451"/>
      <c r="AD557" s="451"/>
      <c r="AE557" s="451"/>
      <c r="AF557" s="451"/>
      <c r="AG557" s="929"/>
      <c r="AH557" s="929"/>
      <c r="AI557" s="929"/>
    </row>
    <row r="558" customFormat="false" ht="12.75" hidden="false" customHeight="false" outlineLevel="0" collapsed="false">
      <c r="J558" s="451"/>
      <c r="K558" s="451"/>
      <c r="L558" s="451"/>
      <c r="M558" s="451"/>
      <c r="N558" s="451"/>
      <c r="O558" s="929"/>
      <c r="P558" s="929"/>
      <c r="Q558" s="929"/>
      <c r="S558" s="451"/>
      <c r="T558" s="451"/>
      <c r="U558" s="451"/>
      <c r="V558" s="451"/>
      <c r="X558" s="929"/>
      <c r="Y558" s="929"/>
      <c r="Z558" s="929"/>
      <c r="AB558" s="451"/>
      <c r="AC558" s="451"/>
      <c r="AD558" s="451"/>
      <c r="AE558" s="451"/>
      <c r="AF558" s="451"/>
      <c r="AG558" s="929"/>
      <c r="AH558" s="929"/>
      <c r="AI558" s="929"/>
    </row>
    <row r="559" customFormat="false" ht="12.75" hidden="false" customHeight="false" outlineLevel="0" collapsed="false">
      <c r="J559" s="451"/>
      <c r="K559" s="451"/>
      <c r="L559" s="451"/>
      <c r="M559" s="451"/>
      <c r="N559" s="451"/>
      <c r="O559" s="929"/>
      <c r="P559" s="929"/>
      <c r="Q559" s="929"/>
      <c r="S559" s="451"/>
      <c r="T559" s="451"/>
      <c r="U559" s="451"/>
      <c r="V559" s="451"/>
      <c r="X559" s="929"/>
      <c r="Y559" s="929"/>
      <c r="Z559" s="929"/>
      <c r="AB559" s="451"/>
      <c r="AC559" s="451"/>
      <c r="AD559" s="451"/>
      <c r="AE559" s="451"/>
      <c r="AF559" s="451"/>
      <c r="AG559" s="929"/>
      <c r="AH559" s="929"/>
      <c r="AI559" s="929"/>
    </row>
    <row r="560" customFormat="false" ht="12.75" hidden="false" customHeight="false" outlineLevel="0" collapsed="false">
      <c r="J560" s="451"/>
      <c r="K560" s="451"/>
      <c r="L560" s="451"/>
      <c r="M560" s="451"/>
      <c r="N560" s="451"/>
      <c r="O560" s="929"/>
      <c r="P560" s="929"/>
      <c r="Q560" s="929"/>
      <c r="S560" s="451"/>
      <c r="T560" s="451"/>
      <c r="U560" s="451"/>
      <c r="V560" s="451"/>
      <c r="X560" s="929"/>
      <c r="Y560" s="929"/>
      <c r="Z560" s="929"/>
      <c r="AB560" s="451"/>
      <c r="AC560" s="451"/>
      <c r="AD560" s="451"/>
      <c r="AE560" s="451"/>
      <c r="AF560" s="451"/>
      <c r="AG560" s="929"/>
      <c r="AH560" s="929"/>
      <c r="AI560" s="929"/>
    </row>
    <row r="561" customFormat="false" ht="12.75" hidden="false" customHeight="false" outlineLevel="0" collapsed="false">
      <c r="J561" s="451"/>
      <c r="K561" s="451"/>
      <c r="L561" s="451"/>
      <c r="M561" s="451"/>
      <c r="N561" s="451"/>
      <c r="O561" s="929"/>
      <c r="P561" s="929"/>
      <c r="Q561" s="929"/>
      <c r="S561" s="451"/>
      <c r="T561" s="451"/>
      <c r="U561" s="451"/>
      <c r="V561" s="451"/>
      <c r="X561" s="929"/>
      <c r="Y561" s="929"/>
      <c r="Z561" s="929"/>
      <c r="AB561" s="451"/>
      <c r="AC561" s="451"/>
      <c r="AD561" s="451"/>
      <c r="AE561" s="451"/>
      <c r="AF561" s="451"/>
      <c r="AG561" s="929"/>
      <c r="AH561" s="929"/>
      <c r="AI561" s="929"/>
    </row>
    <row r="562" customFormat="false" ht="12.75" hidden="false" customHeight="false" outlineLevel="0" collapsed="false">
      <c r="J562" s="451"/>
      <c r="K562" s="451"/>
      <c r="L562" s="451"/>
      <c r="M562" s="451"/>
      <c r="N562" s="451"/>
      <c r="O562" s="929"/>
      <c r="P562" s="929"/>
      <c r="Q562" s="929"/>
      <c r="S562" s="451"/>
      <c r="T562" s="451"/>
      <c r="U562" s="451"/>
      <c r="V562" s="451"/>
      <c r="X562" s="929"/>
      <c r="Y562" s="929"/>
      <c r="Z562" s="929"/>
      <c r="AB562" s="451"/>
      <c r="AC562" s="451"/>
      <c r="AD562" s="451"/>
      <c r="AE562" s="451"/>
      <c r="AF562" s="451"/>
      <c r="AG562" s="929"/>
      <c r="AH562" s="929"/>
      <c r="AI562" s="929"/>
    </row>
    <row r="563" customFormat="false" ht="12.75" hidden="false" customHeight="false" outlineLevel="0" collapsed="false">
      <c r="J563" s="451"/>
      <c r="K563" s="451"/>
      <c r="L563" s="451"/>
      <c r="M563" s="451"/>
      <c r="N563" s="451"/>
      <c r="O563" s="929"/>
      <c r="P563" s="929"/>
      <c r="Q563" s="929"/>
      <c r="S563" s="451"/>
      <c r="T563" s="451"/>
      <c r="U563" s="451"/>
      <c r="V563" s="451"/>
      <c r="X563" s="929"/>
      <c r="Y563" s="929"/>
      <c r="Z563" s="929"/>
      <c r="AB563" s="451"/>
      <c r="AC563" s="451"/>
      <c r="AD563" s="451"/>
      <c r="AE563" s="451"/>
      <c r="AF563" s="451"/>
      <c r="AG563" s="929"/>
      <c r="AH563" s="929"/>
      <c r="AI563" s="929"/>
    </row>
    <row r="564" customFormat="false" ht="12.75" hidden="false" customHeight="false" outlineLevel="0" collapsed="false">
      <c r="J564" s="451"/>
      <c r="K564" s="451"/>
      <c r="L564" s="451"/>
      <c r="M564" s="451"/>
      <c r="N564" s="451"/>
      <c r="O564" s="929"/>
      <c r="P564" s="929"/>
      <c r="Q564" s="929"/>
      <c r="S564" s="451"/>
      <c r="T564" s="451"/>
      <c r="U564" s="451"/>
      <c r="V564" s="451"/>
      <c r="X564" s="929"/>
      <c r="Y564" s="929"/>
      <c r="Z564" s="929"/>
      <c r="AB564" s="451"/>
      <c r="AC564" s="451"/>
      <c r="AD564" s="451"/>
      <c r="AE564" s="451"/>
      <c r="AF564" s="451"/>
      <c r="AG564" s="929"/>
      <c r="AH564" s="929"/>
      <c r="AI564" s="929"/>
    </row>
    <row r="565" customFormat="false" ht="12.75" hidden="false" customHeight="false" outlineLevel="0" collapsed="false">
      <c r="J565" s="451"/>
      <c r="K565" s="451"/>
      <c r="L565" s="451"/>
      <c r="M565" s="451"/>
      <c r="N565" s="451"/>
      <c r="O565" s="929"/>
      <c r="P565" s="929"/>
      <c r="Q565" s="929"/>
      <c r="S565" s="451"/>
      <c r="T565" s="451"/>
      <c r="U565" s="451"/>
      <c r="V565" s="451"/>
      <c r="X565" s="929"/>
      <c r="Y565" s="929"/>
      <c r="Z565" s="929"/>
      <c r="AB565" s="451"/>
      <c r="AC565" s="451"/>
      <c r="AD565" s="451"/>
      <c r="AE565" s="451"/>
      <c r="AF565" s="451"/>
      <c r="AG565" s="929"/>
      <c r="AH565" s="929"/>
      <c r="AI565" s="929"/>
    </row>
    <row r="566" customFormat="false" ht="12.75" hidden="false" customHeight="false" outlineLevel="0" collapsed="false">
      <c r="J566" s="451"/>
      <c r="K566" s="451"/>
      <c r="L566" s="451"/>
      <c r="M566" s="451"/>
      <c r="N566" s="451"/>
      <c r="O566" s="929"/>
      <c r="P566" s="929"/>
      <c r="Q566" s="929"/>
      <c r="S566" s="451"/>
      <c r="T566" s="451"/>
      <c r="U566" s="451"/>
      <c r="V566" s="451"/>
      <c r="X566" s="929"/>
      <c r="Y566" s="929"/>
      <c r="Z566" s="929"/>
      <c r="AB566" s="451"/>
      <c r="AC566" s="451"/>
      <c r="AD566" s="451"/>
      <c r="AE566" s="451"/>
      <c r="AF566" s="451"/>
      <c r="AG566" s="929"/>
      <c r="AH566" s="929"/>
      <c r="AI566" s="929"/>
    </row>
    <row r="567" customFormat="false" ht="12.75" hidden="false" customHeight="false" outlineLevel="0" collapsed="false">
      <c r="J567" s="451"/>
      <c r="K567" s="451"/>
      <c r="L567" s="451"/>
      <c r="M567" s="451"/>
      <c r="N567" s="451"/>
      <c r="O567" s="929"/>
      <c r="P567" s="929"/>
      <c r="Q567" s="929"/>
      <c r="S567" s="451"/>
      <c r="T567" s="451"/>
      <c r="U567" s="451"/>
      <c r="V567" s="451"/>
      <c r="X567" s="929"/>
      <c r="Y567" s="929"/>
      <c r="Z567" s="929"/>
      <c r="AB567" s="451"/>
      <c r="AC567" s="451"/>
      <c r="AD567" s="451"/>
      <c r="AE567" s="451"/>
      <c r="AF567" s="451"/>
      <c r="AG567" s="929"/>
      <c r="AH567" s="929"/>
      <c r="AI567" s="929"/>
    </row>
    <row r="568" customFormat="false" ht="12.75" hidden="false" customHeight="false" outlineLevel="0" collapsed="false">
      <c r="J568" s="451"/>
      <c r="K568" s="451"/>
      <c r="L568" s="451"/>
      <c r="M568" s="451"/>
      <c r="N568" s="451"/>
      <c r="O568" s="929"/>
      <c r="P568" s="929"/>
      <c r="Q568" s="929"/>
      <c r="S568" s="451"/>
      <c r="T568" s="451"/>
      <c r="U568" s="451"/>
      <c r="V568" s="451"/>
      <c r="X568" s="929"/>
      <c r="Y568" s="929"/>
      <c r="Z568" s="929"/>
      <c r="AB568" s="451"/>
      <c r="AC568" s="451"/>
      <c r="AD568" s="451"/>
      <c r="AE568" s="451"/>
      <c r="AF568" s="451"/>
      <c r="AG568" s="929"/>
      <c r="AH568" s="929"/>
      <c r="AI568" s="929"/>
    </row>
    <row r="569" customFormat="false" ht="12.75" hidden="false" customHeight="false" outlineLevel="0" collapsed="false">
      <c r="J569" s="451"/>
      <c r="K569" s="451"/>
      <c r="L569" s="451"/>
      <c r="M569" s="451"/>
      <c r="N569" s="451"/>
      <c r="O569" s="929"/>
      <c r="P569" s="929"/>
      <c r="Q569" s="929"/>
      <c r="S569" s="451"/>
      <c r="T569" s="451"/>
      <c r="U569" s="451"/>
      <c r="V569" s="451"/>
      <c r="X569" s="929"/>
      <c r="Y569" s="929"/>
      <c r="Z569" s="929"/>
      <c r="AB569" s="451"/>
      <c r="AC569" s="451"/>
      <c r="AD569" s="451"/>
      <c r="AE569" s="451"/>
      <c r="AF569" s="451"/>
      <c r="AG569" s="929"/>
      <c r="AH569" s="929"/>
      <c r="AI569" s="929"/>
    </row>
    <row r="570" customFormat="false" ht="12.75" hidden="false" customHeight="false" outlineLevel="0" collapsed="false">
      <c r="J570" s="451"/>
      <c r="K570" s="451"/>
      <c r="L570" s="451"/>
      <c r="M570" s="451"/>
      <c r="N570" s="451"/>
      <c r="O570" s="929"/>
      <c r="P570" s="929"/>
      <c r="Q570" s="929"/>
      <c r="S570" s="451"/>
      <c r="T570" s="451"/>
      <c r="U570" s="451"/>
      <c r="V570" s="451"/>
      <c r="X570" s="929"/>
      <c r="Y570" s="929"/>
      <c r="Z570" s="929"/>
      <c r="AB570" s="451"/>
      <c r="AC570" s="451"/>
      <c r="AD570" s="451"/>
      <c r="AE570" s="451"/>
      <c r="AF570" s="451"/>
      <c r="AG570" s="929"/>
      <c r="AH570" s="929"/>
      <c r="AI570" s="929"/>
    </row>
    <row r="571" customFormat="false" ht="12.75" hidden="false" customHeight="false" outlineLevel="0" collapsed="false">
      <c r="J571" s="451"/>
      <c r="K571" s="451"/>
      <c r="L571" s="451"/>
      <c r="M571" s="451"/>
      <c r="N571" s="451"/>
      <c r="O571" s="929"/>
      <c r="P571" s="929"/>
      <c r="Q571" s="929"/>
      <c r="S571" s="451"/>
      <c r="T571" s="451"/>
      <c r="U571" s="451"/>
      <c r="V571" s="451"/>
      <c r="X571" s="929"/>
      <c r="Y571" s="929"/>
      <c r="Z571" s="929"/>
      <c r="AB571" s="451"/>
      <c r="AC571" s="451"/>
      <c r="AD571" s="451"/>
      <c r="AE571" s="451"/>
      <c r="AF571" s="451"/>
      <c r="AG571" s="929"/>
      <c r="AH571" s="929"/>
      <c r="AI571" s="929"/>
    </row>
    <row r="572" customFormat="false" ht="12.75" hidden="false" customHeight="false" outlineLevel="0" collapsed="false">
      <c r="J572" s="451"/>
      <c r="K572" s="451"/>
      <c r="L572" s="451"/>
      <c r="M572" s="451"/>
      <c r="N572" s="451"/>
      <c r="O572" s="929"/>
      <c r="P572" s="929"/>
      <c r="Q572" s="929"/>
      <c r="S572" s="451"/>
      <c r="T572" s="451"/>
      <c r="U572" s="451"/>
      <c r="V572" s="451"/>
      <c r="X572" s="929"/>
      <c r="Y572" s="929"/>
      <c r="Z572" s="929"/>
      <c r="AB572" s="451"/>
      <c r="AC572" s="451"/>
      <c r="AD572" s="451"/>
      <c r="AE572" s="451"/>
      <c r="AF572" s="451"/>
      <c r="AG572" s="929"/>
      <c r="AH572" s="929"/>
      <c r="AI572" s="929"/>
    </row>
    <row r="573" customFormat="false" ht="12.75" hidden="false" customHeight="false" outlineLevel="0" collapsed="false">
      <c r="J573" s="451"/>
      <c r="K573" s="451"/>
      <c r="L573" s="451"/>
      <c r="M573" s="451"/>
      <c r="N573" s="451"/>
      <c r="O573" s="929"/>
      <c r="P573" s="929"/>
      <c r="Q573" s="929"/>
      <c r="S573" s="451"/>
      <c r="T573" s="451"/>
      <c r="U573" s="451"/>
      <c r="V573" s="451"/>
      <c r="X573" s="929"/>
      <c r="Y573" s="929"/>
      <c r="Z573" s="929"/>
      <c r="AB573" s="451"/>
      <c r="AC573" s="451"/>
      <c r="AD573" s="451"/>
      <c r="AE573" s="451"/>
      <c r="AF573" s="451"/>
      <c r="AG573" s="929"/>
      <c r="AH573" s="929"/>
      <c r="AI573" s="929"/>
    </row>
    <row r="574" customFormat="false" ht="12.75" hidden="false" customHeight="false" outlineLevel="0" collapsed="false">
      <c r="J574" s="451"/>
      <c r="K574" s="451"/>
      <c r="L574" s="451"/>
      <c r="M574" s="451"/>
      <c r="N574" s="451"/>
      <c r="O574" s="929"/>
      <c r="P574" s="929"/>
      <c r="Q574" s="929"/>
      <c r="S574" s="451"/>
      <c r="T574" s="451"/>
      <c r="U574" s="451"/>
      <c r="V574" s="451"/>
      <c r="X574" s="929"/>
      <c r="Y574" s="929"/>
      <c r="Z574" s="929"/>
      <c r="AB574" s="451"/>
      <c r="AC574" s="451"/>
      <c r="AD574" s="451"/>
      <c r="AE574" s="451"/>
      <c r="AF574" s="451"/>
      <c r="AG574" s="929"/>
      <c r="AH574" s="929"/>
      <c r="AI574" s="929"/>
    </row>
    <row r="575" customFormat="false" ht="12.75" hidden="false" customHeight="false" outlineLevel="0" collapsed="false">
      <c r="J575" s="451"/>
      <c r="K575" s="451"/>
      <c r="L575" s="451"/>
      <c r="M575" s="451"/>
      <c r="N575" s="451"/>
      <c r="O575" s="929"/>
      <c r="P575" s="929"/>
      <c r="Q575" s="929"/>
      <c r="S575" s="451"/>
      <c r="T575" s="451"/>
      <c r="U575" s="451"/>
      <c r="V575" s="451"/>
      <c r="X575" s="929"/>
      <c r="Y575" s="929"/>
      <c r="Z575" s="929"/>
      <c r="AB575" s="451"/>
      <c r="AC575" s="451"/>
      <c r="AD575" s="451"/>
      <c r="AE575" s="451"/>
      <c r="AF575" s="451"/>
      <c r="AG575" s="929"/>
      <c r="AH575" s="929"/>
      <c r="AI575" s="929"/>
    </row>
    <row r="576" customFormat="false" ht="12.75" hidden="false" customHeight="false" outlineLevel="0" collapsed="false">
      <c r="J576" s="451"/>
      <c r="K576" s="451"/>
      <c r="L576" s="451"/>
      <c r="M576" s="451"/>
      <c r="N576" s="451"/>
      <c r="O576" s="929"/>
      <c r="P576" s="929"/>
      <c r="Q576" s="929"/>
      <c r="S576" s="451"/>
      <c r="T576" s="451"/>
      <c r="U576" s="451"/>
      <c r="V576" s="451"/>
      <c r="X576" s="929"/>
      <c r="Y576" s="929"/>
      <c r="Z576" s="929"/>
      <c r="AB576" s="451"/>
      <c r="AC576" s="451"/>
      <c r="AD576" s="451"/>
      <c r="AE576" s="451"/>
      <c r="AF576" s="451"/>
      <c r="AG576" s="929"/>
      <c r="AH576" s="929"/>
      <c r="AI576" s="929"/>
    </row>
    <row r="577" customFormat="false" ht="12.75" hidden="false" customHeight="false" outlineLevel="0" collapsed="false">
      <c r="J577" s="451"/>
      <c r="K577" s="451"/>
      <c r="L577" s="451"/>
      <c r="M577" s="451"/>
      <c r="N577" s="451"/>
      <c r="O577" s="929"/>
      <c r="P577" s="929"/>
      <c r="Q577" s="929"/>
      <c r="S577" s="451"/>
      <c r="T577" s="451"/>
      <c r="U577" s="451"/>
      <c r="V577" s="451"/>
      <c r="X577" s="929"/>
      <c r="Y577" s="929"/>
      <c r="Z577" s="929"/>
      <c r="AB577" s="451"/>
      <c r="AC577" s="451"/>
      <c r="AD577" s="451"/>
      <c r="AE577" s="451"/>
      <c r="AF577" s="451"/>
      <c r="AG577" s="929"/>
      <c r="AH577" s="929"/>
      <c r="AI577" s="929"/>
    </row>
    <row r="578" customFormat="false" ht="12.75" hidden="false" customHeight="false" outlineLevel="0" collapsed="false">
      <c r="J578" s="451"/>
      <c r="K578" s="451"/>
      <c r="L578" s="451"/>
      <c r="M578" s="451"/>
      <c r="N578" s="451"/>
      <c r="O578" s="929"/>
      <c r="P578" s="929"/>
      <c r="Q578" s="929"/>
      <c r="S578" s="451"/>
      <c r="T578" s="451"/>
      <c r="U578" s="451"/>
      <c r="V578" s="451"/>
      <c r="X578" s="929"/>
      <c r="Y578" s="929"/>
      <c r="Z578" s="929"/>
      <c r="AB578" s="451"/>
      <c r="AC578" s="451"/>
      <c r="AD578" s="451"/>
      <c r="AE578" s="451"/>
      <c r="AF578" s="451"/>
      <c r="AG578" s="929"/>
      <c r="AH578" s="929"/>
      <c r="AI578" s="929"/>
    </row>
    <row r="579" customFormat="false" ht="12.75" hidden="false" customHeight="false" outlineLevel="0" collapsed="false">
      <c r="J579" s="451"/>
      <c r="K579" s="451"/>
      <c r="L579" s="451"/>
      <c r="M579" s="451"/>
      <c r="N579" s="451"/>
      <c r="O579" s="929"/>
      <c r="P579" s="929"/>
      <c r="Q579" s="929"/>
      <c r="S579" s="451"/>
      <c r="T579" s="451"/>
      <c r="U579" s="451"/>
      <c r="V579" s="451"/>
      <c r="X579" s="929"/>
      <c r="Y579" s="929"/>
      <c r="Z579" s="929"/>
      <c r="AB579" s="451"/>
      <c r="AC579" s="451"/>
      <c r="AD579" s="451"/>
      <c r="AE579" s="451"/>
      <c r="AF579" s="451"/>
      <c r="AG579" s="929"/>
      <c r="AH579" s="929"/>
      <c r="AI579" s="929"/>
    </row>
    <row r="580" customFormat="false" ht="12.75" hidden="false" customHeight="false" outlineLevel="0" collapsed="false">
      <c r="J580" s="451"/>
      <c r="K580" s="451"/>
      <c r="L580" s="451"/>
      <c r="M580" s="451"/>
      <c r="N580" s="451"/>
      <c r="O580" s="929"/>
      <c r="P580" s="929"/>
      <c r="Q580" s="929"/>
      <c r="S580" s="451"/>
      <c r="T580" s="451"/>
      <c r="U580" s="451"/>
      <c r="V580" s="451"/>
      <c r="X580" s="929"/>
      <c r="Y580" s="929"/>
      <c r="Z580" s="929"/>
      <c r="AB580" s="451"/>
      <c r="AC580" s="451"/>
      <c r="AD580" s="451"/>
      <c r="AE580" s="451"/>
      <c r="AF580" s="451"/>
      <c r="AG580" s="929"/>
      <c r="AH580" s="929"/>
      <c r="AI580" s="929"/>
    </row>
    <row r="581" customFormat="false" ht="12.75" hidden="false" customHeight="false" outlineLevel="0" collapsed="false">
      <c r="J581" s="451"/>
      <c r="K581" s="451"/>
      <c r="L581" s="451"/>
      <c r="M581" s="451"/>
      <c r="N581" s="451"/>
      <c r="O581" s="929"/>
      <c r="P581" s="929"/>
      <c r="Q581" s="929"/>
      <c r="S581" s="451"/>
      <c r="T581" s="451"/>
      <c r="U581" s="451"/>
      <c r="V581" s="451"/>
      <c r="X581" s="929"/>
      <c r="Y581" s="929"/>
      <c r="Z581" s="929"/>
      <c r="AB581" s="451"/>
      <c r="AC581" s="451"/>
      <c r="AD581" s="451"/>
      <c r="AE581" s="451"/>
      <c r="AF581" s="451"/>
      <c r="AG581" s="929"/>
      <c r="AH581" s="929"/>
      <c r="AI581" s="929"/>
    </row>
    <row r="582" customFormat="false" ht="12.75" hidden="false" customHeight="false" outlineLevel="0" collapsed="false">
      <c r="J582" s="451"/>
      <c r="K582" s="451"/>
      <c r="L582" s="451"/>
      <c r="M582" s="451"/>
      <c r="N582" s="451"/>
      <c r="O582" s="929"/>
      <c r="P582" s="929"/>
      <c r="Q582" s="929"/>
      <c r="S582" s="451"/>
      <c r="T582" s="451"/>
      <c r="U582" s="451"/>
      <c r="V582" s="451"/>
      <c r="X582" s="929"/>
      <c r="Y582" s="929"/>
      <c r="Z582" s="929"/>
      <c r="AB582" s="451"/>
      <c r="AC582" s="451"/>
      <c r="AD582" s="451"/>
      <c r="AE582" s="451"/>
      <c r="AF582" s="451"/>
      <c r="AG582" s="929"/>
      <c r="AH582" s="929"/>
      <c r="AI582" s="929"/>
    </row>
    <row r="583" customFormat="false" ht="12.75" hidden="false" customHeight="false" outlineLevel="0" collapsed="false">
      <c r="J583" s="451"/>
      <c r="K583" s="451"/>
      <c r="L583" s="451"/>
      <c r="M583" s="451"/>
      <c r="N583" s="451"/>
      <c r="O583" s="929"/>
      <c r="P583" s="929"/>
      <c r="Q583" s="929"/>
      <c r="S583" s="451"/>
      <c r="T583" s="451"/>
      <c r="U583" s="451"/>
      <c r="V583" s="451"/>
      <c r="X583" s="929"/>
      <c r="Y583" s="929"/>
      <c r="Z583" s="929"/>
      <c r="AB583" s="451"/>
      <c r="AC583" s="451"/>
      <c r="AD583" s="451"/>
      <c r="AE583" s="451"/>
      <c r="AF583" s="451"/>
      <c r="AG583" s="929"/>
      <c r="AH583" s="929"/>
      <c r="AI583" s="929"/>
    </row>
    <row r="584" customFormat="false" ht="12.75" hidden="false" customHeight="false" outlineLevel="0" collapsed="false">
      <c r="J584" s="451"/>
      <c r="K584" s="451"/>
      <c r="L584" s="451"/>
      <c r="M584" s="451"/>
      <c r="N584" s="451"/>
      <c r="O584" s="929"/>
      <c r="P584" s="929"/>
      <c r="Q584" s="929"/>
      <c r="S584" s="451"/>
      <c r="T584" s="451"/>
      <c r="U584" s="451"/>
      <c r="V584" s="451"/>
      <c r="X584" s="929"/>
      <c r="Y584" s="929"/>
      <c r="Z584" s="929"/>
      <c r="AB584" s="451"/>
      <c r="AC584" s="451"/>
      <c r="AD584" s="451"/>
      <c r="AE584" s="451"/>
      <c r="AF584" s="451"/>
      <c r="AG584" s="929"/>
      <c r="AH584" s="929"/>
      <c r="AI584" s="929"/>
    </row>
    <row r="585" customFormat="false" ht="12.75" hidden="false" customHeight="false" outlineLevel="0" collapsed="false">
      <c r="J585" s="451"/>
      <c r="K585" s="451"/>
      <c r="L585" s="451"/>
      <c r="M585" s="451"/>
      <c r="N585" s="451"/>
      <c r="O585" s="929"/>
      <c r="P585" s="929"/>
      <c r="Q585" s="929"/>
      <c r="S585" s="451"/>
      <c r="T585" s="451"/>
      <c r="U585" s="451"/>
      <c r="V585" s="451"/>
      <c r="X585" s="929"/>
      <c r="Y585" s="929"/>
      <c r="Z585" s="929"/>
      <c r="AB585" s="451"/>
      <c r="AC585" s="451"/>
      <c r="AD585" s="451"/>
      <c r="AE585" s="451"/>
      <c r="AF585" s="451"/>
      <c r="AG585" s="929"/>
      <c r="AH585" s="929"/>
      <c r="AI585" s="929"/>
    </row>
    <row r="586" customFormat="false" ht="12.75" hidden="false" customHeight="false" outlineLevel="0" collapsed="false">
      <c r="J586" s="451"/>
      <c r="K586" s="451"/>
      <c r="L586" s="451"/>
      <c r="M586" s="451"/>
      <c r="N586" s="451"/>
      <c r="O586" s="929"/>
      <c r="P586" s="929"/>
      <c r="Q586" s="929"/>
      <c r="S586" s="451"/>
      <c r="T586" s="451"/>
      <c r="U586" s="451"/>
      <c r="V586" s="451"/>
      <c r="X586" s="929"/>
      <c r="Y586" s="929"/>
      <c r="Z586" s="929"/>
      <c r="AB586" s="451"/>
      <c r="AC586" s="451"/>
      <c r="AD586" s="451"/>
      <c r="AE586" s="451"/>
      <c r="AF586" s="451"/>
      <c r="AG586" s="929"/>
      <c r="AH586" s="929"/>
      <c r="AI586" s="929"/>
    </row>
    <row r="587" customFormat="false" ht="12.75" hidden="false" customHeight="false" outlineLevel="0" collapsed="false">
      <c r="J587" s="451"/>
      <c r="K587" s="451"/>
      <c r="L587" s="451"/>
      <c r="M587" s="451"/>
      <c r="N587" s="451"/>
      <c r="O587" s="929"/>
      <c r="P587" s="929"/>
      <c r="Q587" s="929"/>
      <c r="S587" s="451"/>
      <c r="T587" s="451"/>
      <c r="U587" s="451"/>
      <c r="V587" s="451"/>
      <c r="X587" s="929"/>
      <c r="Y587" s="929"/>
      <c r="Z587" s="929"/>
      <c r="AB587" s="451"/>
      <c r="AC587" s="451"/>
      <c r="AD587" s="451"/>
      <c r="AE587" s="451"/>
      <c r="AF587" s="451"/>
      <c r="AG587" s="929"/>
      <c r="AH587" s="929"/>
      <c r="AI587" s="929"/>
    </row>
    <row r="588" customFormat="false" ht="12.75" hidden="false" customHeight="false" outlineLevel="0" collapsed="false">
      <c r="J588" s="451"/>
      <c r="K588" s="451"/>
      <c r="L588" s="451"/>
      <c r="M588" s="451"/>
      <c r="N588" s="451"/>
      <c r="O588" s="929"/>
      <c r="P588" s="929"/>
      <c r="Q588" s="929"/>
      <c r="S588" s="451"/>
      <c r="T588" s="451"/>
      <c r="U588" s="451"/>
      <c r="V588" s="451"/>
      <c r="X588" s="929"/>
      <c r="Y588" s="929"/>
      <c r="Z588" s="929"/>
      <c r="AB588" s="451"/>
      <c r="AC588" s="451"/>
      <c r="AD588" s="451"/>
      <c r="AE588" s="451"/>
      <c r="AF588" s="451"/>
      <c r="AG588" s="929"/>
      <c r="AH588" s="929"/>
      <c r="AI588" s="929"/>
    </row>
    <row r="589" customFormat="false" ht="12.75" hidden="false" customHeight="false" outlineLevel="0" collapsed="false">
      <c r="J589" s="451"/>
      <c r="K589" s="451"/>
      <c r="L589" s="451"/>
      <c r="M589" s="451"/>
      <c r="N589" s="451"/>
      <c r="O589" s="929"/>
      <c r="P589" s="929"/>
      <c r="Q589" s="929"/>
      <c r="S589" s="451"/>
      <c r="T589" s="451"/>
      <c r="U589" s="451"/>
      <c r="V589" s="451"/>
      <c r="X589" s="929"/>
      <c r="Y589" s="929"/>
      <c r="Z589" s="929"/>
      <c r="AB589" s="451"/>
      <c r="AC589" s="451"/>
      <c r="AD589" s="451"/>
      <c r="AE589" s="451"/>
      <c r="AF589" s="451"/>
      <c r="AG589" s="929"/>
      <c r="AH589" s="929"/>
      <c r="AI589" s="929"/>
    </row>
    <row r="590" customFormat="false" ht="12.75" hidden="false" customHeight="false" outlineLevel="0" collapsed="false">
      <c r="J590" s="451"/>
      <c r="K590" s="451"/>
      <c r="L590" s="451"/>
      <c r="M590" s="451"/>
      <c r="N590" s="451"/>
      <c r="O590" s="929"/>
      <c r="P590" s="929"/>
      <c r="Q590" s="929"/>
      <c r="S590" s="451"/>
      <c r="T590" s="451"/>
      <c r="U590" s="451"/>
      <c r="V590" s="451"/>
      <c r="X590" s="929"/>
      <c r="Y590" s="929"/>
      <c r="Z590" s="929"/>
      <c r="AB590" s="451"/>
      <c r="AC590" s="451"/>
      <c r="AD590" s="451"/>
      <c r="AE590" s="451"/>
      <c r="AF590" s="451"/>
      <c r="AG590" s="929"/>
      <c r="AH590" s="929"/>
      <c r="AI590" s="929"/>
    </row>
    <row r="591" customFormat="false" ht="12.75" hidden="false" customHeight="false" outlineLevel="0" collapsed="false">
      <c r="J591" s="451"/>
      <c r="K591" s="451"/>
      <c r="L591" s="451"/>
      <c r="M591" s="451"/>
      <c r="N591" s="451"/>
      <c r="O591" s="929"/>
      <c r="P591" s="929"/>
      <c r="Q591" s="929"/>
      <c r="S591" s="451"/>
      <c r="T591" s="451"/>
      <c r="U591" s="451"/>
      <c r="V591" s="451"/>
      <c r="X591" s="929"/>
      <c r="Y591" s="929"/>
      <c r="Z591" s="929"/>
      <c r="AB591" s="451"/>
      <c r="AC591" s="451"/>
      <c r="AD591" s="451"/>
      <c r="AE591" s="451"/>
      <c r="AF591" s="451"/>
      <c r="AG591" s="929"/>
      <c r="AH591" s="929"/>
      <c r="AI591" s="929"/>
    </row>
    <row r="592" customFormat="false" ht="12.75" hidden="false" customHeight="false" outlineLevel="0" collapsed="false">
      <c r="J592" s="451"/>
      <c r="K592" s="451"/>
      <c r="L592" s="451"/>
      <c r="M592" s="451"/>
      <c r="N592" s="451"/>
      <c r="O592" s="929"/>
      <c r="P592" s="929"/>
      <c r="Q592" s="929"/>
      <c r="S592" s="451"/>
      <c r="T592" s="451"/>
      <c r="U592" s="451"/>
      <c r="V592" s="451"/>
      <c r="X592" s="929"/>
      <c r="Y592" s="929"/>
      <c r="Z592" s="929"/>
      <c r="AB592" s="451"/>
      <c r="AC592" s="451"/>
      <c r="AD592" s="451"/>
      <c r="AE592" s="451"/>
      <c r="AF592" s="451"/>
      <c r="AG592" s="929"/>
      <c r="AH592" s="929"/>
      <c r="AI592" s="929"/>
    </row>
    <row r="593" customFormat="false" ht="12.75" hidden="false" customHeight="false" outlineLevel="0" collapsed="false">
      <c r="J593" s="451"/>
      <c r="K593" s="451"/>
      <c r="L593" s="451"/>
      <c r="M593" s="451"/>
      <c r="N593" s="451"/>
      <c r="O593" s="929"/>
      <c r="P593" s="929"/>
      <c r="Q593" s="929"/>
      <c r="S593" s="451"/>
      <c r="T593" s="451"/>
      <c r="U593" s="451"/>
      <c r="V593" s="451"/>
      <c r="X593" s="929"/>
      <c r="Y593" s="929"/>
      <c r="Z593" s="929"/>
      <c r="AB593" s="451"/>
      <c r="AC593" s="451"/>
      <c r="AD593" s="451"/>
      <c r="AE593" s="451"/>
      <c r="AF593" s="451"/>
      <c r="AG593" s="929"/>
      <c r="AH593" s="929"/>
      <c r="AI593" s="929"/>
    </row>
    <row r="594" customFormat="false" ht="12.75" hidden="false" customHeight="false" outlineLevel="0" collapsed="false">
      <c r="J594" s="451"/>
      <c r="K594" s="451"/>
      <c r="L594" s="451"/>
      <c r="M594" s="451"/>
      <c r="N594" s="451"/>
      <c r="O594" s="929"/>
      <c r="P594" s="929"/>
      <c r="Q594" s="929"/>
      <c r="S594" s="451"/>
      <c r="T594" s="451"/>
      <c r="U594" s="451"/>
      <c r="V594" s="451"/>
      <c r="X594" s="929"/>
      <c r="Y594" s="929"/>
      <c r="Z594" s="929"/>
      <c r="AB594" s="451"/>
      <c r="AC594" s="451"/>
      <c r="AD594" s="451"/>
      <c r="AE594" s="451"/>
      <c r="AF594" s="451"/>
      <c r="AG594" s="929"/>
      <c r="AH594" s="929"/>
      <c r="AI594" s="929"/>
    </row>
    <row r="595" customFormat="false" ht="12.75" hidden="false" customHeight="false" outlineLevel="0" collapsed="false">
      <c r="J595" s="451"/>
      <c r="K595" s="451"/>
      <c r="L595" s="451"/>
      <c r="M595" s="451"/>
      <c r="N595" s="451"/>
      <c r="O595" s="929"/>
      <c r="P595" s="929"/>
      <c r="Q595" s="929"/>
      <c r="S595" s="451"/>
      <c r="T595" s="451"/>
      <c r="U595" s="451"/>
      <c r="V595" s="451"/>
      <c r="X595" s="929"/>
      <c r="Y595" s="929"/>
      <c r="Z595" s="929"/>
      <c r="AB595" s="451"/>
      <c r="AC595" s="451"/>
      <c r="AD595" s="451"/>
      <c r="AE595" s="451"/>
      <c r="AF595" s="451"/>
      <c r="AG595" s="929"/>
      <c r="AH595" s="929"/>
      <c r="AI595" s="929"/>
    </row>
    <row r="596" customFormat="false" ht="12.75" hidden="false" customHeight="false" outlineLevel="0" collapsed="false">
      <c r="J596" s="451"/>
      <c r="K596" s="451"/>
      <c r="L596" s="451"/>
      <c r="M596" s="451"/>
      <c r="N596" s="451"/>
      <c r="O596" s="929"/>
      <c r="P596" s="929"/>
      <c r="Q596" s="929"/>
      <c r="S596" s="451"/>
      <c r="T596" s="451"/>
      <c r="U596" s="451"/>
      <c r="V596" s="451"/>
      <c r="X596" s="929"/>
      <c r="Y596" s="929"/>
      <c r="Z596" s="929"/>
      <c r="AB596" s="451"/>
      <c r="AC596" s="451"/>
      <c r="AD596" s="451"/>
      <c r="AE596" s="451"/>
      <c r="AF596" s="451"/>
      <c r="AG596" s="929"/>
      <c r="AH596" s="929"/>
      <c r="AI596" s="929"/>
    </row>
    <row r="597" customFormat="false" ht="12.75" hidden="false" customHeight="false" outlineLevel="0" collapsed="false">
      <c r="J597" s="451"/>
      <c r="K597" s="451"/>
      <c r="L597" s="451"/>
      <c r="M597" s="451"/>
      <c r="N597" s="451"/>
      <c r="O597" s="929"/>
      <c r="P597" s="929"/>
      <c r="Q597" s="929"/>
      <c r="S597" s="451"/>
      <c r="T597" s="451"/>
      <c r="U597" s="451"/>
      <c r="V597" s="451"/>
      <c r="X597" s="929"/>
      <c r="Y597" s="929"/>
      <c r="Z597" s="929"/>
      <c r="AB597" s="451"/>
      <c r="AC597" s="451"/>
      <c r="AD597" s="451"/>
      <c r="AE597" s="451"/>
      <c r="AF597" s="451"/>
      <c r="AG597" s="929"/>
      <c r="AH597" s="929"/>
      <c r="AI597" s="929"/>
    </row>
    <row r="598" customFormat="false" ht="12.75" hidden="false" customHeight="false" outlineLevel="0" collapsed="false">
      <c r="J598" s="451"/>
      <c r="K598" s="451"/>
      <c r="L598" s="451"/>
      <c r="M598" s="451"/>
      <c r="N598" s="451"/>
      <c r="O598" s="929"/>
      <c r="P598" s="929"/>
      <c r="Q598" s="929"/>
      <c r="S598" s="451"/>
      <c r="T598" s="451"/>
      <c r="U598" s="451"/>
      <c r="V598" s="451"/>
      <c r="X598" s="929"/>
      <c r="Y598" s="929"/>
      <c r="Z598" s="929"/>
      <c r="AB598" s="451"/>
      <c r="AC598" s="451"/>
      <c r="AD598" s="451"/>
      <c r="AE598" s="451"/>
      <c r="AF598" s="451"/>
      <c r="AG598" s="929"/>
      <c r="AH598" s="929"/>
      <c r="AI598" s="929"/>
    </row>
    <row r="599" customFormat="false" ht="12.75" hidden="false" customHeight="false" outlineLevel="0" collapsed="false">
      <c r="J599" s="451"/>
      <c r="K599" s="451"/>
      <c r="L599" s="451"/>
      <c r="M599" s="451"/>
      <c r="N599" s="451"/>
      <c r="O599" s="929"/>
      <c r="P599" s="929"/>
      <c r="Q599" s="929"/>
      <c r="S599" s="451"/>
      <c r="T599" s="451"/>
      <c r="U599" s="451"/>
      <c r="V599" s="451"/>
      <c r="X599" s="929"/>
      <c r="Y599" s="929"/>
      <c r="Z599" s="929"/>
      <c r="AB599" s="451"/>
      <c r="AC599" s="451"/>
      <c r="AD599" s="451"/>
      <c r="AE599" s="451"/>
      <c r="AF599" s="451"/>
      <c r="AG599" s="929"/>
      <c r="AH599" s="929"/>
      <c r="AI599" s="929"/>
    </row>
    <row r="600" customFormat="false" ht="12.75" hidden="false" customHeight="false" outlineLevel="0" collapsed="false">
      <c r="J600" s="451"/>
      <c r="K600" s="451"/>
      <c r="L600" s="451"/>
      <c r="M600" s="451"/>
      <c r="N600" s="451"/>
      <c r="O600" s="929"/>
      <c r="P600" s="929"/>
      <c r="Q600" s="929"/>
      <c r="S600" s="451"/>
      <c r="T600" s="451"/>
      <c r="U600" s="451"/>
      <c r="V600" s="451"/>
      <c r="X600" s="929"/>
      <c r="Y600" s="929"/>
      <c r="Z600" s="929"/>
      <c r="AB600" s="451"/>
      <c r="AC600" s="451"/>
      <c r="AD600" s="451"/>
      <c r="AE600" s="451"/>
      <c r="AF600" s="451"/>
      <c r="AG600" s="929"/>
      <c r="AH600" s="929"/>
      <c r="AI600" s="929"/>
    </row>
    <row r="601" customFormat="false" ht="12.75" hidden="false" customHeight="false" outlineLevel="0" collapsed="false">
      <c r="J601" s="451"/>
      <c r="K601" s="451"/>
      <c r="L601" s="451"/>
      <c r="M601" s="451"/>
      <c r="N601" s="451"/>
      <c r="O601" s="929"/>
      <c r="P601" s="929"/>
      <c r="Q601" s="929"/>
      <c r="S601" s="451"/>
      <c r="T601" s="451"/>
      <c r="U601" s="451"/>
      <c r="V601" s="451"/>
      <c r="X601" s="929"/>
      <c r="Y601" s="929"/>
      <c r="Z601" s="929"/>
      <c r="AB601" s="451"/>
      <c r="AC601" s="451"/>
      <c r="AD601" s="451"/>
      <c r="AE601" s="451"/>
      <c r="AF601" s="451"/>
      <c r="AG601" s="929"/>
      <c r="AH601" s="929"/>
      <c r="AI601" s="929"/>
    </row>
    <row r="602" customFormat="false" ht="12.75" hidden="false" customHeight="false" outlineLevel="0" collapsed="false">
      <c r="J602" s="451"/>
      <c r="K602" s="451"/>
      <c r="L602" s="451"/>
      <c r="M602" s="451"/>
      <c r="N602" s="451"/>
      <c r="O602" s="929"/>
      <c r="P602" s="929"/>
      <c r="Q602" s="929"/>
      <c r="S602" s="451"/>
      <c r="T602" s="451"/>
      <c r="U602" s="451"/>
      <c r="V602" s="451"/>
      <c r="X602" s="929"/>
      <c r="Y602" s="929"/>
      <c r="Z602" s="929"/>
      <c r="AB602" s="451"/>
      <c r="AC602" s="451"/>
      <c r="AD602" s="451"/>
      <c r="AE602" s="451"/>
      <c r="AF602" s="451"/>
      <c r="AG602" s="929"/>
      <c r="AH602" s="929"/>
      <c r="AI602" s="929"/>
    </row>
    <row r="603" customFormat="false" ht="12.75" hidden="false" customHeight="false" outlineLevel="0" collapsed="false">
      <c r="J603" s="451"/>
      <c r="K603" s="451"/>
      <c r="L603" s="451"/>
      <c r="M603" s="451"/>
      <c r="N603" s="451"/>
      <c r="O603" s="929"/>
      <c r="P603" s="929"/>
      <c r="Q603" s="929"/>
      <c r="S603" s="451"/>
      <c r="T603" s="451"/>
      <c r="U603" s="451"/>
      <c r="V603" s="451"/>
      <c r="X603" s="929"/>
      <c r="Y603" s="929"/>
      <c r="Z603" s="929"/>
      <c r="AB603" s="451"/>
      <c r="AC603" s="451"/>
      <c r="AD603" s="451"/>
      <c r="AE603" s="451"/>
      <c r="AF603" s="451"/>
      <c r="AG603" s="929"/>
      <c r="AH603" s="929"/>
      <c r="AI603" s="929"/>
    </row>
    <row r="604" customFormat="false" ht="12.75" hidden="false" customHeight="false" outlineLevel="0" collapsed="false">
      <c r="J604" s="451"/>
      <c r="K604" s="451"/>
      <c r="L604" s="451"/>
      <c r="M604" s="451"/>
      <c r="N604" s="451"/>
      <c r="O604" s="929"/>
      <c r="P604" s="929"/>
      <c r="Q604" s="929"/>
      <c r="S604" s="451"/>
      <c r="T604" s="451"/>
      <c r="U604" s="451"/>
      <c r="V604" s="451"/>
      <c r="X604" s="929"/>
      <c r="Y604" s="929"/>
      <c r="Z604" s="929"/>
      <c r="AB604" s="451"/>
      <c r="AC604" s="451"/>
      <c r="AD604" s="451"/>
      <c r="AE604" s="451"/>
      <c r="AF604" s="451"/>
      <c r="AG604" s="929"/>
      <c r="AH604" s="929"/>
      <c r="AI604" s="929"/>
    </row>
    <row r="605" customFormat="false" ht="12.75" hidden="false" customHeight="false" outlineLevel="0" collapsed="false">
      <c r="J605" s="451"/>
      <c r="K605" s="451"/>
      <c r="L605" s="451"/>
      <c r="M605" s="451"/>
      <c r="N605" s="451"/>
      <c r="O605" s="929"/>
      <c r="P605" s="929"/>
      <c r="Q605" s="929"/>
      <c r="S605" s="451"/>
      <c r="T605" s="451"/>
      <c r="U605" s="451"/>
      <c r="V605" s="451"/>
      <c r="X605" s="929"/>
      <c r="Y605" s="929"/>
      <c r="Z605" s="929"/>
      <c r="AB605" s="451"/>
      <c r="AC605" s="451"/>
      <c r="AD605" s="451"/>
      <c r="AE605" s="451"/>
      <c r="AF605" s="451"/>
      <c r="AG605" s="929"/>
      <c r="AH605" s="929"/>
      <c r="AI605" s="929"/>
    </row>
    <row r="606" customFormat="false" ht="12.75" hidden="false" customHeight="false" outlineLevel="0" collapsed="false">
      <c r="J606" s="451"/>
      <c r="K606" s="451"/>
      <c r="L606" s="451"/>
      <c r="M606" s="451"/>
      <c r="N606" s="451"/>
      <c r="O606" s="929"/>
      <c r="P606" s="929"/>
      <c r="Q606" s="929"/>
      <c r="S606" s="451"/>
      <c r="T606" s="451"/>
      <c r="U606" s="451"/>
      <c r="V606" s="451"/>
      <c r="X606" s="929"/>
      <c r="Y606" s="929"/>
      <c r="Z606" s="929"/>
      <c r="AB606" s="451"/>
      <c r="AC606" s="451"/>
      <c r="AD606" s="451"/>
      <c r="AE606" s="451"/>
      <c r="AF606" s="451"/>
      <c r="AG606" s="929"/>
      <c r="AH606" s="929"/>
      <c r="AI606" s="929"/>
    </row>
    <row r="607" customFormat="false" ht="12.75" hidden="false" customHeight="false" outlineLevel="0" collapsed="false">
      <c r="J607" s="451"/>
      <c r="K607" s="451"/>
      <c r="L607" s="451"/>
      <c r="M607" s="451"/>
      <c r="N607" s="451"/>
      <c r="O607" s="929"/>
      <c r="P607" s="929"/>
      <c r="Q607" s="929"/>
      <c r="S607" s="451"/>
      <c r="T607" s="451"/>
      <c r="U607" s="451"/>
      <c r="V607" s="451"/>
      <c r="X607" s="929"/>
      <c r="Y607" s="929"/>
      <c r="Z607" s="929"/>
      <c r="AB607" s="451"/>
      <c r="AC607" s="451"/>
      <c r="AD607" s="451"/>
      <c r="AE607" s="451"/>
      <c r="AF607" s="451"/>
      <c r="AG607" s="929"/>
      <c r="AH607" s="929"/>
      <c r="AI607" s="929"/>
    </row>
    <row r="608" customFormat="false" ht="12.75" hidden="false" customHeight="false" outlineLevel="0" collapsed="false">
      <c r="J608" s="451"/>
      <c r="K608" s="451"/>
      <c r="L608" s="451"/>
      <c r="M608" s="451"/>
      <c r="N608" s="451"/>
      <c r="O608" s="929"/>
      <c r="P608" s="929"/>
      <c r="Q608" s="929"/>
      <c r="S608" s="451"/>
      <c r="T608" s="451"/>
      <c r="U608" s="451"/>
      <c r="V608" s="451"/>
      <c r="X608" s="929"/>
      <c r="Y608" s="929"/>
      <c r="Z608" s="929"/>
      <c r="AB608" s="451"/>
      <c r="AC608" s="451"/>
      <c r="AD608" s="451"/>
      <c r="AE608" s="451"/>
      <c r="AF608" s="451"/>
      <c r="AG608" s="929"/>
      <c r="AH608" s="929"/>
      <c r="AI608" s="929"/>
    </row>
    <row r="609" customFormat="false" ht="12.75" hidden="false" customHeight="false" outlineLevel="0" collapsed="false">
      <c r="J609" s="451"/>
      <c r="K609" s="451"/>
      <c r="L609" s="451"/>
      <c r="M609" s="451"/>
      <c r="N609" s="451"/>
      <c r="O609" s="929"/>
      <c r="P609" s="929"/>
      <c r="Q609" s="929"/>
      <c r="S609" s="451"/>
      <c r="T609" s="451"/>
      <c r="U609" s="451"/>
      <c r="V609" s="451"/>
      <c r="X609" s="929"/>
      <c r="Y609" s="929"/>
      <c r="Z609" s="929"/>
      <c r="AB609" s="451"/>
      <c r="AC609" s="451"/>
      <c r="AD609" s="451"/>
      <c r="AE609" s="451"/>
      <c r="AF609" s="451"/>
      <c r="AG609" s="929"/>
      <c r="AH609" s="929"/>
      <c r="AI609" s="929"/>
    </row>
    <row r="610" customFormat="false" ht="12.75" hidden="false" customHeight="false" outlineLevel="0" collapsed="false">
      <c r="J610" s="451"/>
      <c r="K610" s="451"/>
      <c r="L610" s="451"/>
      <c r="M610" s="451"/>
      <c r="N610" s="451"/>
      <c r="O610" s="929"/>
      <c r="P610" s="929"/>
      <c r="Q610" s="929"/>
      <c r="S610" s="451"/>
      <c r="T610" s="451"/>
      <c r="U610" s="451"/>
      <c r="V610" s="451"/>
      <c r="X610" s="929"/>
      <c r="Y610" s="929"/>
      <c r="Z610" s="929"/>
      <c r="AB610" s="451"/>
      <c r="AC610" s="451"/>
      <c r="AD610" s="451"/>
      <c r="AE610" s="451"/>
      <c r="AF610" s="451"/>
      <c r="AG610" s="929"/>
      <c r="AH610" s="929"/>
      <c r="AI610" s="929"/>
    </row>
    <row r="611" customFormat="false" ht="12.75" hidden="false" customHeight="false" outlineLevel="0" collapsed="false">
      <c r="J611" s="451"/>
      <c r="K611" s="451"/>
      <c r="L611" s="451"/>
      <c r="M611" s="451"/>
      <c r="N611" s="451"/>
      <c r="O611" s="929"/>
      <c r="P611" s="929"/>
      <c r="Q611" s="929"/>
      <c r="S611" s="451"/>
      <c r="T611" s="451"/>
      <c r="U611" s="451"/>
      <c r="V611" s="451"/>
      <c r="X611" s="929"/>
      <c r="Y611" s="929"/>
      <c r="Z611" s="929"/>
      <c r="AB611" s="451"/>
      <c r="AC611" s="451"/>
      <c r="AD611" s="451"/>
      <c r="AE611" s="451"/>
      <c r="AF611" s="451"/>
      <c r="AG611" s="929"/>
      <c r="AH611" s="929"/>
      <c r="AI611" s="929"/>
    </row>
    <row r="612" customFormat="false" ht="12.75" hidden="false" customHeight="false" outlineLevel="0" collapsed="false">
      <c r="J612" s="451"/>
      <c r="K612" s="451"/>
      <c r="L612" s="451"/>
      <c r="M612" s="451"/>
      <c r="N612" s="451"/>
      <c r="O612" s="929"/>
      <c r="P612" s="929"/>
      <c r="Q612" s="929"/>
      <c r="S612" s="451"/>
      <c r="T612" s="451"/>
      <c r="U612" s="451"/>
      <c r="V612" s="451"/>
      <c r="X612" s="929"/>
      <c r="Y612" s="929"/>
      <c r="Z612" s="929"/>
      <c r="AB612" s="451"/>
      <c r="AC612" s="451"/>
      <c r="AD612" s="451"/>
      <c r="AE612" s="451"/>
      <c r="AF612" s="451"/>
      <c r="AG612" s="929"/>
      <c r="AH612" s="929"/>
      <c r="AI612" s="929"/>
    </row>
    <row r="613" customFormat="false" ht="12.75" hidden="false" customHeight="false" outlineLevel="0" collapsed="false">
      <c r="J613" s="451"/>
      <c r="K613" s="451"/>
      <c r="L613" s="451"/>
      <c r="M613" s="451"/>
      <c r="N613" s="451"/>
      <c r="O613" s="929"/>
      <c r="P613" s="929"/>
      <c r="Q613" s="929"/>
      <c r="S613" s="451"/>
      <c r="T613" s="451"/>
      <c r="U613" s="451"/>
      <c r="V613" s="451"/>
      <c r="X613" s="929"/>
      <c r="Y613" s="929"/>
      <c r="Z613" s="929"/>
      <c r="AB613" s="451"/>
      <c r="AC613" s="451"/>
      <c r="AD613" s="451"/>
      <c r="AE613" s="451"/>
      <c r="AF613" s="451"/>
      <c r="AG613" s="929"/>
      <c r="AH613" s="929"/>
      <c r="AI613" s="929"/>
    </row>
    <row r="614" customFormat="false" ht="12.75" hidden="false" customHeight="false" outlineLevel="0" collapsed="false">
      <c r="J614" s="451"/>
      <c r="K614" s="451"/>
      <c r="L614" s="451"/>
      <c r="M614" s="451"/>
      <c r="N614" s="451"/>
      <c r="O614" s="929"/>
      <c r="P614" s="929"/>
      <c r="Q614" s="929"/>
      <c r="S614" s="451"/>
      <c r="T614" s="451"/>
      <c r="U614" s="451"/>
      <c r="V614" s="451"/>
      <c r="X614" s="929"/>
      <c r="Y614" s="929"/>
      <c r="Z614" s="929"/>
      <c r="AB614" s="451"/>
      <c r="AC614" s="451"/>
      <c r="AD614" s="451"/>
      <c r="AE614" s="451"/>
      <c r="AF614" s="451"/>
      <c r="AG614" s="929"/>
      <c r="AH614" s="929"/>
      <c r="AI614" s="929"/>
    </row>
    <row r="615" customFormat="false" ht="12.75" hidden="false" customHeight="false" outlineLevel="0" collapsed="false">
      <c r="J615" s="451"/>
      <c r="K615" s="451"/>
      <c r="L615" s="451"/>
      <c r="M615" s="451"/>
      <c r="N615" s="451"/>
      <c r="O615" s="929"/>
      <c r="P615" s="929"/>
      <c r="Q615" s="929"/>
      <c r="S615" s="451"/>
      <c r="T615" s="451"/>
      <c r="U615" s="451"/>
      <c r="V615" s="451"/>
      <c r="X615" s="929"/>
      <c r="Y615" s="929"/>
      <c r="Z615" s="929"/>
      <c r="AB615" s="451"/>
      <c r="AC615" s="451"/>
      <c r="AD615" s="451"/>
      <c r="AE615" s="451"/>
      <c r="AF615" s="451"/>
      <c r="AG615" s="929"/>
      <c r="AH615" s="929"/>
      <c r="AI615" s="929"/>
    </row>
    <row r="616" customFormat="false" ht="12.75" hidden="false" customHeight="false" outlineLevel="0" collapsed="false">
      <c r="J616" s="451"/>
      <c r="K616" s="451"/>
      <c r="L616" s="451"/>
      <c r="M616" s="451"/>
      <c r="N616" s="451"/>
      <c r="O616" s="929"/>
      <c r="P616" s="929"/>
      <c r="Q616" s="929"/>
      <c r="S616" s="451"/>
      <c r="T616" s="451"/>
      <c r="U616" s="451"/>
      <c r="V616" s="451"/>
      <c r="X616" s="929"/>
      <c r="Y616" s="929"/>
      <c r="Z616" s="929"/>
      <c r="AB616" s="451"/>
      <c r="AC616" s="451"/>
      <c r="AD616" s="451"/>
      <c r="AE616" s="451"/>
      <c r="AF616" s="451"/>
      <c r="AG616" s="929"/>
      <c r="AH616" s="929"/>
      <c r="AI616" s="929"/>
    </row>
    <row r="617" customFormat="false" ht="12.75" hidden="false" customHeight="false" outlineLevel="0" collapsed="false">
      <c r="J617" s="451"/>
      <c r="K617" s="451"/>
      <c r="L617" s="451"/>
      <c r="M617" s="451"/>
      <c r="N617" s="451"/>
      <c r="O617" s="929"/>
      <c r="P617" s="929"/>
      <c r="Q617" s="929"/>
      <c r="S617" s="451"/>
      <c r="T617" s="451"/>
      <c r="U617" s="451"/>
      <c r="V617" s="451"/>
      <c r="X617" s="929"/>
      <c r="Y617" s="929"/>
      <c r="Z617" s="929"/>
      <c r="AB617" s="451"/>
      <c r="AC617" s="451"/>
      <c r="AD617" s="451"/>
      <c r="AE617" s="451"/>
      <c r="AF617" s="451"/>
      <c r="AG617" s="929"/>
      <c r="AH617" s="929"/>
      <c r="AI617" s="929"/>
    </row>
    <row r="618" customFormat="false" ht="12.75" hidden="false" customHeight="false" outlineLevel="0" collapsed="false">
      <c r="J618" s="451"/>
      <c r="K618" s="451"/>
      <c r="L618" s="451"/>
      <c r="M618" s="451"/>
      <c r="N618" s="451"/>
      <c r="O618" s="929"/>
      <c r="P618" s="929"/>
      <c r="Q618" s="929"/>
      <c r="S618" s="451"/>
      <c r="T618" s="451"/>
      <c r="U618" s="451"/>
      <c r="V618" s="451"/>
      <c r="X618" s="929"/>
      <c r="Y618" s="929"/>
      <c r="Z618" s="929"/>
      <c r="AB618" s="451"/>
      <c r="AC618" s="451"/>
      <c r="AD618" s="451"/>
      <c r="AE618" s="451"/>
      <c r="AF618" s="451"/>
      <c r="AG618" s="929"/>
      <c r="AH618" s="929"/>
      <c r="AI618" s="929"/>
    </row>
    <row r="619" customFormat="false" ht="12.75" hidden="false" customHeight="false" outlineLevel="0" collapsed="false">
      <c r="J619" s="451"/>
      <c r="K619" s="451"/>
      <c r="L619" s="451"/>
      <c r="M619" s="451"/>
      <c r="N619" s="451"/>
      <c r="O619" s="929"/>
      <c r="P619" s="929"/>
      <c r="Q619" s="929"/>
      <c r="S619" s="451"/>
      <c r="T619" s="451"/>
      <c r="U619" s="451"/>
      <c r="V619" s="451"/>
      <c r="X619" s="929"/>
      <c r="Y619" s="929"/>
      <c r="Z619" s="929"/>
      <c r="AB619" s="451"/>
      <c r="AC619" s="451"/>
      <c r="AD619" s="451"/>
      <c r="AE619" s="451"/>
      <c r="AF619" s="451"/>
      <c r="AG619" s="929"/>
      <c r="AH619" s="929"/>
      <c r="AI619" s="929"/>
    </row>
    <row r="620" customFormat="false" ht="12.75" hidden="false" customHeight="false" outlineLevel="0" collapsed="false">
      <c r="J620" s="451"/>
      <c r="K620" s="451"/>
      <c r="L620" s="451"/>
      <c r="M620" s="451"/>
      <c r="N620" s="451"/>
      <c r="O620" s="929"/>
      <c r="P620" s="929"/>
      <c r="Q620" s="929"/>
      <c r="S620" s="451"/>
      <c r="T620" s="451"/>
      <c r="U620" s="451"/>
      <c r="V620" s="451"/>
      <c r="X620" s="929"/>
      <c r="Y620" s="929"/>
      <c r="Z620" s="929"/>
      <c r="AB620" s="451"/>
      <c r="AC620" s="451"/>
      <c r="AD620" s="451"/>
      <c r="AE620" s="451"/>
      <c r="AF620" s="451"/>
      <c r="AG620" s="929"/>
      <c r="AH620" s="929"/>
      <c r="AI620" s="929"/>
    </row>
    <row r="621" customFormat="false" ht="12.75" hidden="false" customHeight="false" outlineLevel="0" collapsed="false">
      <c r="J621" s="451"/>
      <c r="K621" s="451"/>
      <c r="L621" s="451"/>
      <c r="M621" s="451"/>
      <c r="N621" s="451"/>
      <c r="O621" s="929"/>
      <c r="P621" s="929"/>
      <c r="Q621" s="929"/>
      <c r="S621" s="451"/>
      <c r="T621" s="451"/>
      <c r="U621" s="451"/>
      <c r="V621" s="451"/>
      <c r="X621" s="929"/>
      <c r="Y621" s="929"/>
      <c r="Z621" s="929"/>
      <c r="AB621" s="451"/>
      <c r="AC621" s="451"/>
      <c r="AD621" s="451"/>
      <c r="AE621" s="451"/>
      <c r="AF621" s="451"/>
      <c r="AG621" s="929"/>
      <c r="AH621" s="929"/>
      <c r="AI621" s="929"/>
    </row>
    <row r="622" customFormat="false" ht="12.75" hidden="false" customHeight="false" outlineLevel="0" collapsed="false">
      <c r="J622" s="451"/>
      <c r="K622" s="451"/>
      <c r="L622" s="451"/>
      <c r="M622" s="451"/>
      <c r="N622" s="451"/>
      <c r="O622" s="929"/>
      <c r="P622" s="929"/>
      <c r="Q622" s="929"/>
      <c r="S622" s="451"/>
      <c r="T622" s="451"/>
      <c r="U622" s="451"/>
      <c r="V622" s="451"/>
      <c r="X622" s="929"/>
      <c r="Y622" s="929"/>
      <c r="Z622" s="929"/>
      <c r="AB622" s="451"/>
      <c r="AC622" s="451"/>
      <c r="AD622" s="451"/>
      <c r="AE622" s="451"/>
      <c r="AF622" s="451"/>
      <c r="AG622" s="929"/>
      <c r="AH622" s="929"/>
      <c r="AI622" s="929"/>
    </row>
    <row r="623" customFormat="false" ht="12.75" hidden="false" customHeight="false" outlineLevel="0" collapsed="false">
      <c r="J623" s="451"/>
      <c r="K623" s="451"/>
      <c r="L623" s="451"/>
      <c r="M623" s="451"/>
      <c r="N623" s="451"/>
      <c r="O623" s="929"/>
      <c r="P623" s="929"/>
      <c r="Q623" s="929"/>
      <c r="S623" s="451"/>
      <c r="T623" s="451"/>
      <c r="U623" s="451"/>
      <c r="V623" s="451"/>
      <c r="X623" s="929"/>
      <c r="Y623" s="929"/>
      <c r="Z623" s="929"/>
      <c r="AB623" s="451"/>
      <c r="AC623" s="451"/>
      <c r="AD623" s="451"/>
      <c r="AE623" s="451"/>
      <c r="AF623" s="451"/>
      <c r="AG623" s="929"/>
      <c r="AH623" s="929"/>
      <c r="AI623" s="929"/>
    </row>
    <row r="624" customFormat="false" ht="12.75" hidden="false" customHeight="false" outlineLevel="0" collapsed="false">
      <c r="J624" s="451"/>
      <c r="K624" s="451"/>
      <c r="L624" s="451"/>
      <c r="M624" s="451"/>
      <c r="N624" s="451"/>
      <c r="O624" s="929"/>
      <c r="P624" s="929"/>
      <c r="Q624" s="929"/>
      <c r="S624" s="451"/>
      <c r="T624" s="451"/>
      <c r="U624" s="451"/>
      <c r="V624" s="451"/>
      <c r="X624" s="929"/>
      <c r="Y624" s="929"/>
      <c r="Z624" s="929"/>
      <c r="AB624" s="451"/>
      <c r="AC624" s="451"/>
      <c r="AD624" s="451"/>
      <c r="AE624" s="451"/>
      <c r="AF624" s="451"/>
      <c r="AG624" s="929"/>
      <c r="AH624" s="929"/>
      <c r="AI624" s="929"/>
    </row>
    <row r="625" customFormat="false" ht="12.75" hidden="false" customHeight="false" outlineLevel="0" collapsed="false">
      <c r="J625" s="451"/>
      <c r="K625" s="451"/>
      <c r="L625" s="451"/>
      <c r="M625" s="451"/>
      <c r="N625" s="451"/>
      <c r="O625" s="929"/>
      <c r="P625" s="929"/>
      <c r="Q625" s="929"/>
      <c r="S625" s="451"/>
      <c r="T625" s="451"/>
      <c r="U625" s="451"/>
      <c r="V625" s="451"/>
      <c r="X625" s="929"/>
      <c r="Y625" s="929"/>
      <c r="Z625" s="929"/>
      <c r="AB625" s="451"/>
      <c r="AC625" s="451"/>
      <c r="AD625" s="451"/>
      <c r="AE625" s="451"/>
      <c r="AF625" s="451"/>
      <c r="AG625" s="929"/>
      <c r="AH625" s="929"/>
      <c r="AI625" s="929"/>
    </row>
    <row r="626" customFormat="false" ht="12.75" hidden="false" customHeight="false" outlineLevel="0" collapsed="false">
      <c r="J626" s="451"/>
      <c r="K626" s="451"/>
      <c r="L626" s="451"/>
      <c r="M626" s="451"/>
      <c r="N626" s="451"/>
      <c r="O626" s="929"/>
      <c r="P626" s="929"/>
      <c r="Q626" s="929"/>
      <c r="S626" s="451"/>
      <c r="T626" s="451"/>
      <c r="U626" s="451"/>
      <c r="V626" s="451"/>
      <c r="X626" s="929"/>
      <c r="Y626" s="929"/>
      <c r="Z626" s="929"/>
      <c r="AB626" s="451"/>
      <c r="AC626" s="451"/>
      <c r="AD626" s="451"/>
      <c r="AE626" s="451"/>
      <c r="AF626" s="451"/>
      <c r="AG626" s="929"/>
      <c r="AH626" s="929"/>
      <c r="AI626" s="929"/>
    </row>
    <row r="627" customFormat="false" ht="12.75" hidden="false" customHeight="false" outlineLevel="0" collapsed="false">
      <c r="J627" s="451"/>
      <c r="K627" s="451"/>
      <c r="L627" s="451"/>
      <c r="M627" s="451"/>
      <c r="N627" s="451"/>
      <c r="O627" s="929"/>
      <c r="P627" s="929"/>
      <c r="Q627" s="929"/>
      <c r="S627" s="451"/>
      <c r="T627" s="451"/>
      <c r="U627" s="451"/>
      <c r="V627" s="451"/>
      <c r="X627" s="929"/>
      <c r="Y627" s="929"/>
      <c r="Z627" s="929"/>
      <c r="AB627" s="451"/>
      <c r="AC627" s="451"/>
      <c r="AD627" s="451"/>
      <c r="AE627" s="451"/>
      <c r="AF627" s="451"/>
      <c r="AG627" s="929"/>
      <c r="AH627" s="929"/>
      <c r="AI627" s="929"/>
    </row>
    <row r="628" customFormat="false" ht="12.75" hidden="false" customHeight="false" outlineLevel="0" collapsed="false">
      <c r="J628" s="451"/>
      <c r="K628" s="451"/>
      <c r="L628" s="451"/>
      <c r="M628" s="451"/>
      <c r="N628" s="451"/>
      <c r="O628" s="929"/>
      <c r="P628" s="929"/>
      <c r="Q628" s="929"/>
      <c r="S628" s="451"/>
      <c r="T628" s="451"/>
      <c r="U628" s="451"/>
      <c r="V628" s="451"/>
      <c r="X628" s="929"/>
      <c r="Y628" s="929"/>
      <c r="Z628" s="929"/>
      <c r="AB628" s="451"/>
      <c r="AC628" s="451"/>
      <c r="AD628" s="451"/>
      <c r="AE628" s="451"/>
      <c r="AF628" s="451"/>
      <c r="AG628" s="929"/>
      <c r="AH628" s="929"/>
      <c r="AI628" s="929"/>
    </row>
    <row r="629" customFormat="false" ht="12.75" hidden="false" customHeight="false" outlineLevel="0" collapsed="false">
      <c r="J629" s="451"/>
      <c r="K629" s="451"/>
      <c r="L629" s="451"/>
      <c r="M629" s="451"/>
      <c r="N629" s="451"/>
      <c r="O629" s="929"/>
      <c r="P629" s="929"/>
      <c r="Q629" s="929"/>
      <c r="S629" s="451"/>
      <c r="T629" s="451"/>
      <c r="U629" s="451"/>
      <c r="V629" s="451"/>
      <c r="X629" s="929"/>
      <c r="Y629" s="929"/>
      <c r="Z629" s="929"/>
      <c r="AB629" s="451"/>
      <c r="AC629" s="451"/>
      <c r="AD629" s="451"/>
      <c r="AE629" s="451"/>
      <c r="AF629" s="451"/>
      <c r="AG629" s="929"/>
      <c r="AH629" s="929"/>
      <c r="AI629" s="929"/>
    </row>
    <row r="630" customFormat="false" ht="12.75" hidden="false" customHeight="false" outlineLevel="0" collapsed="false">
      <c r="J630" s="451"/>
      <c r="K630" s="451"/>
      <c r="L630" s="451"/>
      <c r="M630" s="451"/>
      <c r="N630" s="451"/>
      <c r="O630" s="929"/>
      <c r="P630" s="929"/>
      <c r="Q630" s="929"/>
      <c r="S630" s="451"/>
      <c r="T630" s="451"/>
      <c r="U630" s="451"/>
      <c r="V630" s="451"/>
      <c r="X630" s="929"/>
      <c r="Y630" s="929"/>
      <c r="Z630" s="929"/>
      <c r="AB630" s="451"/>
      <c r="AC630" s="451"/>
      <c r="AD630" s="451"/>
      <c r="AE630" s="451"/>
      <c r="AF630" s="451"/>
      <c r="AG630" s="929"/>
      <c r="AH630" s="929"/>
      <c r="AI630" s="929"/>
    </row>
    <row r="631" customFormat="false" ht="12.75" hidden="false" customHeight="false" outlineLevel="0" collapsed="false">
      <c r="J631" s="451"/>
      <c r="K631" s="451"/>
      <c r="L631" s="451"/>
      <c r="M631" s="451"/>
      <c r="N631" s="451"/>
      <c r="O631" s="929"/>
      <c r="P631" s="929"/>
      <c r="Q631" s="929"/>
      <c r="S631" s="451"/>
      <c r="T631" s="451"/>
      <c r="U631" s="451"/>
      <c r="V631" s="451"/>
      <c r="X631" s="929"/>
      <c r="Y631" s="929"/>
      <c r="Z631" s="929"/>
      <c r="AB631" s="451"/>
      <c r="AC631" s="451"/>
      <c r="AD631" s="451"/>
      <c r="AE631" s="451"/>
      <c r="AF631" s="451"/>
      <c r="AG631" s="929"/>
      <c r="AH631" s="929"/>
      <c r="AI631" s="929"/>
    </row>
    <row r="632" customFormat="false" ht="12.75" hidden="false" customHeight="false" outlineLevel="0" collapsed="false">
      <c r="J632" s="451"/>
      <c r="K632" s="451"/>
      <c r="L632" s="451"/>
      <c r="M632" s="451"/>
      <c r="N632" s="451"/>
      <c r="O632" s="929"/>
      <c r="P632" s="929"/>
      <c r="Q632" s="929"/>
      <c r="S632" s="451"/>
      <c r="T632" s="451"/>
      <c r="U632" s="451"/>
      <c r="V632" s="451"/>
      <c r="X632" s="929"/>
      <c r="Y632" s="929"/>
      <c r="Z632" s="929"/>
      <c r="AB632" s="451"/>
      <c r="AC632" s="451"/>
      <c r="AD632" s="451"/>
      <c r="AE632" s="451"/>
      <c r="AF632" s="451"/>
      <c r="AG632" s="929"/>
      <c r="AH632" s="929"/>
      <c r="AI632" s="929"/>
    </row>
    <row r="633" customFormat="false" ht="12.75" hidden="false" customHeight="false" outlineLevel="0" collapsed="false">
      <c r="J633" s="451"/>
      <c r="K633" s="451"/>
      <c r="L633" s="451"/>
      <c r="M633" s="451"/>
      <c r="N633" s="451"/>
      <c r="O633" s="929"/>
      <c r="P633" s="929"/>
      <c r="Q633" s="929"/>
      <c r="S633" s="451"/>
      <c r="T633" s="451"/>
      <c r="U633" s="451"/>
      <c r="V633" s="451"/>
      <c r="X633" s="929"/>
      <c r="Y633" s="929"/>
      <c r="Z633" s="929"/>
      <c r="AB633" s="451"/>
      <c r="AC633" s="451"/>
      <c r="AD633" s="451"/>
      <c r="AE633" s="451"/>
      <c r="AF633" s="451"/>
      <c r="AG633" s="929"/>
      <c r="AH633" s="929"/>
      <c r="AI633" s="929"/>
    </row>
    <row r="634" customFormat="false" ht="12.75" hidden="false" customHeight="false" outlineLevel="0" collapsed="false">
      <c r="J634" s="451"/>
      <c r="K634" s="451"/>
      <c r="L634" s="451"/>
      <c r="M634" s="451"/>
      <c r="N634" s="451"/>
      <c r="O634" s="929"/>
      <c r="P634" s="929"/>
      <c r="Q634" s="929"/>
      <c r="S634" s="451"/>
      <c r="T634" s="451"/>
      <c r="U634" s="451"/>
      <c r="V634" s="451"/>
      <c r="X634" s="929"/>
      <c r="Y634" s="929"/>
      <c r="Z634" s="929"/>
      <c r="AB634" s="451"/>
      <c r="AC634" s="451"/>
      <c r="AD634" s="451"/>
      <c r="AE634" s="451"/>
      <c r="AF634" s="451"/>
      <c r="AG634" s="929"/>
      <c r="AH634" s="929"/>
      <c r="AI634" s="929"/>
    </row>
    <row r="635" customFormat="false" ht="12.75" hidden="false" customHeight="false" outlineLevel="0" collapsed="false">
      <c r="J635" s="451"/>
      <c r="K635" s="451"/>
      <c r="L635" s="451"/>
      <c r="M635" s="451"/>
      <c r="N635" s="451"/>
      <c r="O635" s="929"/>
      <c r="P635" s="929"/>
      <c r="Q635" s="929"/>
      <c r="S635" s="451"/>
      <c r="T635" s="451"/>
      <c r="U635" s="451"/>
      <c r="V635" s="451"/>
      <c r="X635" s="929"/>
      <c r="Y635" s="929"/>
      <c r="Z635" s="929"/>
      <c r="AB635" s="451"/>
      <c r="AC635" s="451"/>
      <c r="AD635" s="451"/>
      <c r="AE635" s="451"/>
      <c r="AF635" s="451"/>
      <c r="AG635" s="929"/>
      <c r="AH635" s="929"/>
      <c r="AI635" s="929"/>
    </row>
    <row r="636" customFormat="false" ht="12.75" hidden="false" customHeight="false" outlineLevel="0" collapsed="false">
      <c r="J636" s="451"/>
      <c r="K636" s="451"/>
      <c r="L636" s="451"/>
      <c r="M636" s="451"/>
      <c r="N636" s="451"/>
      <c r="O636" s="929"/>
      <c r="P636" s="929"/>
      <c r="Q636" s="929"/>
      <c r="S636" s="451"/>
      <c r="T636" s="451"/>
      <c r="U636" s="451"/>
      <c r="V636" s="451"/>
      <c r="X636" s="929"/>
      <c r="Y636" s="929"/>
      <c r="Z636" s="929"/>
      <c r="AB636" s="451"/>
      <c r="AC636" s="451"/>
      <c r="AD636" s="451"/>
      <c r="AE636" s="451"/>
      <c r="AF636" s="451"/>
      <c r="AG636" s="929"/>
      <c r="AH636" s="929"/>
      <c r="AI636" s="929"/>
    </row>
    <row r="637" customFormat="false" ht="12.75" hidden="false" customHeight="false" outlineLevel="0" collapsed="false">
      <c r="J637" s="451"/>
      <c r="K637" s="451"/>
      <c r="L637" s="451"/>
      <c r="M637" s="451"/>
      <c r="N637" s="451"/>
      <c r="O637" s="929"/>
      <c r="P637" s="929"/>
      <c r="Q637" s="929"/>
      <c r="S637" s="451"/>
      <c r="T637" s="451"/>
      <c r="U637" s="451"/>
      <c r="V637" s="451"/>
      <c r="X637" s="929"/>
      <c r="Y637" s="929"/>
      <c r="Z637" s="929"/>
      <c r="AB637" s="451"/>
      <c r="AC637" s="451"/>
      <c r="AD637" s="451"/>
      <c r="AE637" s="451"/>
      <c r="AF637" s="451"/>
      <c r="AG637" s="929"/>
      <c r="AH637" s="929"/>
      <c r="AI637" s="929"/>
    </row>
    <row r="638" customFormat="false" ht="12.75" hidden="false" customHeight="false" outlineLevel="0" collapsed="false">
      <c r="J638" s="451"/>
      <c r="K638" s="451"/>
      <c r="L638" s="451"/>
      <c r="M638" s="451"/>
      <c r="N638" s="451"/>
      <c r="O638" s="929"/>
      <c r="P638" s="929"/>
      <c r="Q638" s="929"/>
      <c r="S638" s="451"/>
      <c r="T638" s="451"/>
      <c r="U638" s="451"/>
      <c r="V638" s="451"/>
      <c r="X638" s="929"/>
      <c r="Y638" s="929"/>
      <c r="Z638" s="929"/>
      <c r="AB638" s="451"/>
      <c r="AC638" s="451"/>
      <c r="AD638" s="451"/>
      <c r="AE638" s="451"/>
      <c r="AF638" s="451"/>
      <c r="AG638" s="929"/>
      <c r="AH638" s="929"/>
      <c r="AI638" s="929"/>
    </row>
    <row r="639" customFormat="false" ht="12.75" hidden="false" customHeight="false" outlineLevel="0" collapsed="false">
      <c r="J639" s="451"/>
      <c r="K639" s="451"/>
      <c r="L639" s="451"/>
      <c r="M639" s="451"/>
      <c r="N639" s="451"/>
      <c r="O639" s="929"/>
      <c r="P639" s="929"/>
      <c r="Q639" s="929"/>
      <c r="S639" s="451"/>
      <c r="T639" s="451"/>
      <c r="U639" s="451"/>
      <c r="V639" s="451"/>
      <c r="X639" s="929"/>
      <c r="Y639" s="929"/>
      <c r="Z639" s="929"/>
      <c r="AB639" s="451"/>
      <c r="AC639" s="451"/>
      <c r="AD639" s="451"/>
      <c r="AE639" s="451"/>
      <c r="AF639" s="451"/>
      <c r="AG639" s="929"/>
      <c r="AH639" s="929"/>
      <c r="AI639" s="929"/>
    </row>
    <row r="640" customFormat="false" ht="12.75" hidden="false" customHeight="false" outlineLevel="0" collapsed="false">
      <c r="J640" s="451"/>
      <c r="K640" s="451"/>
      <c r="L640" s="451"/>
      <c r="M640" s="451"/>
      <c r="N640" s="451"/>
      <c r="O640" s="929"/>
      <c r="P640" s="929"/>
      <c r="Q640" s="929"/>
      <c r="S640" s="451"/>
      <c r="T640" s="451"/>
      <c r="U640" s="451"/>
      <c r="V640" s="451"/>
      <c r="X640" s="929"/>
      <c r="Y640" s="929"/>
      <c r="Z640" s="929"/>
      <c r="AB640" s="451"/>
      <c r="AC640" s="451"/>
      <c r="AD640" s="451"/>
      <c r="AE640" s="451"/>
      <c r="AF640" s="451"/>
      <c r="AG640" s="929"/>
      <c r="AH640" s="929"/>
      <c r="AI640" s="929"/>
    </row>
    <row r="641" customFormat="false" ht="12.75" hidden="false" customHeight="false" outlineLevel="0" collapsed="false">
      <c r="J641" s="451"/>
      <c r="K641" s="451"/>
      <c r="L641" s="451"/>
      <c r="M641" s="451"/>
      <c r="N641" s="451"/>
      <c r="O641" s="929"/>
      <c r="P641" s="929"/>
      <c r="Q641" s="929"/>
      <c r="S641" s="451"/>
      <c r="T641" s="451"/>
      <c r="U641" s="451"/>
      <c r="V641" s="451"/>
      <c r="X641" s="929"/>
      <c r="Y641" s="929"/>
      <c r="Z641" s="929"/>
      <c r="AB641" s="451"/>
      <c r="AC641" s="451"/>
      <c r="AD641" s="451"/>
      <c r="AE641" s="451"/>
      <c r="AF641" s="451"/>
      <c r="AG641" s="929"/>
      <c r="AH641" s="929"/>
      <c r="AI641" s="929"/>
    </row>
    <row r="642" customFormat="false" ht="12.75" hidden="false" customHeight="false" outlineLevel="0" collapsed="false">
      <c r="J642" s="451"/>
      <c r="K642" s="451"/>
      <c r="L642" s="451"/>
      <c r="M642" s="451"/>
      <c r="N642" s="451"/>
      <c r="O642" s="929"/>
      <c r="P642" s="929"/>
      <c r="Q642" s="929"/>
      <c r="S642" s="451"/>
      <c r="T642" s="451"/>
      <c r="U642" s="451"/>
      <c r="V642" s="451"/>
      <c r="X642" s="929"/>
      <c r="Y642" s="929"/>
      <c r="Z642" s="929"/>
      <c r="AB642" s="451"/>
      <c r="AC642" s="451"/>
      <c r="AD642" s="451"/>
      <c r="AE642" s="451"/>
      <c r="AF642" s="451"/>
      <c r="AG642" s="929"/>
      <c r="AH642" s="929"/>
      <c r="AI642" s="929"/>
    </row>
    <row r="643" customFormat="false" ht="12.75" hidden="false" customHeight="false" outlineLevel="0" collapsed="false">
      <c r="J643" s="451"/>
      <c r="K643" s="451"/>
      <c r="L643" s="451"/>
      <c r="M643" s="451"/>
      <c r="N643" s="451"/>
      <c r="O643" s="929"/>
      <c r="P643" s="929"/>
      <c r="Q643" s="929"/>
      <c r="S643" s="451"/>
      <c r="T643" s="451"/>
      <c r="U643" s="451"/>
      <c r="V643" s="451"/>
      <c r="X643" s="929"/>
      <c r="Y643" s="929"/>
      <c r="Z643" s="929"/>
      <c r="AB643" s="451"/>
      <c r="AC643" s="451"/>
      <c r="AD643" s="451"/>
      <c r="AE643" s="451"/>
      <c r="AF643" s="451"/>
      <c r="AG643" s="929"/>
      <c r="AH643" s="929"/>
      <c r="AI643" s="929"/>
    </row>
    <row r="644" customFormat="false" ht="12.75" hidden="false" customHeight="false" outlineLevel="0" collapsed="false">
      <c r="J644" s="451"/>
      <c r="K644" s="451"/>
      <c r="L644" s="451"/>
      <c r="M644" s="451"/>
      <c r="N644" s="451"/>
      <c r="O644" s="929"/>
      <c r="P644" s="929"/>
      <c r="Q644" s="929"/>
      <c r="S644" s="451"/>
      <c r="T644" s="451"/>
      <c r="U644" s="451"/>
      <c r="V644" s="451"/>
      <c r="X644" s="929"/>
      <c r="Y644" s="929"/>
      <c r="Z644" s="929"/>
      <c r="AB644" s="451"/>
      <c r="AC644" s="451"/>
      <c r="AD644" s="451"/>
      <c r="AE644" s="451"/>
      <c r="AF644" s="451"/>
      <c r="AG644" s="929"/>
      <c r="AH644" s="929"/>
      <c r="AI644" s="929"/>
    </row>
    <row r="645" customFormat="false" ht="12.75" hidden="false" customHeight="false" outlineLevel="0" collapsed="false">
      <c r="J645" s="451"/>
      <c r="K645" s="451"/>
      <c r="L645" s="451"/>
      <c r="M645" s="451"/>
      <c r="N645" s="451"/>
      <c r="O645" s="929"/>
      <c r="P645" s="929"/>
      <c r="Q645" s="929"/>
      <c r="S645" s="451"/>
      <c r="T645" s="451"/>
      <c r="U645" s="451"/>
      <c r="V645" s="451"/>
      <c r="X645" s="929"/>
      <c r="Y645" s="929"/>
      <c r="Z645" s="929"/>
      <c r="AB645" s="451"/>
      <c r="AC645" s="451"/>
      <c r="AD645" s="451"/>
      <c r="AE645" s="451"/>
      <c r="AF645" s="451"/>
      <c r="AG645" s="929"/>
      <c r="AH645" s="929"/>
      <c r="AI645" s="929"/>
    </row>
    <row r="646" customFormat="false" ht="12.75" hidden="false" customHeight="false" outlineLevel="0" collapsed="false">
      <c r="J646" s="451"/>
      <c r="K646" s="451"/>
      <c r="L646" s="451"/>
      <c r="M646" s="451"/>
      <c r="N646" s="451"/>
      <c r="O646" s="929"/>
      <c r="P646" s="929"/>
      <c r="Q646" s="929"/>
      <c r="S646" s="451"/>
      <c r="T646" s="451"/>
      <c r="U646" s="451"/>
      <c r="V646" s="451"/>
      <c r="X646" s="929"/>
      <c r="Y646" s="929"/>
      <c r="Z646" s="929"/>
      <c r="AB646" s="451"/>
      <c r="AC646" s="451"/>
      <c r="AD646" s="451"/>
      <c r="AE646" s="451"/>
      <c r="AF646" s="451"/>
      <c r="AG646" s="929"/>
      <c r="AH646" s="929"/>
      <c r="AI646" s="929"/>
    </row>
    <row r="647" customFormat="false" ht="12.75" hidden="false" customHeight="false" outlineLevel="0" collapsed="false">
      <c r="J647" s="451"/>
      <c r="K647" s="451"/>
      <c r="L647" s="451"/>
      <c r="M647" s="451"/>
      <c r="N647" s="451"/>
      <c r="O647" s="929"/>
      <c r="P647" s="929"/>
      <c r="Q647" s="929"/>
      <c r="S647" s="451"/>
      <c r="T647" s="451"/>
      <c r="U647" s="451"/>
      <c r="V647" s="451"/>
      <c r="X647" s="929"/>
      <c r="Y647" s="929"/>
      <c r="Z647" s="929"/>
      <c r="AB647" s="451"/>
      <c r="AC647" s="451"/>
      <c r="AD647" s="451"/>
      <c r="AE647" s="451"/>
      <c r="AF647" s="451"/>
      <c r="AG647" s="929"/>
      <c r="AH647" s="929"/>
      <c r="AI647" s="929"/>
    </row>
    <row r="648" customFormat="false" ht="12.75" hidden="false" customHeight="false" outlineLevel="0" collapsed="false">
      <c r="J648" s="451"/>
      <c r="K648" s="451"/>
      <c r="L648" s="451"/>
      <c r="M648" s="451"/>
      <c r="N648" s="451"/>
      <c r="O648" s="929"/>
      <c r="P648" s="929"/>
      <c r="Q648" s="929"/>
      <c r="S648" s="451"/>
      <c r="T648" s="451"/>
      <c r="U648" s="451"/>
      <c r="V648" s="451"/>
      <c r="X648" s="929"/>
      <c r="Y648" s="929"/>
      <c r="Z648" s="929"/>
      <c r="AB648" s="451"/>
      <c r="AC648" s="451"/>
      <c r="AD648" s="451"/>
      <c r="AE648" s="451"/>
      <c r="AF648" s="451"/>
      <c r="AG648" s="929"/>
      <c r="AH648" s="929"/>
      <c r="AI648" s="929"/>
    </row>
    <row r="649" customFormat="false" ht="12.75" hidden="false" customHeight="false" outlineLevel="0" collapsed="false">
      <c r="J649" s="451"/>
      <c r="K649" s="451"/>
      <c r="L649" s="451"/>
      <c r="M649" s="451"/>
      <c r="N649" s="451"/>
      <c r="O649" s="929"/>
      <c r="P649" s="929"/>
      <c r="Q649" s="929"/>
      <c r="S649" s="451"/>
      <c r="T649" s="451"/>
      <c r="U649" s="451"/>
      <c r="V649" s="451"/>
      <c r="X649" s="929"/>
      <c r="Y649" s="929"/>
      <c r="Z649" s="929"/>
      <c r="AB649" s="451"/>
      <c r="AC649" s="451"/>
      <c r="AD649" s="451"/>
      <c r="AE649" s="451"/>
      <c r="AF649" s="451"/>
      <c r="AG649" s="929"/>
      <c r="AH649" s="929"/>
      <c r="AI649" s="929"/>
    </row>
    <row r="650" customFormat="false" ht="12.75" hidden="false" customHeight="false" outlineLevel="0" collapsed="false">
      <c r="J650" s="451"/>
      <c r="K650" s="451"/>
      <c r="L650" s="451"/>
      <c r="M650" s="451"/>
      <c r="N650" s="451"/>
      <c r="O650" s="929"/>
      <c r="P650" s="929"/>
      <c r="Q650" s="929"/>
      <c r="S650" s="451"/>
      <c r="T650" s="451"/>
      <c r="U650" s="451"/>
      <c r="V650" s="451"/>
      <c r="X650" s="929"/>
      <c r="Y650" s="929"/>
      <c r="Z650" s="929"/>
      <c r="AB650" s="451"/>
      <c r="AC650" s="451"/>
      <c r="AD650" s="451"/>
      <c r="AE650" s="451"/>
      <c r="AF650" s="451"/>
      <c r="AG650" s="929"/>
      <c r="AH650" s="929"/>
      <c r="AI650" s="929"/>
    </row>
    <row r="651" customFormat="false" ht="12.75" hidden="false" customHeight="false" outlineLevel="0" collapsed="false">
      <c r="J651" s="451"/>
      <c r="K651" s="451"/>
      <c r="L651" s="451"/>
      <c r="M651" s="451"/>
      <c r="N651" s="451"/>
      <c r="O651" s="929"/>
      <c r="P651" s="929"/>
      <c r="Q651" s="929"/>
      <c r="S651" s="451"/>
      <c r="T651" s="451"/>
      <c r="U651" s="451"/>
      <c r="V651" s="451"/>
      <c r="X651" s="929"/>
      <c r="Y651" s="929"/>
      <c r="Z651" s="929"/>
      <c r="AB651" s="451"/>
      <c r="AC651" s="451"/>
      <c r="AD651" s="451"/>
      <c r="AE651" s="451"/>
      <c r="AF651" s="451"/>
      <c r="AG651" s="929"/>
      <c r="AH651" s="929"/>
      <c r="AI651" s="929"/>
    </row>
    <row r="652" customFormat="false" ht="12.75" hidden="false" customHeight="false" outlineLevel="0" collapsed="false">
      <c r="J652" s="451"/>
      <c r="K652" s="451"/>
      <c r="L652" s="451"/>
      <c r="M652" s="451"/>
      <c r="N652" s="451"/>
      <c r="O652" s="929"/>
      <c r="P652" s="929"/>
      <c r="Q652" s="929"/>
      <c r="S652" s="451"/>
      <c r="T652" s="451"/>
      <c r="U652" s="451"/>
      <c r="V652" s="451"/>
      <c r="X652" s="929"/>
      <c r="Y652" s="929"/>
      <c r="Z652" s="929"/>
      <c r="AB652" s="451"/>
      <c r="AC652" s="451"/>
      <c r="AD652" s="451"/>
      <c r="AE652" s="451"/>
      <c r="AF652" s="451"/>
      <c r="AG652" s="929"/>
      <c r="AH652" s="929"/>
      <c r="AI652" s="929"/>
    </row>
    <row r="653" customFormat="false" ht="12.75" hidden="false" customHeight="false" outlineLevel="0" collapsed="false">
      <c r="J653" s="451"/>
      <c r="K653" s="451"/>
      <c r="L653" s="451"/>
      <c r="M653" s="451"/>
      <c r="N653" s="451"/>
      <c r="O653" s="929"/>
      <c r="P653" s="929"/>
      <c r="Q653" s="929"/>
      <c r="S653" s="451"/>
      <c r="T653" s="451"/>
      <c r="U653" s="451"/>
      <c r="V653" s="451"/>
      <c r="X653" s="929"/>
      <c r="Y653" s="929"/>
      <c r="Z653" s="929"/>
      <c r="AB653" s="451"/>
      <c r="AC653" s="451"/>
      <c r="AD653" s="451"/>
      <c r="AE653" s="451"/>
      <c r="AF653" s="451"/>
      <c r="AG653" s="929"/>
      <c r="AH653" s="929"/>
      <c r="AI653" s="929"/>
    </row>
    <row r="654" customFormat="false" ht="12.75" hidden="false" customHeight="false" outlineLevel="0" collapsed="false">
      <c r="J654" s="451"/>
      <c r="K654" s="451"/>
      <c r="L654" s="451"/>
      <c r="M654" s="451"/>
      <c r="N654" s="451"/>
      <c r="O654" s="929"/>
      <c r="P654" s="929"/>
      <c r="Q654" s="929"/>
      <c r="S654" s="451"/>
      <c r="T654" s="451"/>
      <c r="U654" s="451"/>
      <c r="V654" s="451"/>
      <c r="X654" s="929"/>
      <c r="Y654" s="929"/>
      <c r="Z654" s="929"/>
      <c r="AB654" s="451"/>
      <c r="AC654" s="451"/>
      <c r="AD654" s="451"/>
      <c r="AE654" s="451"/>
      <c r="AF654" s="451"/>
      <c r="AG654" s="929"/>
      <c r="AH654" s="929"/>
      <c r="AI654" s="929"/>
    </row>
    <row r="655" customFormat="false" ht="12.75" hidden="false" customHeight="false" outlineLevel="0" collapsed="false">
      <c r="J655" s="451"/>
      <c r="K655" s="451"/>
      <c r="L655" s="451"/>
      <c r="M655" s="451"/>
      <c r="N655" s="451"/>
      <c r="O655" s="929"/>
      <c r="P655" s="929"/>
      <c r="Q655" s="929"/>
      <c r="S655" s="451"/>
      <c r="T655" s="451"/>
      <c r="U655" s="451"/>
      <c r="V655" s="451"/>
      <c r="X655" s="929"/>
      <c r="Y655" s="929"/>
      <c r="Z655" s="929"/>
      <c r="AB655" s="451"/>
      <c r="AC655" s="451"/>
      <c r="AD655" s="451"/>
      <c r="AE655" s="451"/>
      <c r="AF655" s="451"/>
      <c r="AG655" s="929"/>
      <c r="AH655" s="929"/>
      <c r="AI655" s="929"/>
    </row>
    <row r="656" customFormat="false" ht="12.75" hidden="false" customHeight="false" outlineLevel="0" collapsed="false">
      <c r="J656" s="451"/>
      <c r="K656" s="451"/>
      <c r="L656" s="451"/>
      <c r="M656" s="451"/>
      <c r="N656" s="451"/>
      <c r="O656" s="929"/>
      <c r="P656" s="929"/>
      <c r="Q656" s="929"/>
      <c r="S656" s="451"/>
      <c r="T656" s="451"/>
      <c r="U656" s="451"/>
      <c r="V656" s="451"/>
      <c r="X656" s="929"/>
      <c r="Y656" s="929"/>
      <c r="Z656" s="929"/>
      <c r="AB656" s="451"/>
      <c r="AC656" s="451"/>
      <c r="AD656" s="451"/>
      <c r="AE656" s="451"/>
      <c r="AF656" s="451"/>
      <c r="AG656" s="929"/>
      <c r="AH656" s="929"/>
      <c r="AI656" s="929"/>
    </row>
    <row r="657" customFormat="false" ht="12.75" hidden="false" customHeight="false" outlineLevel="0" collapsed="false">
      <c r="J657" s="451"/>
      <c r="K657" s="451"/>
      <c r="L657" s="451"/>
      <c r="M657" s="451"/>
      <c r="N657" s="451"/>
      <c r="O657" s="929"/>
      <c r="P657" s="929"/>
      <c r="Q657" s="929"/>
      <c r="S657" s="451"/>
      <c r="T657" s="451"/>
      <c r="U657" s="451"/>
      <c r="V657" s="451"/>
      <c r="X657" s="929"/>
      <c r="Y657" s="929"/>
      <c r="Z657" s="929"/>
      <c r="AB657" s="451"/>
      <c r="AC657" s="451"/>
      <c r="AD657" s="451"/>
      <c r="AE657" s="451"/>
      <c r="AF657" s="451"/>
      <c r="AG657" s="929"/>
      <c r="AH657" s="929"/>
      <c r="AI657" s="929"/>
    </row>
    <row r="658" customFormat="false" ht="12.75" hidden="false" customHeight="false" outlineLevel="0" collapsed="false">
      <c r="J658" s="451"/>
      <c r="K658" s="451"/>
      <c r="L658" s="451"/>
      <c r="M658" s="451"/>
      <c r="N658" s="451"/>
      <c r="O658" s="929"/>
      <c r="P658" s="929"/>
      <c r="Q658" s="929"/>
      <c r="S658" s="451"/>
      <c r="T658" s="451"/>
      <c r="U658" s="451"/>
      <c r="V658" s="451"/>
      <c r="X658" s="929"/>
      <c r="Y658" s="929"/>
      <c r="Z658" s="929"/>
      <c r="AB658" s="451"/>
      <c r="AC658" s="451"/>
      <c r="AD658" s="451"/>
      <c r="AE658" s="451"/>
      <c r="AF658" s="451"/>
      <c r="AG658" s="929"/>
      <c r="AH658" s="929"/>
      <c r="AI658" s="929"/>
    </row>
    <row r="659" customFormat="false" ht="12.75" hidden="false" customHeight="false" outlineLevel="0" collapsed="false">
      <c r="J659" s="451"/>
      <c r="K659" s="451"/>
      <c r="L659" s="451"/>
      <c r="M659" s="451"/>
      <c r="N659" s="451"/>
      <c r="O659" s="929"/>
      <c r="P659" s="929"/>
      <c r="Q659" s="929"/>
      <c r="S659" s="451"/>
      <c r="T659" s="451"/>
      <c r="U659" s="451"/>
      <c r="V659" s="451"/>
      <c r="X659" s="929"/>
      <c r="Y659" s="929"/>
      <c r="Z659" s="929"/>
      <c r="AB659" s="451"/>
      <c r="AC659" s="451"/>
      <c r="AD659" s="451"/>
      <c r="AE659" s="451"/>
      <c r="AF659" s="451"/>
      <c r="AG659" s="929"/>
      <c r="AH659" s="929"/>
      <c r="AI659" s="929"/>
    </row>
    <row r="660" customFormat="false" ht="12.75" hidden="false" customHeight="false" outlineLevel="0" collapsed="false">
      <c r="J660" s="451"/>
      <c r="K660" s="451"/>
      <c r="L660" s="451"/>
      <c r="M660" s="451"/>
      <c r="N660" s="451"/>
      <c r="O660" s="929"/>
      <c r="P660" s="929"/>
      <c r="Q660" s="929"/>
      <c r="S660" s="451"/>
      <c r="T660" s="451"/>
      <c r="U660" s="451"/>
      <c r="V660" s="451"/>
      <c r="X660" s="929"/>
      <c r="Y660" s="929"/>
      <c r="Z660" s="929"/>
      <c r="AB660" s="451"/>
      <c r="AC660" s="451"/>
      <c r="AD660" s="451"/>
      <c r="AE660" s="451"/>
      <c r="AF660" s="451"/>
      <c r="AG660" s="929"/>
      <c r="AH660" s="929"/>
      <c r="AI660" s="929"/>
    </row>
    <row r="661" customFormat="false" ht="12.75" hidden="false" customHeight="false" outlineLevel="0" collapsed="false">
      <c r="J661" s="451"/>
      <c r="K661" s="451"/>
      <c r="L661" s="451"/>
      <c r="M661" s="451"/>
      <c r="N661" s="451"/>
      <c r="O661" s="929"/>
      <c r="P661" s="929"/>
      <c r="Q661" s="929"/>
      <c r="S661" s="451"/>
      <c r="T661" s="451"/>
      <c r="U661" s="451"/>
      <c r="V661" s="451"/>
      <c r="X661" s="929"/>
      <c r="Y661" s="929"/>
      <c r="Z661" s="929"/>
      <c r="AB661" s="451"/>
      <c r="AC661" s="451"/>
      <c r="AD661" s="451"/>
      <c r="AE661" s="451"/>
      <c r="AF661" s="451"/>
      <c r="AG661" s="929"/>
      <c r="AH661" s="929"/>
      <c r="AI661" s="929"/>
    </row>
    <row r="662" customFormat="false" ht="12.75" hidden="false" customHeight="false" outlineLevel="0" collapsed="false">
      <c r="J662" s="451"/>
      <c r="K662" s="451"/>
      <c r="L662" s="451"/>
      <c r="M662" s="451"/>
      <c r="N662" s="451"/>
      <c r="O662" s="929"/>
      <c r="P662" s="929"/>
      <c r="Q662" s="929"/>
      <c r="S662" s="451"/>
      <c r="T662" s="451"/>
      <c r="U662" s="451"/>
      <c r="V662" s="451"/>
      <c r="X662" s="929"/>
      <c r="Y662" s="929"/>
      <c r="Z662" s="929"/>
      <c r="AB662" s="451"/>
      <c r="AC662" s="451"/>
      <c r="AD662" s="451"/>
      <c r="AE662" s="451"/>
      <c r="AF662" s="451"/>
      <c r="AG662" s="929"/>
      <c r="AH662" s="929"/>
      <c r="AI662" s="929"/>
    </row>
    <row r="663" customFormat="false" ht="12.75" hidden="false" customHeight="false" outlineLevel="0" collapsed="false">
      <c r="J663" s="451"/>
      <c r="K663" s="451"/>
      <c r="L663" s="451"/>
      <c r="M663" s="451"/>
      <c r="N663" s="451"/>
      <c r="O663" s="929"/>
      <c r="P663" s="929"/>
      <c r="Q663" s="929"/>
      <c r="S663" s="451"/>
      <c r="T663" s="451"/>
      <c r="U663" s="451"/>
      <c r="V663" s="451"/>
      <c r="X663" s="929"/>
      <c r="Y663" s="929"/>
      <c r="Z663" s="929"/>
      <c r="AB663" s="451"/>
      <c r="AC663" s="451"/>
      <c r="AD663" s="451"/>
      <c r="AE663" s="451"/>
      <c r="AF663" s="451"/>
      <c r="AG663" s="929"/>
      <c r="AH663" s="929"/>
      <c r="AI663" s="929"/>
    </row>
    <row r="664" customFormat="false" ht="12.75" hidden="false" customHeight="false" outlineLevel="0" collapsed="false">
      <c r="J664" s="451"/>
      <c r="K664" s="451"/>
      <c r="L664" s="451"/>
      <c r="M664" s="451"/>
      <c r="N664" s="451"/>
      <c r="O664" s="929"/>
      <c r="P664" s="929"/>
      <c r="Q664" s="929"/>
      <c r="S664" s="451"/>
      <c r="T664" s="451"/>
      <c r="U664" s="451"/>
      <c r="V664" s="451"/>
      <c r="X664" s="929"/>
      <c r="Y664" s="929"/>
      <c r="Z664" s="929"/>
      <c r="AB664" s="451"/>
      <c r="AC664" s="451"/>
      <c r="AD664" s="451"/>
      <c r="AE664" s="451"/>
      <c r="AF664" s="451"/>
      <c r="AG664" s="929"/>
      <c r="AH664" s="929"/>
      <c r="AI664" s="929"/>
    </row>
    <row r="665" customFormat="false" ht="12.75" hidden="false" customHeight="false" outlineLevel="0" collapsed="false">
      <c r="J665" s="451"/>
      <c r="K665" s="451"/>
      <c r="L665" s="451"/>
      <c r="M665" s="451"/>
      <c r="N665" s="451"/>
      <c r="O665" s="929"/>
      <c r="P665" s="929"/>
      <c r="Q665" s="929"/>
      <c r="S665" s="451"/>
      <c r="T665" s="451"/>
      <c r="U665" s="451"/>
      <c r="V665" s="451"/>
      <c r="X665" s="929"/>
      <c r="Y665" s="929"/>
      <c r="Z665" s="929"/>
      <c r="AB665" s="451"/>
      <c r="AC665" s="451"/>
      <c r="AD665" s="451"/>
      <c r="AE665" s="451"/>
      <c r="AF665" s="451"/>
      <c r="AG665" s="929"/>
      <c r="AH665" s="929"/>
      <c r="AI665" s="929"/>
    </row>
    <row r="666" customFormat="false" ht="12.75" hidden="false" customHeight="false" outlineLevel="0" collapsed="false">
      <c r="J666" s="451"/>
      <c r="K666" s="451"/>
      <c r="L666" s="451"/>
      <c r="M666" s="451"/>
      <c r="N666" s="451"/>
      <c r="O666" s="929"/>
      <c r="P666" s="929"/>
      <c r="Q666" s="929"/>
      <c r="S666" s="451"/>
      <c r="T666" s="451"/>
      <c r="U666" s="451"/>
      <c r="V666" s="451"/>
      <c r="X666" s="929"/>
      <c r="Y666" s="929"/>
      <c r="Z666" s="929"/>
      <c r="AB666" s="451"/>
      <c r="AC666" s="451"/>
      <c r="AD666" s="451"/>
      <c r="AE666" s="451"/>
      <c r="AF666" s="451"/>
      <c r="AG666" s="929"/>
      <c r="AH666" s="929"/>
      <c r="AI666" s="929"/>
    </row>
    <row r="667" customFormat="false" ht="12.75" hidden="false" customHeight="false" outlineLevel="0" collapsed="false">
      <c r="J667" s="451"/>
      <c r="K667" s="451"/>
      <c r="L667" s="451"/>
      <c r="M667" s="451"/>
      <c r="N667" s="451"/>
      <c r="O667" s="929"/>
      <c r="P667" s="929"/>
      <c r="Q667" s="929"/>
      <c r="S667" s="451"/>
      <c r="T667" s="451"/>
      <c r="U667" s="451"/>
      <c r="V667" s="451"/>
      <c r="X667" s="929"/>
      <c r="Y667" s="929"/>
      <c r="Z667" s="929"/>
      <c r="AB667" s="451"/>
      <c r="AC667" s="451"/>
      <c r="AD667" s="451"/>
      <c r="AE667" s="451"/>
      <c r="AF667" s="451"/>
      <c r="AG667" s="929"/>
      <c r="AH667" s="929"/>
      <c r="AI667" s="929"/>
    </row>
    <row r="668" customFormat="false" ht="12.75" hidden="false" customHeight="false" outlineLevel="0" collapsed="false">
      <c r="J668" s="451"/>
      <c r="K668" s="451"/>
      <c r="L668" s="451"/>
      <c r="M668" s="451"/>
      <c r="N668" s="451"/>
      <c r="O668" s="929"/>
      <c r="P668" s="929"/>
      <c r="Q668" s="929"/>
      <c r="S668" s="451"/>
      <c r="T668" s="451"/>
      <c r="U668" s="451"/>
      <c r="V668" s="451"/>
      <c r="X668" s="929"/>
      <c r="Y668" s="929"/>
      <c r="Z668" s="929"/>
      <c r="AB668" s="451"/>
      <c r="AC668" s="451"/>
      <c r="AD668" s="451"/>
      <c r="AE668" s="451"/>
      <c r="AF668" s="451"/>
      <c r="AG668" s="929"/>
      <c r="AH668" s="929"/>
      <c r="AI668" s="929"/>
    </row>
    <row r="669" customFormat="false" ht="12.75" hidden="false" customHeight="false" outlineLevel="0" collapsed="false">
      <c r="J669" s="451"/>
      <c r="K669" s="451"/>
      <c r="L669" s="451"/>
      <c r="M669" s="451"/>
      <c r="N669" s="451"/>
      <c r="O669" s="929"/>
      <c r="P669" s="929"/>
      <c r="Q669" s="929"/>
      <c r="S669" s="451"/>
      <c r="T669" s="451"/>
      <c r="U669" s="451"/>
      <c r="V669" s="451"/>
      <c r="X669" s="929"/>
      <c r="Y669" s="929"/>
      <c r="Z669" s="929"/>
      <c r="AB669" s="451"/>
      <c r="AC669" s="451"/>
      <c r="AD669" s="451"/>
      <c r="AE669" s="451"/>
      <c r="AF669" s="451"/>
      <c r="AG669" s="929"/>
      <c r="AH669" s="929"/>
      <c r="AI669" s="929"/>
    </row>
    <row r="670" customFormat="false" ht="12.75" hidden="false" customHeight="false" outlineLevel="0" collapsed="false">
      <c r="J670" s="451"/>
      <c r="K670" s="451"/>
      <c r="L670" s="451"/>
      <c r="M670" s="451"/>
      <c r="N670" s="451"/>
      <c r="O670" s="929"/>
      <c r="P670" s="929"/>
      <c r="Q670" s="929"/>
      <c r="S670" s="451"/>
      <c r="T670" s="451"/>
      <c r="U670" s="451"/>
      <c r="V670" s="451"/>
      <c r="X670" s="929"/>
      <c r="Y670" s="929"/>
      <c r="Z670" s="929"/>
      <c r="AB670" s="451"/>
      <c r="AC670" s="451"/>
      <c r="AD670" s="451"/>
      <c r="AE670" s="451"/>
      <c r="AF670" s="451"/>
      <c r="AG670" s="929"/>
      <c r="AH670" s="929"/>
      <c r="AI670" s="929"/>
    </row>
    <row r="671" customFormat="false" ht="12.75" hidden="false" customHeight="false" outlineLevel="0" collapsed="false">
      <c r="J671" s="451"/>
      <c r="K671" s="451"/>
      <c r="L671" s="451"/>
      <c r="M671" s="451"/>
      <c r="N671" s="451"/>
      <c r="O671" s="929"/>
      <c r="P671" s="929"/>
      <c r="Q671" s="929"/>
      <c r="S671" s="451"/>
      <c r="T671" s="451"/>
      <c r="U671" s="451"/>
      <c r="V671" s="451"/>
      <c r="X671" s="929"/>
      <c r="Y671" s="929"/>
      <c r="Z671" s="929"/>
      <c r="AB671" s="451"/>
      <c r="AC671" s="451"/>
      <c r="AD671" s="451"/>
      <c r="AE671" s="451"/>
      <c r="AF671" s="451"/>
      <c r="AG671" s="929"/>
      <c r="AH671" s="929"/>
      <c r="AI671" s="929"/>
    </row>
    <row r="672" customFormat="false" ht="12.75" hidden="false" customHeight="false" outlineLevel="0" collapsed="false">
      <c r="J672" s="451"/>
      <c r="K672" s="451"/>
      <c r="L672" s="451"/>
      <c r="M672" s="451"/>
      <c r="N672" s="451"/>
      <c r="O672" s="929"/>
      <c r="P672" s="929"/>
      <c r="Q672" s="929"/>
      <c r="S672" s="451"/>
      <c r="T672" s="451"/>
      <c r="U672" s="451"/>
      <c r="V672" s="451"/>
      <c r="X672" s="929"/>
      <c r="Y672" s="929"/>
      <c r="Z672" s="929"/>
      <c r="AB672" s="451"/>
      <c r="AC672" s="451"/>
      <c r="AD672" s="451"/>
      <c r="AE672" s="451"/>
      <c r="AF672" s="451"/>
      <c r="AG672" s="929"/>
      <c r="AH672" s="929"/>
      <c r="AI672" s="929"/>
    </row>
    <row r="673" customFormat="false" ht="12.75" hidden="false" customHeight="false" outlineLevel="0" collapsed="false">
      <c r="J673" s="451"/>
      <c r="K673" s="451"/>
      <c r="L673" s="451"/>
      <c r="M673" s="451"/>
      <c r="N673" s="451"/>
      <c r="O673" s="929"/>
      <c r="P673" s="929"/>
      <c r="Q673" s="929"/>
      <c r="S673" s="451"/>
      <c r="T673" s="451"/>
      <c r="U673" s="451"/>
      <c r="V673" s="451"/>
      <c r="X673" s="929"/>
      <c r="Y673" s="929"/>
      <c r="Z673" s="929"/>
      <c r="AB673" s="451"/>
      <c r="AC673" s="451"/>
      <c r="AD673" s="451"/>
      <c r="AE673" s="451"/>
      <c r="AF673" s="451"/>
      <c r="AG673" s="929"/>
      <c r="AH673" s="929"/>
      <c r="AI673" s="929"/>
    </row>
    <row r="674" customFormat="false" ht="12.75" hidden="false" customHeight="false" outlineLevel="0" collapsed="false">
      <c r="J674" s="451"/>
      <c r="K674" s="451"/>
      <c r="L674" s="451"/>
      <c r="M674" s="451"/>
      <c r="N674" s="451"/>
      <c r="O674" s="929"/>
      <c r="P674" s="929"/>
      <c r="Q674" s="929"/>
      <c r="S674" s="451"/>
      <c r="T674" s="451"/>
      <c r="U674" s="451"/>
      <c r="V674" s="451"/>
      <c r="X674" s="929"/>
      <c r="Y674" s="929"/>
      <c r="Z674" s="929"/>
      <c r="AB674" s="451"/>
      <c r="AC674" s="451"/>
      <c r="AD674" s="451"/>
      <c r="AE674" s="451"/>
      <c r="AF674" s="451"/>
      <c r="AG674" s="929"/>
      <c r="AH674" s="929"/>
      <c r="AI674" s="929"/>
    </row>
    <row r="675" customFormat="false" ht="12.75" hidden="false" customHeight="false" outlineLevel="0" collapsed="false">
      <c r="J675" s="451"/>
      <c r="K675" s="451"/>
      <c r="L675" s="451"/>
      <c r="M675" s="451"/>
      <c r="N675" s="451"/>
      <c r="O675" s="929"/>
      <c r="P675" s="929"/>
      <c r="Q675" s="929"/>
      <c r="S675" s="451"/>
      <c r="T675" s="451"/>
      <c r="U675" s="451"/>
      <c r="V675" s="451"/>
      <c r="X675" s="929"/>
      <c r="Y675" s="929"/>
      <c r="Z675" s="929"/>
      <c r="AB675" s="451"/>
      <c r="AC675" s="451"/>
      <c r="AD675" s="451"/>
      <c r="AE675" s="451"/>
      <c r="AF675" s="451"/>
      <c r="AG675" s="929"/>
      <c r="AH675" s="929"/>
      <c r="AI675" s="929"/>
    </row>
    <row r="676" customFormat="false" ht="12.75" hidden="false" customHeight="false" outlineLevel="0" collapsed="false">
      <c r="J676" s="451"/>
      <c r="K676" s="451"/>
      <c r="L676" s="451"/>
      <c r="M676" s="451"/>
      <c r="N676" s="451"/>
      <c r="O676" s="929"/>
      <c r="P676" s="929"/>
      <c r="Q676" s="929"/>
      <c r="S676" s="451"/>
      <c r="T676" s="451"/>
      <c r="U676" s="451"/>
      <c r="V676" s="451"/>
      <c r="X676" s="929"/>
      <c r="Y676" s="929"/>
      <c r="Z676" s="929"/>
      <c r="AB676" s="451"/>
      <c r="AC676" s="451"/>
      <c r="AD676" s="451"/>
      <c r="AE676" s="451"/>
      <c r="AF676" s="451"/>
      <c r="AG676" s="929"/>
      <c r="AH676" s="929"/>
      <c r="AI676" s="929"/>
    </row>
    <row r="677" customFormat="false" ht="12.75" hidden="false" customHeight="false" outlineLevel="0" collapsed="false">
      <c r="J677" s="451"/>
      <c r="K677" s="451"/>
      <c r="L677" s="451"/>
      <c r="M677" s="451"/>
      <c r="N677" s="451"/>
      <c r="O677" s="929"/>
      <c r="P677" s="929"/>
      <c r="Q677" s="929"/>
      <c r="S677" s="451"/>
      <c r="T677" s="451"/>
      <c r="U677" s="451"/>
      <c r="V677" s="451"/>
      <c r="X677" s="929"/>
      <c r="Y677" s="929"/>
      <c r="Z677" s="929"/>
      <c r="AB677" s="451"/>
      <c r="AC677" s="451"/>
      <c r="AD677" s="451"/>
      <c r="AE677" s="451"/>
      <c r="AF677" s="451"/>
      <c r="AG677" s="929"/>
      <c r="AH677" s="929"/>
      <c r="AI677" s="929"/>
    </row>
    <row r="678" customFormat="false" ht="12.75" hidden="false" customHeight="false" outlineLevel="0" collapsed="false">
      <c r="J678" s="451"/>
      <c r="K678" s="451"/>
      <c r="L678" s="451"/>
      <c r="M678" s="451"/>
      <c r="N678" s="451"/>
      <c r="O678" s="929"/>
      <c r="P678" s="929"/>
      <c r="Q678" s="929"/>
      <c r="S678" s="451"/>
      <c r="T678" s="451"/>
      <c r="U678" s="451"/>
      <c r="V678" s="451"/>
      <c r="X678" s="929"/>
      <c r="Y678" s="929"/>
      <c r="Z678" s="929"/>
      <c r="AB678" s="451"/>
      <c r="AC678" s="451"/>
      <c r="AD678" s="451"/>
      <c r="AE678" s="451"/>
      <c r="AF678" s="451"/>
      <c r="AG678" s="929"/>
      <c r="AH678" s="929"/>
      <c r="AI678" s="929"/>
    </row>
    <row r="679" customFormat="false" ht="12.75" hidden="false" customHeight="false" outlineLevel="0" collapsed="false">
      <c r="J679" s="451"/>
      <c r="K679" s="451"/>
      <c r="L679" s="451"/>
      <c r="M679" s="451"/>
      <c r="N679" s="451"/>
      <c r="O679" s="929"/>
      <c r="P679" s="929"/>
      <c r="Q679" s="929"/>
      <c r="S679" s="451"/>
      <c r="T679" s="451"/>
      <c r="U679" s="451"/>
      <c r="V679" s="451"/>
      <c r="X679" s="929"/>
      <c r="Y679" s="929"/>
      <c r="Z679" s="929"/>
      <c r="AB679" s="451"/>
      <c r="AC679" s="451"/>
      <c r="AD679" s="451"/>
      <c r="AE679" s="451"/>
      <c r="AF679" s="451"/>
      <c r="AG679" s="929"/>
      <c r="AH679" s="929"/>
      <c r="AI679" s="929"/>
    </row>
    <row r="680" customFormat="false" ht="12.75" hidden="false" customHeight="false" outlineLevel="0" collapsed="false">
      <c r="J680" s="451"/>
      <c r="K680" s="451"/>
      <c r="L680" s="451"/>
      <c r="M680" s="451"/>
      <c r="N680" s="451"/>
      <c r="O680" s="929"/>
      <c r="P680" s="929"/>
      <c r="Q680" s="929"/>
      <c r="S680" s="451"/>
      <c r="T680" s="451"/>
      <c r="U680" s="451"/>
      <c r="V680" s="451"/>
      <c r="X680" s="929"/>
      <c r="Y680" s="929"/>
      <c r="Z680" s="929"/>
      <c r="AB680" s="451"/>
      <c r="AC680" s="451"/>
      <c r="AD680" s="451"/>
      <c r="AE680" s="451"/>
      <c r="AF680" s="451"/>
      <c r="AG680" s="929"/>
      <c r="AH680" s="929"/>
      <c r="AI680" s="929"/>
    </row>
    <row r="681" customFormat="false" ht="12.75" hidden="false" customHeight="false" outlineLevel="0" collapsed="false">
      <c r="J681" s="451"/>
      <c r="K681" s="451"/>
      <c r="L681" s="451"/>
      <c r="M681" s="451"/>
      <c r="N681" s="451"/>
      <c r="O681" s="929"/>
      <c r="P681" s="929"/>
      <c r="Q681" s="929"/>
      <c r="S681" s="451"/>
      <c r="T681" s="451"/>
      <c r="U681" s="451"/>
      <c r="V681" s="451"/>
      <c r="X681" s="929"/>
      <c r="Y681" s="929"/>
      <c r="Z681" s="929"/>
      <c r="AB681" s="451"/>
      <c r="AC681" s="451"/>
      <c r="AD681" s="451"/>
      <c r="AE681" s="451"/>
      <c r="AF681" s="451"/>
      <c r="AG681" s="929"/>
      <c r="AH681" s="929"/>
      <c r="AI681" s="929"/>
    </row>
    <row r="682" customFormat="false" ht="12.75" hidden="false" customHeight="false" outlineLevel="0" collapsed="false">
      <c r="J682" s="451"/>
      <c r="K682" s="451"/>
      <c r="L682" s="451"/>
      <c r="M682" s="451"/>
      <c r="N682" s="451"/>
      <c r="O682" s="929"/>
      <c r="P682" s="929"/>
      <c r="Q682" s="929"/>
      <c r="S682" s="451"/>
      <c r="T682" s="451"/>
      <c r="U682" s="451"/>
      <c r="V682" s="451"/>
      <c r="X682" s="929"/>
      <c r="Y682" s="929"/>
      <c r="Z682" s="929"/>
      <c r="AB682" s="451"/>
      <c r="AC682" s="451"/>
      <c r="AD682" s="451"/>
      <c r="AE682" s="451"/>
      <c r="AF682" s="451"/>
      <c r="AG682" s="929"/>
      <c r="AH682" s="929"/>
      <c r="AI682" s="929"/>
    </row>
    <row r="683" customFormat="false" ht="12.75" hidden="false" customHeight="false" outlineLevel="0" collapsed="false">
      <c r="J683" s="451"/>
      <c r="K683" s="451"/>
      <c r="L683" s="451"/>
      <c r="M683" s="451"/>
      <c r="N683" s="451"/>
      <c r="O683" s="929"/>
      <c r="P683" s="929"/>
      <c r="Q683" s="929"/>
      <c r="S683" s="451"/>
      <c r="T683" s="451"/>
      <c r="U683" s="451"/>
      <c r="V683" s="451"/>
      <c r="X683" s="929"/>
      <c r="Y683" s="929"/>
      <c r="Z683" s="929"/>
      <c r="AB683" s="451"/>
      <c r="AC683" s="451"/>
      <c r="AD683" s="451"/>
      <c r="AE683" s="451"/>
      <c r="AF683" s="451"/>
      <c r="AG683" s="929"/>
      <c r="AH683" s="929"/>
      <c r="AI683" s="929"/>
    </row>
    <row r="684" customFormat="false" ht="12.75" hidden="false" customHeight="false" outlineLevel="0" collapsed="false">
      <c r="J684" s="451"/>
      <c r="K684" s="451"/>
      <c r="L684" s="451"/>
      <c r="M684" s="451"/>
      <c r="N684" s="451"/>
      <c r="O684" s="929"/>
      <c r="P684" s="929"/>
      <c r="Q684" s="929"/>
      <c r="S684" s="451"/>
      <c r="T684" s="451"/>
      <c r="U684" s="451"/>
      <c r="V684" s="451"/>
      <c r="X684" s="929"/>
      <c r="Y684" s="929"/>
      <c r="Z684" s="929"/>
      <c r="AB684" s="451"/>
      <c r="AC684" s="451"/>
      <c r="AD684" s="451"/>
      <c r="AE684" s="451"/>
      <c r="AF684" s="451"/>
      <c r="AG684" s="929"/>
      <c r="AH684" s="929"/>
      <c r="AI684" s="929"/>
    </row>
    <row r="685" customFormat="false" ht="12.75" hidden="false" customHeight="false" outlineLevel="0" collapsed="false">
      <c r="J685" s="451"/>
      <c r="K685" s="451"/>
      <c r="L685" s="451"/>
      <c r="M685" s="451"/>
      <c r="N685" s="451"/>
      <c r="O685" s="929"/>
      <c r="P685" s="929"/>
      <c r="Q685" s="929"/>
      <c r="S685" s="451"/>
      <c r="T685" s="451"/>
      <c r="U685" s="451"/>
      <c r="V685" s="451"/>
      <c r="X685" s="929"/>
      <c r="Y685" s="929"/>
      <c r="Z685" s="929"/>
      <c r="AB685" s="451"/>
      <c r="AC685" s="451"/>
      <c r="AD685" s="451"/>
      <c r="AE685" s="451"/>
      <c r="AF685" s="451"/>
      <c r="AG685" s="929"/>
      <c r="AH685" s="929"/>
      <c r="AI685" s="929"/>
    </row>
    <row r="686" customFormat="false" ht="12.75" hidden="false" customHeight="false" outlineLevel="0" collapsed="false">
      <c r="J686" s="451"/>
      <c r="K686" s="451"/>
      <c r="L686" s="451"/>
      <c r="M686" s="451"/>
      <c r="N686" s="451"/>
      <c r="O686" s="929"/>
      <c r="P686" s="929"/>
      <c r="Q686" s="929"/>
      <c r="S686" s="451"/>
      <c r="T686" s="451"/>
      <c r="U686" s="451"/>
      <c r="V686" s="451"/>
      <c r="X686" s="929"/>
      <c r="Y686" s="929"/>
      <c r="Z686" s="929"/>
      <c r="AB686" s="451"/>
      <c r="AC686" s="451"/>
      <c r="AD686" s="451"/>
      <c r="AE686" s="451"/>
      <c r="AF686" s="451"/>
      <c r="AG686" s="929"/>
      <c r="AH686" s="929"/>
      <c r="AI686" s="929"/>
    </row>
    <row r="687" customFormat="false" ht="12.75" hidden="false" customHeight="false" outlineLevel="0" collapsed="false">
      <c r="J687" s="451"/>
      <c r="K687" s="451"/>
      <c r="L687" s="451"/>
      <c r="M687" s="451"/>
      <c r="N687" s="451"/>
      <c r="O687" s="929"/>
      <c r="P687" s="929"/>
      <c r="Q687" s="929"/>
      <c r="S687" s="451"/>
      <c r="T687" s="451"/>
      <c r="U687" s="451"/>
      <c r="V687" s="451"/>
      <c r="X687" s="929"/>
      <c r="Y687" s="929"/>
      <c r="Z687" s="929"/>
      <c r="AB687" s="451"/>
      <c r="AC687" s="451"/>
      <c r="AD687" s="451"/>
      <c r="AE687" s="451"/>
      <c r="AF687" s="451"/>
      <c r="AG687" s="929"/>
      <c r="AH687" s="929"/>
      <c r="AI687" s="929"/>
    </row>
    <row r="688" customFormat="false" ht="12.75" hidden="false" customHeight="false" outlineLevel="0" collapsed="false">
      <c r="J688" s="451"/>
      <c r="K688" s="451"/>
      <c r="L688" s="451"/>
      <c r="M688" s="451"/>
      <c r="N688" s="451"/>
      <c r="O688" s="929"/>
      <c r="P688" s="929"/>
      <c r="Q688" s="929"/>
      <c r="S688" s="451"/>
      <c r="T688" s="451"/>
      <c r="U688" s="451"/>
      <c r="V688" s="451"/>
      <c r="X688" s="929"/>
      <c r="Y688" s="929"/>
      <c r="Z688" s="929"/>
      <c r="AB688" s="451"/>
      <c r="AC688" s="451"/>
      <c r="AD688" s="451"/>
      <c r="AE688" s="451"/>
      <c r="AF688" s="451"/>
      <c r="AG688" s="929"/>
      <c r="AH688" s="929"/>
      <c r="AI688" s="929"/>
    </row>
    <row r="689" customFormat="false" ht="12.75" hidden="false" customHeight="false" outlineLevel="0" collapsed="false">
      <c r="J689" s="451"/>
      <c r="K689" s="451"/>
      <c r="L689" s="451"/>
      <c r="M689" s="451"/>
      <c r="N689" s="451"/>
      <c r="O689" s="929"/>
      <c r="P689" s="929"/>
      <c r="Q689" s="929"/>
      <c r="S689" s="451"/>
      <c r="T689" s="451"/>
      <c r="U689" s="451"/>
      <c r="V689" s="451"/>
      <c r="X689" s="929"/>
      <c r="Y689" s="929"/>
      <c r="Z689" s="929"/>
      <c r="AB689" s="451"/>
      <c r="AC689" s="451"/>
      <c r="AD689" s="451"/>
      <c r="AE689" s="451"/>
      <c r="AF689" s="451"/>
      <c r="AG689" s="929"/>
      <c r="AH689" s="929"/>
      <c r="AI689" s="929"/>
    </row>
    <row r="690" customFormat="false" ht="12.75" hidden="false" customHeight="false" outlineLevel="0" collapsed="false">
      <c r="J690" s="451"/>
      <c r="K690" s="451"/>
      <c r="L690" s="451"/>
      <c r="M690" s="451"/>
      <c r="N690" s="451"/>
      <c r="O690" s="929"/>
      <c r="P690" s="929"/>
      <c r="Q690" s="929"/>
      <c r="S690" s="451"/>
      <c r="T690" s="451"/>
      <c r="U690" s="451"/>
      <c r="V690" s="451"/>
      <c r="X690" s="929"/>
      <c r="Y690" s="929"/>
      <c r="Z690" s="929"/>
      <c r="AB690" s="451"/>
      <c r="AC690" s="451"/>
      <c r="AD690" s="451"/>
      <c r="AE690" s="451"/>
      <c r="AF690" s="451"/>
      <c r="AG690" s="929"/>
      <c r="AH690" s="929"/>
      <c r="AI690" s="929"/>
    </row>
    <row r="691" customFormat="false" ht="12.75" hidden="false" customHeight="false" outlineLevel="0" collapsed="false">
      <c r="J691" s="451"/>
      <c r="K691" s="451"/>
      <c r="L691" s="451"/>
      <c r="M691" s="451"/>
      <c r="N691" s="451"/>
      <c r="O691" s="929"/>
      <c r="P691" s="929"/>
      <c r="Q691" s="929"/>
      <c r="S691" s="451"/>
      <c r="T691" s="451"/>
      <c r="U691" s="451"/>
      <c r="V691" s="451"/>
      <c r="X691" s="929"/>
      <c r="Y691" s="929"/>
      <c r="Z691" s="929"/>
      <c r="AB691" s="451"/>
      <c r="AC691" s="451"/>
      <c r="AD691" s="451"/>
      <c r="AE691" s="451"/>
      <c r="AF691" s="451"/>
      <c r="AG691" s="929"/>
      <c r="AH691" s="929"/>
      <c r="AI691" s="929"/>
    </row>
    <row r="692" customFormat="false" ht="12.75" hidden="false" customHeight="false" outlineLevel="0" collapsed="false">
      <c r="J692" s="451"/>
      <c r="K692" s="451"/>
      <c r="L692" s="451"/>
      <c r="M692" s="451"/>
      <c r="N692" s="451"/>
      <c r="O692" s="929"/>
      <c r="P692" s="929"/>
      <c r="Q692" s="929"/>
      <c r="S692" s="451"/>
      <c r="T692" s="451"/>
      <c r="U692" s="451"/>
      <c r="V692" s="451"/>
      <c r="X692" s="929"/>
      <c r="Y692" s="929"/>
      <c r="Z692" s="929"/>
      <c r="AB692" s="451"/>
      <c r="AC692" s="451"/>
      <c r="AD692" s="451"/>
      <c r="AE692" s="451"/>
      <c r="AF692" s="451"/>
      <c r="AG692" s="929"/>
      <c r="AH692" s="929"/>
      <c r="AI692" s="929"/>
    </row>
    <row r="693" customFormat="false" ht="12.75" hidden="false" customHeight="false" outlineLevel="0" collapsed="false">
      <c r="J693" s="451"/>
      <c r="K693" s="451"/>
      <c r="L693" s="451"/>
      <c r="M693" s="451"/>
      <c r="N693" s="451"/>
      <c r="O693" s="929"/>
      <c r="P693" s="929"/>
      <c r="Q693" s="929"/>
      <c r="S693" s="451"/>
      <c r="T693" s="451"/>
      <c r="U693" s="451"/>
      <c r="V693" s="451"/>
      <c r="X693" s="929"/>
      <c r="Y693" s="929"/>
      <c r="Z693" s="929"/>
      <c r="AB693" s="451"/>
      <c r="AC693" s="451"/>
      <c r="AD693" s="451"/>
      <c r="AE693" s="451"/>
      <c r="AF693" s="451"/>
      <c r="AG693" s="929"/>
      <c r="AH693" s="929"/>
      <c r="AI693" s="929"/>
    </row>
    <row r="694" customFormat="false" ht="12.75" hidden="false" customHeight="false" outlineLevel="0" collapsed="false">
      <c r="J694" s="451"/>
      <c r="K694" s="451"/>
      <c r="L694" s="451"/>
      <c r="M694" s="451"/>
      <c r="N694" s="451"/>
      <c r="O694" s="929"/>
      <c r="P694" s="929"/>
      <c r="Q694" s="929"/>
      <c r="S694" s="451"/>
      <c r="T694" s="451"/>
      <c r="U694" s="451"/>
      <c r="V694" s="451"/>
      <c r="X694" s="929"/>
      <c r="Y694" s="929"/>
      <c r="Z694" s="929"/>
      <c r="AB694" s="451"/>
      <c r="AC694" s="451"/>
      <c r="AD694" s="451"/>
      <c r="AE694" s="451"/>
      <c r="AF694" s="451"/>
      <c r="AG694" s="929"/>
      <c r="AH694" s="929"/>
      <c r="AI694" s="929"/>
    </row>
    <row r="695" customFormat="false" ht="12.75" hidden="false" customHeight="false" outlineLevel="0" collapsed="false">
      <c r="J695" s="451"/>
      <c r="K695" s="451"/>
      <c r="L695" s="451"/>
      <c r="M695" s="451"/>
      <c r="N695" s="451"/>
      <c r="O695" s="929"/>
      <c r="P695" s="929"/>
      <c r="Q695" s="929"/>
      <c r="S695" s="451"/>
      <c r="T695" s="451"/>
      <c r="U695" s="451"/>
      <c r="V695" s="451"/>
      <c r="X695" s="929"/>
      <c r="Y695" s="929"/>
      <c r="Z695" s="929"/>
      <c r="AB695" s="451"/>
      <c r="AC695" s="451"/>
      <c r="AD695" s="451"/>
      <c r="AE695" s="451"/>
      <c r="AF695" s="451"/>
      <c r="AG695" s="929"/>
      <c r="AH695" s="929"/>
      <c r="AI695" s="929"/>
    </row>
    <row r="696" customFormat="false" ht="12.75" hidden="false" customHeight="false" outlineLevel="0" collapsed="false">
      <c r="J696" s="451"/>
      <c r="K696" s="451"/>
      <c r="L696" s="451"/>
      <c r="M696" s="451"/>
      <c r="N696" s="451"/>
      <c r="O696" s="929"/>
      <c r="P696" s="929"/>
      <c r="Q696" s="929"/>
      <c r="S696" s="451"/>
      <c r="T696" s="451"/>
      <c r="U696" s="451"/>
      <c r="V696" s="451"/>
      <c r="X696" s="929"/>
      <c r="Y696" s="929"/>
      <c r="Z696" s="929"/>
      <c r="AB696" s="451"/>
      <c r="AC696" s="451"/>
      <c r="AD696" s="451"/>
      <c r="AE696" s="451"/>
      <c r="AF696" s="451"/>
      <c r="AG696" s="929"/>
      <c r="AH696" s="929"/>
      <c r="AI696" s="929"/>
    </row>
    <row r="697" customFormat="false" ht="12.75" hidden="false" customHeight="false" outlineLevel="0" collapsed="false">
      <c r="J697" s="451"/>
      <c r="K697" s="451"/>
      <c r="L697" s="451"/>
      <c r="M697" s="451"/>
      <c r="N697" s="451"/>
      <c r="O697" s="929"/>
      <c r="P697" s="929"/>
      <c r="Q697" s="929"/>
      <c r="S697" s="451"/>
      <c r="T697" s="451"/>
      <c r="U697" s="451"/>
      <c r="V697" s="451"/>
      <c r="X697" s="929"/>
      <c r="Y697" s="929"/>
      <c r="Z697" s="929"/>
      <c r="AB697" s="451"/>
      <c r="AC697" s="451"/>
      <c r="AD697" s="451"/>
      <c r="AE697" s="451"/>
      <c r="AF697" s="451"/>
      <c r="AG697" s="929"/>
      <c r="AH697" s="929"/>
      <c r="AI697" s="929"/>
    </row>
    <row r="698" customFormat="false" ht="12.75" hidden="false" customHeight="false" outlineLevel="0" collapsed="false">
      <c r="J698" s="451"/>
      <c r="K698" s="451"/>
      <c r="L698" s="451"/>
      <c r="M698" s="451"/>
      <c r="N698" s="451"/>
      <c r="O698" s="929"/>
      <c r="P698" s="929"/>
      <c r="Q698" s="929"/>
      <c r="S698" s="451"/>
      <c r="T698" s="451"/>
      <c r="U698" s="451"/>
      <c r="V698" s="451"/>
      <c r="X698" s="929"/>
      <c r="Y698" s="929"/>
      <c r="Z698" s="929"/>
      <c r="AB698" s="451"/>
      <c r="AC698" s="451"/>
      <c r="AD698" s="451"/>
      <c r="AE698" s="451"/>
      <c r="AF698" s="451"/>
      <c r="AG698" s="929"/>
      <c r="AH698" s="929"/>
      <c r="AI698" s="929"/>
    </row>
    <row r="699" customFormat="false" ht="12.75" hidden="false" customHeight="false" outlineLevel="0" collapsed="false">
      <c r="J699" s="451"/>
      <c r="K699" s="451"/>
      <c r="L699" s="451"/>
      <c r="M699" s="451"/>
      <c r="N699" s="451"/>
      <c r="O699" s="929"/>
      <c r="P699" s="929"/>
      <c r="Q699" s="929"/>
      <c r="S699" s="451"/>
      <c r="T699" s="451"/>
      <c r="U699" s="451"/>
      <c r="V699" s="451"/>
      <c r="X699" s="929"/>
      <c r="Y699" s="929"/>
      <c r="Z699" s="929"/>
      <c r="AB699" s="451"/>
      <c r="AC699" s="451"/>
      <c r="AD699" s="451"/>
      <c r="AE699" s="451"/>
      <c r="AF699" s="451"/>
      <c r="AG699" s="929"/>
      <c r="AH699" s="929"/>
      <c r="AI699" s="929"/>
    </row>
    <row r="700" customFormat="false" ht="12.75" hidden="false" customHeight="false" outlineLevel="0" collapsed="false">
      <c r="J700" s="451"/>
      <c r="K700" s="451"/>
      <c r="L700" s="451"/>
      <c r="M700" s="451"/>
      <c r="N700" s="451"/>
      <c r="O700" s="929"/>
      <c r="P700" s="929"/>
      <c r="Q700" s="929"/>
      <c r="S700" s="451"/>
      <c r="T700" s="451"/>
      <c r="U700" s="451"/>
      <c r="V700" s="451"/>
      <c r="X700" s="929"/>
      <c r="Y700" s="929"/>
      <c r="Z700" s="929"/>
      <c r="AB700" s="451"/>
      <c r="AC700" s="451"/>
      <c r="AD700" s="451"/>
      <c r="AE700" s="451"/>
      <c r="AF700" s="451"/>
      <c r="AG700" s="929"/>
      <c r="AH700" s="929"/>
      <c r="AI700" s="929"/>
    </row>
    <row r="701" customFormat="false" ht="12.75" hidden="false" customHeight="false" outlineLevel="0" collapsed="false">
      <c r="J701" s="451"/>
      <c r="K701" s="451"/>
      <c r="L701" s="451"/>
      <c r="M701" s="451"/>
      <c r="N701" s="451"/>
      <c r="O701" s="929"/>
      <c r="P701" s="929"/>
      <c r="Q701" s="929"/>
      <c r="S701" s="451"/>
      <c r="T701" s="451"/>
      <c r="U701" s="451"/>
      <c r="V701" s="451"/>
      <c r="X701" s="929"/>
      <c r="Y701" s="929"/>
      <c r="Z701" s="929"/>
      <c r="AB701" s="451"/>
      <c r="AC701" s="451"/>
      <c r="AD701" s="451"/>
      <c r="AE701" s="451"/>
      <c r="AF701" s="451"/>
      <c r="AG701" s="929"/>
      <c r="AH701" s="929"/>
      <c r="AI701" s="929"/>
    </row>
    <row r="702" customFormat="false" ht="12.75" hidden="false" customHeight="false" outlineLevel="0" collapsed="false">
      <c r="J702" s="451"/>
      <c r="K702" s="451"/>
      <c r="L702" s="451"/>
      <c r="M702" s="451"/>
      <c r="N702" s="451"/>
      <c r="O702" s="929"/>
      <c r="P702" s="929"/>
      <c r="Q702" s="929"/>
      <c r="S702" s="451"/>
      <c r="T702" s="451"/>
      <c r="U702" s="451"/>
      <c r="V702" s="451"/>
      <c r="X702" s="929"/>
      <c r="Y702" s="929"/>
      <c r="Z702" s="929"/>
      <c r="AB702" s="451"/>
      <c r="AC702" s="451"/>
      <c r="AD702" s="451"/>
      <c r="AE702" s="451"/>
      <c r="AF702" s="451"/>
      <c r="AG702" s="929"/>
      <c r="AH702" s="929"/>
      <c r="AI702" s="929"/>
    </row>
    <row r="703" customFormat="false" ht="12.75" hidden="false" customHeight="false" outlineLevel="0" collapsed="false">
      <c r="J703" s="451"/>
      <c r="K703" s="451"/>
      <c r="L703" s="451"/>
      <c r="M703" s="451"/>
      <c r="N703" s="451"/>
      <c r="O703" s="929"/>
      <c r="P703" s="929"/>
      <c r="Q703" s="929"/>
      <c r="S703" s="451"/>
      <c r="T703" s="451"/>
      <c r="U703" s="451"/>
      <c r="V703" s="451"/>
      <c r="X703" s="929"/>
      <c r="Y703" s="929"/>
      <c r="Z703" s="929"/>
      <c r="AB703" s="451"/>
      <c r="AC703" s="451"/>
      <c r="AD703" s="451"/>
      <c r="AE703" s="451"/>
      <c r="AF703" s="451"/>
      <c r="AG703" s="929"/>
      <c r="AH703" s="929"/>
      <c r="AI703" s="929"/>
    </row>
    <row r="704" customFormat="false" ht="12.75" hidden="false" customHeight="false" outlineLevel="0" collapsed="false">
      <c r="J704" s="451"/>
      <c r="K704" s="451"/>
      <c r="L704" s="451"/>
      <c r="M704" s="451"/>
      <c r="N704" s="451"/>
      <c r="O704" s="929"/>
      <c r="P704" s="929"/>
      <c r="Q704" s="929"/>
      <c r="S704" s="451"/>
      <c r="T704" s="451"/>
      <c r="U704" s="451"/>
      <c r="V704" s="451"/>
      <c r="X704" s="929"/>
      <c r="Y704" s="929"/>
      <c r="Z704" s="929"/>
      <c r="AB704" s="451"/>
      <c r="AC704" s="451"/>
      <c r="AD704" s="451"/>
      <c r="AE704" s="451"/>
      <c r="AF704" s="451"/>
      <c r="AG704" s="929"/>
      <c r="AH704" s="929"/>
      <c r="AI704" s="929"/>
    </row>
    <row r="705" customFormat="false" ht="12.75" hidden="false" customHeight="false" outlineLevel="0" collapsed="false">
      <c r="J705" s="451"/>
      <c r="K705" s="451"/>
      <c r="L705" s="451"/>
      <c r="M705" s="451"/>
      <c r="N705" s="451"/>
      <c r="O705" s="929"/>
      <c r="P705" s="929"/>
      <c r="Q705" s="929"/>
      <c r="S705" s="451"/>
      <c r="T705" s="451"/>
      <c r="U705" s="451"/>
      <c r="V705" s="451"/>
      <c r="X705" s="929"/>
      <c r="Y705" s="929"/>
      <c r="Z705" s="929"/>
      <c r="AB705" s="451"/>
      <c r="AC705" s="451"/>
      <c r="AD705" s="451"/>
      <c r="AE705" s="451"/>
      <c r="AF705" s="451"/>
      <c r="AG705" s="929"/>
      <c r="AH705" s="929"/>
      <c r="AI705" s="929"/>
    </row>
    <row r="706" customFormat="false" ht="12.75" hidden="false" customHeight="false" outlineLevel="0" collapsed="false">
      <c r="J706" s="451"/>
      <c r="K706" s="451"/>
      <c r="L706" s="451"/>
      <c r="M706" s="451"/>
      <c r="N706" s="451"/>
      <c r="O706" s="929"/>
      <c r="P706" s="929"/>
      <c r="Q706" s="929"/>
      <c r="S706" s="451"/>
      <c r="T706" s="451"/>
      <c r="U706" s="451"/>
      <c r="V706" s="451"/>
      <c r="X706" s="929"/>
      <c r="Y706" s="929"/>
      <c r="Z706" s="929"/>
      <c r="AB706" s="451"/>
      <c r="AC706" s="451"/>
      <c r="AD706" s="451"/>
      <c r="AE706" s="451"/>
      <c r="AF706" s="451"/>
      <c r="AG706" s="929"/>
      <c r="AH706" s="929"/>
      <c r="AI706" s="929"/>
    </row>
    <row r="707" customFormat="false" ht="12.75" hidden="false" customHeight="false" outlineLevel="0" collapsed="false">
      <c r="J707" s="451"/>
      <c r="K707" s="451"/>
      <c r="L707" s="451"/>
      <c r="M707" s="451"/>
      <c r="N707" s="451"/>
      <c r="O707" s="929"/>
      <c r="P707" s="929"/>
      <c r="Q707" s="929"/>
      <c r="S707" s="451"/>
      <c r="T707" s="451"/>
      <c r="U707" s="451"/>
      <c r="V707" s="451"/>
      <c r="X707" s="929"/>
      <c r="Y707" s="929"/>
      <c r="Z707" s="929"/>
      <c r="AB707" s="451"/>
      <c r="AC707" s="451"/>
      <c r="AD707" s="451"/>
      <c r="AE707" s="451"/>
      <c r="AF707" s="451"/>
      <c r="AG707" s="929"/>
      <c r="AH707" s="929"/>
      <c r="AI707" s="929"/>
    </row>
    <row r="708" customFormat="false" ht="12.75" hidden="false" customHeight="false" outlineLevel="0" collapsed="false">
      <c r="J708" s="451"/>
      <c r="K708" s="451"/>
      <c r="L708" s="451"/>
      <c r="M708" s="451"/>
      <c r="N708" s="451"/>
      <c r="O708" s="929"/>
      <c r="P708" s="929"/>
      <c r="Q708" s="929"/>
      <c r="S708" s="451"/>
      <c r="T708" s="451"/>
      <c r="U708" s="451"/>
      <c r="V708" s="451"/>
      <c r="X708" s="929"/>
      <c r="Y708" s="929"/>
      <c r="Z708" s="929"/>
      <c r="AB708" s="451"/>
      <c r="AC708" s="451"/>
      <c r="AD708" s="451"/>
      <c r="AE708" s="451"/>
      <c r="AF708" s="451"/>
      <c r="AG708" s="929"/>
      <c r="AH708" s="929"/>
      <c r="AI708" s="929"/>
    </row>
    <row r="709" customFormat="false" ht="12.75" hidden="false" customHeight="false" outlineLevel="0" collapsed="false">
      <c r="J709" s="451"/>
      <c r="K709" s="451"/>
      <c r="L709" s="451"/>
      <c r="M709" s="451"/>
      <c r="N709" s="451"/>
      <c r="O709" s="929"/>
      <c r="P709" s="929"/>
      <c r="Q709" s="929"/>
      <c r="S709" s="451"/>
      <c r="T709" s="451"/>
      <c r="U709" s="451"/>
      <c r="V709" s="451"/>
      <c r="X709" s="929"/>
      <c r="Y709" s="929"/>
      <c r="Z709" s="929"/>
      <c r="AB709" s="451"/>
      <c r="AC709" s="451"/>
      <c r="AD709" s="451"/>
      <c r="AE709" s="451"/>
      <c r="AF709" s="451"/>
      <c r="AG709" s="929"/>
      <c r="AH709" s="929"/>
      <c r="AI709" s="929"/>
    </row>
    <row r="710" customFormat="false" ht="12.75" hidden="false" customHeight="false" outlineLevel="0" collapsed="false">
      <c r="J710" s="451"/>
      <c r="K710" s="451"/>
      <c r="L710" s="451"/>
      <c r="M710" s="451"/>
      <c r="N710" s="451"/>
      <c r="O710" s="929"/>
      <c r="P710" s="929"/>
      <c r="Q710" s="929"/>
      <c r="S710" s="451"/>
      <c r="T710" s="451"/>
      <c r="U710" s="451"/>
      <c r="V710" s="451"/>
      <c r="X710" s="929"/>
      <c r="Y710" s="929"/>
      <c r="Z710" s="929"/>
      <c r="AB710" s="451"/>
      <c r="AC710" s="451"/>
      <c r="AD710" s="451"/>
      <c r="AE710" s="451"/>
      <c r="AF710" s="451"/>
      <c r="AG710" s="929"/>
      <c r="AH710" s="929"/>
      <c r="AI710" s="929"/>
    </row>
    <row r="711" customFormat="false" ht="12.75" hidden="false" customHeight="false" outlineLevel="0" collapsed="false">
      <c r="J711" s="451"/>
      <c r="K711" s="451"/>
      <c r="L711" s="451"/>
      <c r="M711" s="451"/>
      <c r="N711" s="451"/>
      <c r="O711" s="929"/>
      <c r="P711" s="929"/>
      <c r="Q711" s="929"/>
      <c r="S711" s="451"/>
      <c r="T711" s="451"/>
      <c r="U711" s="451"/>
      <c r="V711" s="451"/>
      <c r="X711" s="929"/>
      <c r="Y711" s="929"/>
      <c r="Z711" s="929"/>
      <c r="AB711" s="451"/>
      <c r="AC711" s="451"/>
      <c r="AD711" s="451"/>
      <c r="AE711" s="451"/>
      <c r="AF711" s="451"/>
      <c r="AG711" s="929"/>
      <c r="AH711" s="929"/>
      <c r="AI711" s="929"/>
    </row>
    <row r="712" customFormat="false" ht="12.75" hidden="false" customHeight="false" outlineLevel="0" collapsed="false">
      <c r="J712" s="451"/>
      <c r="K712" s="451"/>
      <c r="L712" s="451"/>
      <c r="M712" s="451"/>
      <c r="N712" s="451"/>
      <c r="O712" s="929"/>
      <c r="P712" s="929"/>
      <c r="Q712" s="929"/>
      <c r="S712" s="451"/>
      <c r="T712" s="451"/>
      <c r="U712" s="451"/>
      <c r="V712" s="451"/>
      <c r="X712" s="929"/>
      <c r="Y712" s="929"/>
      <c r="Z712" s="929"/>
      <c r="AB712" s="451"/>
      <c r="AC712" s="451"/>
      <c r="AD712" s="451"/>
      <c r="AE712" s="451"/>
      <c r="AF712" s="451"/>
      <c r="AG712" s="929"/>
      <c r="AH712" s="929"/>
      <c r="AI712" s="929"/>
    </row>
    <row r="713" customFormat="false" ht="12.75" hidden="false" customHeight="false" outlineLevel="0" collapsed="false">
      <c r="J713" s="451"/>
      <c r="K713" s="451"/>
      <c r="L713" s="451"/>
      <c r="M713" s="451"/>
      <c r="N713" s="451"/>
      <c r="O713" s="929"/>
      <c r="P713" s="929"/>
      <c r="Q713" s="929"/>
      <c r="S713" s="451"/>
      <c r="T713" s="451"/>
      <c r="U713" s="451"/>
      <c r="V713" s="451"/>
      <c r="X713" s="929"/>
      <c r="Y713" s="929"/>
      <c r="Z713" s="929"/>
      <c r="AB713" s="451"/>
      <c r="AC713" s="451"/>
      <c r="AD713" s="451"/>
      <c r="AE713" s="451"/>
      <c r="AF713" s="451"/>
      <c r="AG713" s="929"/>
      <c r="AH713" s="929"/>
      <c r="AI713" s="929"/>
    </row>
    <row r="714" customFormat="false" ht="12.75" hidden="false" customHeight="false" outlineLevel="0" collapsed="false">
      <c r="J714" s="451"/>
      <c r="K714" s="451"/>
      <c r="L714" s="451"/>
      <c r="M714" s="451"/>
      <c r="N714" s="451"/>
      <c r="O714" s="929"/>
      <c r="P714" s="929"/>
      <c r="Q714" s="929"/>
      <c r="S714" s="451"/>
      <c r="T714" s="451"/>
      <c r="U714" s="451"/>
      <c r="V714" s="451"/>
      <c r="X714" s="929"/>
      <c r="Y714" s="929"/>
      <c r="Z714" s="929"/>
      <c r="AB714" s="451"/>
      <c r="AC714" s="451"/>
      <c r="AD714" s="451"/>
      <c r="AE714" s="451"/>
      <c r="AF714" s="451"/>
      <c r="AG714" s="929"/>
      <c r="AH714" s="929"/>
      <c r="AI714" s="929"/>
    </row>
    <row r="715" customFormat="false" ht="12.75" hidden="false" customHeight="false" outlineLevel="0" collapsed="false">
      <c r="J715" s="451"/>
      <c r="K715" s="451"/>
      <c r="L715" s="451"/>
      <c r="M715" s="451"/>
      <c r="N715" s="451"/>
      <c r="O715" s="929"/>
      <c r="P715" s="929"/>
      <c r="Q715" s="929"/>
      <c r="S715" s="451"/>
      <c r="T715" s="451"/>
      <c r="U715" s="451"/>
      <c r="V715" s="451"/>
      <c r="X715" s="929"/>
      <c r="Y715" s="929"/>
      <c r="Z715" s="929"/>
      <c r="AB715" s="451"/>
      <c r="AC715" s="451"/>
      <c r="AD715" s="451"/>
      <c r="AE715" s="451"/>
      <c r="AF715" s="451"/>
      <c r="AG715" s="929"/>
      <c r="AH715" s="929"/>
      <c r="AI715" s="929"/>
    </row>
    <row r="716" customFormat="false" ht="12.75" hidden="false" customHeight="false" outlineLevel="0" collapsed="false">
      <c r="J716" s="451"/>
      <c r="K716" s="451"/>
      <c r="L716" s="451"/>
      <c r="M716" s="451"/>
      <c r="N716" s="451"/>
      <c r="O716" s="929"/>
      <c r="P716" s="929"/>
      <c r="Q716" s="929"/>
      <c r="S716" s="451"/>
      <c r="T716" s="451"/>
      <c r="U716" s="451"/>
      <c r="V716" s="451"/>
      <c r="X716" s="929"/>
      <c r="Y716" s="929"/>
      <c r="Z716" s="929"/>
      <c r="AB716" s="451"/>
      <c r="AC716" s="451"/>
      <c r="AD716" s="451"/>
      <c r="AE716" s="451"/>
      <c r="AF716" s="451"/>
      <c r="AG716" s="929"/>
      <c r="AH716" s="929"/>
      <c r="AI716" s="929"/>
    </row>
    <row r="717" customFormat="false" ht="12.75" hidden="false" customHeight="false" outlineLevel="0" collapsed="false">
      <c r="J717" s="451"/>
      <c r="K717" s="451"/>
      <c r="L717" s="451"/>
      <c r="M717" s="451"/>
      <c r="N717" s="451"/>
      <c r="O717" s="929"/>
      <c r="P717" s="929"/>
      <c r="Q717" s="929"/>
      <c r="S717" s="451"/>
      <c r="T717" s="451"/>
      <c r="U717" s="451"/>
      <c r="V717" s="451"/>
      <c r="X717" s="929"/>
      <c r="Y717" s="929"/>
      <c r="Z717" s="929"/>
      <c r="AB717" s="451"/>
      <c r="AC717" s="451"/>
      <c r="AD717" s="451"/>
      <c r="AE717" s="451"/>
      <c r="AF717" s="451"/>
      <c r="AG717" s="929"/>
      <c r="AH717" s="929"/>
      <c r="AI717" s="929"/>
    </row>
    <row r="718" customFormat="false" ht="12.75" hidden="false" customHeight="false" outlineLevel="0" collapsed="false">
      <c r="J718" s="451"/>
      <c r="K718" s="451"/>
      <c r="L718" s="451"/>
      <c r="M718" s="451"/>
      <c r="N718" s="451"/>
      <c r="O718" s="929"/>
      <c r="P718" s="929"/>
      <c r="Q718" s="929"/>
      <c r="S718" s="451"/>
      <c r="T718" s="451"/>
      <c r="U718" s="451"/>
      <c r="V718" s="451"/>
      <c r="X718" s="929"/>
      <c r="Y718" s="929"/>
      <c r="Z718" s="929"/>
      <c r="AB718" s="451"/>
      <c r="AC718" s="451"/>
      <c r="AD718" s="451"/>
      <c r="AE718" s="451"/>
      <c r="AF718" s="451"/>
      <c r="AG718" s="929"/>
      <c r="AH718" s="929"/>
      <c r="AI718" s="929"/>
    </row>
    <row r="719" customFormat="false" ht="12.75" hidden="false" customHeight="false" outlineLevel="0" collapsed="false">
      <c r="J719" s="451"/>
      <c r="K719" s="451"/>
      <c r="L719" s="451"/>
      <c r="M719" s="451"/>
      <c r="N719" s="451"/>
      <c r="O719" s="929"/>
      <c r="P719" s="929"/>
      <c r="Q719" s="929"/>
      <c r="S719" s="451"/>
      <c r="T719" s="451"/>
      <c r="U719" s="451"/>
      <c r="V719" s="451"/>
      <c r="X719" s="929"/>
      <c r="Y719" s="929"/>
      <c r="Z719" s="929"/>
      <c r="AB719" s="451"/>
      <c r="AC719" s="451"/>
      <c r="AD719" s="451"/>
      <c r="AE719" s="451"/>
      <c r="AF719" s="451"/>
      <c r="AG719" s="929"/>
      <c r="AH719" s="929"/>
      <c r="AI719" s="929"/>
    </row>
    <row r="720" customFormat="false" ht="12.75" hidden="false" customHeight="false" outlineLevel="0" collapsed="false">
      <c r="J720" s="451"/>
      <c r="K720" s="451"/>
      <c r="L720" s="451"/>
      <c r="M720" s="451"/>
      <c r="N720" s="451"/>
      <c r="O720" s="929"/>
      <c r="P720" s="929"/>
      <c r="Q720" s="929"/>
      <c r="S720" s="451"/>
      <c r="T720" s="451"/>
      <c r="U720" s="451"/>
      <c r="V720" s="451"/>
      <c r="X720" s="929"/>
      <c r="Y720" s="929"/>
      <c r="Z720" s="929"/>
      <c r="AB720" s="451"/>
      <c r="AC720" s="451"/>
      <c r="AD720" s="451"/>
      <c r="AE720" s="451"/>
      <c r="AF720" s="451"/>
      <c r="AG720" s="929"/>
      <c r="AH720" s="929"/>
      <c r="AI720" s="929"/>
    </row>
    <row r="721" customFormat="false" ht="12.75" hidden="false" customHeight="false" outlineLevel="0" collapsed="false">
      <c r="J721" s="451"/>
      <c r="K721" s="451"/>
      <c r="L721" s="451"/>
      <c r="M721" s="451"/>
      <c r="N721" s="451"/>
      <c r="O721" s="929"/>
      <c r="P721" s="929"/>
      <c r="Q721" s="929"/>
      <c r="S721" s="451"/>
      <c r="T721" s="451"/>
      <c r="U721" s="451"/>
      <c r="V721" s="451"/>
      <c r="X721" s="929"/>
      <c r="Y721" s="929"/>
      <c r="Z721" s="929"/>
      <c r="AB721" s="451"/>
      <c r="AC721" s="451"/>
      <c r="AD721" s="451"/>
      <c r="AE721" s="451"/>
      <c r="AF721" s="451"/>
      <c r="AG721" s="929"/>
      <c r="AH721" s="929"/>
      <c r="AI721" s="929"/>
    </row>
    <row r="722" customFormat="false" ht="12.75" hidden="false" customHeight="false" outlineLevel="0" collapsed="false">
      <c r="J722" s="451"/>
      <c r="K722" s="451"/>
      <c r="L722" s="451"/>
      <c r="M722" s="451"/>
      <c r="N722" s="451"/>
      <c r="O722" s="929"/>
      <c r="P722" s="929"/>
      <c r="Q722" s="929"/>
      <c r="S722" s="451"/>
      <c r="T722" s="451"/>
      <c r="U722" s="451"/>
      <c r="V722" s="451"/>
      <c r="X722" s="929"/>
      <c r="Y722" s="929"/>
      <c r="Z722" s="929"/>
      <c r="AB722" s="451"/>
      <c r="AC722" s="451"/>
      <c r="AD722" s="451"/>
      <c r="AE722" s="451"/>
      <c r="AF722" s="451"/>
      <c r="AG722" s="929"/>
      <c r="AH722" s="929"/>
      <c r="AI722" s="929"/>
    </row>
    <row r="723" customFormat="false" ht="12.75" hidden="false" customHeight="false" outlineLevel="0" collapsed="false">
      <c r="J723" s="451"/>
      <c r="K723" s="451"/>
      <c r="L723" s="451"/>
      <c r="M723" s="451"/>
      <c r="N723" s="451"/>
      <c r="O723" s="929"/>
      <c r="P723" s="929"/>
      <c r="Q723" s="929"/>
      <c r="S723" s="451"/>
      <c r="T723" s="451"/>
      <c r="U723" s="451"/>
      <c r="V723" s="451"/>
      <c r="X723" s="929"/>
      <c r="Y723" s="929"/>
      <c r="Z723" s="929"/>
      <c r="AB723" s="451"/>
      <c r="AC723" s="451"/>
      <c r="AD723" s="451"/>
      <c r="AE723" s="451"/>
      <c r="AF723" s="451"/>
      <c r="AG723" s="929"/>
      <c r="AH723" s="929"/>
      <c r="AI723" s="929"/>
    </row>
    <row r="724" customFormat="false" ht="12.75" hidden="false" customHeight="false" outlineLevel="0" collapsed="false">
      <c r="J724" s="451"/>
      <c r="K724" s="451"/>
      <c r="L724" s="451"/>
      <c r="M724" s="451"/>
      <c r="N724" s="451"/>
      <c r="O724" s="929"/>
      <c r="P724" s="929"/>
      <c r="Q724" s="929"/>
      <c r="S724" s="451"/>
      <c r="T724" s="451"/>
      <c r="U724" s="451"/>
      <c r="V724" s="451"/>
      <c r="X724" s="929"/>
      <c r="Y724" s="929"/>
      <c r="Z724" s="929"/>
      <c r="AB724" s="451"/>
      <c r="AC724" s="451"/>
      <c r="AD724" s="451"/>
      <c r="AE724" s="451"/>
      <c r="AF724" s="451"/>
      <c r="AG724" s="929"/>
      <c r="AH724" s="929"/>
      <c r="AI724" s="929"/>
    </row>
    <row r="725" customFormat="false" ht="12.75" hidden="false" customHeight="false" outlineLevel="0" collapsed="false">
      <c r="J725" s="451"/>
      <c r="K725" s="451"/>
      <c r="L725" s="451"/>
      <c r="M725" s="451"/>
      <c r="N725" s="451"/>
      <c r="O725" s="929"/>
      <c r="P725" s="929"/>
      <c r="Q725" s="929"/>
      <c r="S725" s="451"/>
      <c r="T725" s="451"/>
      <c r="U725" s="451"/>
      <c r="V725" s="451"/>
      <c r="X725" s="929"/>
      <c r="Y725" s="929"/>
      <c r="Z725" s="929"/>
      <c r="AB725" s="451"/>
      <c r="AC725" s="451"/>
      <c r="AD725" s="451"/>
      <c r="AE725" s="451"/>
      <c r="AF725" s="451"/>
      <c r="AG725" s="929"/>
      <c r="AH725" s="929"/>
      <c r="AI725" s="929"/>
    </row>
    <row r="726" customFormat="false" ht="12.75" hidden="false" customHeight="false" outlineLevel="0" collapsed="false">
      <c r="J726" s="451"/>
      <c r="K726" s="451"/>
      <c r="L726" s="451"/>
      <c r="M726" s="451"/>
      <c r="N726" s="451"/>
      <c r="O726" s="929"/>
      <c r="P726" s="929"/>
      <c r="Q726" s="929"/>
      <c r="S726" s="451"/>
      <c r="T726" s="451"/>
      <c r="U726" s="451"/>
      <c r="V726" s="451"/>
      <c r="X726" s="929"/>
      <c r="Y726" s="929"/>
      <c r="Z726" s="929"/>
      <c r="AB726" s="451"/>
      <c r="AC726" s="451"/>
      <c r="AD726" s="451"/>
      <c r="AE726" s="451"/>
      <c r="AF726" s="451"/>
      <c r="AG726" s="929"/>
      <c r="AH726" s="929"/>
      <c r="AI726" s="929"/>
    </row>
    <row r="727" customFormat="false" ht="12.75" hidden="false" customHeight="false" outlineLevel="0" collapsed="false">
      <c r="J727" s="451"/>
      <c r="K727" s="451"/>
      <c r="L727" s="451"/>
      <c r="M727" s="451"/>
      <c r="N727" s="451"/>
      <c r="O727" s="929"/>
      <c r="P727" s="929"/>
      <c r="Q727" s="929"/>
      <c r="S727" s="451"/>
      <c r="T727" s="451"/>
      <c r="U727" s="451"/>
      <c r="V727" s="451"/>
      <c r="X727" s="929"/>
      <c r="Y727" s="929"/>
      <c r="Z727" s="929"/>
      <c r="AB727" s="451"/>
      <c r="AC727" s="451"/>
      <c r="AD727" s="451"/>
      <c r="AE727" s="451"/>
      <c r="AF727" s="451"/>
      <c r="AG727" s="929"/>
      <c r="AH727" s="929"/>
      <c r="AI727" s="929"/>
    </row>
    <row r="728" customFormat="false" ht="12.75" hidden="false" customHeight="false" outlineLevel="0" collapsed="false">
      <c r="J728" s="451"/>
      <c r="K728" s="451"/>
      <c r="L728" s="451"/>
      <c r="M728" s="451"/>
      <c r="N728" s="451"/>
      <c r="O728" s="929"/>
      <c r="P728" s="929"/>
      <c r="Q728" s="929"/>
      <c r="S728" s="451"/>
      <c r="T728" s="451"/>
      <c r="U728" s="451"/>
      <c r="V728" s="451"/>
      <c r="X728" s="929"/>
      <c r="Y728" s="929"/>
      <c r="Z728" s="929"/>
      <c r="AB728" s="451"/>
      <c r="AC728" s="451"/>
      <c r="AD728" s="451"/>
      <c r="AE728" s="451"/>
      <c r="AF728" s="451"/>
      <c r="AG728" s="929"/>
      <c r="AH728" s="929"/>
      <c r="AI728" s="929"/>
    </row>
    <row r="729" customFormat="false" ht="12.75" hidden="false" customHeight="false" outlineLevel="0" collapsed="false">
      <c r="J729" s="451"/>
      <c r="K729" s="451"/>
      <c r="L729" s="451"/>
      <c r="M729" s="451"/>
      <c r="N729" s="451"/>
      <c r="O729" s="929"/>
      <c r="P729" s="929"/>
      <c r="Q729" s="929"/>
      <c r="S729" s="451"/>
      <c r="T729" s="451"/>
      <c r="U729" s="451"/>
      <c r="V729" s="451"/>
      <c r="X729" s="929"/>
      <c r="Y729" s="929"/>
      <c r="Z729" s="929"/>
      <c r="AB729" s="451"/>
      <c r="AC729" s="451"/>
      <c r="AD729" s="451"/>
      <c r="AE729" s="451"/>
      <c r="AF729" s="451"/>
      <c r="AG729" s="929"/>
      <c r="AH729" s="929"/>
      <c r="AI729" s="929"/>
    </row>
  </sheetData>
  <sheetProtection sheet="true" password="cc4b"/>
  <mergeCells count="78">
    <mergeCell ref="B3:G3"/>
    <mergeCell ref="B9:B10"/>
    <mergeCell ref="H9:H10"/>
    <mergeCell ref="C17:F17"/>
    <mergeCell ref="I17:L17"/>
    <mergeCell ref="B30:F31"/>
    <mergeCell ref="G30:J31"/>
    <mergeCell ref="K30:N31"/>
    <mergeCell ref="O30:R31"/>
    <mergeCell ref="T30:X31"/>
    <mergeCell ref="Y30:AB31"/>
    <mergeCell ref="AC30:AF31"/>
    <mergeCell ref="AG30:AJ31"/>
    <mergeCell ref="C32:C33"/>
    <mergeCell ref="D32:D33"/>
    <mergeCell ref="H32:H33"/>
    <mergeCell ref="L32:L33"/>
    <mergeCell ref="P32:P33"/>
    <mergeCell ref="B98:C99"/>
    <mergeCell ref="D98:D99"/>
    <mergeCell ref="K98:L99"/>
    <mergeCell ref="M98:M99"/>
    <mergeCell ref="T98:U99"/>
    <mergeCell ref="V98:V99"/>
    <mergeCell ref="AC98:AD99"/>
    <mergeCell ref="AE98:AE99"/>
    <mergeCell ref="AL98:AM99"/>
    <mergeCell ref="AN98:AN99"/>
    <mergeCell ref="AU98:AV99"/>
    <mergeCell ref="AW98:AW99"/>
    <mergeCell ref="B107:B109"/>
    <mergeCell ref="C107:C109"/>
    <mergeCell ref="D107:D109"/>
    <mergeCell ref="E107:E109"/>
    <mergeCell ref="F107:F109"/>
    <mergeCell ref="G107:G109"/>
    <mergeCell ref="H107:H109"/>
    <mergeCell ref="I107:I109"/>
    <mergeCell ref="K107:K109"/>
    <mergeCell ref="L107:L109"/>
    <mergeCell ref="M107:M109"/>
    <mergeCell ref="N107:N109"/>
    <mergeCell ref="O107:O109"/>
    <mergeCell ref="P107:P109"/>
    <mergeCell ref="Q107:Q109"/>
    <mergeCell ref="R107:R109"/>
    <mergeCell ref="T107:T109"/>
    <mergeCell ref="U107:U109"/>
    <mergeCell ref="V107:V109"/>
    <mergeCell ref="W107:W109"/>
    <mergeCell ref="X107:X109"/>
    <mergeCell ref="Y107:Y109"/>
    <mergeCell ref="Z107:Z109"/>
    <mergeCell ref="AA107:AA109"/>
    <mergeCell ref="AC107:AC109"/>
    <mergeCell ref="AD107:AD109"/>
    <mergeCell ref="AE107:AE109"/>
    <mergeCell ref="AF107:AF109"/>
    <mergeCell ref="AG107:AG109"/>
    <mergeCell ref="AH107:AH109"/>
    <mergeCell ref="AI107:AI109"/>
    <mergeCell ref="AJ107:AJ109"/>
    <mergeCell ref="AL107:AL109"/>
    <mergeCell ref="AM107:AM109"/>
    <mergeCell ref="AN107:AN109"/>
    <mergeCell ref="AO107:AO109"/>
    <mergeCell ref="AP107:AP109"/>
    <mergeCell ref="AQ107:AQ109"/>
    <mergeCell ref="AR107:AR109"/>
    <mergeCell ref="AS107:AS109"/>
    <mergeCell ref="AU107:AU109"/>
    <mergeCell ref="AV107:AV109"/>
    <mergeCell ref="AW107:AW109"/>
    <mergeCell ref="AX107:AX109"/>
    <mergeCell ref="AY107:AY109"/>
    <mergeCell ref="AZ107:AZ109"/>
    <mergeCell ref="BA107:BA109"/>
    <mergeCell ref="BB107:BB109"/>
  </mergeCells>
  <printOptions headings="false" gridLines="false" gridLinesSet="true" horizontalCentered="true" verticalCentered="true"/>
  <pageMargins left="0.75" right="0.75" top="1" bottom="1" header="0.511811023622047" footer="0.511811023622047"/>
  <pageSetup paperSize="9" scale="100" fitToWidth="0" fitToHeight="1" pageOrder="overThenDown"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3:AJ5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12.27"/>
    <col collapsed="false" customWidth="true" hidden="false" outlineLevel="0" max="3" min="3" style="912" width="12.27"/>
    <col collapsed="false" customWidth="true" hidden="false" outlineLevel="0" max="4" min="4" style="0" width="12.27"/>
    <col collapsed="false" customWidth="true" hidden="false" outlineLevel="0" max="5" min="5" style="0" width="12.68"/>
    <col collapsed="false" customWidth="true" hidden="false" outlineLevel="0" max="6" min="6" style="0" width="14.15"/>
    <col collapsed="false" customWidth="true" hidden="false" outlineLevel="0" max="8" min="7" style="0" width="12.27"/>
    <col collapsed="false" customWidth="true" hidden="false" outlineLevel="0" max="9" min="9" style="0" width="12.95"/>
    <col collapsed="false" customWidth="true" hidden="false" outlineLevel="0" max="15" min="10" style="0" width="12.27"/>
    <col collapsed="false" customWidth="true" hidden="false" outlineLevel="0" max="18" min="16" style="16" width="12.27"/>
    <col collapsed="false" customWidth="true" hidden="false" outlineLevel="0" max="24" min="19" style="0" width="12.27"/>
    <col collapsed="false" customWidth="true" hidden="false" outlineLevel="0" max="27" min="25" style="16" width="12.27"/>
    <col collapsed="false" customWidth="true" hidden="false" outlineLevel="0" max="30" min="28" style="0" width="12.27"/>
    <col collapsed="false" customWidth="true" hidden="false" outlineLevel="0" max="31" min="31" style="0" width="13.35"/>
    <col collapsed="false" customWidth="true" hidden="false" outlineLevel="0" max="32" min="32" style="0" width="9.31"/>
    <col collapsed="false" customWidth="true" hidden="false" outlineLevel="0" max="33" min="33" style="0" width="11.32"/>
    <col collapsed="false" customWidth="true" hidden="false" outlineLevel="0" max="34" min="34" style="16" width="11.59"/>
    <col collapsed="false" customWidth="true" hidden="false" outlineLevel="0" max="35" min="35" style="16" width="12.95"/>
    <col collapsed="false" customWidth="true" hidden="false" outlineLevel="0" max="36" min="36" style="16" width="14.69"/>
    <col collapsed="false" customWidth="true" hidden="false" outlineLevel="0" max="256" min="37" style="0" width="11.46"/>
  </cols>
  <sheetData>
    <row r="3" customFormat="false" ht="20.25" hidden="false" customHeight="false" outlineLevel="0" collapsed="false">
      <c r="B3" s="300" t="str">
        <f aca="false">'Datos generales'!C6</f>
        <v>La tienda S.L</v>
      </c>
      <c r="C3" s="300"/>
      <c r="D3" s="300"/>
      <c r="E3" s="300"/>
      <c r="F3" s="300"/>
      <c r="G3" s="300"/>
    </row>
    <row r="6" customFormat="false" ht="14.25" hidden="false" customHeight="false" outlineLevel="0" collapsed="false">
      <c r="B6" s="51" t="s">
        <v>655</v>
      </c>
    </row>
    <row r="8" customFormat="false" ht="12.75" hidden="true" customHeight="false" outlineLevel="0" collapsed="false">
      <c r="B8" s="0" t="s">
        <v>656</v>
      </c>
      <c r="D8" s="912" t="n">
        <f aca="false">'Datos generales'!N10</f>
        <v>44957</v>
      </c>
      <c r="E8" s="913" t="n">
        <f aca="false">YEAR(D8)</f>
        <v>2023</v>
      </c>
    </row>
    <row r="9" customFormat="false" ht="12.75" hidden="false" customHeight="false" outlineLevel="0" collapsed="false">
      <c r="D9" s="23"/>
    </row>
    <row r="10" customFormat="false" ht="12.75" hidden="false" customHeight="false" outlineLevel="0" collapsed="false">
      <c r="B10" s="914" t="s">
        <v>596</v>
      </c>
      <c r="D10" s="915" t="s">
        <v>597</v>
      </c>
      <c r="E10" s="916" t="s">
        <v>598</v>
      </c>
      <c r="F10" s="916" t="s">
        <v>236</v>
      </c>
    </row>
    <row r="11" customFormat="false" ht="13.5" hidden="false" customHeight="false" outlineLevel="0" collapsed="false">
      <c r="B11" s="914"/>
      <c r="D11" s="915" t="s">
        <v>601</v>
      </c>
      <c r="E11" s="915" t="s">
        <v>602</v>
      </c>
      <c r="F11" s="915" t="s">
        <v>603</v>
      </c>
      <c r="H11" s="267"/>
      <c r="I11" s="267"/>
    </row>
    <row r="12" customFormat="false" ht="18" hidden="false" customHeight="true" outlineLevel="0" collapsed="false">
      <c r="B12" s="512" t="s">
        <v>657</v>
      </c>
      <c r="C12" s="1035"/>
      <c r="D12" s="1036" t="n">
        <f aca="false">'Entrada Inver_Finan'!D129</f>
        <v>0</v>
      </c>
      <c r="E12" s="1037"/>
      <c r="F12" s="921"/>
      <c r="H12" s="267"/>
      <c r="I12" s="267"/>
    </row>
    <row r="13" customFormat="false" ht="18" hidden="false" customHeight="true" outlineLevel="0" collapsed="false">
      <c r="B13" s="520" t="s">
        <v>658</v>
      </c>
      <c r="C13" s="1038"/>
      <c r="D13" s="583" t="n">
        <f aca="false">SUM(C24:C35)-D12</f>
        <v>0</v>
      </c>
      <c r="E13" s="583" t="n">
        <f aca="false">SUM(D24:D35)</f>
        <v>0</v>
      </c>
      <c r="F13" s="585" t="n">
        <f aca="false">ROUND(SUM(E24:E35),5)</f>
        <v>0</v>
      </c>
      <c r="H13" s="267"/>
      <c r="I13" s="267"/>
    </row>
    <row r="14" customFormat="false" ht="22.5" hidden="false" customHeight="true" outlineLevel="0" collapsed="false">
      <c r="B14" s="520" t="s">
        <v>96</v>
      </c>
      <c r="C14" s="1038"/>
      <c r="D14" s="583" t="n">
        <f aca="false">SUM(C36:C47)</f>
        <v>0</v>
      </c>
      <c r="E14" s="583" t="n">
        <f aca="false">SUM(D36:D47)</f>
        <v>0</v>
      </c>
      <c r="F14" s="585" t="n">
        <f aca="false">ROUND(SUM(E36:E47),5)</f>
        <v>0</v>
      </c>
      <c r="H14" s="267"/>
      <c r="I14" s="267"/>
    </row>
    <row r="15" customFormat="false" ht="22.5" hidden="false" customHeight="true" outlineLevel="0" collapsed="false">
      <c r="B15" s="1039" t="s">
        <v>97</v>
      </c>
      <c r="C15" s="1040"/>
      <c r="D15" s="927" t="n">
        <f aca="false">SUM(C48:C59)</f>
        <v>0</v>
      </c>
      <c r="E15" s="927" t="n">
        <f aca="false">SUM(D48:D59)</f>
        <v>0</v>
      </c>
      <c r="F15" s="928" t="n">
        <f aca="false">ROUND(SUM(E48:E59),5)</f>
        <v>0</v>
      </c>
    </row>
    <row r="16" customFormat="false" ht="13.5" hidden="false" customHeight="false" outlineLevel="0" collapsed="false">
      <c r="B16" s="23"/>
      <c r="C16" s="267"/>
      <c r="D16" s="267"/>
      <c r="E16" s="267"/>
    </row>
    <row r="17" customFormat="false" ht="12.75" hidden="false" customHeight="false" outlineLevel="0" collapsed="false">
      <c r="B17" s="23"/>
      <c r="C17" s="267"/>
      <c r="D17" s="267"/>
      <c r="E17" s="267"/>
    </row>
    <row r="18" customFormat="false" ht="12.75" hidden="false" customHeight="false" outlineLevel="0" collapsed="false">
      <c r="B18" s="23"/>
      <c r="C18" s="267"/>
      <c r="D18" s="267"/>
      <c r="E18" s="267"/>
    </row>
    <row r="19" customFormat="false" ht="12.75" hidden="false" customHeight="true" outlineLevel="0" collapsed="false">
      <c r="B19" s="51" t="s">
        <v>659</v>
      </c>
    </row>
    <row r="20" customFormat="false" ht="12.75" hidden="false" customHeight="true" outlineLevel="0" collapsed="false">
      <c r="B20" s="1041" t="s">
        <v>619</v>
      </c>
      <c r="C20" s="1041"/>
      <c r="D20" s="1041"/>
      <c r="E20" s="1041"/>
      <c r="G20" s="1042" t="str">
        <f aca="false">B66</f>
        <v>Préstamo de...( Entidad financiera A)</v>
      </c>
      <c r="H20" s="1042"/>
      <c r="I20" s="1042"/>
      <c r="J20" s="1042" t="str">
        <f aca="false">K66</f>
        <v>Préstamo de...( Entidad financiera B)</v>
      </c>
      <c r="K20" s="1042"/>
      <c r="L20" s="1042"/>
      <c r="M20" s="1043" t="n">
        <f aca="false">T66</f>
        <v>0</v>
      </c>
      <c r="N20" s="1043"/>
      <c r="O20" s="1043"/>
      <c r="S20" s="451"/>
      <c r="T20" s="451"/>
    </row>
    <row r="21" customFormat="false" ht="13.5" hidden="false" customHeight="false" outlineLevel="0" collapsed="false">
      <c r="B21" s="1041"/>
      <c r="C21" s="1041"/>
      <c r="D21" s="1041"/>
      <c r="E21" s="1041"/>
      <c r="G21" s="1042"/>
      <c r="H21" s="1042"/>
      <c r="I21" s="1042"/>
      <c r="J21" s="1042"/>
      <c r="K21" s="1042"/>
      <c r="L21" s="1042"/>
      <c r="M21" s="1043"/>
      <c r="N21" s="1043"/>
      <c r="O21" s="1043"/>
      <c r="S21" s="451"/>
      <c r="T21" s="451"/>
    </row>
    <row r="22" customFormat="false" ht="12.75" hidden="false" customHeight="true" outlineLevel="0" collapsed="false">
      <c r="B22" s="946"/>
      <c r="C22" s="953" t="s">
        <v>620</v>
      </c>
      <c r="D22" s="948" t="s">
        <v>621</v>
      </c>
      <c r="E22" s="949" t="s">
        <v>236</v>
      </c>
      <c r="G22" s="950" t="s">
        <v>622</v>
      </c>
      <c r="H22" s="951" t="s">
        <v>621</v>
      </c>
      <c r="I22" s="952" t="s">
        <v>623</v>
      </c>
      <c r="J22" s="950" t="s">
        <v>622</v>
      </c>
      <c r="K22" s="951" t="s">
        <v>621</v>
      </c>
      <c r="L22" s="952" t="s">
        <v>623</v>
      </c>
      <c r="M22" s="962" t="s">
        <v>622</v>
      </c>
      <c r="N22" s="963" t="s">
        <v>621</v>
      </c>
      <c r="O22" s="964" t="s">
        <v>623</v>
      </c>
      <c r="S22" s="451"/>
      <c r="T22" s="451"/>
    </row>
    <row r="23" customFormat="false" ht="13.5" hidden="false" customHeight="false" outlineLevel="0" collapsed="false">
      <c r="B23" s="959" t="s">
        <v>159</v>
      </c>
      <c r="C23" s="953"/>
      <c r="D23" s="960" t="s">
        <v>626</v>
      </c>
      <c r="E23" s="961" t="s">
        <v>603</v>
      </c>
      <c r="G23" s="950"/>
      <c r="H23" s="951"/>
      <c r="I23" s="964" t="s">
        <v>603</v>
      </c>
      <c r="J23" s="1044"/>
      <c r="K23" s="951"/>
      <c r="L23" s="964" t="s">
        <v>603</v>
      </c>
      <c r="M23" s="962"/>
      <c r="N23" s="963"/>
      <c r="O23" s="964" t="s">
        <v>603</v>
      </c>
      <c r="S23" s="451"/>
      <c r="T23" s="451"/>
    </row>
    <row r="24" customFormat="false" ht="13.5" hidden="false" customHeight="false" outlineLevel="0" collapsed="false">
      <c r="B24" s="972" t="n">
        <f aca="false">DATE(E8,1,1)</f>
        <v>44927</v>
      </c>
      <c r="C24" s="12" t="n">
        <f aca="false">G24+J24+M24</f>
        <v>0</v>
      </c>
      <c r="D24" s="973" t="n">
        <f aca="false">H24+K24+N24</f>
        <v>0</v>
      </c>
      <c r="E24" s="974" t="n">
        <f aca="false">I24+L24+O24</f>
        <v>0</v>
      </c>
      <c r="G24" s="1045" t="n">
        <f aca="false">IF(DATE(YEAR($B24),MONTH($B24),DAY(1))=DATE(YEAR($D$69),MONTH($D$69),DAY(1)),$D$68,0)</f>
        <v>0</v>
      </c>
      <c r="H24" s="1046" t="n">
        <f aca="false">IF(ISERROR(VLOOKUP($B24,$C$85:$F$96,3,FALSE()))=TRUE(),0,VLOOKUP($B24,$C$85:$F$96,3,FALSE()))</f>
        <v>0</v>
      </c>
      <c r="I24" s="1047" t="n">
        <f aca="false">IF(ISERROR(VLOOKUP($B24,$C$85:$F$96,4,FALSE()))=TRUE(),0,VLOOKUP($B24,$C$85:$F$96,4,FALSE()))</f>
        <v>0</v>
      </c>
      <c r="J24" s="1045" t="n">
        <f aca="false">IF(DATE(YEAR($B24),MONTH($B24),DAY(1))=DATE(YEAR($M$69),MONTH($M$69),DAY(1)),$M$68,0)</f>
        <v>0</v>
      </c>
      <c r="K24" s="1046" t="n">
        <f aca="false">IF(ISERROR(VLOOKUP($B24,$L$85:$O$96,3,FALSE()))=TRUE(),0,VLOOKUP($B24,$L$85:$O$96,3,FALSE()))</f>
        <v>0</v>
      </c>
      <c r="L24" s="1048" t="n">
        <f aca="false">IF(ISERROR(VLOOKUP($B24,$L$85:$O$96,4,FALSE()))=TRUE(),0,VLOOKUP($B24,$L$85:$O$96,4,FALSE()))</f>
        <v>0</v>
      </c>
      <c r="M24" s="0" t="n">
        <f aca="false">IF(DATE(YEAR($B24),MONTH($B24),DAY(1))=DATE(YEAR($V$69),MONTH($V$69),DAY(1)),$V$68,0)</f>
        <v>0</v>
      </c>
      <c r="N24" s="1049" t="n">
        <f aca="false">IF(ISERROR(VLOOKUP($B24,$U$85:$X$96,3,FALSE()))=TRUE(),0,VLOOKUP($B24,$U$85:$X$96,3,FALSE()))</f>
        <v>0</v>
      </c>
      <c r="O24" s="1049" t="n">
        <f aca="false">IF(ISERROR(VLOOKUP($B24,$U$85:$X$96,4,FALSE()))=TRUE(),0,VLOOKUP($B24,$U$85:$X$96,4,FALSE()))</f>
        <v>0</v>
      </c>
      <c r="S24" s="451"/>
      <c r="T24" s="451"/>
    </row>
    <row r="25" customFormat="false" ht="12.75" hidden="false" customHeight="false" outlineLevel="0" collapsed="false">
      <c r="B25" s="972" t="n">
        <f aca="false">DATE(YEAR(B24),MONTH(B24)+1,DAY(B24))</f>
        <v>44958</v>
      </c>
      <c r="C25" s="12" t="n">
        <f aca="false">G25+J25+M25</f>
        <v>0</v>
      </c>
      <c r="D25" s="973" t="n">
        <f aca="false">H25+K25+N25</f>
        <v>0</v>
      </c>
      <c r="E25" s="974" t="n">
        <f aca="false">I25+L25+O25</f>
        <v>0</v>
      </c>
      <c r="G25" s="1050" t="n">
        <f aca="false">IF(DATE(YEAR($B25),MONTH($B25),DAY(1))=DATE(YEAR($D$69),MONTH($D$69),DAY(1)),$D$68,0)</f>
        <v>0</v>
      </c>
      <c r="H25" s="973" t="n">
        <f aca="false">IF(ISERROR(VLOOKUP($B25,$C$85:$F$96,3,FALSE()))=TRUE(),0,VLOOKUP($B25,$C$85:$F$96,3,FALSE()))</f>
        <v>0</v>
      </c>
      <c r="I25" s="976" t="n">
        <f aca="false">IF(ISERROR(VLOOKUP($B25,$C$85:$F$96,4,FALSE()))=TRUE(),0,VLOOKUP($B25,$C$85:$F$96,4,FALSE()))</f>
        <v>0</v>
      </c>
      <c r="J25" s="1050" t="n">
        <f aca="false">IF(DATE(YEAR($B25),MONTH($B25),DAY(1))=DATE(YEAR($M$69),MONTH($M$69),DAY(1)),$M$68,0)</f>
        <v>0</v>
      </c>
      <c r="K25" s="973" t="n">
        <f aca="false">IF(ISERROR(VLOOKUP($B25,$L$85:$O$96,3,FALSE()))=TRUE(),0,VLOOKUP($B25,$L$85:$O$96,3,FALSE()))</f>
        <v>0</v>
      </c>
      <c r="L25" s="976" t="n">
        <f aca="false">IF(ISERROR(VLOOKUP($B25,$L$85:$O$96,4,FALSE()))=TRUE(),0,VLOOKUP($B25,$L$85:$O$96,4,FALSE()))</f>
        <v>0</v>
      </c>
      <c r="M25" s="1051" t="n">
        <f aca="false">IF(DATE(YEAR($B25),MONTH($B25),DAY(1))=DATE(YEAR($V$69),MONTH($V$69),DAY(1)),$V$68,0)</f>
        <v>0</v>
      </c>
      <c r="N25" s="1046" t="n">
        <f aca="false">IF(ISERROR(VLOOKUP($B25,$U$85:$X$96,3,FALSE()))=TRUE(),0,VLOOKUP($B25,$U$85:$X$96,3,FALSE()))</f>
        <v>0</v>
      </c>
      <c r="O25" s="1048" t="n">
        <f aca="false">IF(ISERROR(VLOOKUP($B25,$U$85:$X$96,4,FALSE()))=TRUE(),0,VLOOKUP($B25,$U$85:$X$96,4,FALSE()))</f>
        <v>0</v>
      </c>
      <c r="S25" s="451"/>
      <c r="T25" s="451"/>
    </row>
    <row r="26" customFormat="false" ht="12.75" hidden="false" customHeight="false" outlineLevel="0" collapsed="false">
      <c r="B26" s="972" t="n">
        <f aca="false">DATE(YEAR(B25),MONTH(B25)+1,DAY(B25))</f>
        <v>44986</v>
      </c>
      <c r="C26" s="12" t="n">
        <f aca="false">G26+J26+M26</f>
        <v>0</v>
      </c>
      <c r="D26" s="973" t="n">
        <f aca="false">H26+K26+N26</f>
        <v>0</v>
      </c>
      <c r="E26" s="974" t="n">
        <f aca="false">I26+L26+O26</f>
        <v>0</v>
      </c>
      <c r="G26" s="1050" t="n">
        <f aca="false">IF(DATE(YEAR($B26),MONTH($B26),DAY(1))=DATE(YEAR($D$69),MONTH($D$69),DAY(1)),$D$68,0)</f>
        <v>0</v>
      </c>
      <c r="H26" s="973" t="n">
        <f aca="false">IF(ISERROR(VLOOKUP($B26,$C$85:$F$96,3,FALSE()))=TRUE(),0,VLOOKUP($B26,$C$85:$F$96,3,FALSE()))</f>
        <v>0</v>
      </c>
      <c r="I26" s="976" t="n">
        <f aca="false">IF(ISERROR(VLOOKUP($B26,$C$85:$F$96,4,FALSE()))=TRUE(),0,VLOOKUP($B26,$C$85:$F$96,4,FALSE()))</f>
        <v>0</v>
      </c>
      <c r="J26" s="1050" t="n">
        <f aca="false">IF(DATE(YEAR($B26),MONTH($B26),DAY(1))=DATE(YEAR($M$69),MONTH($M$69),DAY(1)),$M$68,0)</f>
        <v>0</v>
      </c>
      <c r="K26" s="973" t="n">
        <f aca="false">IF(ISERROR(VLOOKUP($B26,$L$85:$O$96,3,FALSE()))=TRUE(),0,VLOOKUP($B26,$L$85:$O$96,3,FALSE()))</f>
        <v>0</v>
      </c>
      <c r="L26" s="976" t="n">
        <f aca="false">IF(ISERROR(VLOOKUP($B26,$L$85:$O$96,4,FALSE()))=TRUE(),0,VLOOKUP($B26,$L$85:$O$96,4,FALSE()))</f>
        <v>0</v>
      </c>
      <c r="M26" s="1050" t="n">
        <f aca="false">IF(DATE(YEAR($B26),MONTH($B26),DAY(1))=DATE(YEAR($V$69),MONTH($V$69),DAY(1)),$V$68,0)</f>
        <v>0</v>
      </c>
      <c r="N26" s="973" t="n">
        <f aca="false">IF(ISERROR(VLOOKUP($B26,$U$85:$X$96,3,FALSE()))=TRUE(),0,VLOOKUP($B26,$U$85:$X$96,3,FALSE()))</f>
        <v>0</v>
      </c>
      <c r="O26" s="974" t="n">
        <f aca="false">IF(ISERROR(VLOOKUP($B26,$U$85:$X$96,4,FALSE()))=TRUE(),0,VLOOKUP($B26,$U$85:$X$96,4,FALSE()))</f>
        <v>0</v>
      </c>
      <c r="S26" s="451"/>
      <c r="T26" s="451"/>
    </row>
    <row r="27" customFormat="false" ht="12.75" hidden="false" customHeight="false" outlineLevel="0" collapsed="false">
      <c r="B27" s="972" t="n">
        <f aca="false">DATE(YEAR(B26),MONTH(B26)+1,DAY(B26))</f>
        <v>45017</v>
      </c>
      <c r="C27" s="12" t="n">
        <f aca="false">G27+J27+M27</f>
        <v>0</v>
      </c>
      <c r="D27" s="973" t="n">
        <f aca="false">H27+K27+N27</f>
        <v>0</v>
      </c>
      <c r="E27" s="974" t="n">
        <f aca="false">I27+L27+O27</f>
        <v>0</v>
      </c>
      <c r="G27" s="1050" t="n">
        <f aca="false">IF(DATE(YEAR($B27),MONTH($B27),DAY(1))=DATE(YEAR($D$69),MONTH($D$69),DAY(1)),$D$68,0)</f>
        <v>0</v>
      </c>
      <c r="H27" s="973" t="n">
        <f aca="false">IF(ISERROR(VLOOKUP($B27,$C$85:$F$96,3,FALSE()))=TRUE(),0,VLOOKUP($B27,$C$85:$F$96,3,FALSE()))</f>
        <v>0</v>
      </c>
      <c r="I27" s="976" t="n">
        <f aca="false">IF(ISERROR(VLOOKUP($B27,$C$85:$F$96,4,FALSE()))=TRUE(),0,VLOOKUP($B27,$C$85:$F$96,4,FALSE()))</f>
        <v>0</v>
      </c>
      <c r="J27" s="1050" t="n">
        <f aca="false">IF(DATE(YEAR($B27),MONTH($B27),DAY(1))=DATE(YEAR($M$69),MONTH($M$69),DAY(1)),$M$68,0)</f>
        <v>0</v>
      </c>
      <c r="K27" s="973" t="n">
        <f aca="false">IF(ISERROR(VLOOKUP($B27,$L$85:$O$96,3,FALSE()))=TRUE(),0,VLOOKUP($B27,$L$85:$O$96,3,FALSE()))</f>
        <v>0</v>
      </c>
      <c r="L27" s="976" t="n">
        <f aca="false">IF(ISERROR(VLOOKUP($B27,$L$85:$O$96,4,FALSE()))=TRUE(),0,VLOOKUP($B27,$L$85:$O$96,4,FALSE()))</f>
        <v>0</v>
      </c>
      <c r="M27" s="1050" t="n">
        <f aca="false">IF(DATE(YEAR($B27),MONTH($B27),DAY(1))=DATE(YEAR($V$69),MONTH($V$69),DAY(1)),$V$68,0)</f>
        <v>0</v>
      </c>
      <c r="N27" s="973" t="n">
        <f aca="false">IF(ISERROR(VLOOKUP($B27,$U$85:$X$96,3,FALSE()))=TRUE(),0,VLOOKUP($B27,$U$85:$X$96,3,FALSE()))</f>
        <v>0</v>
      </c>
      <c r="O27" s="974" t="n">
        <f aca="false">IF(ISERROR(VLOOKUP($B27,$U$85:$X$96,4,FALSE()))=TRUE(),0,VLOOKUP($B27,$U$85:$X$96,4,FALSE()))</f>
        <v>0</v>
      </c>
      <c r="S27" s="451"/>
      <c r="T27" s="451"/>
    </row>
    <row r="28" customFormat="false" ht="12.75" hidden="false" customHeight="false" outlineLevel="0" collapsed="false">
      <c r="B28" s="972" t="n">
        <f aca="false">DATE(YEAR(B27),MONTH(B27)+1,DAY(B27))</f>
        <v>45047</v>
      </c>
      <c r="C28" s="12" t="n">
        <f aca="false">G28+J28+M28</f>
        <v>0</v>
      </c>
      <c r="D28" s="973" t="n">
        <f aca="false">H28+K28+N28</f>
        <v>0</v>
      </c>
      <c r="E28" s="974" t="n">
        <f aca="false">I28+L28+O28</f>
        <v>0</v>
      </c>
      <c r="G28" s="1050" t="n">
        <f aca="false">IF(DATE(YEAR($B28),MONTH($B28),DAY(1))=DATE(YEAR($D$69),MONTH($D$69),DAY(1)),$D$68,0)</f>
        <v>0</v>
      </c>
      <c r="H28" s="973" t="n">
        <f aca="false">IF(ISERROR(VLOOKUP($B28,$C$85:$F$96,3,FALSE()))=TRUE(),0,VLOOKUP($B28,$C$85:$F$96,3,FALSE()))</f>
        <v>0</v>
      </c>
      <c r="I28" s="976" t="n">
        <f aca="false">IF(ISERROR(VLOOKUP($B28,$C$85:$F$96,4,FALSE()))=TRUE(),0,VLOOKUP($B28,$C$85:$F$96,4,FALSE()))</f>
        <v>0</v>
      </c>
      <c r="J28" s="1050" t="n">
        <f aca="false">IF(DATE(YEAR($B28),MONTH($B28),DAY(1))=DATE(YEAR($M$69),MONTH($M$69),DAY(1)),$M$68,0)</f>
        <v>0</v>
      </c>
      <c r="K28" s="973" t="n">
        <f aca="false">IF(ISERROR(VLOOKUP($B28,$L$85:$O$96,3,FALSE()))=TRUE(),0,VLOOKUP($B28,$L$85:$O$96,3,FALSE()))</f>
        <v>0</v>
      </c>
      <c r="L28" s="976" t="n">
        <f aca="false">IF(ISERROR(VLOOKUP($B28,$L$85:$O$96,4,FALSE()))=TRUE(),0,VLOOKUP($B28,$L$85:$O$96,4,FALSE()))</f>
        <v>0</v>
      </c>
      <c r="M28" s="1050" t="n">
        <f aca="false">IF(DATE(YEAR($B28),MONTH($B28),DAY(1))=DATE(YEAR($V$69),MONTH($V$69),DAY(1)),$V$68,0)</f>
        <v>0</v>
      </c>
      <c r="N28" s="973" t="n">
        <f aca="false">IF(ISERROR(VLOOKUP($B28,$U$85:$X$96,3,FALSE()))=TRUE(),0,VLOOKUP($B28,$U$85:$X$96,3,FALSE()))</f>
        <v>0</v>
      </c>
      <c r="O28" s="974" t="n">
        <f aca="false">IF(ISERROR(VLOOKUP($B28,$U$85:$X$96,4,FALSE()))=TRUE(),0,VLOOKUP($B28,$U$85:$X$96,4,FALSE()))</f>
        <v>0</v>
      </c>
      <c r="S28" s="451"/>
      <c r="T28" s="93"/>
    </row>
    <row r="29" customFormat="false" ht="12.75" hidden="false" customHeight="false" outlineLevel="0" collapsed="false">
      <c r="B29" s="972" t="n">
        <f aca="false">DATE(YEAR(B28),MONTH(B28)+1,DAY(B28))</f>
        <v>45078</v>
      </c>
      <c r="C29" s="12" t="n">
        <f aca="false">G29+J29+M29</f>
        <v>0</v>
      </c>
      <c r="D29" s="973" t="n">
        <f aca="false">H29+K29+N29</f>
        <v>0</v>
      </c>
      <c r="E29" s="974" t="n">
        <f aca="false">I29+L29+O29</f>
        <v>0</v>
      </c>
      <c r="G29" s="1050" t="n">
        <f aca="false">IF(DATE(YEAR($B29),MONTH($B29),DAY(1))=DATE(YEAR($D$69),MONTH($D$69),DAY(1)),$D$68,0)</f>
        <v>0</v>
      </c>
      <c r="H29" s="973" t="n">
        <f aca="false">IF(ISERROR(VLOOKUP($B29,$C$85:$F$96,3,FALSE()))=TRUE(),0,VLOOKUP($B29,$C$85:$F$96,3,FALSE()))</f>
        <v>0</v>
      </c>
      <c r="I29" s="976" t="n">
        <f aca="false">IF(ISERROR(VLOOKUP($B29,$C$85:$F$96,4,FALSE()))=TRUE(),0,VLOOKUP($B29,$C$85:$F$96,4,FALSE()))</f>
        <v>0</v>
      </c>
      <c r="J29" s="1050" t="n">
        <f aca="false">IF(DATE(YEAR($B29),MONTH($B29),DAY(1))=DATE(YEAR($M$69),MONTH($M$69),DAY(1)),$M$68,0)</f>
        <v>0</v>
      </c>
      <c r="K29" s="973" t="n">
        <f aca="false">IF(ISERROR(VLOOKUP($B29,$L$85:$O$96,3,FALSE()))=TRUE(),0,VLOOKUP($B29,$L$85:$O$96,3,FALSE()))</f>
        <v>0</v>
      </c>
      <c r="L29" s="976" t="n">
        <f aca="false">IF(ISERROR(VLOOKUP($B29,$L$85:$O$96,4,FALSE()))=TRUE(),0,VLOOKUP($B29,$L$85:$O$96,4,FALSE()))</f>
        <v>0</v>
      </c>
      <c r="M29" s="1050" t="n">
        <f aca="false">IF(DATE(YEAR($B29),MONTH($B29),DAY(1))=DATE(YEAR($V$69),MONTH($V$69),DAY(1)),$V$68,0)</f>
        <v>0</v>
      </c>
      <c r="N29" s="973" t="n">
        <f aca="false">IF(ISERROR(VLOOKUP($B29,$U$85:$X$96,3,FALSE()))=TRUE(),0,VLOOKUP($B29,$U$85:$X$96,3,FALSE()))</f>
        <v>0</v>
      </c>
      <c r="O29" s="974" t="n">
        <f aca="false">IF(ISERROR(VLOOKUP($B29,$U$85:$X$96,4,FALSE()))=TRUE(),0,VLOOKUP($B29,$U$85:$X$96,4,FALSE()))</f>
        <v>0</v>
      </c>
      <c r="S29" s="451"/>
      <c r="T29" s="451"/>
    </row>
    <row r="30" customFormat="false" ht="12.75" hidden="false" customHeight="false" outlineLevel="0" collapsed="false">
      <c r="B30" s="972" t="n">
        <f aca="false">DATE(YEAR(B29),MONTH(B29)+1,DAY(B29))</f>
        <v>45108</v>
      </c>
      <c r="C30" s="12" t="n">
        <f aca="false">G30+J30+M30</f>
        <v>0</v>
      </c>
      <c r="D30" s="973" t="n">
        <f aca="false">H30+K30+N30</f>
        <v>0</v>
      </c>
      <c r="E30" s="974" t="n">
        <f aca="false">I30+L30+O30</f>
        <v>0</v>
      </c>
      <c r="G30" s="1050" t="n">
        <f aca="false">IF(DATE(YEAR($B30),MONTH($B30),DAY(1))=DATE(YEAR($D$69),MONTH($D$69),DAY(1)),$D$68,0)</f>
        <v>0</v>
      </c>
      <c r="H30" s="973" t="n">
        <f aca="false">IF(ISERROR(VLOOKUP($B30,$C$85:$F$96,3,FALSE()))=TRUE(),0,VLOOKUP($B30,$C$85:$F$96,3,FALSE()))</f>
        <v>0</v>
      </c>
      <c r="I30" s="976" t="n">
        <f aca="false">IF(ISERROR(VLOOKUP($B30,$C$85:$F$96,4,FALSE()))=TRUE(),0,VLOOKUP($B30,$C$85:$F$96,4,FALSE()))</f>
        <v>0</v>
      </c>
      <c r="J30" s="1050" t="n">
        <f aca="false">IF(DATE(YEAR($B30),MONTH($B30),DAY(1))=DATE(YEAR($M$69),MONTH($M$69),DAY(1)),$M$68,0)</f>
        <v>0</v>
      </c>
      <c r="K30" s="973" t="n">
        <f aca="false">IF(ISERROR(VLOOKUP($B30,$L$85:$O$96,3,FALSE()))=TRUE(),0,VLOOKUP($B30,$L$85:$O$96,3,FALSE()))</f>
        <v>0</v>
      </c>
      <c r="L30" s="976" t="n">
        <f aca="false">IF(ISERROR(VLOOKUP($B30,$L$85:$O$96,4,FALSE()))=TRUE(),0,VLOOKUP($B30,$L$85:$O$96,4,FALSE()))</f>
        <v>0</v>
      </c>
      <c r="M30" s="1050" t="n">
        <f aca="false">IF(DATE(YEAR($B30),MONTH($B30),DAY(1))=DATE(YEAR($V$69),MONTH($V$69),DAY(1)),$V$68,0)</f>
        <v>0</v>
      </c>
      <c r="N30" s="973" t="n">
        <f aca="false">IF(ISERROR(VLOOKUP($B30,$U$85:$X$96,3,FALSE()))=TRUE(),0,VLOOKUP($B30,$U$85:$X$96,3,FALSE()))</f>
        <v>0</v>
      </c>
      <c r="O30" s="974" t="n">
        <f aca="false">IF(ISERROR(VLOOKUP($B30,$U$85:$X$96,4,FALSE()))=TRUE(),0,VLOOKUP($B30,$U$85:$X$96,4,FALSE()))</f>
        <v>0</v>
      </c>
      <c r="S30" s="451"/>
      <c r="T30" s="93"/>
    </row>
    <row r="31" customFormat="false" ht="12.75" hidden="false" customHeight="false" outlineLevel="0" collapsed="false">
      <c r="B31" s="972" t="n">
        <f aca="false">DATE(YEAR(B30),MONTH(B30)+1,DAY(B30))</f>
        <v>45139</v>
      </c>
      <c r="C31" s="12" t="n">
        <f aca="false">G31+J31+M31</f>
        <v>0</v>
      </c>
      <c r="D31" s="973" t="n">
        <f aca="false">H31+K31+N31</f>
        <v>0</v>
      </c>
      <c r="E31" s="974" t="n">
        <f aca="false">I31+L31+O31</f>
        <v>0</v>
      </c>
      <c r="G31" s="1050" t="n">
        <f aca="false">IF(DATE(YEAR($B31),MONTH($B31),DAY(1))=DATE(YEAR($D$69),MONTH($D$69),DAY(1)),$D$68,0)</f>
        <v>0</v>
      </c>
      <c r="H31" s="973" t="n">
        <f aca="false">IF(ISERROR(VLOOKUP($B31,$C$85:$F$96,3,FALSE()))=TRUE(),0,VLOOKUP($B31,$C$85:$F$96,3,FALSE()))</f>
        <v>0</v>
      </c>
      <c r="I31" s="976" t="n">
        <f aca="false">IF(ISERROR(VLOOKUP($B31,$C$85:$F$96,4,FALSE()))=TRUE(),0,VLOOKUP($B31,$C$85:$F$96,4,FALSE()))</f>
        <v>0</v>
      </c>
      <c r="J31" s="1050" t="n">
        <f aca="false">IF(DATE(YEAR($B31),MONTH($B31),DAY(1))=DATE(YEAR($M$69),MONTH($M$69),DAY(1)),$M$68,0)</f>
        <v>0</v>
      </c>
      <c r="K31" s="973" t="n">
        <f aca="false">IF(ISERROR(VLOOKUP($B31,$L$85:$O$96,3,FALSE()))=TRUE(),0,VLOOKUP($B31,$L$85:$O$96,3,FALSE()))</f>
        <v>0</v>
      </c>
      <c r="L31" s="976" t="n">
        <f aca="false">IF(ISERROR(VLOOKUP($B31,$L$85:$O$96,4,FALSE()))=TRUE(),0,VLOOKUP($B31,$L$85:$O$96,4,FALSE()))</f>
        <v>0</v>
      </c>
      <c r="M31" s="1050" t="n">
        <f aca="false">IF(DATE(YEAR($B31),MONTH($B31),DAY(1))=DATE(YEAR($V$69),MONTH($V$69),DAY(1)),$V$68,0)</f>
        <v>0</v>
      </c>
      <c r="N31" s="973" t="n">
        <f aca="false">IF(ISERROR(VLOOKUP($B31,$U$85:$X$96,3,FALSE()))=TRUE(),0,VLOOKUP($B31,$U$85:$X$96,3,FALSE()))</f>
        <v>0</v>
      </c>
      <c r="O31" s="974" t="n">
        <f aca="false">IF(ISERROR(VLOOKUP($B31,$U$85:$X$96,4,FALSE()))=TRUE(),0,VLOOKUP($B31,$U$85:$X$96,4,FALSE()))</f>
        <v>0</v>
      </c>
      <c r="S31" s="451"/>
      <c r="T31" s="451"/>
    </row>
    <row r="32" customFormat="false" ht="12.75" hidden="false" customHeight="false" outlineLevel="0" collapsed="false">
      <c r="B32" s="972" t="n">
        <f aca="false">DATE(YEAR(B31),MONTH(B31)+1,DAY(B31))</f>
        <v>45170</v>
      </c>
      <c r="C32" s="12" t="n">
        <f aca="false">G32+J32+M32</f>
        <v>0</v>
      </c>
      <c r="D32" s="973" t="n">
        <f aca="false">H32+K32+N32</f>
        <v>0</v>
      </c>
      <c r="E32" s="974" t="n">
        <f aca="false">I32+L32+O32</f>
        <v>0</v>
      </c>
      <c r="G32" s="1050" t="n">
        <f aca="false">IF(DATE(YEAR($B32),MONTH($B32),DAY(1))=DATE(YEAR($D$69),MONTH($D$69),DAY(1)),$D$68,0)</f>
        <v>0</v>
      </c>
      <c r="H32" s="973" t="n">
        <f aca="false">IF(ISERROR(VLOOKUP($B32,$C$85:$F$96,3,FALSE()))=TRUE(),0,VLOOKUP($B32,$C$85:$F$96,3,FALSE()))</f>
        <v>0</v>
      </c>
      <c r="I32" s="976" t="n">
        <f aca="false">IF(ISERROR(VLOOKUP($B32,$C$85:$F$96,4,FALSE()))=TRUE(),0,VLOOKUP($B32,$C$85:$F$96,4,FALSE()))</f>
        <v>0</v>
      </c>
      <c r="J32" s="1050" t="n">
        <f aca="false">IF(DATE(YEAR($B32),MONTH($B32),DAY(1))=DATE(YEAR($M$69),MONTH($M$69),DAY(1)),$M$68,0)</f>
        <v>0</v>
      </c>
      <c r="K32" s="973" t="n">
        <f aca="false">IF(ISERROR(VLOOKUP($B32,$L$85:$O$96,3,FALSE()))=TRUE(),0,VLOOKUP($B32,$L$85:$O$96,3,FALSE()))</f>
        <v>0</v>
      </c>
      <c r="L32" s="976" t="n">
        <f aca="false">IF(ISERROR(VLOOKUP($B32,$L$85:$O$96,4,FALSE()))=TRUE(),0,VLOOKUP($B32,$L$85:$O$96,4,FALSE()))</f>
        <v>0</v>
      </c>
      <c r="M32" s="1050" t="n">
        <f aca="false">IF(DATE(YEAR($B32),MONTH($B32),DAY(1))=DATE(YEAR($V$69),MONTH($V$69),DAY(1)),$V$68,0)</f>
        <v>0</v>
      </c>
      <c r="N32" s="973" t="n">
        <f aca="false">IF(ISERROR(VLOOKUP($B32,$U$85:$X$96,3,FALSE()))=TRUE(),0,VLOOKUP($B32,$U$85:$X$96,3,FALSE()))</f>
        <v>0</v>
      </c>
      <c r="O32" s="974" t="n">
        <f aca="false">IF(ISERROR(VLOOKUP($B32,$U$85:$X$96,4,FALSE()))=TRUE(),0,VLOOKUP($B32,$U$85:$X$96,4,FALSE()))</f>
        <v>0</v>
      </c>
      <c r="S32" s="451"/>
      <c r="T32" s="451"/>
    </row>
    <row r="33" customFormat="false" ht="12.75" hidden="false" customHeight="false" outlineLevel="0" collapsed="false">
      <c r="B33" s="972" t="n">
        <f aca="false">DATE(YEAR(B32),MONTH(B32)+1,DAY(B32))</f>
        <v>45200</v>
      </c>
      <c r="C33" s="12" t="n">
        <f aca="false">G33+J33+M33</f>
        <v>0</v>
      </c>
      <c r="D33" s="973" t="n">
        <f aca="false">H33+K33+N33</f>
        <v>0</v>
      </c>
      <c r="E33" s="974" t="n">
        <f aca="false">I33+L33+O33</f>
        <v>0</v>
      </c>
      <c r="G33" s="1050" t="n">
        <f aca="false">IF(DATE(YEAR($B33),MONTH($B33),DAY(1))=DATE(YEAR($D$69),MONTH($D$69),DAY(1)),$D$68,0)</f>
        <v>0</v>
      </c>
      <c r="H33" s="973" t="n">
        <f aca="false">IF(ISERROR(VLOOKUP($B33,$C$85:$F$96,3,FALSE()))=TRUE(),0,VLOOKUP($B33,$C$85:$F$96,3,FALSE()))</f>
        <v>0</v>
      </c>
      <c r="I33" s="976" t="n">
        <f aca="false">IF(ISERROR(VLOOKUP($B33,$C$85:$F$96,4,FALSE()))=TRUE(),0,VLOOKUP($B33,$C$85:$F$96,4,FALSE()))</f>
        <v>0</v>
      </c>
      <c r="J33" s="1050" t="n">
        <f aca="false">IF(DATE(YEAR($B33),MONTH($B33),DAY(1))=DATE(YEAR($M$69),MONTH($M$69),DAY(1)),$M$68,0)</f>
        <v>0</v>
      </c>
      <c r="K33" s="973" t="n">
        <f aca="false">IF(ISERROR(VLOOKUP($B33,$L$85:$O$96,3,FALSE()))=TRUE(),0,VLOOKUP($B33,$L$85:$O$96,3,FALSE()))</f>
        <v>0</v>
      </c>
      <c r="L33" s="976" t="n">
        <f aca="false">IF(ISERROR(VLOOKUP($B33,$L$85:$O$96,4,FALSE()))=TRUE(),0,VLOOKUP($B33,$L$85:$O$96,4,FALSE()))</f>
        <v>0</v>
      </c>
      <c r="M33" s="1050" t="n">
        <f aca="false">IF(DATE(YEAR($B33),MONTH($B33),DAY(1))=DATE(YEAR($V$69),MONTH($V$69),DAY(1)),$V$68,0)</f>
        <v>0</v>
      </c>
      <c r="N33" s="973" t="n">
        <f aca="false">IF(ISERROR(VLOOKUP($B33,$U$85:$X$96,3,FALSE()))=TRUE(),0,VLOOKUP($B33,$U$85:$X$96,3,FALSE()))</f>
        <v>0</v>
      </c>
      <c r="O33" s="974" t="n">
        <f aca="false">IF(ISERROR(VLOOKUP($B33,$U$85:$X$96,4,FALSE()))=TRUE(),0,VLOOKUP($B33,$U$85:$X$96,4,FALSE()))</f>
        <v>0</v>
      </c>
      <c r="S33" s="451"/>
      <c r="T33" s="451"/>
    </row>
    <row r="34" customFormat="false" ht="12.75" hidden="false" customHeight="false" outlineLevel="0" collapsed="false">
      <c r="B34" s="972" t="n">
        <f aca="false">DATE(YEAR(B33),MONTH(B33)+1,DAY(B33))</f>
        <v>45231</v>
      </c>
      <c r="C34" s="12" t="n">
        <f aca="false">G34+J34+M34</f>
        <v>0</v>
      </c>
      <c r="D34" s="973" t="n">
        <f aca="false">H34+K34+N34</f>
        <v>0</v>
      </c>
      <c r="E34" s="974" t="n">
        <f aca="false">I34+L34+O34</f>
        <v>0</v>
      </c>
      <c r="G34" s="1050" t="n">
        <f aca="false">IF(DATE(YEAR($B34),MONTH($B34),DAY(1))=DATE(YEAR($D$69),MONTH($D$69),DAY(1)),$D$68,0)</f>
        <v>0</v>
      </c>
      <c r="H34" s="973" t="n">
        <f aca="false">IF(ISERROR(VLOOKUP($B34,$C$85:$F$96,3,FALSE()))=TRUE(),0,VLOOKUP($B34,$C$85:$F$96,3,FALSE()))</f>
        <v>0</v>
      </c>
      <c r="I34" s="976" t="n">
        <f aca="false">IF(ISERROR(VLOOKUP($B34,$C$85:$F$96,4,FALSE()))=TRUE(),0,VLOOKUP($B34,$C$85:$F$96,4,FALSE()))</f>
        <v>0</v>
      </c>
      <c r="J34" s="1050" t="n">
        <f aca="false">IF(DATE(YEAR($B34),MONTH($B34),DAY(1))=DATE(YEAR($M$69),MONTH($M$69),DAY(1)),$M$68,0)</f>
        <v>0</v>
      </c>
      <c r="K34" s="973" t="n">
        <f aca="false">IF(ISERROR(VLOOKUP($B34,$L$85:$O$96,3,FALSE()))=TRUE(),0,VLOOKUP($B34,$L$85:$O$96,3,FALSE()))</f>
        <v>0</v>
      </c>
      <c r="L34" s="976" t="n">
        <f aca="false">IF(ISERROR(VLOOKUP($B34,$L$85:$O$96,4,FALSE()))=TRUE(),0,VLOOKUP($B34,$L$85:$O$96,4,FALSE()))</f>
        <v>0</v>
      </c>
      <c r="M34" s="1050" t="n">
        <f aca="false">IF(DATE(YEAR($B34),MONTH($B34),DAY(1))=DATE(YEAR($V$69),MONTH($V$69),DAY(1)),$V$68,0)</f>
        <v>0</v>
      </c>
      <c r="N34" s="973" t="n">
        <f aca="false">IF(ISERROR(VLOOKUP($B34,$U$85:$X$96,3,FALSE()))=TRUE(),0,VLOOKUP($B34,$U$85:$X$96,3,FALSE()))</f>
        <v>0</v>
      </c>
      <c r="O34" s="974" t="n">
        <f aca="false">IF(ISERROR(VLOOKUP($B34,$U$85:$X$96,4,FALSE()))=TRUE(),0,VLOOKUP($B34,$U$85:$X$96,4,FALSE()))</f>
        <v>0</v>
      </c>
      <c r="S34" s="451"/>
      <c r="T34" s="451"/>
    </row>
    <row r="35" customFormat="false" ht="12.75" hidden="false" customHeight="false" outlineLevel="0" collapsed="false">
      <c r="B35" s="978" t="n">
        <f aca="false">DATE(YEAR(B34),MONTH(B34)+1,DAY(B34))</f>
        <v>45261</v>
      </c>
      <c r="C35" s="1052" t="n">
        <f aca="false">G35+J35+M35</f>
        <v>0</v>
      </c>
      <c r="D35" s="979" t="n">
        <f aca="false">H35+K35+N35</f>
        <v>0</v>
      </c>
      <c r="E35" s="980" t="n">
        <f aca="false">I35+L35+O35</f>
        <v>0</v>
      </c>
      <c r="G35" s="1053" t="n">
        <f aca="false">IF(DATE(YEAR($B35),MONTH($B35),DAY(1))=DATE(YEAR($D$69),MONTH($D$69),DAY(1)),$D$68,0)</f>
        <v>0</v>
      </c>
      <c r="H35" s="979" t="n">
        <f aca="false">IF(ISERROR(VLOOKUP($B35,$C$85:$F$96,3,FALSE()))=TRUE(),0,VLOOKUP($B35,$C$85:$F$96,3,FALSE()))</f>
        <v>0</v>
      </c>
      <c r="I35" s="982" t="n">
        <f aca="false">IF(ISERROR(VLOOKUP($B35,$C$85:$F$96,4,FALSE()))=TRUE(),0,VLOOKUP($B35,$C$85:$F$96,4,FALSE()))</f>
        <v>0</v>
      </c>
      <c r="J35" s="1053" t="n">
        <f aca="false">IF(DATE(YEAR($B35),MONTH($B35),DAY(1))=DATE(YEAR($M$69),MONTH($M$69),DAY(1)),$M$68,0)</f>
        <v>0</v>
      </c>
      <c r="K35" s="979" t="n">
        <f aca="false">IF(ISERROR(VLOOKUP($B35,$L$85:$O$96,3,FALSE()))=TRUE(),0,VLOOKUP($B35,$L$85:$O$96,3,FALSE()))</f>
        <v>0</v>
      </c>
      <c r="L35" s="982" t="n">
        <f aca="false">IF(ISERROR(VLOOKUP($B35,$L$85:$O$96,4,FALSE()))=TRUE(),0,VLOOKUP($B35,$L$85:$O$96,4,FALSE()))</f>
        <v>0</v>
      </c>
      <c r="M35" s="1053" t="n">
        <f aca="false">IF(DATE(YEAR($B35),MONTH($B35),DAY(1))=DATE(YEAR($V$69),MONTH($V$69),DAY(1)),$V$68,0)</f>
        <v>0</v>
      </c>
      <c r="N35" s="979" t="n">
        <f aca="false">IF(ISERROR(VLOOKUP($B35,$U$85:$X$96,3,FALSE()))=TRUE(),0,VLOOKUP($B35,$U$85:$X$96,3,FALSE()))</f>
        <v>0</v>
      </c>
      <c r="O35" s="980" t="n">
        <f aca="false">IF(ISERROR(VLOOKUP($B35,$U$85:$X$96,4,FALSE()))=TRUE(),0,VLOOKUP($B35,$U$85:$X$96,4,FALSE()))</f>
        <v>0</v>
      </c>
      <c r="P35" s="999"/>
      <c r="Q35" s="999"/>
      <c r="R35" s="23"/>
      <c r="S35" s="23"/>
      <c r="T35" s="23"/>
    </row>
    <row r="36" customFormat="false" ht="12.75" hidden="false" customHeight="false" outlineLevel="0" collapsed="false">
      <c r="B36" s="972" t="n">
        <f aca="false">DATE(YEAR(B35),MONTH(B35)+1,DAY(B35))</f>
        <v>45292</v>
      </c>
      <c r="C36" s="12" t="n">
        <f aca="false">G36+J36+M36</f>
        <v>0</v>
      </c>
      <c r="D36" s="973" t="n">
        <f aca="false">H36+K36+N36</f>
        <v>0</v>
      </c>
      <c r="E36" s="974" t="n">
        <f aca="false">I36+L36+O36</f>
        <v>0</v>
      </c>
      <c r="G36" s="1050" t="n">
        <f aca="false">IF(DATE(YEAR($B36),MONTH($B36),DAY(1))=DATE(YEAR($D$69),MONTH($D$69),DAY(1)),$D$68,0)</f>
        <v>0</v>
      </c>
      <c r="H36" s="973" t="n">
        <f aca="false">IF(ISERROR(VLOOKUP($B36,$C$85:$F$96,3,FALSE()))=TRUE(),0,VLOOKUP($B36,$C$85:$F$96,3,FALSE()))</f>
        <v>0</v>
      </c>
      <c r="I36" s="976" t="n">
        <f aca="false">IF(ISERROR(VLOOKUP($B36,$C$85:$F$96,4,FALSE()))=TRUE(),0,VLOOKUP($B36,$C$85:$F$96,4,FALSE()))</f>
        <v>0</v>
      </c>
      <c r="J36" s="1050" t="n">
        <f aca="false">IF(DATE(YEAR($B36),MONTH($B36),DAY(1))=DATE(YEAR($M$69),MONTH($M$69),DAY(1)),$M$68,0)</f>
        <v>0</v>
      </c>
      <c r="K36" s="973" t="n">
        <f aca="false">IF(ISERROR(VLOOKUP($B36,$L$85:$O$96,3,FALSE()))=TRUE(),0,VLOOKUP($B36,$L$85:$O$96,3,FALSE()))</f>
        <v>0</v>
      </c>
      <c r="L36" s="976" t="n">
        <f aca="false">IF(ISERROR(VLOOKUP($B36,$L$85:$O$96,4,FALSE()))=TRUE(),0,VLOOKUP($B36,$L$85:$O$96,4,FALSE()))</f>
        <v>0</v>
      </c>
      <c r="M36" s="1050" t="n">
        <f aca="false">IF(DATE(YEAR($B36),MONTH($B36),DAY(1))=DATE(YEAR($V$69),MONTH($V$69),DAY(1)),$V$68,0)</f>
        <v>0</v>
      </c>
      <c r="N36" s="973" t="n">
        <f aca="false">IF(ISERROR(VLOOKUP($B36,$U$85:$X$96,3,FALSE()))=TRUE(),0,VLOOKUP($B36,$U$85:$X$96,3,FALSE()))</f>
        <v>0</v>
      </c>
      <c r="O36" s="974" t="n">
        <f aca="false">IF(ISERROR(VLOOKUP($B36,$U$85:$X$96,4,FALSE()))=TRUE(),0,VLOOKUP($B36,$U$85:$X$96,4,FALSE()))</f>
        <v>0</v>
      </c>
      <c r="S36" s="451"/>
      <c r="T36" s="451"/>
    </row>
    <row r="37" customFormat="false" ht="12.75" hidden="false" customHeight="false" outlineLevel="0" collapsed="false">
      <c r="B37" s="972" t="n">
        <f aca="false">DATE(YEAR(B36),MONTH(B36)+1,DAY(B36))</f>
        <v>45323</v>
      </c>
      <c r="C37" s="12" t="n">
        <f aca="false">G37+J37+M37</f>
        <v>0</v>
      </c>
      <c r="D37" s="973" t="n">
        <f aca="false">H37+K37+N37</f>
        <v>0</v>
      </c>
      <c r="E37" s="974" t="n">
        <f aca="false">I37+L37+O37</f>
        <v>0</v>
      </c>
      <c r="G37" s="1050" t="n">
        <f aca="false">IF(DATE(YEAR($B37),MONTH($B37),DAY(1))=DATE(YEAR($D$69),MONTH($D$69),DAY(1)),$D$68,0)</f>
        <v>0</v>
      </c>
      <c r="H37" s="973" t="n">
        <f aca="false">IF(ISERROR(VLOOKUP($B37,$C$85:$F$96,3,FALSE()))=TRUE(),0,VLOOKUP($B37,$C$85:$F$96,3,FALSE()))</f>
        <v>0</v>
      </c>
      <c r="I37" s="976" t="n">
        <f aca="false">IF(ISERROR(VLOOKUP($B37,$C$85:$F$96,4,FALSE()))=TRUE(),0,VLOOKUP($B37,$C$85:$F$96,4,FALSE()))</f>
        <v>0</v>
      </c>
      <c r="J37" s="1050" t="n">
        <f aca="false">IF(DATE(YEAR($B37),MONTH($B37),DAY(1))=DATE(YEAR($M$69),MONTH($M$69),DAY(1)),$M$68,0)</f>
        <v>0</v>
      </c>
      <c r="K37" s="973" t="n">
        <f aca="false">IF(ISERROR(VLOOKUP($B37,$L$85:$O$96,3,FALSE()))=TRUE(),0,VLOOKUP($B37,$L$85:$O$96,3,FALSE()))</f>
        <v>0</v>
      </c>
      <c r="L37" s="976" t="n">
        <f aca="false">IF(ISERROR(VLOOKUP($B37,$L$85:$O$96,4,FALSE()))=TRUE(),0,VLOOKUP($B37,$L$85:$O$96,4,FALSE()))</f>
        <v>0</v>
      </c>
      <c r="M37" s="1050" t="n">
        <f aca="false">IF(DATE(YEAR($B37),MONTH($B37),DAY(1))=DATE(YEAR($V$69),MONTH($V$69),DAY(1)),$V$68,0)</f>
        <v>0</v>
      </c>
      <c r="N37" s="973" t="n">
        <f aca="false">IF(ISERROR(VLOOKUP($B37,$U$85:$X$96,3,FALSE()))=TRUE(),0,VLOOKUP($B37,$U$85:$X$96,3,FALSE()))</f>
        <v>0</v>
      </c>
      <c r="O37" s="974" t="n">
        <f aca="false">IF(ISERROR(VLOOKUP($B37,$U$85:$X$96,4,FALSE()))=TRUE(),0,VLOOKUP($B37,$U$85:$X$96,4,FALSE()))</f>
        <v>0</v>
      </c>
      <c r="S37" s="451"/>
      <c r="T37" s="451"/>
    </row>
    <row r="38" customFormat="false" ht="12.75" hidden="false" customHeight="false" outlineLevel="0" collapsed="false">
      <c r="B38" s="972" t="n">
        <f aca="false">DATE(YEAR(B37),MONTH(B37)+1,DAY(B37))</f>
        <v>45352</v>
      </c>
      <c r="C38" s="12" t="n">
        <f aca="false">G38+J38+M38</f>
        <v>0</v>
      </c>
      <c r="D38" s="973" t="n">
        <f aca="false">H38+K38+N38</f>
        <v>0</v>
      </c>
      <c r="E38" s="974" t="n">
        <f aca="false">I38+L38+O38</f>
        <v>0</v>
      </c>
      <c r="G38" s="1050" t="n">
        <f aca="false">IF(DATE(YEAR($B38),MONTH($B38),DAY(1))=DATE(YEAR($D$69),MONTH($D$69),DAY(1)),$D$68,0)</f>
        <v>0</v>
      </c>
      <c r="H38" s="973" t="n">
        <f aca="false">IF(ISERROR(VLOOKUP($B38,$C$85:$F$96,3,FALSE()))=TRUE(),0,VLOOKUP($B38,$C$85:$F$96,3,FALSE()))</f>
        <v>0</v>
      </c>
      <c r="I38" s="976" t="n">
        <f aca="false">IF(ISERROR(VLOOKUP($B38,$C$85:$F$96,4,FALSE()))=TRUE(),0,VLOOKUP($B38,$C$85:$F$96,4,FALSE()))</f>
        <v>0</v>
      </c>
      <c r="J38" s="1050" t="n">
        <f aca="false">IF(DATE(YEAR($B38),MONTH($B38),DAY(1))=DATE(YEAR($M$69),MONTH($M$69),DAY(1)),$M$68,0)</f>
        <v>0</v>
      </c>
      <c r="K38" s="973" t="n">
        <f aca="false">IF(ISERROR(VLOOKUP($B38,$L$85:$O$96,3,FALSE()))=TRUE(),0,VLOOKUP($B38,$L$85:$O$96,3,FALSE()))</f>
        <v>0</v>
      </c>
      <c r="L38" s="976" t="n">
        <f aca="false">IF(ISERROR(VLOOKUP($B38,$L$85:$O$96,4,FALSE()))=TRUE(),0,VLOOKUP($B38,$L$85:$O$96,4,FALSE()))</f>
        <v>0</v>
      </c>
      <c r="M38" s="1050" t="n">
        <f aca="false">IF(DATE(YEAR($B38),MONTH($B38),DAY(1))=DATE(YEAR($V$69),MONTH($V$69),DAY(1)),$V$68,0)</f>
        <v>0</v>
      </c>
      <c r="N38" s="973" t="n">
        <f aca="false">IF(ISERROR(VLOOKUP($B38,$U$85:$X$96,3,FALSE()))=TRUE(),0,VLOOKUP($B38,$U$85:$X$96,3,FALSE()))</f>
        <v>0</v>
      </c>
      <c r="O38" s="974" t="n">
        <f aca="false">IF(ISERROR(VLOOKUP($B38,$U$85:$X$96,4,FALSE()))=TRUE(),0,VLOOKUP($B38,$U$85:$X$96,4,FALSE()))</f>
        <v>0</v>
      </c>
      <c r="S38" s="451"/>
      <c r="T38" s="451"/>
    </row>
    <row r="39" customFormat="false" ht="12.75" hidden="false" customHeight="false" outlineLevel="0" collapsed="false">
      <c r="B39" s="972" t="n">
        <f aca="false">DATE(YEAR(B38),MONTH(B38)+1,DAY(B38))</f>
        <v>45383</v>
      </c>
      <c r="C39" s="12" t="n">
        <f aca="false">G39+J39+M39</f>
        <v>0</v>
      </c>
      <c r="D39" s="973" t="n">
        <f aca="false">H39+K39+N39</f>
        <v>0</v>
      </c>
      <c r="E39" s="974" t="n">
        <f aca="false">I39+L39+O39</f>
        <v>0</v>
      </c>
      <c r="G39" s="1050" t="n">
        <f aca="false">IF(DATE(YEAR($B39),MONTH($B39),DAY(1))=DATE(YEAR($D$69),MONTH($D$69),DAY(1)),$D$68,0)</f>
        <v>0</v>
      </c>
      <c r="H39" s="973" t="n">
        <f aca="false">IF(ISERROR(VLOOKUP($B39,$C$85:$F$96,3,FALSE()))=TRUE(),0,VLOOKUP($B39,$C$85:$F$96,3,FALSE()))</f>
        <v>0</v>
      </c>
      <c r="I39" s="976" t="n">
        <f aca="false">IF(ISERROR(VLOOKUP($B39,$C$85:$F$96,4,FALSE()))=TRUE(),0,VLOOKUP($B39,$C$85:$F$96,4,FALSE()))</f>
        <v>0</v>
      </c>
      <c r="J39" s="1050" t="n">
        <f aca="false">IF(DATE(YEAR($B39),MONTH($B39),DAY(1))=DATE(YEAR($M$69),MONTH($M$69),DAY(1)),$M$68,0)</f>
        <v>0</v>
      </c>
      <c r="K39" s="973" t="n">
        <f aca="false">IF(ISERROR(VLOOKUP($B39,$L$85:$O$96,3,FALSE()))=TRUE(),0,VLOOKUP($B39,$L$85:$O$96,3,FALSE()))</f>
        <v>0</v>
      </c>
      <c r="L39" s="976" t="n">
        <f aca="false">IF(ISERROR(VLOOKUP($B39,$L$85:$O$96,4,FALSE()))=TRUE(),0,VLOOKUP($B39,$L$85:$O$96,4,FALSE()))</f>
        <v>0</v>
      </c>
      <c r="M39" s="1050" t="n">
        <f aca="false">IF(DATE(YEAR($B39),MONTH($B39),DAY(1))=DATE(YEAR($V$69),MONTH($V$69),DAY(1)),$V$68,0)</f>
        <v>0</v>
      </c>
      <c r="N39" s="973" t="n">
        <f aca="false">IF(ISERROR(VLOOKUP($B39,$U$85:$X$96,3,FALSE()))=TRUE(),0,VLOOKUP($B39,$U$85:$X$96,3,FALSE()))</f>
        <v>0</v>
      </c>
      <c r="O39" s="974" t="n">
        <f aca="false">IF(ISERROR(VLOOKUP($B39,$U$85:$X$96,4,FALSE()))=TRUE(),0,VLOOKUP($B39,$U$85:$X$96,4,FALSE()))</f>
        <v>0</v>
      </c>
      <c r="S39" s="451"/>
      <c r="T39" s="451"/>
    </row>
    <row r="40" customFormat="false" ht="12.75" hidden="false" customHeight="false" outlineLevel="0" collapsed="false">
      <c r="B40" s="972" t="n">
        <f aca="false">DATE(YEAR(B39),MONTH(B39)+1,DAY(B39))</f>
        <v>45413</v>
      </c>
      <c r="C40" s="12" t="n">
        <f aca="false">G40+J40+M40</f>
        <v>0</v>
      </c>
      <c r="D40" s="973" t="n">
        <f aca="false">H40+K40+N40</f>
        <v>0</v>
      </c>
      <c r="E40" s="974" t="n">
        <f aca="false">I40+L40+O40</f>
        <v>0</v>
      </c>
      <c r="G40" s="1050" t="n">
        <f aca="false">IF(DATE(YEAR($B40),MONTH($B40),DAY(1))=DATE(YEAR($D$69),MONTH($D$69),DAY(1)),$D$68,0)</f>
        <v>0</v>
      </c>
      <c r="H40" s="973" t="n">
        <f aca="false">IF(ISERROR(VLOOKUP($B40,$C$85:$F$96,3,FALSE()))=TRUE(),0,VLOOKUP($B40,$C$85:$F$96,3,FALSE()))</f>
        <v>0</v>
      </c>
      <c r="I40" s="976" t="n">
        <f aca="false">IF(ISERROR(VLOOKUP($B40,$C$85:$F$96,4,FALSE()))=TRUE(),0,VLOOKUP($B40,$C$85:$F$96,4,FALSE()))</f>
        <v>0</v>
      </c>
      <c r="J40" s="1050" t="n">
        <f aca="false">IF(DATE(YEAR($B40),MONTH($B40),DAY(1))=DATE(YEAR($M$69),MONTH($M$69),DAY(1)),$M$68,0)</f>
        <v>0</v>
      </c>
      <c r="K40" s="973" t="n">
        <f aca="false">IF(ISERROR(VLOOKUP($B40,$L$85:$O$96,3,FALSE()))=TRUE(),0,VLOOKUP($B40,$L$85:$O$96,3,FALSE()))</f>
        <v>0</v>
      </c>
      <c r="L40" s="976" t="n">
        <f aca="false">IF(ISERROR(VLOOKUP($B40,$L$85:$O$96,4,FALSE()))=TRUE(),0,VLOOKUP($B40,$L$85:$O$96,4,FALSE()))</f>
        <v>0</v>
      </c>
      <c r="M40" s="1050" t="n">
        <f aca="false">IF(DATE(YEAR($B40),MONTH($B40),DAY(1))=DATE(YEAR($V$69),MONTH($V$69),DAY(1)),$V$68,0)</f>
        <v>0</v>
      </c>
      <c r="N40" s="973" t="n">
        <f aca="false">IF(ISERROR(VLOOKUP($B40,$U$85:$X$96,3,FALSE()))=TRUE(),0,VLOOKUP($B40,$U$85:$X$96,3,FALSE()))</f>
        <v>0</v>
      </c>
      <c r="O40" s="974" t="n">
        <f aca="false">IF(ISERROR(VLOOKUP($B40,$U$85:$X$96,4,FALSE()))=TRUE(),0,VLOOKUP($B40,$U$85:$X$96,4,FALSE()))</f>
        <v>0</v>
      </c>
      <c r="S40" s="451"/>
      <c r="T40" s="451"/>
    </row>
    <row r="41" customFormat="false" ht="12.75" hidden="false" customHeight="false" outlineLevel="0" collapsed="false">
      <c r="B41" s="972" t="n">
        <f aca="false">DATE(YEAR(B40),MONTH(B40)+1,DAY(B40))</f>
        <v>45444</v>
      </c>
      <c r="C41" s="12" t="n">
        <f aca="false">G41+J41+M41</f>
        <v>0</v>
      </c>
      <c r="D41" s="973" t="n">
        <f aca="false">H41+K41+N41</f>
        <v>0</v>
      </c>
      <c r="E41" s="974" t="n">
        <f aca="false">I41+L41+O41</f>
        <v>0</v>
      </c>
      <c r="G41" s="1050" t="n">
        <f aca="false">IF(DATE(YEAR($B41),MONTH($B41),DAY(1))=DATE(YEAR($D$69),MONTH($D$69),DAY(1)),$D$68,0)</f>
        <v>0</v>
      </c>
      <c r="H41" s="973" t="n">
        <f aca="false">IF(ISERROR(VLOOKUP($B41,$C$85:$F$96,3,FALSE()))=TRUE(),0,VLOOKUP($B41,$C$85:$F$96,3,FALSE()))</f>
        <v>0</v>
      </c>
      <c r="I41" s="976" t="n">
        <f aca="false">IF(ISERROR(VLOOKUP($B41,$C$85:$F$96,4,FALSE()))=TRUE(),0,VLOOKUP($B41,$C$85:$F$96,4,FALSE()))</f>
        <v>0</v>
      </c>
      <c r="J41" s="1050" t="n">
        <f aca="false">IF(DATE(YEAR($B41),MONTH($B41),DAY(1))=DATE(YEAR($M$69),MONTH($M$69),DAY(1)),$M$68,0)</f>
        <v>0</v>
      </c>
      <c r="K41" s="973" t="n">
        <f aca="false">IF(ISERROR(VLOOKUP($B41,$L$85:$O$96,3,FALSE()))=TRUE(),0,VLOOKUP($B41,$L$85:$O$96,3,FALSE()))</f>
        <v>0</v>
      </c>
      <c r="L41" s="976" t="n">
        <f aca="false">IF(ISERROR(VLOOKUP($B41,$L$85:$O$96,4,FALSE()))=TRUE(),0,VLOOKUP($B41,$L$85:$O$96,4,FALSE()))</f>
        <v>0</v>
      </c>
      <c r="M41" s="1050" t="n">
        <f aca="false">IF(DATE(YEAR($B41),MONTH($B41),DAY(1))=DATE(YEAR($V$69),MONTH($V$69),DAY(1)),$V$68,0)</f>
        <v>0</v>
      </c>
      <c r="N41" s="973" t="n">
        <f aca="false">IF(ISERROR(VLOOKUP($B41,$U$85:$X$96,3,FALSE()))=TRUE(),0,VLOOKUP($B41,$U$85:$X$96,3,FALSE()))</f>
        <v>0</v>
      </c>
      <c r="O41" s="974" t="n">
        <f aca="false">IF(ISERROR(VLOOKUP($B41,$U$85:$X$96,4,FALSE()))=TRUE(),0,VLOOKUP($B41,$U$85:$X$96,4,FALSE()))</f>
        <v>0</v>
      </c>
      <c r="S41" s="451"/>
      <c r="T41" s="451"/>
    </row>
    <row r="42" customFormat="false" ht="12.75" hidden="false" customHeight="false" outlineLevel="0" collapsed="false">
      <c r="B42" s="972" t="n">
        <f aca="false">DATE(YEAR(B41),MONTH(B41)+1,DAY(B41))</f>
        <v>45474</v>
      </c>
      <c r="C42" s="12" t="n">
        <f aca="false">G42+J42+M42</f>
        <v>0</v>
      </c>
      <c r="D42" s="973" t="n">
        <f aca="false">H42+K42+N42</f>
        <v>0</v>
      </c>
      <c r="E42" s="974" t="n">
        <f aca="false">I42+L42+O42</f>
        <v>0</v>
      </c>
      <c r="G42" s="1050" t="n">
        <f aca="false">IF(DATE(YEAR($B42),MONTH($B42),DAY(1))=DATE(YEAR($D$69),MONTH($D$69),DAY(1)),$D$68,0)</f>
        <v>0</v>
      </c>
      <c r="H42" s="973" t="n">
        <f aca="false">IF(ISERROR(VLOOKUP($B42,$C$85:$F$96,3,FALSE()))=TRUE(),0,VLOOKUP($B42,$C$85:$F$96,3,FALSE()))</f>
        <v>0</v>
      </c>
      <c r="I42" s="976" t="n">
        <f aca="false">IF(ISERROR(VLOOKUP($B42,$C$85:$F$96,4,FALSE()))=TRUE(),0,VLOOKUP($B42,$C$85:$F$96,4,FALSE()))</f>
        <v>0</v>
      </c>
      <c r="J42" s="1050" t="n">
        <f aca="false">IF(DATE(YEAR($B42),MONTH($B42),DAY(1))=DATE(YEAR($M$69),MONTH($M$69),DAY(1)),$M$68,0)</f>
        <v>0</v>
      </c>
      <c r="K42" s="973" t="n">
        <f aca="false">IF(ISERROR(VLOOKUP($B42,$L$85:$O$96,3,FALSE()))=TRUE(),0,VLOOKUP($B42,$L$85:$O$96,3,FALSE()))</f>
        <v>0</v>
      </c>
      <c r="L42" s="976" t="n">
        <f aca="false">IF(ISERROR(VLOOKUP($B42,$L$85:$O$96,4,FALSE()))=TRUE(),0,VLOOKUP($B42,$L$85:$O$96,4,FALSE()))</f>
        <v>0</v>
      </c>
      <c r="M42" s="1050" t="n">
        <f aca="false">IF(DATE(YEAR($B42),MONTH($B42),DAY(1))=DATE(YEAR($V$69),MONTH($V$69),DAY(1)),$V$68,0)</f>
        <v>0</v>
      </c>
      <c r="N42" s="973" t="n">
        <f aca="false">IF(ISERROR(VLOOKUP($B42,$U$85:$X$96,3,FALSE()))=TRUE(),0,VLOOKUP($B42,$U$85:$X$96,3,FALSE()))</f>
        <v>0</v>
      </c>
      <c r="O42" s="974" t="n">
        <f aca="false">IF(ISERROR(VLOOKUP($B42,$U$85:$X$96,4,FALSE()))=TRUE(),0,VLOOKUP($B42,$U$85:$X$96,4,FALSE()))</f>
        <v>0</v>
      </c>
      <c r="S42" s="451"/>
      <c r="T42" s="451"/>
    </row>
    <row r="43" customFormat="false" ht="12.75" hidden="false" customHeight="false" outlineLevel="0" collapsed="false">
      <c r="B43" s="972" t="n">
        <f aca="false">DATE(YEAR(B42),MONTH(B42)+1,DAY(B42))</f>
        <v>45505</v>
      </c>
      <c r="C43" s="12" t="n">
        <f aca="false">G43+J43+M43</f>
        <v>0</v>
      </c>
      <c r="D43" s="973" t="n">
        <f aca="false">H43+K43+N43</f>
        <v>0</v>
      </c>
      <c r="E43" s="974" t="n">
        <f aca="false">I43+L43+O43</f>
        <v>0</v>
      </c>
      <c r="G43" s="1050" t="n">
        <f aca="false">IF(DATE(YEAR($B43),MONTH($B43),DAY(1))=DATE(YEAR($D$69),MONTH($D$69),DAY(1)),$D$68,0)</f>
        <v>0</v>
      </c>
      <c r="H43" s="973" t="n">
        <f aca="false">IF(ISERROR(VLOOKUP($B43,$C$85:$F$96,3,FALSE()))=TRUE(),0,VLOOKUP($B43,$C$85:$F$96,3,FALSE()))</f>
        <v>0</v>
      </c>
      <c r="I43" s="976" t="n">
        <f aca="false">IF(ISERROR(VLOOKUP($B43,$C$85:$F$96,4,FALSE()))=TRUE(),0,VLOOKUP($B43,$C$85:$F$96,4,FALSE()))</f>
        <v>0</v>
      </c>
      <c r="J43" s="1050" t="n">
        <f aca="false">IF(DATE(YEAR($B43),MONTH($B43),DAY(1))=DATE(YEAR($M$69),MONTH($M$69),DAY(1)),$M$68,0)</f>
        <v>0</v>
      </c>
      <c r="K43" s="973" t="n">
        <f aca="false">IF(ISERROR(VLOOKUP($B43,$L$85:$O$96,3,FALSE()))=TRUE(),0,VLOOKUP($B43,$L$85:$O$96,3,FALSE()))</f>
        <v>0</v>
      </c>
      <c r="L43" s="976" t="n">
        <f aca="false">IF(ISERROR(VLOOKUP($B43,$L$85:$O$96,4,FALSE()))=TRUE(),0,VLOOKUP($B43,$L$85:$O$96,4,FALSE()))</f>
        <v>0</v>
      </c>
      <c r="M43" s="1050" t="n">
        <f aca="false">IF(DATE(YEAR($B43),MONTH($B43),DAY(1))=DATE(YEAR($V$69),MONTH($V$69),DAY(1)),$V$68,0)</f>
        <v>0</v>
      </c>
      <c r="N43" s="973" t="n">
        <f aca="false">IF(ISERROR(VLOOKUP($B43,$U$85:$X$96,3,FALSE()))=TRUE(),0,VLOOKUP($B43,$U$85:$X$96,3,FALSE()))</f>
        <v>0</v>
      </c>
      <c r="O43" s="974" t="n">
        <f aca="false">IF(ISERROR(VLOOKUP($B43,$U$85:$X$96,4,FALSE()))=TRUE(),0,VLOOKUP($B43,$U$85:$X$96,4,FALSE()))</f>
        <v>0</v>
      </c>
      <c r="S43" s="451"/>
      <c r="T43" s="451"/>
    </row>
    <row r="44" customFormat="false" ht="12.75" hidden="false" customHeight="false" outlineLevel="0" collapsed="false">
      <c r="B44" s="972" t="n">
        <f aca="false">DATE(YEAR(B43),MONTH(B43)+1,DAY(B43))</f>
        <v>45536</v>
      </c>
      <c r="C44" s="12" t="n">
        <f aca="false">G44+J44+M44</f>
        <v>0</v>
      </c>
      <c r="D44" s="973" t="n">
        <f aca="false">H44+K44+N44</f>
        <v>0</v>
      </c>
      <c r="E44" s="974" t="n">
        <f aca="false">I44+L44+O44</f>
        <v>0</v>
      </c>
      <c r="G44" s="1050" t="n">
        <f aca="false">IF(DATE(YEAR($B44),MONTH($B44),DAY(1))=DATE(YEAR($D$69),MONTH($D$69),DAY(1)),$D$68,0)</f>
        <v>0</v>
      </c>
      <c r="H44" s="973" t="n">
        <f aca="false">IF(ISERROR(VLOOKUP($B44,$C$85:$F$96,3,FALSE()))=TRUE(),0,VLOOKUP($B44,$C$85:$F$96,3,FALSE()))</f>
        <v>0</v>
      </c>
      <c r="I44" s="976" t="n">
        <f aca="false">IF(ISERROR(VLOOKUP($B44,$C$85:$F$96,4,FALSE()))=TRUE(),0,VLOOKUP($B44,$C$85:$F$96,4,FALSE()))</f>
        <v>0</v>
      </c>
      <c r="J44" s="1050" t="n">
        <f aca="false">IF(DATE(YEAR($B44),MONTH($B44),DAY(1))=DATE(YEAR($M$69),MONTH($M$69),DAY(1)),$M$68,0)</f>
        <v>0</v>
      </c>
      <c r="K44" s="973" t="n">
        <f aca="false">IF(ISERROR(VLOOKUP($B44,$L$85:$O$96,3,FALSE()))=TRUE(),0,VLOOKUP($B44,$L$85:$O$96,3,FALSE()))</f>
        <v>0</v>
      </c>
      <c r="L44" s="976" t="n">
        <f aca="false">IF(ISERROR(VLOOKUP($B44,$L$85:$O$96,4,FALSE()))=TRUE(),0,VLOOKUP($B44,$L$85:$O$96,4,FALSE()))</f>
        <v>0</v>
      </c>
      <c r="M44" s="1050" t="n">
        <f aca="false">IF(DATE(YEAR($B44),MONTH($B44),DAY(1))=DATE(YEAR($V$69),MONTH($V$69),DAY(1)),$V$68,0)</f>
        <v>0</v>
      </c>
      <c r="N44" s="973" t="n">
        <f aca="false">IF(ISERROR(VLOOKUP($B44,$U$85:$X$96,3,FALSE()))=TRUE(),0,VLOOKUP($B44,$U$85:$X$96,3,FALSE()))</f>
        <v>0</v>
      </c>
      <c r="O44" s="974" t="n">
        <f aca="false">IF(ISERROR(VLOOKUP($B44,$U$85:$X$96,4,FALSE()))=TRUE(),0,VLOOKUP($B44,$U$85:$X$96,4,FALSE()))</f>
        <v>0</v>
      </c>
      <c r="S44" s="451"/>
      <c r="T44" s="451"/>
    </row>
    <row r="45" customFormat="false" ht="12.75" hidden="false" customHeight="false" outlineLevel="0" collapsed="false">
      <c r="B45" s="972" t="n">
        <f aca="false">DATE(YEAR(B44),MONTH(B44)+1,DAY(B44))</f>
        <v>45566</v>
      </c>
      <c r="C45" s="12" t="n">
        <f aca="false">G45+J45+M45</f>
        <v>0</v>
      </c>
      <c r="D45" s="973" t="n">
        <f aca="false">H45+K45+N45</f>
        <v>0</v>
      </c>
      <c r="E45" s="974" t="n">
        <f aca="false">I45+L45+O45</f>
        <v>0</v>
      </c>
      <c r="G45" s="1050" t="n">
        <f aca="false">IF(DATE(YEAR($B45),MONTH($B45),DAY(1))=DATE(YEAR($D$69),MONTH($D$69),DAY(1)),$D$68,0)</f>
        <v>0</v>
      </c>
      <c r="H45" s="973" t="n">
        <f aca="false">IF(ISERROR(VLOOKUP($B45,$C$85:$F$96,3,FALSE()))=TRUE(),0,VLOOKUP($B45,$C$85:$F$96,3,FALSE()))</f>
        <v>0</v>
      </c>
      <c r="I45" s="976" t="n">
        <f aca="false">IF(ISERROR(VLOOKUP($B45,$C$85:$F$96,4,FALSE()))=TRUE(),0,VLOOKUP($B45,$C$85:$F$96,4,FALSE()))</f>
        <v>0</v>
      </c>
      <c r="J45" s="1050" t="n">
        <f aca="false">IF(DATE(YEAR($B45),MONTH($B45),DAY(1))=DATE(YEAR($M$69),MONTH($M$69),DAY(1)),$M$68,0)</f>
        <v>0</v>
      </c>
      <c r="K45" s="973" t="n">
        <f aca="false">IF(ISERROR(VLOOKUP($B45,$L$85:$O$96,3,FALSE()))=TRUE(),0,VLOOKUP($B45,$L$85:$O$96,3,FALSE()))</f>
        <v>0</v>
      </c>
      <c r="L45" s="976" t="n">
        <f aca="false">IF(ISERROR(VLOOKUP($B45,$L$85:$O$96,4,FALSE()))=TRUE(),0,VLOOKUP($B45,$L$85:$O$96,4,FALSE()))</f>
        <v>0</v>
      </c>
      <c r="M45" s="1050" t="n">
        <f aca="false">IF(DATE(YEAR($B45),MONTH($B45),DAY(1))=DATE(YEAR($V$69),MONTH($V$69),DAY(1)),$V$68,0)</f>
        <v>0</v>
      </c>
      <c r="N45" s="973" t="n">
        <f aca="false">IF(ISERROR(VLOOKUP($B45,$U$85:$X$96,3,FALSE()))=TRUE(),0,VLOOKUP($B45,$U$85:$X$96,3,FALSE()))</f>
        <v>0</v>
      </c>
      <c r="O45" s="974" t="n">
        <f aca="false">IF(ISERROR(VLOOKUP($B45,$U$85:$X$96,4,FALSE()))=TRUE(),0,VLOOKUP($B45,$U$85:$X$96,4,FALSE()))</f>
        <v>0</v>
      </c>
      <c r="S45" s="451"/>
      <c r="T45" s="451"/>
    </row>
    <row r="46" customFormat="false" ht="12.75" hidden="false" customHeight="false" outlineLevel="0" collapsed="false">
      <c r="B46" s="972" t="n">
        <f aca="false">DATE(YEAR(B45),MONTH(B45)+1,DAY(B45))</f>
        <v>45597</v>
      </c>
      <c r="C46" s="12" t="n">
        <f aca="false">G46+J46+M46</f>
        <v>0</v>
      </c>
      <c r="D46" s="973" t="n">
        <f aca="false">H46+K46+N46</f>
        <v>0</v>
      </c>
      <c r="E46" s="974" t="n">
        <f aca="false">I46+L46+O46</f>
        <v>0</v>
      </c>
      <c r="G46" s="1050" t="n">
        <f aca="false">IF(DATE(YEAR($B46),MONTH($B46),DAY(1))=DATE(YEAR($D$69),MONTH($D$69),DAY(1)),$D$68,0)</f>
        <v>0</v>
      </c>
      <c r="H46" s="973" t="n">
        <f aca="false">IF(ISERROR(VLOOKUP($B46,$C$85:$F$96,3,FALSE()))=TRUE(),0,VLOOKUP($B46,$C$85:$F$96,3,FALSE()))</f>
        <v>0</v>
      </c>
      <c r="I46" s="976" t="n">
        <f aca="false">IF(ISERROR(VLOOKUP($B46,$C$85:$F$96,4,FALSE()))=TRUE(),0,VLOOKUP($B46,$C$85:$F$96,4,FALSE()))</f>
        <v>0</v>
      </c>
      <c r="J46" s="1050" t="n">
        <f aca="false">IF(DATE(YEAR($B46),MONTH($B46),DAY(1))=DATE(YEAR($M$69),MONTH($M$69),DAY(1)),$M$68,0)</f>
        <v>0</v>
      </c>
      <c r="K46" s="973" t="n">
        <f aca="false">IF(ISERROR(VLOOKUP($B46,$L$85:$O$96,3,FALSE()))=TRUE(),0,VLOOKUP($B46,$L$85:$O$96,3,FALSE()))</f>
        <v>0</v>
      </c>
      <c r="L46" s="976" t="n">
        <f aca="false">IF(ISERROR(VLOOKUP($B46,$L$85:$O$96,4,FALSE()))=TRUE(),0,VLOOKUP($B46,$L$85:$O$96,4,FALSE()))</f>
        <v>0</v>
      </c>
      <c r="M46" s="1050" t="n">
        <f aca="false">IF(DATE(YEAR($B46),MONTH($B46),DAY(1))=DATE(YEAR($V$69),MONTH($V$69),DAY(1)),$V$68,0)</f>
        <v>0</v>
      </c>
      <c r="N46" s="973" t="n">
        <f aca="false">IF(ISERROR(VLOOKUP($B46,$U$85:$X$96,3,FALSE()))=TRUE(),0,VLOOKUP($B46,$U$85:$X$96,3,FALSE()))</f>
        <v>0</v>
      </c>
      <c r="O46" s="974" t="n">
        <f aca="false">IF(ISERROR(VLOOKUP($B46,$U$85:$X$96,4,FALSE()))=TRUE(),0,VLOOKUP($B46,$U$85:$X$96,4,FALSE()))</f>
        <v>0</v>
      </c>
      <c r="S46" s="451"/>
      <c r="T46" s="451"/>
    </row>
    <row r="47" customFormat="false" ht="12.75" hidden="false" customHeight="false" outlineLevel="0" collapsed="false">
      <c r="B47" s="978" t="n">
        <f aca="false">DATE(YEAR(B46),MONTH(B46)+1,DAY(B46))</f>
        <v>45627</v>
      </c>
      <c r="C47" s="1052" t="n">
        <f aca="false">G47+J47+M47</f>
        <v>0</v>
      </c>
      <c r="D47" s="979" t="n">
        <f aca="false">H47+K47+N47</f>
        <v>0</v>
      </c>
      <c r="E47" s="980" t="n">
        <f aca="false">I47+L47+O47</f>
        <v>0</v>
      </c>
      <c r="G47" s="1053" t="n">
        <f aca="false">IF(DATE(YEAR($B47),MONTH($B47),DAY(1))=DATE(YEAR($D$69),MONTH($D$69),DAY(1)),$D$68,0)</f>
        <v>0</v>
      </c>
      <c r="H47" s="979" t="n">
        <f aca="false">IF(ISERROR(VLOOKUP($B47,$C$85:$F$96,3,FALSE()))=TRUE(),0,VLOOKUP($B47,$C$85:$F$96,3,FALSE()))</f>
        <v>0</v>
      </c>
      <c r="I47" s="982" t="n">
        <f aca="false">IF(ISERROR(VLOOKUP($B47,$C$85:$F$96,4,FALSE()))=TRUE(),0,VLOOKUP($B47,$C$85:$F$96,4,FALSE()))</f>
        <v>0</v>
      </c>
      <c r="J47" s="1053" t="n">
        <f aca="false">IF(DATE(YEAR($B47),MONTH($B47),DAY(1))=DATE(YEAR($M$69),MONTH($M$69),DAY(1)),$M$68,0)</f>
        <v>0</v>
      </c>
      <c r="K47" s="979" t="n">
        <f aca="false">IF(ISERROR(VLOOKUP($B47,$L$85:$O$96,3,FALSE()))=TRUE(),0,VLOOKUP($B47,$L$85:$O$96,3,FALSE()))</f>
        <v>0</v>
      </c>
      <c r="L47" s="982" t="n">
        <f aca="false">IF(ISERROR(VLOOKUP($B47,$L$85:$O$96,4,FALSE()))=TRUE(),0,VLOOKUP($B47,$L$85:$O$96,4,FALSE()))</f>
        <v>0</v>
      </c>
      <c r="M47" s="1053" t="n">
        <f aca="false">IF(DATE(YEAR($B47),MONTH($B47),DAY(1))=DATE(YEAR($V$69),MONTH($V$69),DAY(1)),$V$68,0)</f>
        <v>0</v>
      </c>
      <c r="N47" s="979" t="n">
        <f aca="false">IF(ISERROR(VLOOKUP($B47,$U$85:$X$96,3,FALSE()))=TRUE(),0,VLOOKUP($B47,$U$85:$X$96,3,FALSE()))</f>
        <v>0</v>
      </c>
      <c r="O47" s="980" t="n">
        <f aca="false">IF(ISERROR(VLOOKUP($B47,$U$85:$X$96,4,FALSE()))=TRUE(),0,VLOOKUP($B47,$U$85:$X$96,4,FALSE()))</f>
        <v>0</v>
      </c>
      <c r="P47" s="999"/>
      <c r="Q47" s="999"/>
      <c r="R47" s="23"/>
      <c r="S47" s="23"/>
      <c r="T47" s="23"/>
    </row>
    <row r="48" customFormat="false" ht="12.75" hidden="false" customHeight="false" outlineLevel="0" collapsed="false">
      <c r="B48" s="972" t="n">
        <f aca="false">DATE(YEAR(B47),MONTH(B47)+1,DAY(B47))</f>
        <v>45658</v>
      </c>
      <c r="C48" s="12" t="n">
        <f aca="false">G48+J48+M48</f>
        <v>0</v>
      </c>
      <c r="D48" s="973" t="n">
        <f aca="false">H48+K48+N48</f>
        <v>0</v>
      </c>
      <c r="E48" s="974" t="n">
        <f aca="false">I48+L48+O48</f>
        <v>0</v>
      </c>
      <c r="G48" s="1050" t="n">
        <f aca="false">IF(DATE(YEAR($B48),MONTH($B48),DAY(1))=DATE(YEAR($D$69),MONTH($D$69),DAY(1)),$D$68,0)</f>
        <v>0</v>
      </c>
      <c r="H48" s="973" t="n">
        <f aca="false">IF(ISERROR(VLOOKUP($B48,$C$85:$F$96,3,FALSE()))=TRUE(),0,VLOOKUP($B48,$C$85:$F$96,3,FALSE()))</f>
        <v>0</v>
      </c>
      <c r="I48" s="976" t="n">
        <f aca="false">IF(ISERROR(VLOOKUP($B48,$C$85:$F$96,4,FALSE()))=TRUE(),0,VLOOKUP($B48,$C$85:$F$96,4,FALSE()))</f>
        <v>0</v>
      </c>
      <c r="J48" s="1050" t="n">
        <f aca="false">IF(DATE(YEAR($B48),MONTH($B48),DAY(1))=DATE(YEAR($M$69),MONTH($M$69),DAY(1)),$M$68,0)</f>
        <v>0</v>
      </c>
      <c r="K48" s="973" t="n">
        <f aca="false">IF(ISERROR(VLOOKUP($B48,$L$85:$O$96,3,FALSE()))=TRUE(),0,VLOOKUP($B48,$L$85:$O$96,3,FALSE()))</f>
        <v>0</v>
      </c>
      <c r="L48" s="976" t="n">
        <f aca="false">IF(ISERROR(VLOOKUP($B48,$L$85:$O$96,4,FALSE()))=TRUE(),0,VLOOKUP($B48,$L$85:$O$96,4,FALSE()))</f>
        <v>0</v>
      </c>
      <c r="M48" s="1050" t="n">
        <f aca="false">IF(DATE(YEAR($B48),MONTH($B48),DAY(1))=DATE(YEAR($V$69),MONTH($V$69),DAY(1)),$V$68,0)</f>
        <v>0</v>
      </c>
      <c r="N48" s="973" t="n">
        <f aca="false">IF(ISERROR(VLOOKUP($B48,$U$85:$X$96,3,FALSE()))=TRUE(),0,VLOOKUP($B48,$U$85:$X$96,3,FALSE()))</f>
        <v>0</v>
      </c>
      <c r="O48" s="974" t="n">
        <f aca="false">IF(ISERROR(VLOOKUP($B48,$U$85:$X$96,4,FALSE()))=TRUE(),0,VLOOKUP($B48,$U$85:$X$96,4,FALSE()))</f>
        <v>0</v>
      </c>
      <c r="S48" s="451"/>
      <c r="T48" s="451"/>
    </row>
    <row r="49" customFormat="false" ht="12.75" hidden="false" customHeight="false" outlineLevel="0" collapsed="false">
      <c r="B49" s="972" t="n">
        <f aca="false">DATE(YEAR(B48),MONTH(B48)+1,DAY(B48))</f>
        <v>45689</v>
      </c>
      <c r="C49" s="12" t="n">
        <f aca="false">G49+J49+M49</f>
        <v>0</v>
      </c>
      <c r="D49" s="973" t="n">
        <f aca="false">H49+K49+N49</f>
        <v>0</v>
      </c>
      <c r="E49" s="974" t="n">
        <f aca="false">I49+L49+O49</f>
        <v>0</v>
      </c>
      <c r="G49" s="1050" t="n">
        <f aca="false">IF(DATE(YEAR($B49),MONTH($B49),DAY(1))=DATE(YEAR($D$69),MONTH($D$69),DAY(1)),$D$68,0)</f>
        <v>0</v>
      </c>
      <c r="H49" s="973" t="n">
        <f aca="false">IF(ISERROR(VLOOKUP($B49,$C$85:$F$96,3,FALSE()))=TRUE(),0,VLOOKUP($B49,$C$85:$F$96,3,FALSE()))</f>
        <v>0</v>
      </c>
      <c r="I49" s="976" t="n">
        <f aca="false">IF(ISERROR(VLOOKUP($B49,$C$85:$F$96,4,FALSE()))=TRUE(),0,VLOOKUP($B49,$C$85:$F$96,4,FALSE()))</f>
        <v>0</v>
      </c>
      <c r="J49" s="1050" t="n">
        <f aca="false">IF(DATE(YEAR($B49),MONTH($B49),DAY(1))=DATE(YEAR($M$69),MONTH($M$69),DAY(1)),$M$68,0)</f>
        <v>0</v>
      </c>
      <c r="K49" s="973" t="n">
        <f aca="false">IF(ISERROR(VLOOKUP($B49,$L$85:$O$96,3,FALSE()))=TRUE(),0,VLOOKUP($B49,$L$85:$O$96,3,FALSE()))</f>
        <v>0</v>
      </c>
      <c r="L49" s="976" t="n">
        <f aca="false">IF(ISERROR(VLOOKUP($B49,$L$85:$O$96,4,FALSE()))=TRUE(),0,VLOOKUP($B49,$L$85:$O$96,4,FALSE()))</f>
        <v>0</v>
      </c>
      <c r="M49" s="1050" t="n">
        <f aca="false">IF(DATE(YEAR($B49),MONTH($B49),DAY(1))=DATE(YEAR($V$69),MONTH($V$69),DAY(1)),$V$68,0)</f>
        <v>0</v>
      </c>
      <c r="N49" s="973" t="n">
        <f aca="false">IF(ISERROR(VLOOKUP($B49,$U$85:$X$96,3,FALSE()))=TRUE(),0,VLOOKUP($B49,$U$85:$X$96,3,FALSE()))</f>
        <v>0</v>
      </c>
      <c r="O49" s="974" t="n">
        <f aca="false">IF(ISERROR(VLOOKUP($B49,$U$85:$X$96,4,FALSE()))=TRUE(),0,VLOOKUP($B49,$U$85:$X$96,4,FALSE()))</f>
        <v>0</v>
      </c>
      <c r="S49" s="451"/>
      <c r="T49" s="451"/>
    </row>
    <row r="50" customFormat="false" ht="12.75" hidden="false" customHeight="false" outlineLevel="0" collapsed="false">
      <c r="B50" s="972" t="n">
        <f aca="false">DATE(YEAR(B49),MONTH(B49)+1,DAY(B49))</f>
        <v>45717</v>
      </c>
      <c r="C50" s="12" t="n">
        <f aca="false">G50+J50+M50</f>
        <v>0</v>
      </c>
      <c r="D50" s="973" t="n">
        <f aca="false">H50+K50+N50</f>
        <v>0</v>
      </c>
      <c r="E50" s="974" t="n">
        <f aca="false">I50+L50+O50</f>
        <v>0</v>
      </c>
      <c r="G50" s="1050" t="n">
        <f aca="false">IF(DATE(YEAR($B50),MONTH($B50),DAY(1))=DATE(YEAR($D$69),MONTH($D$69),DAY(1)),$D$68,0)</f>
        <v>0</v>
      </c>
      <c r="H50" s="973" t="n">
        <f aca="false">IF(ISERROR(VLOOKUP($B50,$C$85:$F$96,3,FALSE()))=TRUE(),0,VLOOKUP($B50,$C$85:$F$96,3,FALSE()))</f>
        <v>0</v>
      </c>
      <c r="I50" s="976" t="n">
        <f aca="false">IF(ISERROR(VLOOKUP($B50,$C$85:$F$96,4,FALSE()))=TRUE(),0,VLOOKUP($B50,$C$85:$F$96,4,FALSE()))</f>
        <v>0</v>
      </c>
      <c r="J50" s="1050" t="n">
        <f aca="false">IF(DATE(YEAR($B50),MONTH($B50),DAY(1))=DATE(YEAR($M$69),MONTH($M$69),DAY(1)),$M$68,0)</f>
        <v>0</v>
      </c>
      <c r="K50" s="973" t="n">
        <f aca="false">IF(ISERROR(VLOOKUP($B50,$L$85:$O$96,3,FALSE()))=TRUE(),0,VLOOKUP($B50,$L$85:$O$96,3,FALSE()))</f>
        <v>0</v>
      </c>
      <c r="L50" s="976" t="n">
        <f aca="false">IF(ISERROR(VLOOKUP($B50,$L$85:$O$96,4,FALSE()))=TRUE(),0,VLOOKUP($B50,$L$85:$O$96,4,FALSE()))</f>
        <v>0</v>
      </c>
      <c r="M50" s="1050" t="n">
        <f aca="false">IF(DATE(YEAR($B50),MONTH($B50),DAY(1))=DATE(YEAR($V$69),MONTH($V$69),DAY(1)),$V$68,0)</f>
        <v>0</v>
      </c>
      <c r="N50" s="973" t="n">
        <f aca="false">IF(ISERROR(VLOOKUP($B50,$U$85:$X$96,3,FALSE()))=TRUE(),0,VLOOKUP($B50,$U$85:$X$96,3,FALSE()))</f>
        <v>0</v>
      </c>
      <c r="O50" s="974" t="n">
        <f aca="false">IF(ISERROR(VLOOKUP($B50,$U$85:$X$96,4,FALSE()))=TRUE(),0,VLOOKUP($B50,$U$85:$X$96,4,FALSE()))</f>
        <v>0</v>
      </c>
      <c r="S50" s="451"/>
      <c r="T50" s="451"/>
    </row>
    <row r="51" customFormat="false" ht="12.75" hidden="false" customHeight="false" outlineLevel="0" collapsed="false">
      <c r="B51" s="972" t="n">
        <f aca="false">DATE(YEAR(B50),MONTH(B50)+1,DAY(B50))</f>
        <v>45748</v>
      </c>
      <c r="C51" s="12" t="n">
        <f aca="false">G51+J51+M51</f>
        <v>0</v>
      </c>
      <c r="D51" s="973" t="n">
        <f aca="false">H51+K51+N51</f>
        <v>0</v>
      </c>
      <c r="E51" s="974" t="n">
        <f aca="false">I51+L51+O51</f>
        <v>0</v>
      </c>
      <c r="G51" s="1050" t="n">
        <f aca="false">IF(DATE(YEAR($B51),MONTH($B51),DAY(1))=DATE(YEAR($D$69),MONTH($D$69),DAY(1)),$D$68,0)</f>
        <v>0</v>
      </c>
      <c r="H51" s="973" t="n">
        <f aca="false">IF(ISERROR(VLOOKUP($B51,$C$85:$F$96,3,FALSE()))=TRUE(),0,VLOOKUP($B51,$C$85:$F$96,3,FALSE()))</f>
        <v>0</v>
      </c>
      <c r="I51" s="976" t="n">
        <f aca="false">IF(ISERROR(VLOOKUP($B51,$C$85:$F$96,4,FALSE()))=TRUE(),0,VLOOKUP($B51,$C$85:$F$96,4,FALSE()))</f>
        <v>0</v>
      </c>
      <c r="J51" s="1050" t="n">
        <f aca="false">IF(DATE(YEAR($B51),MONTH($B51),DAY(1))=DATE(YEAR($M$69),MONTH($M$69),DAY(1)),$M$68,0)</f>
        <v>0</v>
      </c>
      <c r="K51" s="973" t="n">
        <f aca="false">IF(ISERROR(VLOOKUP($B51,$L$85:$O$96,3,FALSE()))=TRUE(),0,VLOOKUP($B51,$L$85:$O$96,3,FALSE()))</f>
        <v>0</v>
      </c>
      <c r="L51" s="976" t="n">
        <f aca="false">IF(ISERROR(VLOOKUP($B51,$L$85:$O$96,4,FALSE()))=TRUE(),0,VLOOKUP($B51,$L$85:$O$96,4,FALSE()))</f>
        <v>0</v>
      </c>
      <c r="M51" s="1050" t="n">
        <f aca="false">IF(DATE(YEAR($B51),MONTH($B51),DAY(1))=DATE(YEAR($V$69),MONTH($V$69),DAY(1)),$V$68,0)</f>
        <v>0</v>
      </c>
      <c r="N51" s="973" t="n">
        <f aca="false">IF(ISERROR(VLOOKUP($B51,$U$85:$X$96,3,FALSE()))=TRUE(),0,VLOOKUP($B51,$U$85:$X$96,3,FALSE()))</f>
        <v>0</v>
      </c>
      <c r="O51" s="974" t="n">
        <f aca="false">IF(ISERROR(VLOOKUP($B51,$U$85:$X$96,4,FALSE()))=TRUE(),0,VLOOKUP($B51,$U$85:$X$96,4,FALSE()))</f>
        <v>0</v>
      </c>
      <c r="S51" s="451"/>
      <c r="T51" s="451"/>
    </row>
    <row r="52" customFormat="false" ht="12.75" hidden="false" customHeight="false" outlineLevel="0" collapsed="false">
      <c r="B52" s="972" t="n">
        <f aca="false">DATE(YEAR(B51),MONTH(B51)+1,DAY(B51))</f>
        <v>45778</v>
      </c>
      <c r="C52" s="12" t="n">
        <f aca="false">G52+J52+M52</f>
        <v>0</v>
      </c>
      <c r="D52" s="973" t="n">
        <f aca="false">H52+K52+N52</f>
        <v>0</v>
      </c>
      <c r="E52" s="974" t="n">
        <f aca="false">I52+L52+O52</f>
        <v>0</v>
      </c>
      <c r="G52" s="1050" t="n">
        <f aca="false">IF(DATE(YEAR($B52),MONTH($B52),DAY(1))=DATE(YEAR($D$69),MONTH($D$69),DAY(1)),$D$68,0)</f>
        <v>0</v>
      </c>
      <c r="H52" s="973" t="n">
        <f aca="false">IF(ISERROR(VLOOKUP($B52,$C$85:$F$96,3,FALSE()))=TRUE(),0,VLOOKUP($B52,$C$85:$F$96,3,FALSE()))</f>
        <v>0</v>
      </c>
      <c r="I52" s="976" t="n">
        <f aca="false">IF(ISERROR(VLOOKUP($B52,$C$85:$F$96,4,FALSE()))=TRUE(),0,VLOOKUP($B52,$C$85:$F$96,4,FALSE()))</f>
        <v>0</v>
      </c>
      <c r="J52" s="1050" t="n">
        <f aca="false">IF(DATE(YEAR($B52),MONTH($B52),DAY(1))=DATE(YEAR($M$69),MONTH($M$69),DAY(1)),$M$68,0)</f>
        <v>0</v>
      </c>
      <c r="K52" s="973" t="n">
        <f aca="false">IF(ISERROR(VLOOKUP($B52,$L$85:$O$96,3,FALSE()))=TRUE(),0,VLOOKUP($B52,$L$85:$O$96,3,FALSE()))</f>
        <v>0</v>
      </c>
      <c r="L52" s="976" t="n">
        <f aca="false">IF(ISERROR(VLOOKUP($B52,$L$85:$O$96,4,FALSE()))=TRUE(),0,VLOOKUP($B52,$L$85:$O$96,4,FALSE()))</f>
        <v>0</v>
      </c>
      <c r="M52" s="1050" t="n">
        <f aca="false">IF(DATE(YEAR($B52),MONTH($B52),DAY(1))=DATE(YEAR($V$69),MONTH($V$69),DAY(1)),$V$68,0)</f>
        <v>0</v>
      </c>
      <c r="N52" s="973" t="n">
        <f aca="false">IF(ISERROR(VLOOKUP($B52,$U$85:$X$96,3,FALSE()))=TRUE(),0,VLOOKUP($B52,$U$85:$X$96,3,FALSE()))</f>
        <v>0</v>
      </c>
      <c r="O52" s="974" t="n">
        <f aca="false">IF(ISERROR(VLOOKUP($B52,$U$85:$X$96,4,FALSE()))=TRUE(),0,VLOOKUP($B52,$U$85:$X$96,4,FALSE()))</f>
        <v>0</v>
      </c>
      <c r="S52" s="451"/>
      <c r="T52" s="451"/>
    </row>
    <row r="53" customFormat="false" ht="12.75" hidden="false" customHeight="false" outlineLevel="0" collapsed="false">
      <c r="B53" s="972" t="n">
        <f aca="false">DATE(YEAR(B52),MONTH(B52)+1,DAY(B52))</f>
        <v>45809</v>
      </c>
      <c r="C53" s="12" t="n">
        <f aca="false">G53+J53+M53</f>
        <v>0</v>
      </c>
      <c r="D53" s="973" t="n">
        <f aca="false">H53+K53+N53</f>
        <v>0</v>
      </c>
      <c r="E53" s="974" t="n">
        <f aca="false">I53+L53+O53</f>
        <v>0</v>
      </c>
      <c r="G53" s="1050" t="n">
        <f aca="false">IF(DATE(YEAR($B53),MONTH($B53),DAY(1))=DATE(YEAR($D$69),MONTH($D$69),DAY(1)),$D$68,0)</f>
        <v>0</v>
      </c>
      <c r="H53" s="973" t="n">
        <f aca="false">IF(ISERROR(VLOOKUP($B53,$C$85:$F$96,3,FALSE()))=TRUE(),0,VLOOKUP($B53,$C$85:$F$96,3,FALSE()))</f>
        <v>0</v>
      </c>
      <c r="I53" s="976" t="n">
        <f aca="false">IF(ISERROR(VLOOKUP($B53,$C$85:$F$96,4,FALSE()))=TRUE(),0,VLOOKUP($B53,$C$85:$F$96,4,FALSE()))</f>
        <v>0</v>
      </c>
      <c r="J53" s="1050" t="n">
        <f aca="false">IF(DATE(YEAR($B53),MONTH($B53),DAY(1))=DATE(YEAR($M$69),MONTH($M$69),DAY(1)),$M$68,0)</f>
        <v>0</v>
      </c>
      <c r="K53" s="973" t="n">
        <f aca="false">IF(ISERROR(VLOOKUP($B53,$L$85:$O$96,3,FALSE()))=TRUE(),0,VLOOKUP($B53,$L$85:$O$96,3,FALSE()))</f>
        <v>0</v>
      </c>
      <c r="L53" s="976" t="n">
        <f aca="false">IF(ISERROR(VLOOKUP($B53,$L$85:$O$96,4,FALSE()))=TRUE(),0,VLOOKUP($B53,$L$85:$O$96,4,FALSE()))</f>
        <v>0</v>
      </c>
      <c r="M53" s="1050" t="n">
        <f aca="false">IF(DATE(YEAR($B53),MONTH($B53),DAY(1))=DATE(YEAR($V$69),MONTH($V$69),DAY(1)),$V$68,0)</f>
        <v>0</v>
      </c>
      <c r="N53" s="973" t="n">
        <f aca="false">IF(ISERROR(VLOOKUP($B53,$U$85:$X$96,3,FALSE()))=TRUE(),0,VLOOKUP($B53,$U$85:$X$96,3,FALSE()))</f>
        <v>0</v>
      </c>
      <c r="O53" s="974" t="n">
        <f aca="false">IF(ISERROR(VLOOKUP($B53,$U$85:$X$96,4,FALSE()))=TRUE(),0,VLOOKUP($B53,$U$85:$X$96,4,FALSE()))</f>
        <v>0</v>
      </c>
      <c r="S53" s="451"/>
      <c r="T53" s="451"/>
    </row>
    <row r="54" customFormat="false" ht="12.75" hidden="false" customHeight="false" outlineLevel="0" collapsed="false">
      <c r="B54" s="972" t="n">
        <f aca="false">DATE(YEAR(B53),MONTH(B53)+1,DAY(B53))</f>
        <v>45839</v>
      </c>
      <c r="C54" s="12" t="n">
        <f aca="false">G54+J54+M54</f>
        <v>0</v>
      </c>
      <c r="D54" s="973" t="n">
        <f aca="false">H54+K54+N54</f>
        <v>0</v>
      </c>
      <c r="E54" s="974" t="n">
        <f aca="false">I54+L54+O54</f>
        <v>0</v>
      </c>
      <c r="G54" s="1050" t="n">
        <f aca="false">IF(DATE(YEAR($B54),MONTH($B54),DAY(1))=DATE(YEAR($D$69),MONTH($D$69),DAY(1)),$D$68,0)</f>
        <v>0</v>
      </c>
      <c r="H54" s="973" t="n">
        <f aca="false">IF(ISERROR(VLOOKUP($B54,$C$85:$F$96,3,FALSE()))=TRUE(),0,VLOOKUP($B54,$C$85:$F$96,3,FALSE()))</f>
        <v>0</v>
      </c>
      <c r="I54" s="976" t="n">
        <f aca="false">IF(ISERROR(VLOOKUP($B54,$C$85:$F$96,4,FALSE()))=TRUE(),0,VLOOKUP($B54,$C$85:$F$96,4,FALSE()))</f>
        <v>0</v>
      </c>
      <c r="J54" s="1050" t="n">
        <f aca="false">IF(DATE(YEAR($B54),MONTH($B54),DAY(1))=DATE(YEAR($M$69),MONTH($M$69),DAY(1)),$M$68,0)</f>
        <v>0</v>
      </c>
      <c r="K54" s="973" t="n">
        <f aca="false">IF(ISERROR(VLOOKUP($B54,$L$85:$O$96,3,FALSE()))=TRUE(),0,VLOOKUP($B54,$L$85:$O$96,3,FALSE()))</f>
        <v>0</v>
      </c>
      <c r="L54" s="976" t="n">
        <f aca="false">IF(ISERROR(VLOOKUP($B54,$L$85:$O$96,4,FALSE()))=TRUE(),0,VLOOKUP($B54,$L$85:$O$96,4,FALSE()))</f>
        <v>0</v>
      </c>
      <c r="M54" s="1050" t="n">
        <f aca="false">IF(DATE(YEAR($B54),MONTH($B54),DAY(1))=DATE(YEAR($V$69),MONTH($V$69),DAY(1)),$V$68,0)</f>
        <v>0</v>
      </c>
      <c r="N54" s="973" t="n">
        <f aca="false">IF(ISERROR(VLOOKUP($B54,$U$85:$X$96,3,FALSE()))=TRUE(),0,VLOOKUP($B54,$U$85:$X$96,3,FALSE()))</f>
        <v>0</v>
      </c>
      <c r="O54" s="974" t="n">
        <f aca="false">IF(ISERROR(VLOOKUP($B54,$U$85:$X$96,4,FALSE()))=TRUE(),0,VLOOKUP($B54,$U$85:$X$96,4,FALSE()))</f>
        <v>0</v>
      </c>
      <c r="S54" s="451"/>
      <c r="T54" s="451"/>
    </row>
    <row r="55" customFormat="false" ht="12.75" hidden="false" customHeight="false" outlineLevel="0" collapsed="false">
      <c r="B55" s="972" t="n">
        <f aca="false">DATE(YEAR(B54),MONTH(B54)+1,DAY(B54))</f>
        <v>45870</v>
      </c>
      <c r="C55" s="12" t="n">
        <f aca="false">G55+J55+M55</f>
        <v>0</v>
      </c>
      <c r="D55" s="973" t="n">
        <f aca="false">H55+K55+N55</f>
        <v>0</v>
      </c>
      <c r="E55" s="974" t="n">
        <f aca="false">I55+L55+O55</f>
        <v>0</v>
      </c>
      <c r="G55" s="1050" t="n">
        <f aca="false">IF(DATE(YEAR($B55),MONTH($B55),DAY(1))=DATE(YEAR($D$69),MONTH($D$69),DAY(1)),$D$68,0)</f>
        <v>0</v>
      </c>
      <c r="H55" s="973" t="n">
        <f aca="false">IF(ISERROR(VLOOKUP($B55,$C$85:$F$96,3,FALSE()))=TRUE(),0,VLOOKUP($B55,$C$85:$F$96,3,FALSE()))</f>
        <v>0</v>
      </c>
      <c r="I55" s="976" t="n">
        <f aca="false">IF(ISERROR(VLOOKUP($B55,$C$85:$F$96,4,FALSE()))=TRUE(),0,VLOOKUP($B55,$C$85:$F$96,4,FALSE()))</f>
        <v>0</v>
      </c>
      <c r="J55" s="1050" t="n">
        <f aca="false">IF(DATE(YEAR($B55),MONTH($B55),DAY(1))=DATE(YEAR($M$69),MONTH($M$69),DAY(1)),$M$68,0)</f>
        <v>0</v>
      </c>
      <c r="K55" s="973" t="n">
        <f aca="false">IF(ISERROR(VLOOKUP($B55,$L$85:$O$96,3,FALSE()))=TRUE(),0,VLOOKUP($B55,$L$85:$O$96,3,FALSE()))</f>
        <v>0</v>
      </c>
      <c r="L55" s="976" t="n">
        <f aca="false">IF(ISERROR(VLOOKUP($B55,$L$85:$O$96,4,FALSE()))=TRUE(),0,VLOOKUP($B55,$L$85:$O$96,4,FALSE()))</f>
        <v>0</v>
      </c>
      <c r="M55" s="1050" t="n">
        <f aca="false">IF(DATE(YEAR($B55),MONTH($B55),DAY(1))=DATE(YEAR($V$69),MONTH($V$69),DAY(1)),$V$68,0)</f>
        <v>0</v>
      </c>
      <c r="N55" s="973" t="n">
        <f aca="false">IF(ISERROR(VLOOKUP($B55,$U$85:$X$96,3,FALSE()))=TRUE(),0,VLOOKUP($B55,$U$85:$X$96,3,FALSE()))</f>
        <v>0</v>
      </c>
      <c r="O55" s="974" t="n">
        <f aca="false">IF(ISERROR(VLOOKUP($B55,$U$85:$X$96,4,FALSE()))=TRUE(),0,VLOOKUP($B55,$U$85:$X$96,4,FALSE()))</f>
        <v>0</v>
      </c>
      <c r="S55" s="451"/>
      <c r="T55" s="451"/>
    </row>
    <row r="56" customFormat="false" ht="12.75" hidden="false" customHeight="false" outlineLevel="0" collapsed="false">
      <c r="B56" s="972" t="n">
        <f aca="false">DATE(YEAR(B55),MONTH(B55)+1,DAY(B55))</f>
        <v>45901</v>
      </c>
      <c r="C56" s="12" t="n">
        <f aca="false">G56+J56+M56</f>
        <v>0</v>
      </c>
      <c r="D56" s="973" t="n">
        <f aca="false">H56+K56+N56</f>
        <v>0</v>
      </c>
      <c r="E56" s="974" t="n">
        <f aca="false">I56+L56+O56</f>
        <v>0</v>
      </c>
      <c r="G56" s="1050" t="n">
        <f aca="false">IF(DATE(YEAR($B56),MONTH($B56),DAY(1))=DATE(YEAR($D$69),MONTH($D$69),DAY(1)),$D$68,0)</f>
        <v>0</v>
      </c>
      <c r="H56" s="973" t="n">
        <f aca="false">IF(ISERROR(VLOOKUP($B56,$C$85:$F$96,3,FALSE()))=TRUE(),0,VLOOKUP($B56,$C$85:$F$96,3,FALSE()))</f>
        <v>0</v>
      </c>
      <c r="I56" s="976" t="n">
        <f aca="false">IF(ISERROR(VLOOKUP($B56,$C$85:$F$96,4,FALSE()))=TRUE(),0,VLOOKUP($B56,$C$85:$F$96,4,FALSE()))</f>
        <v>0</v>
      </c>
      <c r="J56" s="1050" t="n">
        <f aca="false">IF(DATE(YEAR($B56),MONTH($B56),DAY(1))=DATE(YEAR($M$69),MONTH($M$69),DAY(1)),$M$68,0)</f>
        <v>0</v>
      </c>
      <c r="K56" s="973" t="n">
        <f aca="false">IF(ISERROR(VLOOKUP($B56,$L$85:$O$96,3,FALSE()))=TRUE(),0,VLOOKUP($B56,$L$85:$O$96,3,FALSE()))</f>
        <v>0</v>
      </c>
      <c r="L56" s="976" t="n">
        <f aca="false">IF(ISERROR(VLOOKUP($B56,$L$85:$O$96,4,FALSE()))=TRUE(),0,VLOOKUP($B56,$L$85:$O$96,4,FALSE()))</f>
        <v>0</v>
      </c>
      <c r="M56" s="1050" t="n">
        <f aca="false">IF(DATE(YEAR($B56),MONTH($B56),DAY(1))=DATE(YEAR($V$69),MONTH($V$69),DAY(1)),$V$68,0)</f>
        <v>0</v>
      </c>
      <c r="N56" s="973" t="n">
        <f aca="false">IF(ISERROR(VLOOKUP($B56,$U$85:$X$96,3,FALSE()))=TRUE(),0,VLOOKUP($B56,$U$85:$X$96,3,FALSE()))</f>
        <v>0</v>
      </c>
      <c r="O56" s="974" t="n">
        <f aca="false">IF(ISERROR(VLOOKUP($B56,$U$85:$X$96,4,FALSE()))=TRUE(),0,VLOOKUP($B56,$U$85:$X$96,4,FALSE()))</f>
        <v>0</v>
      </c>
      <c r="S56" s="451"/>
      <c r="T56" s="451"/>
    </row>
    <row r="57" customFormat="false" ht="12.75" hidden="false" customHeight="false" outlineLevel="0" collapsed="false">
      <c r="B57" s="972" t="n">
        <f aca="false">DATE(YEAR(B56),MONTH(B56)+1,DAY(B56))</f>
        <v>45931</v>
      </c>
      <c r="C57" s="12" t="n">
        <f aca="false">G57+J57+M57</f>
        <v>0</v>
      </c>
      <c r="D57" s="973" t="n">
        <f aca="false">H57+K57+N57</f>
        <v>0</v>
      </c>
      <c r="E57" s="974" t="n">
        <f aca="false">I57+L57+O57</f>
        <v>0</v>
      </c>
      <c r="G57" s="1050" t="n">
        <f aca="false">IF(DATE(YEAR($B57),MONTH($B57),DAY(1))=DATE(YEAR($D$69),MONTH($D$69),DAY(1)),$D$68,0)</f>
        <v>0</v>
      </c>
      <c r="H57" s="973" t="n">
        <f aca="false">IF(ISERROR(VLOOKUP($B57,$C$85:$F$96,3,FALSE()))=TRUE(),0,VLOOKUP($B57,$C$85:$F$96,3,FALSE()))</f>
        <v>0</v>
      </c>
      <c r="I57" s="976" t="n">
        <f aca="false">IF(ISERROR(VLOOKUP($B57,$C$85:$F$96,4,FALSE()))=TRUE(),0,VLOOKUP($B57,$C$85:$F$96,4,FALSE()))</f>
        <v>0</v>
      </c>
      <c r="J57" s="1050" t="n">
        <f aca="false">IF(DATE(YEAR($B57),MONTH($B57),DAY(1))=DATE(YEAR($M$69),MONTH($M$69),DAY(1)),$M$68,0)</f>
        <v>0</v>
      </c>
      <c r="K57" s="973" t="n">
        <f aca="false">IF(ISERROR(VLOOKUP($B57,$L$85:$O$96,3,FALSE()))=TRUE(),0,VLOOKUP($B57,$L$85:$O$96,3,FALSE()))</f>
        <v>0</v>
      </c>
      <c r="L57" s="976" t="n">
        <f aca="false">IF(ISERROR(VLOOKUP($B57,$L$85:$O$96,4,FALSE()))=TRUE(),0,VLOOKUP($B57,$L$85:$O$96,4,FALSE()))</f>
        <v>0</v>
      </c>
      <c r="M57" s="1050" t="n">
        <f aca="false">IF(DATE(YEAR($B57),MONTH($B57),DAY(1))=DATE(YEAR($V$69),MONTH($V$69),DAY(1)),$V$68,0)</f>
        <v>0</v>
      </c>
      <c r="N57" s="973" t="n">
        <f aca="false">IF(ISERROR(VLOOKUP($B57,$U$85:$X$96,3,FALSE()))=TRUE(),0,VLOOKUP($B57,$U$85:$X$96,3,FALSE()))</f>
        <v>0</v>
      </c>
      <c r="O57" s="974" t="n">
        <f aca="false">IF(ISERROR(VLOOKUP($B57,$U$85:$X$96,4,FALSE()))=TRUE(),0,VLOOKUP($B57,$U$85:$X$96,4,FALSE()))</f>
        <v>0</v>
      </c>
      <c r="S57" s="451"/>
      <c r="T57" s="451"/>
    </row>
    <row r="58" customFormat="false" ht="12.75" hidden="false" customHeight="false" outlineLevel="0" collapsed="false">
      <c r="B58" s="972" t="n">
        <f aca="false">DATE(YEAR(B57),MONTH(B57)+1,DAY(B57))</f>
        <v>45962</v>
      </c>
      <c r="C58" s="12" t="n">
        <f aca="false">G58+J58+M58</f>
        <v>0</v>
      </c>
      <c r="D58" s="973" t="n">
        <f aca="false">H58+K58+N58</f>
        <v>0</v>
      </c>
      <c r="E58" s="974" t="n">
        <f aca="false">I58+L58+O58</f>
        <v>0</v>
      </c>
      <c r="G58" s="1050" t="n">
        <f aca="false">IF(DATE(YEAR($B58),MONTH($B58),DAY(1))=DATE(YEAR($D$69),MONTH($D$69),DAY(1)),$D$68,0)</f>
        <v>0</v>
      </c>
      <c r="H58" s="973" t="n">
        <f aca="false">IF(ISERROR(VLOOKUP($B58,$C$85:$F$96,3,FALSE()))=TRUE(),0,VLOOKUP($B58,$C$85:$F$96,3,FALSE()))</f>
        <v>0</v>
      </c>
      <c r="I58" s="976" t="n">
        <f aca="false">IF(ISERROR(VLOOKUP($B58,$C$85:$F$96,4,FALSE()))=TRUE(),0,VLOOKUP($B58,$C$85:$F$96,4,FALSE()))</f>
        <v>0</v>
      </c>
      <c r="J58" s="1050" t="n">
        <f aca="false">IF(DATE(YEAR($B58),MONTH($B58),DAY(1))=DATE(YEAR($M$69),MONTH($M$69),DAY(1)),$M$68,0)</f>
        <v>0</v>
      </c>
      <c r="K58" s="973" t="n">
        <f aca="false">IF(ISERROR(VLOOKUP($B58,$L$85:$O$96,3,FALSE()))=TRUE(),0,VLOOKUP($B58,$L$85:$O$96,3,FALSE()))</f>
        <v>0</v>
      </c>
      <c r="L58" s="976" t="n">
        <f aca="false">IF(ISERROR(VLOOKUP($B58,$L$85:$O$96,4,FALSE()))=TRUE(),0,VLOOKUP($B58,$L$85:$O$96,4,FALSE()))</f>
        <v>0</v>
      </c>
      <c r="M58" s="1050" t="n">
        <f aca="false">IF(DATE(YEAR($B58),MONTH($B58),DAY(1))=DATE(YEAR($V$69),MONTH($V$69),DAY(1)),$V$68,0)</f>
        <v>0</v>
      </c>
      <c r="N58" s="973" t="n">
        <f aca="false">IF(ISERROR(VLOOKUP($B58,$U$85:$X$96,3,FALSE()))=TRUE(),0,VLOOKUP($B58,$U$85:$X$96,3,FALSE()))</f>
        <v>0</v>
      </c>
      <c r="O58" s="974" t="n">
        <f aca="false">IF(ISERROR(VLOOKUP($B58,$U$85:$X$96,4,FALSE()))=TRUE(),0,VLOOKUP($B58,$U$85:$X$96,4,FALSE()))</f>
        <v>0</v>
      </c>
      <c r="S58" s="451"/>
      <c r="T58" s="451"/>
    </row>
    <row r="59" customFormat="false" ht="13.5" hidden="false" customHeight="false" outlineLevel="0" collapsed="false">
      <c r="B59" s="983" t="n">
        <f aca="false">DATE(YEAR(B58),MONTH(B58)+1,DAY(B58))</f>
        <v>45992</v>
      </c>
      <c r="C59" s="1054" t="n">
        <f aca="false">G59+J59+M59</f>
        <v>0</v>
      </c>
      <c r="D59" s="984" t="n">
        <f aca="false">H59+K59+N59</f>
        <v>0</v>
      </c>
      <c r="E59" s="985" t="n">
        <f aca="false">I59+L59+O59</f>
        <v>0</v>
      </c>
      <c r="G59" s="1055" t="n">
        <f aca="false">IF(DATE(YEAR($B59),MONTH($B59),DAY(1))=DATE(YEAR($D$69),MONTH($D$69),DAY(1)),$D$68,0)</f>
        <v>0</v>
      </c>
      <c r="H59" s="984" t="n">
        <f aca="false">IF(ISERROR(VLOOKUP($B59,$C$85:$F$96,3,FALSE()))=TRUE(),0,VLOOKUP($B59,$C$85:$F$96,3,FALSE()))</f>
        <v>0</v>
      </c>
      <c r="I59" s="986" t="n">
        <f aca="false">IF(ISERROR(VLOOKUP($B59,$C$85:$F$96,4,FALSE()))=TRUE(),0,VLOOKUP($B59,$C$85:$F$96,4,FALSE()))</f>
        <v>0</v>
      </c>
      <c r="J59" s="1055" t="n">
        <f aca="false">IF(DATE(YEAR($B59),MONTH($B59),DAY(1))=DATE(YEAR($M$69),MONTH($M$69),DAY(1)),$M$68,0)</f>
        <v>0</v>
      </c>
      <c r="K59" s="984" t="n">
        <f aca="false">IF(ISERROR(VLOOKUP($B59,$L$85:$O$96,3,FALSE()))=TRUE(),0,VLOOKUP($B59,$L$85:$O$96,3,FALSE()))</f>
        <v>0</v>
      </c>
      <c r="L59" s="986" t="n">
        <f aca="false">IF(ISERROR(VLOOKUP($B59,$L$85:$O$96,4,FALSE()))=TRUE(),0,VLOOKUP($B59,$L$85:$O$96,4,FALSE()))</f>
        <v>0</v>
      </c>
      <c r="M59" s="1055" t="n">
        <f aca="false">IF(DATE(YEAR($B59),MONTH($B59),DAY(1))=DATE(YEAR($V$69),MONTH($V$69),DAY(1)),$V$68,0)</f>
        <v>0</v>
      </c>
      <c r="N59" s="984" t="n">
        <f aca="false">IF(ISERROR(VLOOKUP($B59,$U$85:$X$96,3,FALSE()))=TRUE(),0,VLOOKUP($B59,$U$85:$X$96,3,FALSE()))</f>
        <v>0</v>
      </c>
      <c r="O59" s="985" t="n">
        <f aca="false">IF(ISERROR(VLOOKUP($B59,$U$85:$X$96,4,FALSE()))=TRUE(),0,VLOOKUP($B59,$U$85:$X$96,4,FALSE()))</f>
        <v>0</v>
      </c>
      <c r="P59" s="999"/>
      <c r="Q59" s="999"/>
      <c r="R59" s="23"/>
      <c r="S59" s="23"/>
      <c r="T59" s="23"/>
    </row>
    <row r="60" customFormat="false" ht="12.75" hidden="false" customHeight="false" outlineLevel="0" collapsed="false">
      <c r="B60" s="912"/>
      <c r="O60" s="16"/>
      <c r="S60" s="451"/>
      <c r="T60" s="451"/>
      <c r="U60" s="451"/>
      <c r="V60" s="451"/>
      <c r="W60" s="451"/>
    </row>
    <row r="62" customFormat="false" ht="12.75" hidden="false" customHeight="false" outlineLevel="0" collapsed="false">
      <c r="K62" s="451"/>
      <c r="L62" s="451"/>
      <c r="M62" s="451"/>
      <c r="N62" s="549"/>
      <c r="O62" s="451"/>
      <c r="P62" s="451"/>
      <c r="Q62" s="451"/>
      <c r="R62" s="451"/>
      <c r="T62" s="451"/>
      <c r="U62" s="451"/>
      <c r="V62" s="451"/>
      <c r="W62" s="549"/>
      <c r="X62" s="451"/>
      <c r="Y62" s="451"/>
      <c r="Z62" s="451"/>
      <c r="AA62" s="451"/>
      <c r="AC62" s="451"/>
      <c r="AD62" s="451"/>
      <c r="AE62" s="451"/>
      <c r="AF62" s="549"/>
      <c r="AG62" s="451"/>
      <c r="AH62" s="451"/>
      <c r="AI62" s="451"/>
      <c r="AJ62" s="451"/>
    </row>
    <row r="63" customFormat="false" ht="18" hidden="false" customHeight="false" outlineLevel="0" collapsed="false">
      <c r="C63" s="27"/>
      <c r="D63" s="27"/>
      <c r="E63" s="27"/>
      <c r="F63" s="27"/>
      <c r="G63" s="27"/>
      <c r="H63" s="27"/>
      <c r="I63" s="27"/>
      <c r="L63" s="27"/>
      <c r="M63" s="27"/>
      <c r="N63" s="27"/>
      <c r="O63" s="27"/>
      <c r="P63" s="27"/>
      <c r="Q63" s="27"/>
      <c r="R63" s="27"/>
      <c r="U63" s="27"/>
      <c r="V63" s="27"/>
      <c r="W63" s="27"/>
      <c r="X63" s="27"/>
      <c r="Y63" s="27"/>
      <c r="Z63" s="27"/>
      <c r="AA63" s="27"/>
      <c r="AC63" s="451"/>
      <c r="AD63" s="451"/>
      <c r="AE63" s="451"/>
      <c r="AF63" s="451"/>
      <c r="AG63" s="451"/>
      <c r="AH63" s="929"/>
      <c r="AI63" s="929"/>
      <c r="AJ63" s="929"/>
    </row>
    <row r="64" customFormat="false" ht="18" hidden="false" customHeight="false" outlineLevel="0" collapsed="false">
      <c r="B64" s="51" t="s">
        <v>628</v>
      </c>
      <c r="D64" s="27"/>
      <c r="E64" s="27"/>
      <c r="F64" s="27"/>
      <c r="G64" s="27"/>
      <c r="H64" s="27"/>
      <c r="I64" s="27"/>
      <c r="L64" s="70"/>
      <c r="M64" s="27"/>
      <c r="N64" s="27"/>
      <c r="O64" s="27"/>
      <c r="P64" s="27"/>
      <c r="Q64" s="27"/>
      <c r="R64" s="27"/>
      <c r="U64" s="70"/>
      <c r="V64" s="27"/>
      <c r="W64" s="27"/>
      <c r="X64" s="27"/>
      <c r="Y64" s="27"/>
      <c r="Z64" s="27"/>
      <c r="AA64" s="27"/>
      <c r="AC64" s="451"/>
      <c r="AD64" s="451"/>
      <c r="AE64" s="451"/>
      <c r="AF64" s="451"/>
      <c r="AG64" s="451"/>
      <c r="AH64" s="929"/>
      <c r="AI64" s="929"/>
      <c r="AJ64" s="929"/>
    </row>
    <row r="65" customFormat="false" ht="18" hidden="false" customHeight="false" outlineLevel="0" collapsed="false">
      <c r="C65" s="70"/>
      <c r="D65" s="27"/>
      <c r="E65" s="27"/>
      <c r="F65" s="27"/>
      <c r="H65" s="27"/>
      <c r="I65" s="27"/>
      <c r="L65" s="70"/>
      <c r="M65" s="27"/>
      <c r="N65" s="27"/>
      <c r="O65" s="27"/>
      <c r="P65" s="27"/>
      <c r="Q65" s="27"/>
      <c r="R65" s="27"/>
      <c r="U65" s="70"/>
      <c r="V65" s="27"/>
      <c r="W65" s="27"/>
      <c r="X65" s="27"/>
      <c r="Y65" s="27"/>
      <c r="Z65" s="27"/>
      <c r="AA65" s="27"/>
      <c r="AC65" s="451"/>
      <c r="AD65" s="451"/>
      <c r="AE65" s="451"/>
      <c r="AF65" s="451"/>
      <c r="AG65" s="451"/>
      <c r="AH65" s="929"/>
      <c r="AI65" s="929"/>
      <c r="AJ65" s="929"/>
    </row>
    <row r="66" customFormat="false" ht="18.75" hidden="false" customHeight="false" outlineLevel="0" collapsed="false">
      <c r="B66" s="23" t="str">
        <f aca="false">'Entrada Inver_Finan'!C109</f>
        <v>Préstamo de...( Entidad financiera A)</v>
      </c>
      <c r="G66" s="16"/>
      <c r="H66" s="27"/>
      <c r="I66" s="16"/>
      <c r="K66" s="70" t="str">
        <f aca="false">'Entrada Inver_Finan'!C110</f>
        <v>Préstamo de...( Entidad financiera B)</v>
      </c>
      <c r="T66" s="989" t="n">
        <f aca="false">'Entrada Inver_Finan'!C111</f>
        <v>0</v>
      </c>
      <c r="AC66" s="451"/>
      <c r="AD66" s="451"/>
      <c r="AE66" s="451"/>
      <c r="AF66" s="451"/>
      <c r="AG66" s="451"/>
      <c r="AH66" s="929"/>
      <c r="AI66" s="929"/>
      <c r="AJ66" s="929"/>
    </row>
    <row r="67" customFormat="false" ht="12.75" hidden="false" customHeight="false" outlineLevel="0" collapsed="false">
      <c r="B67" s="990" t="s">
        <v>629</v>
      </c>
      <c r="C67" s="991"/>
      <c r="D67" s="992"/>
      <c r="G67" s="16"/>
      <c r="H67" s="16"/>
      <c r="I67" s="16"/>
      <c r="K67" s="990" t="s">
        <v>629</v>
      </c>
      <c r="L67" s="991"/>
      <c r="M67" s="992"/>
      <c r="T67" s="990" t="s">
        <v>629</v>
      </c>
      <c r="U67" s="991"/>
      <c r="V67" s="992"/>
      <c r="AC67" s="451"/>
      <c r="AD67" s="451"/>
      <c r="AE67" s="451"/>
      <c r="AF67" s="451"/>
      <c r="AG67" s="451"/>
      <c r="AH67" s="929"/>
      <c r="AI67" s="929"/>
      <c r="AJ67" s="929"/>
    </row>
    <row r="68" customFormat="false" ht="12.75" hidden="false" customHeight="false" outlineLevel="0" collapsed="false">
      <c r="B68" s="993" t="s">
        <v>631</v>
      </c>
      <c r="D68" s="995" t="n">
        <f aca="false">'Entrada Inver_Finan'!D126</f>
        <v>0</v>
      </c>
      <c r="G68" s="16"/>
      <c r="H68" s="16"/>
      <c r="I68" s="16"/>
      <c r="K68" s="993" t="s">
        <v>631</v>
      </c>
      <c r="M68" s="995" t="n">
        <f aca="false">'Entrada Inver_Finan'!D127</f>
        <v>0</v>
      </c>
      <c r="T68" s="993" t="s">
        <v>631</v>
      </c>
      <c r="V68" s="995" t="n">
        <f aca="false">'Entrada Inver_Finan'!D128</f>
        <v>0</v>
      </c>
      <c r="AC68" s="451"/>
      <c r="AD68" s="451"/>
      <c r="AE68" s="451"/>
      <c r="AF68" s="451"/>
      <c r="AG68" s="451"/>
      <c r="AH68" s="929"/>
      <c r="AI68" s="929"/>
      <c r="AJ68" s="929"/>
    </row>
    <row r="69" customFormat="false" ht="12.75" hidden="false" customHeight="false" outlineLevel="0" collapsed="false">
      <c r="B69" s="993" t="s">
        <v>246</v>
      </c>
      <c r="D69" s="997" t="n">
        <f aca="false">DATE(YEAR('Entrada Inver_Finan'!H126),MONTH('Entrada Inver_Finan'!H126),DAY(1))</f>
        <v>44957</v>
      </c>
      <c r="G69" s="16"/>
      <c r="H69" s="16"/>
      <c r="I69" s="16"/>
      <c r="K69" s="993" t="s">
        <v>246</v>
      </c>
      <c r="M69" s="997" t="n">
        <f aca="false">DATE(YEAR('Entrada Inver_Finan'!H127),MONTH('Entrada Inver_Finan'!H127),DAY(1))</f>
        <v>44957</v>
      </c>
      <c r="T69" s="993" t="s">
        <v>246</v>
      </c>
      <c r="V69" s="997" t="n">
        <f aca="false">DATE(YEAR('Entrada Inver_Finan'!H128),MONTH('Entrada Inver_Finan'!H128),DAY(1))</f>
        <v>1</v>
      </c>
      <c r="AC69" s="451"/>
      <c r="AD69" s="451"/>
      <c r="AE69" s="451"/>
      <c r="AF69" s="451"/>
      <c r="AG69" s="451"/>
      <c r="AH69" s="929"/>
      <c r="AI69" s="929"/>
      <c r="AJ69" s="929"/>
    </row>
    <row r="70" customFormat="false" ht="12.75" hidden="false" customHeight="false" outlineLevel="0" collapsed="false">
      <c r="B70" s="993" t="s">
        <v>633</v>
      </c>
      <c r="D70" s="995" t="n">
        <f aca="false">'Entrada Inver_Finan'!G126</f>
        <v>5</v>
      </c>
      <c r="G70" s="16"/>
      <c r="H70" s="16"/>
      <c r="I70" s="16"/>
      <c r="K70" s="993" t="s">
        <v>633</v>
      </c>
      <c r="M70" s="995" t="n">
        <f aca="false">'Entrada Inver_Finan'!G127</f>
        <v>5</v>
      </c>
      <c r="T70" s="993" t="s">
        <v>633</v>
      </c>
      <c r="V70" s="995" t="n">
        <f aca="false">'Entrada Inver_Finan'!G128</f>
        <v>5</v>
      </c>
      <c r="AC70" s="451"/>
      <c r="AD70" s="451"/>
      <c r="AE70" s="451"/>
      <c r="AF70" s="451"/>
      <c r="AG70" s="451"/>
      <c r="AH70" s="929"/>
      <c r="AI70" s="929"/>
      <c r="AJ70" s="929"/>
    </row>
    <row r="71" customFormat="false" ht="12.75" hidden="false" customHeight="false" outlineLevel="0" collapsed="false">
      <c r="B71" s="993" t="s">
        <v>634</v>
      </c>
      <c r="D71" s="998" t="n">
        <f aca="false">'Entrada Inver_Finan'!E126/12</f>
        <v>1</v>
      </c>
      <c r="G71" s="999"/>
      <c r="H71" s="999"/>
      <c r="I71" s="999"/>
      <c r="K71" s="993" t="s">
        <v>634</v>
      </c>
      <c r="M71" s="998" t="n">
        <f aca="false">'Entrada Inver_Finan'!E127/12</f>
        <v>1</v>
      </c>
      <c r="P71" s="999"/>
      <c r="Q71" s="999"/>
      <c r="R71" s="999"/>
      <c r="T71" s="993" t="s">
        <v>634</v>
      </c>
      <c r="V71" s="998" t="n">
        <f aca="false">'Entrada Inver_Finan'!E128/12</f>
        <v>0</v>
      </c>
      <c r="Y71" s="999"/>
      <c r="Z71" s="999"/>
      <c r="AA71" s="999"/>
      <c r="AC71" s="451"/>
      <c r="AD71" s="451"/>
      <c r="AE71" s="451"/>
      <c r="AF71" s="451"/>
      <c r="AG71" s="451"/>
      <c r="AH71" s="929"/>
      <c r="AI71" s="929"/>
      <c r="AJ71" s="929"/>
    </row>
    <row r="72" customFormat="false" ht="12.75" hidden="false" customHeight="false" outlineLevel="0" collapsed="false">
      <c r="B72" s="993" t="s">
        <v>635</v>
      </c>
      <c r="D72" s="998" t="n">
        <f aca="false">IF(E72="Anuales",1,IF(E72="Semestrales",2,IF(E72="Cuatrimestrales",3,IF(E72="Trimestrales",4,IF(E72="Bimensuales",6,IF(E72="Mensuales",12,0))))))</f>
        <v>12</v>
      </c>
      <c r="E72" s="0" t="str">
        <f aca="false">'Entrada Inver_Finan'!F126</f>
        <v>Mensuales</v>
      </c>
      <c r="G72" s="93"/>
      <c r="H72" s="16"/>
      <c r="I72" s="16"/>
      <c r="K72" s="993" t="s">
        <v>635</v>
      </c>
      <c r="M72" s="998" t="n">
        <f aca="false">IF(N72="Anuales",1,IF(N72="Semestrales",2,IF(N72="Cuatrimestrales",3,IF(N72="Trimestrales",4,IF(N72="Bimensuales",6,IF(N72="Mensuales",12,0))))))</f>
        <v>12</v>
      </c>
      <c r="N72" s="0" t="str">
        <f aca="false">'Entrada Inver_Finan'!F127</f>
        <v>Mensuales</v>
      </c>
      <c r="T72" s="993" t="s">
        <v>635</v>
      </c>
      <c r="V72" s="998" t="n">
        <f aca="false">IF(W72="Anuales",1,IF(W72="Semestrales",2,IF(W72="Cuatrimestrales",3,IF(W72="Trimestrales",4,IF(W72="Bimensuales",6,IF(W72="Mensuales",12,0))))))</f>
        <v>0</v>
      </c>
      <c r="W72" s="0" t="n">
        <f aca="false">'Entrada Inver_Finan'!F128</f>
        <v>0</v>
      </c>
      <c r="AC72" s="451"/>
      <c r="AD72" s="451"/>
      <c r="AE72" s="451"/>
      <c r="AF72" s="451"/>
      <c r="AG72" s="451"/>
      <c r="AH72" s="929"/>
      <c r="AI72" s="929"/>
      <c r="AJ72" s="929"/>
    </row>
    <row r="73" customFormat="false" ht="12.75" hidden="false" customHeight="false" outlineLevel="0" collapsed="false">
      <c r="B73" s="993" t="s">
        <v>637</v>
      </c>
      <c r="D73" s="997" t="n">
        <f aca="false">DATE(YEAR('Entrada Inver_Finan'!I126),MONTH('Entrada Inver_Finan'!I126),DAY(1))</f>
        <v>44957</v>
      </c>
      <c r="E73" s="913"/>
      <c r="G73" s="16"/>
      <c r="H73" s="16"/>
      <c r="I73" s="16"/>
      <c r="K73" s="993" t="s">
        <v>637</v>
      </c>
      <c r="M73" s="997" t="n">
        <f aca="false">DATE(YEAR('Entrada Inver_Finan'!I127),MONTH('Entrada Inver_Finan'!I127),DAY(1))</f>
        <v>44957</v>
      </c>
      <c r="T73" s="993" t="s">
        <v>637</v>
      </c>
      <c r="V73" s="997" t="n">
        <f aca="false">DATE(YEAR('Entrada Inver_Finan'!I128),MONTH('Entrada Inver_Finan'!I128),DAY(1))</f>
        <v>1</v>
      </c>
      <c r="AC73" s="451"/>
      <c r="AD73" s="451"/>
      <c r="AE73" s="451"/>
      <c r="AF73" s="451"/>
      <c r="AG73" s="451"/>
      <c r="AH73" s="929"/>
      <c r="AI73" s="929"/>
      <c r="AJ73" s="929"/>
    </row>
    <row r="74" customFormat="false" ht="12.75" hidden="false" customHeight="false" outlineLevel="0" collapsed="false">
      <c r="B74" s="993" t="s">
        <v>638</v>
      </c>
      <c r="D74" s="998" t="n">
        <f aca="false">D71*D72</f>
        <v>12</v>
      </c>
      <c r="G74" s="16"/>
      <c r="H74" s="16"/>
      <c r="I74" s="16"/>
      <c r="K74" s="993" t="s">
        <v>638</v>
      </c>
      <c r="M74" s="998" t="n">
        <f aca="false">M71*M72</f>
        <v>12</v>
      </c>
      <c r="T74" s="993" t="s">
        <v>638</v>
      </c>
      <c r="V74" s="998" t="n">
        <f aca="false">V71*V72</f>
        <v>0</v>
      </c>
      <c r="AC74" s="451"/>
      <c r="AD74" s="451"/>
      <c r="AE74" s="451"/>
      <c r="AF74" s="451"/>
      <c r="AG74" s="451"/>
      <c r="AH74" s="929"/>
      <c r="AI74" s="929"/>
      <c r="AJ74" s="929"/>
    </row>
    <row r="75" customFormat="false" ht="12.75" hidden="false" customHeight="true" outlineLevel="0" collapsed="false">
      <c r="B75" s="1000" t="s">
        <v>639</v>
      </c>
      <c r="C75" s="1000"/>
      <c r="D75" s="1001" t="n">
        <f aca="false">D70/1200</f>
        <v>0.00416666666666667</v>
      </c>
      <c r="G75" s="16"/>
      <c r="H75" s="16"/>
      <c r="I75" s="16"/>
      <c r="K75" s="1000" t="s">
        <v>639</v>
      </c>
      <c r="L75" s="1000"/>
      <c r="M75" s="1001" t="n">
        <f aca="false">M70/1200</f>
        <v>0.00416666666666667</v>
      </c>
      <c r="T75" s="1000" t="s">
        <v>639</v>
      </c>
      <c r="U75" s="1000"/>
      <c r="V75" s="1001" t="n">
        <f aca="false">V70/1200</f>
        <v>0.00416666666666667</v>
      </c>
      <c r="AC75" s="451"/>
      <c r="AD75" s="451"/>
      <c r="AE75" s="451"/>
      <c r="AF75" s="451"/>
      <c r="AG75" s="451"/>
      <c r="AH75" s="929"/>
      <c r="AI75" s="929"/>
      <c r="AJ75" s="929"/>
    </row>
    <row r="76" customFormat="false" ht="12.75" hidden="false" customHeight="false" outlineLevel="0" collapsed="false">
      <c r="B76" s="1000"/>
      <c r="C76" s="1000"/>
      <c r="D76" s="1001"/>
      <c r="G76" s="16"/>
      <c r="H76" s="16"/>
      <c r="I76" s="16"/>
      <c r="K76" s="1000"/>
      <c r="L76" s="1000"/>
      <c r="M76" s="1001"/>
      <c r="T76" s="1000"/>
      <c r="U76" s="1000"/>
      <c r="V76" s="1001"/>
      <c r="AC76" s="451"/>
      <c r="AD76" s="451"/>
      <c r="AE76" s="451"/>
      <c r="AF76" s="451"/>
      <c r="AG76" s="451"/>
      <c r="AH76" s="929"/>
      <c r="AI76" s="929"/>
      <c r="AJ76" s="929"/>
    </row>
    <row r="77" customFormat="false" ht="12.75" hidden="false" customHeight="false" outlineLevel="0" collapsed="false">
      <c r="B77" s="993" t="s">
        <v>641</v>
      </c>
      <c r="D77" s="995" t="n">
        <f aca="false">IF(D68=0,0,(1-(1+D75)^-D74)/D75)</f>
        <v>0</v>
      </c>
      <c r="G77" s="16"/>
      <c r="H77" s="16"/>
      <c r="I77" s="16"/>
      <c r="K77" s="993" t="s">
        <v>641</v>
      </c>
      <c r="M77" s="995" t="n">
        <f aca="false">IF(M68=0,0,(1-(1+M75)^-M74)/M75)</f>
        <v>0</v>
      </c>
      <c r="T77" s="993" t="s">
        <v>641</v>
      </c>
      <c r="V77" s="995" t="n">
        <f aca="false">IF(V68=0,0,(1-(1+V75)^-V74)/V75+IF(V68=0,0))</f>
        <v>0</v>
      </c>
      <c r="AC77" s="451"/>
      <c r="AD77" s="451"/>
      <c r="AE77" s="451"/>
      <c r="AF77" s="451"/>
      <c r="AG77" s="451"/>
      <c r="AH77" s="929"/>
      <c r="AI77" s="929"/>
      <c r="AJ77" s="929"/>
    </row>
    <row r="78" customFormat="false" ht="12.75" hidden="false" customHeight="false" outlineLevel="0" collapsed="false">
      <c r="B78" s="1003" t="s">
        <v>642</v>
      </c>
      <c r="C78" s="1004"/>
      <c r="D78" s="1005" t="n">
        <f aca="false">IF(D68=0,0,D68/D77)</f>
        <v>0</v>
      </c>
      <c r="G78" s="16"/>
      <c r="H78" s="16"/>
      <c r="I78" s="16"/>
      <c r="K78" s="1003" t="s">
        <v>642</v>
      </c>
      <c r="L78" s="1004"/>
      <c r="M78" s="1005" t="n">
        <f aca="false">IF(M68=0,0,M68/M77)</f>
        <v>0</v>
      </c>
      <c r="T78" s="1003" t="s">
        <v>642</v>
      </c>
      <c r="U78" s="1004"/>
      <c r="V78" s="1005" t="n">
        <f aca="false">IF(V68=0,0,V68/V77)</f>
        <v>0</v>
      </c>
      <c r="AC78" s="451"/>
      <c r="AD78" s="451"/>
      <c r="AE78" s="451"/>
      <c r="AF78" s="451"/>
      <c r="AG78" s="451"/>
      <c r="AH78" s="929"/>
      <c r="AI78" s="929"/>
      <c r="AJ78" s="929"/>
    </row>
    <row r="79" customFormat="false" ht="12.75" hidden="false" customHeight="false" outlineLevel="0" collapsed="false">
      <c r="B79" s="993" t="s">
        <v>645</v>
      </c>
      <c r="D79" s="995" t="n">
        <f aca="false">(D68*D70*1)/1200</f>
        <v>0</v>
      </c>
      <c r="G79" s="16"/>
      <c r="H79" s="16"/>
      <c r="I79" s="16"/>
      <c r="K79" s="993" t="s">
        <v>645</v>
      </c>
      <c r="M79" s="995" t="n">
        <f aca="false">(M68*M70*1)/1200</f>
        <v>0</v>
      </c>
      <c r="T79" s="993" t="s">
        <v>645</v>
      </c>
      <c r="V79" s="995" t="n">
        <f aca="false">(V68*V70*1)/1200</f>
        <v>0</v>
      </c>
      <c r="AC79" s="451"/>
      <c r="AD79" s="451"/>
      <c r="AE79" s="451"/>
      <c r="AF79" s="451"/>
      <c r="AG79" s="451"/>
      <c r="AH79" s="929"/>
      <c r="AI79" s="929"/>
      <c r="AJ79" s="929"/>
    </row>
    <row r="80" customFormat="false" ht="13.5" hidden="false" customHeight="false" outlineLevel="0" collapsed="false">
      <c r="B80" s="1007" t="s">
        <v>646</v>
      </c>
      <c r="C80" s="421"/>
      <c r="D80" s="1008" t="n">
        <f aca="false">D78-D79</f>
        <v>0</v>
      </c>
      <c r="G80" s="16"/>
      <c r="H80" s="16"/>
      <c r="I80" s="16"/>
      <c r="K80" s="1007" t="s">
        <v>646</v>
      </c>
      <c r="L80" s="421"/>
      <c r="M80" s="1008" t="n">
        <f aca="false">M78-M79</f>
        <v>0</v>
      </c>
      <c r="T80" s="1007" t="s">
        <v>646</v>
      </c>
      <c r="U80" s="421"/>
      <c r="V80" s="1008" t="n">
        <f aca="false">V78-V79</f>
        <v>0</v>
      </c>
      <c r="AC80" s="451"/>
      <c r="AD80" s="451"/>
      <c r="AE80" s="451"/>
      <c r="AF80" s="451"/>
      <c r="AG80" s="451"/>
      <c r="AH80" s="929"/>
      <c r="AI80" s="929"/>
      <c r="AJ80" s="929"/>
    </row>
    <row r="81" customFormat="false" ht="13.5" hidden="false" customHeight="false" outlineLevel="0" collapsed="false">
      <c r="G81" s="16"/>
      <c r="H81" s="16"/>
      <c r="I81" s="16"/>
      <c r="AC81" s="451"/>
      <c r="AD81" s="451"/>
      <c r="AE81" s="451"/>
      <c r="AF81" s="451"/>
      <c r="AG81" s="451"/>
      <c r="AH81" s="929"/>
      <c r="AI81" s="929"/>
      <c r="AJ81" s="929"/>
    </row>
    <row r="82" s="1056" customFormat="true" ht="13.5" hidden="false" customHeight="true" outlineLevel="0" collapsed="false">
      <c r="B82" s="1012" t="s">
        <v>648</v>
      </c>
      <c r="C82" s="1012" t="s">
        <v>649</v>
      </c>
      <c r="D82" s="1012" t="s">
        <v>650</v>
      </c>
      <c r="E82" s="1012" t="s">
        <v>598</v>
      </c>
      <c r="F82" s="1012" t="s">
        <v>651</v>
      </c>
      <c r="G82" s="1012" t="s">
        <v>652</v>
      </c>
      <c r="H82" s="1013" t="s">
        <v>653</v>
      </c>
      <c r="I82" s="1014" t="s">
        <v>660</v>
      </c>
      <c r="K82" s="1012" t="s">
        <v>648</v>
      </c>
      <c r="L82" s="1012" t="s">
        <v>649</v>
      </c>
      <c r="M82" s="1012" t="s">
        <v>650</v>
      </c>
      <c r="N82" s="1012" t="s">
        <v>598</v>
      </c>
      <c r="O82" s="1012" t="s">
        <v>651</v>
      </c>
      <c r="P82" s="1012" t="s">
        <v>652</v>
      </c>
      <c r="Q82" s="1013" t="s">
        <v>653</v>
      </c>
      <c r="R82" s="1014" t="s">
        <v>660</v>
      </c>
      <c r="T82" s="1012" t="s">
        <v>648</v>
      </c>
      <c r="U82" s="1012" t="s">
        <v>649</v>
      </c>
      <c r="V82" s="1012" t="s">
        <v>650</v>
      </c>
      <c r="W82" s="1012" t="s">
        <v>598</v>
      </c>
      <c r="X82" s="1012" t="s">
        <v>651</v>
      </c>
      <c r="Y82" s="1012" t="s">
        <v>652</v>
      </c>
      <c r="Z82" s="1013" t="s">
        <v>653</v>
      </c>
      <c r="AA82" s="1014" t="s">
        <v>660</v>
      </c>
      <c r="AH82" s="1057"/>
      <c r="AI82" s="1057"/>
      <c r="AJ82" s="1057"/>
    </row>
    <row r="83" s="1056" customFormat="true" ht="12.75" hidden="false" customHeight="false" outlineLevel="0" collapsed="false">
      <c r="B83" s="1012"/>
      <c r="C83" s="1012"/>
      <c r="D83" s="1012"/>
      <c r="E83" s="1012"/>
      <c r="F83" s="1012"/>
      <c r="G83" s="1012"/>
      <c r="H83" s="1013"/>
      <c r="I83" s="1014"/>
      <c r="K83" s="1012"/>
      <c r="L83" s="1012"/>
      <c r="M83" s="1012"/>
      <c r="N83" s="1012"/>
      <c r="O83" s="1012"/>
      <c r="P83" s="1012"/>
      <c r="Q83" s="1013"/>
      <c r="R83" s="1014"/>
      <c r="T83" s="1012"/>
      <c r="U83" s="1012"/>
      <c r="V83" s="1012"/>
      <c r="W83" s="1012"/>
      <c r="X83" s="1012"/>
      <c r="Y83" s="1012"/>
      <c r="Z83" s="1013"/>
      <c r="AA83" s="1014"/>
      <c r="AH83" s="1057"/>
      <c r="AI83" s="1057"/>
      <c r="AJ83" s="1057"/>
    </row>
    <row r="84" s="1056" customFormat="true" ht="13.5" hidden="false" customHeight="false" outlineLevel="0" collapsed="false">
      <c r="B84" s="1012"/>
      <c r="C84" s="1012"/>
      <c r="D84" s="1012"/>
      <c r="E84" s="1012"/>
      <c r="F84" s="1012"/>
      <c r="G84" s="1012"/>
      <c r="H84" s="1013"/>
      <c r="I84" s="1014"/>
      <c r="K84" s="1012"/>
      <c r="L84" s="1012"/>
      <c r="M84" s="1012"/>
      <c r="N84" s="1012"/>
      <c r="O84" s="1012"/>
      <c r="P84" s="1012"/>
      <c r="Q84" s="1013"/>
      <c r="R84" s="1014"/>
      <c r="T84" s="1012"/>
      <c r="U84" s="1012"/>
      <c r="V84" s="1012"/>
      <c r="W84" s="1012"/>
      <c r="X84" s="1012"/>
      <c r="Y84" s="1012"/>
      <c r="Z84" s="1013"/>
      <c r="AA84" s="1014"/>
      <c r="AH84" s="1057"/>
      <c r="AI84" s="1057"/>
      <c r="AJ84" s="1057"/>
    </row>
    <row r="85" customFormat="false" ht="13.5" hidden="false" customHeight="false" outlineLevel="0" collapsed="false">
      <c r="B85" s="1017" t="n">
        <v>1</v>
      </c>
      <c r="C85" s="1018" t="n">
        <f aca="false">D73</f>
        <v>44957</v>
      </c>
      <c r="D85" s="1019" t="n">
        <f aca="false">IF(B85=1,$D$68,G84)</f>
        <v>0</v>
      </c>
      <c r="E85" s="1019" t="n">
        <f aca="false">(D85*$D$70*1)/1200</f>
        <v>0</v>
      </c>
      <c r="F85" s="1023" t="n">
        <f aca="false">IF(AND(B85&lt;=$D$74,B85&lt;&gt;0),$D$78-E85,0)</f>
        <v>0</v>
      </c>
      <c r="G85" s="1019" t="n">
        <f aca="false">D85-F85</f>
        <v>0</v>
      </c>
      <c r="H85" s="1019" t="n">
        <f aca="false">IF(B85&lt;=$D$74,E85+H84,0)</f>
        <v>0</v>
      </c>
      <c r="I85" s="1020" t="n">
        <f aca="false">IF(B85&lt;=$D$74,F85+I84,0)</f>
        <v>0</v>
      </c>
      <c r="K85" s="1021" t="n">
        <v>1</v>
      </c>
      <c r="L85" s="1018" t="n">
        <f aca="false">M73</f>
        <v>44957</v>
      </c>
      <c r="M85" s="1019" t="n">
        <f aca="false">M68</f>
        <v>0</v>
      </c>
      <c r="N85" s="1019" t="n">
        <f aca="false">(M85*$M$70*1)/1200</f>
        <v>0</v>
      </c>
      <c r="O85" s="1023" t="n">
        <f aca="false">$M$78-N85</f>
        <v>0</v>
      </c>
      <c r="P85" s="1019" t="n">
        <f aca="false">M85-O85</f>
        <v>0</v>
      </c>
      <c r="Q85" s="1019" t="n">
        <f aca="false">N85</f>
        <v>0</v>
      </c>
      <c r="R85" s="1020" t="n">
        <f aca="false">O85</f>
        <v>0</v>
      </c>
      <c r="T85" s="1021" t="n">
        <v>1</v>
      </c>
      <c r="U85" s="1018" t="n">
        <f aca="false">V73</f>
        <v>1</v>
      </c>
      <c r="V85" s="1019" t="n">
        <f aca="false">V68</f>
        <v>0</v>
      </c>
      <c r="W85" s="1019" t="n">
        <f aca="false">(V85*$V$70*1)/1200</f>
        <v>0</v>
      </c>
      <c r="X85" s="1023" t="n">
        <f aca="false">$V$78-W85</f>
        <v>0</v>
      </c>
      <c r="Y85" s="1019" t="n">
        <f aca="false">V85-X85</f>
        <v>0</v>
      </c>
      <c r="Z85" s="1019" t="n">
        <f aca="false">W85</f>
        <v>0</v>
      </c>
      <c r="AA85" s="1020" t="n">
        <f aca="false">X85</f>
        <v>0</v>
      </c>
      <c r="AC85" s="451"/>
      <c r="AD85" s="451"/>
      <c r="AE85" s="451"/>
      <c r="AF85" s="451"/>
      <c r="AG85" s="451"/>
      <c r="AH85" s="929"/>
      <c r="AI85" s="929"/>
      <c r="AJ85" s="929"/>
    </row>
    <row r="86" customFormat="false" ht="12.75" hidden="false" customHeight="false" outlineLevel="0" collapsed="false">
      <c r="B86" s="1024" t="n">
        <v>2</v>
      </c>
      <c r="C86" s="1025" t="n">
        <f aca="false">IF(B86&lt;=$D$74,DATE(YEAR(C85),MONTH(C85)+12/$D$72,DAY(C85)),"0")</f>
        <v>44988</v>
      </c>
      <c r="D86" s="1026" t="n">
        <f aca="false">IF(B86=1,$D$68,G85)</f>
        <v>0</v>
      </c>
      <c r="E86" s="1026" t="n">
        <f aca="false">(D86*$D$70*1)/1200</f>
        <v>0</v>
      </c>
      <c r="F86" s="1022" t="n">
        <f aca="false">IF(AND(B86&lt;=$D$74,B86&lt;&gt;0),$D$78-E86,0)</f>
        <v>0</v>
      </c>
      <c r="G86" s="1026" t="n">
        <f aca="false">D86-F86</f>
        <v>0</v>
      </c>
      <c r="H86" s="1026" t="n">
        <f aca="false">IF(B86&lt;=$D$74,E86+H85,0)</f>
        <v>0</v>
      </c>
      <c r="I86" s="654" t="n">
        <f aca="false">IF(B86&lt;=$D$74,F86+I85,0)</f>
        <v>0</v>
      </c>
      <c r="K86" s="1027" t="n">
        <f aca="false">K85+1</f>
        <v>2</v>
      </c>
      <c r="L86" s="1025" t="n">
        <f aca="false">IF(K86&lt;=$M$74,DATE(YEAR(L85),MONTH(L85)+12/$M$72,DAY(L85)),"0")</f>
        <v>44988</v>
      </c>
      <c r="M86" s="1026" t="n">
        <f aca="false">IF(K86&lt;=$M$74,P85,0)</f>
        <v>0</v>
      </c>
      <c r="N86" s="1026" t="n">
        <f aca="false">(M86*$M$70*1)/1200</f>
        <v>0</v>
      </c>
      <c r="O86" s="1022" t="n">
        <f aca="false">IF(K86&lt;=$M$74,$M$78-N86,0)</f>
        <v>0</v>
      </c>
      <c r="P86" s="1026" t="n">
        <f aca="false">M86-O86</f>
        <v>0</v>
      </c>
      <c r="Q86" s="1026" t="n">
        <f aca="false">IF(K86&lt;=$M$74,Q85+N86,0)</f>
        <v>0</v>
      </c>
      <c r="R86" s="654" t="n">
        <f aca="false">IF(K86&lt;=$D$74,R85+O86,0)</f>
        <v>0</v>
      </c>
      <c r="T86" s="1027" t="n">
        <f aca="false">T85+1</f>
        <v>2</v>
      </c>
      <c r="U86" s="1025" t="str">
        <f aca="false">IF(T86&lt;=$V$74,DATE(YEAR(U85),MONTH(U85)+12/$V$72,DAY(U85)),"0")</f>
        <v>0</v>
      </c>
      <c r="V86" s="1026" t="n">
        <f aca="false">IF(T86&lt;=$V$74,Y85,0)</f>
        <v>0</v>
      </c>
      <c r="W86" s="1026" t="n">
        <f aca="false">(V86*$V$70*1)/1200</f>
        <v>0</v>
      </c>
      <c r="X86" s="1022" t="n">
        <f aca="false">IF(T86&lt;=$V$74,$V$78-W86,0)</f>
        <v>0</v>
      </c>
      <c r="Y86" s="1026" t="n">
        <f aca="false">V86-X86</f>
        <v>0</v>
      </c>
      <c r="Z86" s="1026" t="n">
        <f aca="false">IF(T86&lt;=$V$74,Z85+W86,0)</f>
        <v>0</v>
      </c>
      <c r="AA86" s="654" t="n">
        <f aca="false">IF(T86&lt;=$V$74,AA85+X86,0)</f>
        <v>0</v>
      </c>
      <c r="AC86" s="451"/>
      <c r="AD86" s="451"/>
      <c r="AE86" s="451"/>
      <c r="AF86" s="451"/>
      <c r="AG86" s="451"/>
      <c r="AH86" s="929"/>
      <c r="AI86" s="929"/>
      <c r="AJ86" s="929"/>
    </row>
    <row r="87" customFormat="false" ht="12.75" hidden="false" customHeight="false" outlineLevel="0" collapsed="false">
      <c r="B87" s="1024" t="n">
        <v>3</v>
      </c>
      <c r="C87" s="1025" t="n">
        <f aca="false">IF(B87&lt;=$D$74,DATE(YEAR(C86),MONTH(C86)+12/$D$72,DAY(C86)),"0")</f>
        <v>45019</v>
      </c>
      <c r="D87" s="1026" t="n">
        <f aca="false">IF(B87=1,$D$68,G86)</f>
        <v>0</v>
      </c>
      <c r="E87" s="1026" t="n">
        <f aca="false">(D87*$D$70*1)/1200</f>
        <v>0</v>
      </c>
      <c r="F87" s="1022" t="n">
        <f aca="false">IF(AND(B87&lt;=$D$74,B87&lt;&gt;0),$D$78-E87,0)</f>
        <v>0</v>
      </c>
      <c r="G87" s="1026" t="n">
        <f aca="false">D87-F87</f>
        <v>0</v>
      </c>
      <c r="H87" s="1026" t="n">
        <f aca="false">IF(B87&lt;=$D$74,E87+H86,0)</f>
        <v>0</v>
      </c>
      <c r="I87" s="654" t="n">
        <f aca="false">IF(B87&lt;=$D$74,F87+I86,0)</f>
        <v>0</v>
      </c>
      <c r="K87" s="1027" t="n">
        <f aca="false">K86+1</f>
        <v>3</v>
      </c>
      <c r="L87" s="1025" t="n">
        <f aca="false">IF(K87&lt;=$M$74,DATE(YEAR(L86),MONTH(L86)+12/$M$72,DAY(L86)),"0")</f>
        <v>45019</v>
      </c>
      <c r="M87" s="1026" t="n">
        <f aca="false">IF(K87&lt;=$M$74,P86,0)</f>
        <v>0</v>
      </c>
      <c r="N87" s="1026" t="n">
        <f aca="false">(M87*$M$70*1)/1200</f>
        <v>0</v>
      </c>
      <c r="O87" s="1022" t="n">
        <f aca="false">IF(K87&lt;=$M$74,$M$78-N87,0)</f>
        <v>0</v>
      </c>
      <c r="P87" s="1026" t="n">
        <f aca="false">M87-O87</f>
        <v>0</v>
      </c>
      <c r="Q87" s="1026" t="n">
        <f aca="false">IF(K87&lt;=$M$74,Q86+N87,0)</f>
        <v>0</v>
      </c>
      <c r="R87" s="654" t="n">
        <f aca="false">IF(K87&lt;=$D$74,R86+O87,0)</f>
        <v>0</v>
      </c>
      <c r="T87" s="1027" t="n">
        <f aca="false">T86+1</f>
        <v>3</v>
      </c>
      <c r="U87" s="1025" t="str">
        <f aca="false">IF(T87&lt;=$V$74,DATE(YEAR(U86),MONTH(U86)+12/$V$72,DAY(U86)),"0")</f>
        <v>0</v>
      </c>
      <c r="V87" s="1026" t="n">
        <f aca="false">IF(T87&lt;=$V$74,Y86,0)</f>
        <v>0</v>
      </c>
      <c r="W87" s="1026" t="n">
        <f aca="false">(V87*$V$70*1)/1200</f>
        <v>0</v>
      </c>
      <c r="X87" s="1022" t="n">
        <f aca="false">IF(T87&lt;=$V$74,$V$78-W87,0)</f>
        <v>0</v>
      </c>
      <c r="Y87" s="1026" t="n">
        <f aca="false">V87-X87</f>
        <v>0</v>
      </c>
      <c r="Z87" s="1026" t="n">
        <f aca="false">IF(T87&lt;=$V$74,Z86+W87,0)</f>
        <v>0</v>
      </c>
      <c r="AA87" s="654" t="n">
        <f aca="false">IF(T87&lt;=$V$74,AA86+X87,0)</f>
        <v>0</v>
      </c>
      <c r="AC87" s="451"/>
      <c r="AD87" s="451"/>
      <c r="AE87" s="451"/>
      <c r="AF87" s="451"/>
      <c r="AG87" s="451"/>
      <c r="AH87" s="929"/>
      <c r="AI87" s="929"/>
      <c r="AJ87" s="929"/>
    </row>
    <row r="88" customFormat="false" ht="12.75" hidden="false" customHeight="false" outlineLevel="0" collapsed="false">
      <c r="B88" s="1024" t="n">
        <v>4</v>
      </c>
      <c r="C88" s="1025" t="n">
        <f aca="false">IF(B88&lt;=$D$74,DATE(YEAR(C87),MONTH(C87)+12/$D$72,DAY(C87)),"0")</f>
        <v>45049</v>
      </c>
      <c r="D88" s="1026" t="n">
        <f aca="false">IF(B88=1,$D$68,G87)</f>
        <v>0</v>
      </c>
      <c r="E88" s="1026" t="n">
        <f aca="false">(D88*$D$70*1)/1200</f>
        <v>0</v>
      </c>
      <c r="F88" s="1022" t="n">
        <f aca="false">IF(AND(B88&lt;=$D$74,B88&lt;&gt;0),$D$78-E88,0)</f>
        <v>0</v>
      </c>
      <c r="G88" s="1026" t="n">
        <f aca="false">D88-F88</f>
        <v>0</v>
      </c>
      <c r="H88" s="1026" t="n">
        <f aca="false">IF(B88&lt;=$D$74,E88+H87,0)</f>
        <v>0</v>
      </c>
      <c r="I88" s="654" t="n">
        <f aca="false">IF(B88&lt;=$D$74,F88+I87,0)</f>
        <v>0</v>
      </c>
      <c r="K88" s="1027" t="n">
        <f aca="false">K87+1</f>
        <v>4</v>
      </c>
      <c r="L88" s="1025" t="n">
        <f aca="false">IF(K88&lt;=$M$74,DATE(YEAR(L87),MONTH(L87)+12/$M$72,DAY(L87)),"0")</f>
        <v>45049</v>
      </c>
      <c r="M88" s="1026" t="n">
        <f aca="false">IF(K88&lt;=$M$74,P87,0)</f>
        <v>0</v>
      </c>
      <c r="N88" s="1026" t="n">
        <f aca="false">(M88*$M$70*1)/1200</f>
        <v>0</v>
      </c>
      <c r="O88" s="1022" t="n">
        <f aca="false">IF(K88&lt;=$M$74,$M$78-N88,0)</f>
        <v>0</v>
      </c>
      <c r="P88" s="1026" t="n">
        <f aca="false">M88-O88</f>
        <v>0</v>
      </c>
      <c r="Q88" s="1026" t="n">
        <f aca="false">IF(K88&lt;=$M$74,Q87+N88,0)</f>
        <v>0</v>
      </c>
      <c r="R88" s="654" t="n">
        <f aca="false">IF(K88&lt;=$D$74,R87+O88,0)</f>
        <v>0</v>
      </c>
      <c r="T88" s="1027" t="n">
        <f aca="false">T87+1</f>
        <v>4</v>
      </c>
      <c r="U88" s="1025" t="str">
        <f aca="false">IF(T88&lt;=$V$74,DATE(YEAR(U87),MONTH(U87)+12/$V$72,DAY(U87)),"0")</f>
        <v>0</v>
      </c>
      <c r="V88" s="1026" t="n">
        <f aca="false">IF(T88&lt;=$V$74,Y87,0)</f>
        <v>0</v>
      </c>
      <c r="W88" s="1026" t="n">
        <f aca="false">(V88*$V$70*1)/1200</f>
        <v>0</v>
      </c>
      <c r="X88" s="1022" t="n">
        <f aca="false">IF(T88&lt;=$V$74,$V$78-W88,0)</f>
        <v>0</v>
      </c>
      <c r="Y88" s="1026" t="n">
        <f aca="false">V88-X88</f>
        <v>0</v>
      </c>
      <c r="Z88" s="1026" t="n">
        <f aca="false">IF(T88&lt;=$V$74,Z87+W88,0)</f>
        <v>0</v>
      </c>
      <c r="AA88" s="654" t="n">
        <f aca="false">IF(T88&lt;=$V$74,AA87+X88,0)</f>
        <v>0</v>
      </c>
      <c r="AC88" s="451"/>
      <c r="AD88" s="451"/>
      <c r="AE88" s="451"/>
      <c r="AF88" s="451"/>
      <c r="AG88" s="451"/>
      <c r="AH88" s="929"/>
      <c r="AI88" s="929"/>
      <c r="AJ88" s="929"/>
    </row>
    <row r="89" customFormat="false" ht="12.75" hidden="false" customHeight="false" outlineLevel="0" collapsed="false">
      <c r="B89" s="1024" t="n">
        <v>5</v>
      </c>
      <c r="C89" s="1025" t="n">
        <f aca="false">IF(B89&lt;=$D$74,DATE(YEAR(C88),MONTH(C88)+12/$D$72,DAY(C88)),"0")</f>
        <v>45080</v>
      </c>
      <c r="D89" s="1026" t="n">
        <f aca="false">IF(B89=1,$D$68,G88)</f>
        <v>0</v>
      </c>
      <c r="E89" s="1026" t="n">
        <f aca="false">(D89*$D$70*1)/1200</f>
        <v>0</v>
      </c>
      <c r="F89" s="1022" t="n">
        <f aca="false">IF(AND(B89&lt;=$D$74,B89&lt;&gt;0),$D$78-E89,0)</f>
        <v>0</v>
      </c>
      <c r="G89" s="1026" t="n">
        <f aca="false">D89-F89</f>
        <v>0</v>
      </c>
      <c r="H89" s="1026" t="n">
        <f aca="false">IF(B89&lt;=$D$74,E89+H88,0)</f>
        <v>0</v>
      </c>
      <c r="I89" s="654" t="n">
        <f aca="false">IF(B89&lt;=$D$74,F89+I88,0)</f>
        <v>0</v>
      </c>
      <c r="K89" s="1027" t="n">
        <f aca="false">K88+1</f>
        <v>5</v>
      </c>
      <c r="L89" s="1025" t="n">
        <f aca="false">IF(K89&lt;=$M$74,DATE(YEAR(L88),MONTH(L88)+12/$M$72,DAY(L88)),"0")</f>
        <v>45080</v>
      </c>
      <c r="M89" s="1026" t="n">
        <f aca="false">IF(K89&lt;=$M$74,P88,0)</f>
        <v>0</v>
      </c>
      <c r="N89" s="1026" t="n">
        <f aca="false">(M89*$M$70*1)/1200</f>
        <v>0</v>
      </c>
      <c r="O89" s="1022" t="n">
        <f aca="false">IF(K89&lt;=$M$74,$M$78-N89,0)</f>
        <v>0</v>
      </c>
      <c r="P89" s="1026" t="n">
        <f aca="false">M89-O89</f>
        <v>0</v>
      </c>
      <c r="Q89" s="1026" t="n">
        <f aca="false">IF(K89&lt;=$M$74,Q88+N89,0)</f>
        <v>0</v>
      </c>
      <c r="R89" s="654" t="n">
        <f aca="false">IF(K89&lt;=$D$74,R88+O89,0)</f>
        <v>0</v>
      </c>
      <c r="T89" s="1027" t="n">
        <f aca="false">T88+1</f>
        <v>5</v>
      </c>
      <c r="U89" s="1025" t="str">
        <f aca="false">IF(T89&lt;=$V$74,DATE(YEAR(U88),MONTH(U88)+12/$V$72,DAY(U88)),"0")</f>
        <v>0</v>
      </c>
      <c r="V89" s="1026" t="n">
        <f aca="false">IF(T89&lt;=$V$74,Y88,0)</f>
        <v>0</v>
      </c>
      <c r="W89" s="1026" t="n">
        <f aca="false">(V89*$V$70*1)/1200</f>
        <v>0</v>
      </c>
      <c r="X89" s="1022" t="n">
        <f aca="false">IF(T89&lt;=$V$74,$V$78-W89,0)</f>
        <v>0</v>
      </c>
      <c r="Y89" s="1026" t="n">
        <f aca="false">V89-X89</f>
        <v>0</v>
      </c>
      <c r="Z89" s="1026" t="n">
        <f aca="false">IF(T89&lt;=$V$74,Z88+W89,0)</f>
        <v>0</v>
      </c>
      <c r="AA89" s="654" t="n">
        <f aca="false">IF(T89&lt;=$V$74,AA88+X89,0)</f>
        <v>0</v>
      </c>
      <c r="AC89" s="451"/>
      <c r="AD89" s="451"/>
      <c r="AE89" s="451"/>
      <c r="AF89" s="451"/>
      <c r="AG89" s="451"/>
      <c r="AH89" s="929"/>
      <c r="AI89" s="929"/>
      <c r="AJ89" s="929"/>
    </row>
    <row r="90" customFormat="false" ht="12.75" hidden="false" customHeight="false" outlineLevel="0" collapsed="false">
      <c r="B90" s="1024" t="n">
        <v>6</v>
      </c>
      <c r="C90" s="1025" t="n">
        <f aca="false">IF(B90&lt;=$D$74,DATE(YEAR(C89),MONTH(C89)+12/$D$72,DAY(C89)),"0")</f>
        <v>45110</v>
      </c>
      <c r="D90" s="1026" t="n">
        <f aca="false">IF(B90=1,$D$68,G89)</f>
        <v>0</v>
      </c>
      <c r="E90" s="1026" t="n">
        <f aca="false">(D90*$D$70*1)/1200</f>
        <v>0</v>
      </c>
      <c r="F90" s="1022" t="n">
        <f aca="false">IF(AND(B90&lt;=$D$74,B90&lt;&gt;0),$D$78-E90,0)</f>
        <v>0</v>
      </c>
      <c r="G90" s="1026" t="n">
        <f aca="false">D90-F90</f>
        <v>0</v>
      </c>
      <c r="H90" s="1026" t="n">
        <f aca="false">IF(B90&lt;=$D$74,E90+H89,0)</f>
        <v>0</v>
      </c>
      <c r="I90" s="654" t="n">
        <f aca="false">IF(B90&lt;=$D$74,F90+I89,0)</f>
        <v>0</v>
      </c>
      <c r="K90" s="1027" t="n">
        <f aca="false">K89+1</f>
        <v>6</v>
      </c>
      <c r="L90" s="1025" t="n">
        <f aca="false">IF(K90&lt;=$M$74,DATE(YEAR(L89),MONTH(L89)+12/$M$72,DAY(L89)),"0")</f>
        <v>45110</v>
      </c>
      <c r="M90" s="1026" t="n">
        <f aca="false">IF(K90&lt;=$M$74,P89,0)</f>
        <v>0</v>
      </c>
      <c r="N90" s="1026" t="n">
        <f aca="false">(M90*$M$70*1)/1200</f>
        <v>0</v>
      </c>
      <c r="O90" s="1022" t="n">
        <f aca="false">IF(K90&lt;=$M$74,$M$78-N90,0)</f>
        <v>0</v>
      </c>
      <c r="P90" s="1026" t="n">
        <f aca="false">M90-O90</f>
        <v>0</v>
      </c>
      <c r="Q90" s="1026" t="n">
        <f aca="false">IF(K90&lt;=$M$74,Q89+N90,0)</f>
        <v>0</v>
      </c>
      <c r="R90" s="654" t="n">
        <f aca="false">IF(K90&lt;=$D$74,R89+O90,0)</f>
        <v>0</v>
      </c>
      <c r="T90" s="1027" t="n">
        <f aca="false">T89+1</f>
        <v>6</v>
      </c>
      <c r="U90" s="1025" t="str">
        <f aca="false">IF(T90&lt;=$V$74,DATE(YEAR(U89),MONTH(U89)+12/$V$72,DAY(U89)),"0")</f>
        <v>0</v>
      </c>
      <c r="V90" s="1026" t="n">
        <f aca="false">IF(T90&lt;=$V$74,Y89,0)</f>
        <v>0</v>
      </c>
      <c r="W90" s="1026" t="n">
        <f aca="false">(V90*$V$70*1)/1200</f>
        <v>0</v>
      </c>
      <c r="X90" s="1022" t="n">
        <f aca="false">IF(T90&lt;=$V$74,$V$78-W90,0)</f>
        <v>0</v>
      </c>
      <c r="Y90" s="1026" t="n">
        <f aca="false">V90-X90</f>
        <v>0</v>
      </c>
      <c r="Z90" s="1026" t="n">
        <f aca="false">IF(T90&lt;=$V$74,Z89+W90,0)</f>
        <v>0</v>
      </c>
      <c r="AA90" s="654" t="n">
        <f aca="false">IF(T90&lt;=$V$74,AA89+X90,0)</f>
        <v>0</v>
      </c>
      <c r="AC90" s="451"/>
      <c r="AD90" s="451"/>
      <c r="AE90" s="451"/>
      <c r="AF90" s="451"/>
      <c r="AG90" s="451"/>
      <c r="AH90" s="929"/>
      <c r="AI90" s="929"/>
      <c r="AJ90" s="929"/>
    </row>
    <row r="91" customFormat="false" ht="12.75" hidden="false" customHeight="false" outlineLevel="0" collapsed="false">
      <c r="B91" s="1024" t="n">
        <v>7</v>
      </c>
      <c r="C91" s="1025" t="n">
        <f aca="false">IF(B91&lt;=$D$74,DATE(YEAR(C90),MONTH(C90)+12/$D$72,DAY(C90)),"0")</f>
        <v>45141</v>
      </c>
      <c r="D91" s="1026" t="n">
        <f aca="false">IF(B91=1,$D$68,G90)</f>
        <v>0</v>
      </c>
      <c r="E91" s="1026" t="n">
        <f aca="false">(D91*$D$70*1)/1200</f>
        <v>0</v>
      </c>
      <c r="F91" s="1022" t="n">
        <f aca="false">IF(AND(B91&lt;=$D$74,B91&lt;&gt;0),$D$78-E91,0)</f>
        <v>0</v>
      </c>
      <c r="G91" s="1026" t="n">
        <f aca="false">D91-F91</f>
        <v>0</v>
      </c>
      <c r="H91" s="1026" t="n">
        <f aca="false">IF(B91&lt;=$D$74,E91+H90,0)</f>
        <v>0</v>
      </c>
      <c r="I91" s="654" t="n">
        <f aca="false">IF(B91&lt;=$D$74,F91+I90,0)</f>
        <v>0</v>
      </c>
      <c r="K91" s="1027" t="n">
        <f aca="false">K90+1</f>
        <v>7</v>
      </c>
      <c r="L91" s="1025" t="n">
        <f aca="false">IF(K91&lt;=$M$74,DATE(YEAR(L90),MONTH(L90)+12/$M$72,DAY(L90)),"0")</f>
        <v>45141</v>
      </c>
      <c r="M91" s="1026" t="n">
        <f aca="false">IF(K91&lt;=$M$74,P90,0)</f>
        <v>0</v>
      </c>
      <c r="N91" s="1026" t="n">
        <f aca="false">(M91*$M$70*1)/1200</f>
        <v>0</v>
      </c>
      <c r="O91" s="1022" t="n">
        <f aca="false">IF(K91&lt;=$M$74,$M$78-N91,0)</f>
        <v>0</v>
      </c>
      <c r="P91" s="1026" t="n">
        <f aca="false">M91-O91</f>
        <v>0</v>
      </c>
      <c r="Q91" s="1026" t="n">
        <f aca="false">IF(K91&lt;=$M$74,Q90+N91,0)</f>
        <v>0</v>
      </c>
      <c r="R91" s="654" t="n">
        <f aca="false">IF(K91&lt;=$D$74,R90+O91,0)</f>
        <v>0</v>
      </c>
      <c r="T91" s="1027" t="n">
        <f aca="false">T90+1</f>
        <v>7</v>
      </c>
      <c r="U91" s="1025" t="str">
        <f aca="false">IF(T91&lt;=$V$74,DATE(YEAR(U90),MONTH(U90)+12/$V$72,DAY(U90)),"0")</f>
        <v>0</v>
      </c>
      <c r="V91" s="1026" t="n">
        <f aca="false">IF(T91&lt;=$V$74,Y90,0)</f>
        <v>0</v>
      </c>
      <c r="W91" s="1026" t="n">
        <f aca="false">(V91*$V$70*1)/1200</f>
        <v>0</v>
      </c>
      <c r="X91" s="1022" t="n">
        <f aca="false">IF(T91&lt;=$V$74,$V$78-W91,0)</f>
        <v>0</v>
      </c>
      <c r="Y91" s="1026" t="n">
        <f aca="false">V91-X91</f>
        <v>0</v>
      </c>
      <c r="Z91" s="1026" t="n">
        <f aca="false">IF(T91&lt;=$V$74,Z90+W91,0)</f>
        <v>0</v>
      </c>
      <c r="AA91" s="654" t="n">
        <f aca="false">IF(T91&lt;=$V$74,AA90+X91,0)</f>
        <v>0</v>
      </c>
      <c r="AC91" s="451"/>
      <c r="AD91" s="451"/>
      <c r="AE91" s="451"/>
      <c r="AF91" s="451"/>
      <c r="AG91" s="451"/>
      <c r="AH91" s="929"/>
      <c r="AI91" s="929"/>
      <c r="AJ91" s="929"/>
    </row>
    <row r="92" customFormat="false" ht="12.75" hidden="false" customHeight="false" outlineLevel="0" collapsed="false">
      <c r="B92" s="1024" t="n">
        <v>8</v>
      </c>
      <c r="C92" s="1025" t="n">
        <f aca="false">IF(B92&lt;=$D$74,DATE(YEAR(C91),MONTH(C91)+12/$D$72,DAY(C91)),"0")</f>
        <v>45172</v>
      </c>
      <c r="D92" s="1026" t="n">
        <f aca="false">IF(B92=1,$D$68,G91)</f>
        <v>0</v>
      </c>
      <c r="E92" s="1026" t="n">
        <f aca="false">(D92*$D$70*1)/1200</f>
        <v>0</v>
      </c>
      <c r="F92" s="1022" t="n">
        <f aca="false">IF(AND(B92&lt;=$D$74,B92&lt;&gt;0),$D$78-E92,0)</f>
        <v>0</v>
      </c>
      <c r="G92" s="1026" t="n">
        <f aca="false">D92-F92</f>
        <v>0</v>
      </c>
      <c r="H92" s="1026" t="n">
        <f aca="false">IF(B92&lt;=$D$74,E92+H91,0)</f>
        <v>0</v>
      </c>
      <c r="I92" s="654" t="n">
        <f aca="false">IF(B92&lt;=$D$74,F92+I91,0)</f>
        <v>0</v>
      </c>
      <c r="K92" s="1027" t="n">
        <f aca="false">K91+1</f>
        <v>8</v>
      </c>
      <c r="L92" s="1025" t="n">
        <f aca="false">IF(K92&lt;=$M$74,DATE(YEAR(L91),MONTH(L91)+12/$M$72,DAY(L91)),"0")</f>
        <v>45172</v>
      </c>
      <c r="M92" s="1026" t="n">
        <f aca="false">IF(K92&lt;=$M$74,P91,0)</f>
        <v>0</v>
      </c>
      <c r="N92" s="1026" t="n">
        <f aca="false">(M92*$M$70*1)/1200</f>
        <v>0</v>
      </c>
      <c r="O92" s="1022" t="n">
        <f aca="false">IF(K92&lt;=$M$74,$M$78-N92,0)</f>
        <v>0</v>
      </c>
      <c r="P92" s="1026" t="n">
        <f aca="false">M92-O92</f>
        <v>0</v>
      </c>
      <c r="Q92" s="1026" t="n">
        <f aca="false">IF(K92&lt;=$M$74,Q91+N92,0)</f>
        <v>0</v>
      </c>
      <c r="R92" s="654" t="n">
        <f aca="false">IF(K92&lt;=$D$74,R91+O92,0)</f>
        <v>0</v>
      </c>
      <c r="T92" s="1027" t="n">
        <f aca="false">T91+1</f>
        <v>8</v>
      </c>
      <c r="U92" s="1025" t="str">
        <f aca="false">IF(T92&lt;=$V$74,DATE(YEAR(U91),MONTH(U91)+12/$V$72,DAY(U91)),"0")</f>
        <v>0</v>
      </c>
      <c r="V92" s="1026" t="n">
        <f aca="false">IF(T92&lt;=$V$74,Y91,0)</f>
        <v>0</v>
      </c>
      <c r="W92" s="1026" t="n">
        <f aca="false">(V92*$V$70*1)/1200</f>
        <v>0</v>
      </c>
      <c r="X92" s="1022" t="n">
        <f aca="false">IF(T92&lt;=$V$74,$V$78-W92,0)</f>
        <v>0</v>
      </c>
      <c r="Y92" s="1026" t="n">
        <f aca="false">V92-X92</f>
        <v>0</v>
      </c>
      <c r="Z92" s="1026" t="n">
        <f aca="false">IF(T92&lt;=$V$74,Z91+W92,0)</f>
        <v>0</v>
      </c>
      <c r="AA92" s="654" t="n">
        <f aca="false">IF(T92&lt;=$V$74,AA91+X92,0)</f>
        <v>0</v>
      </c>
      <c r="AC92" s="451"/>
      <c r="AD92" s="451"/>
      <c r="AE92" s="451"/>
      <c r="AF92" s="451"/>
      <c r="AG92" s="451"/>
      <c r="AH92" s="929"/>
      <c r="AI92" s="929"/>
      <c r="AJ92" s="929"/>
    </row>
    <row r="93" customFormat="false" ht="12.75" hidden="false" customHeight="false" outlineLevel="0" collapsed="false">
      <c r="B93" s="1024" t="n">
        <v>9</v>
      </c>
      <c r="C93" s="1025" t="n">
        <f aca="false">IF(B93&lt;=$D$74,DATE(YEAR(C92),MONTH(C92)+12/$D$72,DAY(C92)),"0")</f>
        <v>45202</v>
      </c>
      <c r="D93" s="1026" t="n">
        <f aca="false">IF(B93=1,$D$68,G92)</f>
        <v>0</v>
      </c>
      <c r="E93" s="1026" t="n">
        <f aca="false">(D93*$D$70*1)/1200</f>
        <v>0</v>
      </c>
      <c r="F93" s="1022" t="n">
        <f aca="false">IF(AND(B93&lt;=$D$74,B93&lt;&gt;0),$D$78-E93,0)</f>
        <v>0</v>
      </c>
      <c r="G93" s="1026" t="n">
        <f aca="false">D93-F93</f>
        <v>0</v>
      </c>
      <c r="H93" s="1026" t="n">
        <f aca="false">IF(B93&lt;=$D$74,E93+H92,0)</f>
        <v>0</v>
      </c>
      <c r="I93" s="654" t="n">
        <f aca="false">IF(B93&lt;=$D$74,F93+I92,0)</f>
        <v>0</v>
      </c>
      <c r="K93" s="1027" t="n">
        <f aca="false">K92+1</f>
        <v>9</v>
      </c>
      <c r="L93" s="1025" t="n">
        <f aca="false">IF(K93&lt;=$M$74,DATE(YEAR(L92),MONTH(L92)+12/$M$72,DAY(L92)),"0")</f>
        <v>45202</v>
      </c>
      <c r="M93" s="1026" t="n">
        <f aca="false">IF(K93&lt;=$M$74,P92,0)</f>
        <v>0</v>
      </c>
      <c r="N93" s="1026" t="n">
        <f aca="false">(M93*$M$70*1)/1200</f>
        <v>0</v>
      </c>
      <c r="O93" s="1022" t="n">
        <f aca="false">IF(K93&lt;=$M$74,$M$78-N93,0)</f>
        <v>0</v>
      </c>
      <c r="P93" s="1026" t="n">
        <f aca="false">M93-O93</f>
        <v>0</v>
      </c>
      <c r="Q93" s="1026" t="n">
        <f aca="false">IF(K93&lt;=$M$74,Q92+N93,0)</f>
        <v>0</v>
      </c>
      <c r="R93" s="654" t="n">
        <f aca="false">IF(K93&lt;=$D$74,R92+O93,0)</f>
        <v>0</v>
      </c>
      <c r="T93" s="1027" t="n">
        <f aca="false">T92+1</f>
        <v>9</v>
      </c>
      <c r="U93" s="1025" t="str">
        <f aca="false">IF(T93&lt;=$V$74,DATE(YEAR(U92),MONTH(U92)+12/$V$72,DAY(U92)),"0")</f>
        <v>0</v>
      </c>
      <c r="V93" s="1026" t="n">
        <f aca="false">IF(T93&lt;=$V$74,Y92,0)</f>
        <v>0</v>
      </c>
      <c r="W93" s="1026" t="n">
        <f aca="false">(V93*$V$70*1)/1200</f>
        <v>0</v>
      </c>
      <c r="X93" s="1022" t="n">
        <f aca="false">IF(T93&lt;=$V$74,$V$78-W93,0)</f>
        <v>0</v>
      </c>
      <c r="Y93" s="1026" t="n">
        <f aca="false">V93-X93</f>
        <v>0</v>
      </c>
      <c r="Z93" s="1026" t="n">
        <f aca="false">IF(T93&lt;=$V$74,Z92+W93,0)</f>
        <v>0</v>
      </c>
      <c r="AA93" s="654" t="n">
        <f aca="false">IF(T93&lt;=$V$74,AA92+X93,0)</f>
        <v>0</v>
      </c>
      <c r="AC93" s="451"/>
      <c r="AD93" s="451"/>
      <c r="AE93" s="451"/>
      <c r="AF93" s="451"/>
      <c r="AG93" s="451"/>
      <c r="AH93" s="929"/>
      <c r="AI93" s="929"/>
      <c r="AJ93" s="929"/>
    </row>
    <row r="94" customFormat="false" ht="12.75" hidden="false" customHeight="false" outlineLevel="0" collapsed="false">
      <c r="B94" s="1024" t="n">
        <v>10</v>
      </c>
      <c r="C94" s="1025" t="n">
        <f aca="false">IF(B94&lt;=$D$74,DATE(YEAR(C93),MONTH(C93)+12/$D$72,DAY(C93)),"0")</f>
        <v>45233</v>
      </c>
      <c r="D94" s="1026" t="n">
        <f aca="false">IF(B94=1,$D$68,G93)</f>
        <v>0</v>
      </c>
      <c r="E94" s="1026" t="n">
        <f aca="false">(D94*$D$70*1)/1200</f>
        <v>0</v>
      </c>
      <c r="F94" s="1022" t="n">
        <f aca="false">IF(AND(B94&lt;=$D$74,B94&lt;&gt;0),$D$78-E94,0)</f>
        <v>0</v>
      </c>
      <c r="G94" s="1026" t="n">
        <f aca="false">D94-F94</f>
        <v>0</v>
      </c>
      <c r="H94" s="1026" t="n">
        <f aca="false">IF(B94&lt;=$D$74,E94+H93,0)</f>
        <v>0</v>
      </c>
      <c r="I94" s="654" t="n">
        <f aca="false">IF(B94&lt;=$D$74,F94+I93,0)</f>
        <v>0</v>
      </c>
      <c r="K94" s="1027" t="n">
        <f aca="false">K93+1</f>
        <v>10</v>
      </c>
      <c r="L94" s="1025" t="n">
        <f aca="false">IF(K94&lt;=$M$74,DATE(YEAR(L93),MONTH(L93)+12/$M$72,DAY(L93)),"0")</f>
        <v>45233</v>
      </c>
      <c r="M94" s="1026" t="n">
        <f aca="false">IF(K94&lt;=$M$74,P93,0)</f>
        <v>0</v>
      </c>
      <c r="N94" s="1026" t="n">
        <f aca="false">(M94*$M$70*1)/1200</f>
        <v>0</v>
      </c>
      <c r="O94" s="1022" t="n">
        <f aca="false">IF(K94&lt;=$M$74,$M$78-N94,0)</f>
        <v>0</v>
      </c>
      <c r="P94" s="1026" t="n">
        <f aca="false">M94-O94</f>
        <v>0</v>
      </c>
      <c r="Q94" s="1026" t="n">
        <f aca="false">IF(K94&lt;=$M$74,Q93+N94,0)</f>
        <v>0</v>
      </c>
      <c r="R94" s="654" t="n">
        <f aca="false">IF(K94&lt;=$D$74,R93+O94,0)</f>
        <v>0</v>
      </c>
      <c r="T94" s="1027" t="n">
        <f aca="false">T93+1</f>
        <v>10</v>
      </c>
      <c r="U94" s="1025" t="str">
        <f aca="false">IF(T94&lt;=$V$74,DATE(YEAR(U93),MONTH(U93)+12/$V$72,DAY(U93)),"0")</f>
        <v>0</v>
      </c>
      <c r="V94" s="1026" t="n">
        <f aca="false">IF(T94&lt;=$V$74,Y93,0)</f>
        <v>0</v>
      </c>
      <c r="W94" s="1026" t="n">
        <f aca="false">(V94*$V$70*1)/1200</f>
        <v>0</v>
      </c>
      <c r="X94" s="1022" t="n">
        <f aca="false">IF(T94&lt;=$V$74,$V$78-W94,0)</f>
        <v>0</v>
      </c>
      <c r="Y94" s="1026" t="n">
        <f aca="false">V94-X94</f>
        <v>0</v>
      </c>
      <c r="Z94" s="1026" t="n">
        <f aca="false">IF(T94&lt;=$V$74,Z93+W94,0)</f>
        <v>0</v>
      </c>
      <c r="AA94" s="654" t="n">
        <f aca="false">IF(T94&lt;=$V$74,AA93+X94,0)</f>
        <v>0</v>
      </c>
      <c r="AC94" s="451"/>
      <c r="AD94" s="451"/>
      <c r="AE94" s="451"/>
      <c r="AF94" s="451"/>
      <c r="AG94" s="451"/>
      <c r="AH94" s="929"/>
      <c r="AI94" s="929"/>
      <c r="AJ94" s="929"/>
    </row>
    <row r="95" customFormat="false" ht="12.75" hidden="false" customHeight="false" outlineLevel="0" collapsed="false">
      <c r="B95" s="1024" t="n">
        <v>11</v>
      </c>
      <c r="C95" s="1025" t="n">
        <f aca="false">IF(B95&lt;=$D$74,DATE(YEAR(C94),MONTH(C94)+12/$D$72,DAY(C94)),"0")</f>
        <v>45263</v>
      </c>
      <c r="D95" s="1026" t="n">
        <f aca="false">IF(B95=1,$D$68,G94)</f>
        <v>0</v>
      </c>
      <c r="E95" s="1026" t="n">
        <f aca="false">(D95*$D$70*1)/1200</f>
        <v>0</v>
      </c>
      <c r="F95" s="1022" t="n">
        <f aca="false">IF(AND(B95&lt;=$D$74,B95&lt;&gt;0),$D$78-E95,0)</f>
        <v>0</v>
      </c>
      <c r="G95" s="1026" t="n">
        <f aca="false">D95-F95</f>
        <v>0</v>
      </c>
      <c r="H95" s="1026" t="n">
        <f aca="false">IF(B95&lt;=$D$74,E95+H94,0)</f>
        <v>0</v>
      </c>
      <c r="I95" s="654" t="n">
        <f aca="false">IF(B95&lt;=$D$74,F95+I94,0)</f>
        <v>0</v>
      </c>
      <c r="K95" s="1027" t="n">
        <f aca="false">K94+1</f>
        <v>11</v>
      </c>
      <c r="L95" s="1025" t="n">
        <f aca="false">IF(K95&lt;=$M$74,DATE(YEAR(L94),MONTH(L94)+12/$M$72,DAY(L94)),"0")</f>
        <v>45263</v>
      </c>
      <c r="M95" s="1026" t="n">
        <f aca="false">IF(K95&lt;=$M$74,P94,0)</f>
        <v>0</v>
      </c>
      <c r="N95" s="1026" t="n">
        <f aca="false">(M95*$M$70*1)/1200</f>
        <v>0</v>
      </c>
      <c r="O95" s="1022" t="n">
        <f aca="false">IF(K95&lt;=$M$74,$M$78-N95,0)</f>
        <v>0</v>
      </c>
      <c r="P95" s="1026" t="n">
        <f aca="false">M95-O95</f>
        <v>0</v>
      </c>
      <c r="Q95" s="1026" t="n">
        <f aca="false">IF(K95&lt;=$M$74,Q94+N95,0)</f>
        <v>0</v>
      </c>
      <c r="R95" s="654" t="n">
        <f aca="false">IF(K95&lt;=$D$74,R94+O95,0)</f>
        <v>0</v>
      </c>
      <c r="T95" s="1027" t="n">
        <f aca="false">T94+1</f>
        <v>11</v>
      </c>
      <c r="U95" s="1025" t="str">
        <f aca="false">IF(T95&lt;=$V$74,DATE(YEAR(U94),MONTH(U94)+12/$V$72,DAY(U94)),"0")</f>
        <v>0</v>
      </c>
      <c r="V95" s="1026" t="n">
        <f aca="false">IF(T95&lt;=$V$74,Y94,0)</f>
        <v>0</v>
      </c>
      <c r="W95" s="1026" t="n">
        <f aca="false">(V95*$V$70*1)/1200</f>
        <v>0</v>
      </c>
      <c r="X95" s="1022" t="n">
        <f aca="false">IF(T95&lt;=$V$74,$V$78-W95,0)</f>
        <v>0</v>
      </c>
      <c r="Y95" s="1026" t="n">
        <f aca="false">V95-X95</f>
        <v>0</v>
      </c>
      <c r="Z95" s="1026" t="n">
        <f aca="false">IF(T95&lt;=$V$74,Z94+W95,0)</f>
        <v>0</v>
      </c>
      <c r="AA95" s="654" t="n">
        <f aca="false">IF(T95&lt;=$V$74,AA94+X95,0)</f>
        <v>0</v>
      </c>
      <c r="AC95" s="451"/>
      <c r="AD95" s="451"/>
      <c r="AE95" s="451"/>
      <c r="AF95" s="451"/>
      <c r="AG95" s="451"/>
      <c r="AH95" s="929"/>
      <c r="AI95" s="929"/>
      <c r="AJ95" s="929"/>
    </row>
    <row r="96" s="451" customFormat="true" ht="13.5" hidden="false" customHeight="false" outlineLevel="0" collapsed="false">
      <c r="B96" s="1032" t="n">
        <v>12</v>
      </c>
      <c r="C96" s="1029" t="n">
        <f aca="false">IF(B96&lt;=$D$74,DATE(YEAR(C95),MONTH(C95)+12/$D$72,DAY(C95)),"0")</f>
        <v>45294</v>
      </c>
      <c r="D96" s="1030" t="n">
        <f aca="false">IF(B96=1,$D$68,G95)</f>
        <v>0</v>
      </c>
      <c r="E96" s="1030" t="n">
        <f aca="false">(D96*$D$70*1)/1200</f>
        <v>0</v>
      </c>
      <c r="F96" s="1058" t="n">
        <f aca="false">IF(AND(B96&lt;=$D$74,B96&lt;&gt;0),$D$78-E96,0)</f>
        <v>0</v>
      </c>
      <c r="G96" s="1030" t="n">
        <f aca="false">D96-F96</f>
        <v>0</v>
      </c>
      <c r="H96" s="1030" t="n">
        <f aca="false">IF(B96&lt;=$D$74,E96+H95,0)</f>
        <v>0</v>
      </c>
      <c r="I96" s="1031" t="n">
        <f aca="false">IF(B96&lt;=$D$74,F96+I95,0)</f>
        <v>0</v>
      </c>
      <c r="K96" s="1032" t="n">
        <f aca="false">K95+1</f>
        <v>12</v>
      </c>
      <c r="L96" s="1029" t="n">
        <f aca="false">IF(K96&lt;=$M$74,DATE(YEAR(L95),MONTH(L95)+12/$M$72,DAY(L95)),"0")</f>
        <v>45294</v>
      </c>
      <c r="M96" s="1030" t="n">
        <f aca="false">IF(K96&lt;=$M$74,P95,0)</f>
        <v>0</v>
      </c>
      <c r="N96" s="1030" t="n">
        <f aca="false">(M96*$M$70*1)/1200</f>
        <v>0</v>
      </c>
      <c r="O96" s="1058" t="n">
        <f aca="false">IF(K96&lt;=$M$74,$M$78-N96,0)</f>
        <v>0</v>
      </c>
      <c r="P96" s="1030" t="n">
        <f aca="false">M96-O96</f>
        <v>0</v>
      </c>
      <c r="Q96" s="1030" t="n">
        <f aca="false">IF(K96&lt;=$M$74,Q95+N96,0)</f>
        <v>0</v>
      </c>
      <c r="R96" s="1031" t="n">
        <f aca="false">IF(K96&lt;=$D$74,R95+O96,0)</f>
        <v>0</v>
      </c>
      <c r="T96" s="1032" t="n">
        <f aca="false">T95+1</f>
        <v>12</v>
      </c>
      <c r="U96" s="1029" t="str">
        <f aca="false">IF(T96&lt;=$V$74,DATE(YEAR(U95),MONTH(U95)+12/$V$72,DAY(U95)),"0")</f>
        <v>0</v>
      </c>
      <c r="V96" s="1030" t="n">
        <f aca="false">IF(T96&lt;=$V$74,Y95,0)</f>
        <v>0</v>
      </c>
      <c r="W96" s="1030" t="n">
        <f aca="false">(V96*$V$70*1)/1200</f>
        <v>0</v>
      </c>
      <c r="X96" s="1058" t="n">
        <f aca="false">IF(T96&lt;=$V$74,$V$78-W96,0)</f>
        <v>0</v>
      </c>
      <c r="Y96" s="1030" t="n">
        <f aca="false">V96-X96</f>
        <v>0</v>
      </c>
      <c r="Z96" s="1030" t="n">
        <f aca="false">IF(T96&lt;=$V$74,Z95+W96,0)</f>
        <v>0</v>
      </c>
      <c r="AA96" s="1031" t="n">
        <f aca="false">IF(T96&lt;=$V$74,AA95+X96,0)</f>
        <v>0</v>
      </c>
      <c r="AH96" s="929"/>
      <c r="AI96" s="929"/>
      <c r="AJ96" s="929"/>
    </row>
    <row r="97" customFormat="false" ht="13.5" hidden="false" customHeight="false" outlineLevel="0" collapsed="false">
      <c r="B97" s="451"/>
      <c r="C97" s="451"/>
      <c r="D97" s="451"/>
      <c r="E97" s="549"/>
      <c r="F97" s="1033"/>
      <c r="G97" s="451"/>
      <c r="H97" s="451"/>
      <c r="I97" s="451"/>
      <c r="K97" s="451"/>
      <c r="L97" s="451"/>
      <c r="M97" s="451"/>
      <c r="N97" s="549"/>
      <c r="O97" s="1033"/>
      <c r="P97" s="451"/>
      <c r="Q97" s="451"/>
      <c r="R97" s="451"/>
      <c r="T97" s="451"/>
      <c r="U97" s="451"/>
      <c r="V97" s="451"/>
      <c r="W97" s="549"/>
      <c r="X97" s="1033"/>
      <c r="Y97" s="451"/>
      <c r="Z97" s="451"/>
      <c r="AA97" s="451"/>
      <c r="AC97" s="451"/>
      <c r="AD97" s="451"/>
      <c r="AE97" s="451"/>
      <c r="AF97" s="451"/>
      <c r="AG97" s="451"/>
      <c r="AH97" s="929"/>
      <c r="AI97" s="929"/>
      <c r="AJ97" s="929"/>
    </row>
    <row r="98" customFormat="false" ht="12.75" hidden="false" customHeight="false" outlineLevel="0" collapsed="false">
      <c r="B98" s="451"/>
      <c r="C98" s="1059"/>
      <c r="D98" s="451"/>
      <c r="E98" s="549"/>
      <c r="F98" s="451"/>
      <c r="G98" s="451"/>
      <c r="H98" s="451"/>
      <c r="I98" s="451"/>
      <c r="K98" s="451"/>
      <c r="L98" s="451"/>
      <c r="M98" s="451"/>
      <c r="N98" s="549"/>
      <c r="O98" s="451"/>
      <c r="P98" s="451"/>
      <c r="Q98" s="451"/>
      <c r="R98" s="451"/>
      <c r="T98" s="451"/>
      <c r="U98" s="451"/>
      <c r="V98" s="451"/>
      <c r="W98" s="549"/>
      <c r="X98" s="451"/>
      <c r="Y98" s="451"/>
      <c r="Z98" s="451"/>
      <c r="AA98" s="451"/>
      <c r="AC98" s="451"/>
      <c r="AD98" s="451"/>
      <c r="AE98" s="451"/>
      <c r="AF98" s="451"/>
      <c r="AG98" s="451"/>
      <c r="AH98" s="929"/>
      <c r="AI98" s="929"/>
      <c r="AJ98" s="929"/>
    </row>
    <row r="99" customFormat="false" ht="12.75" hidden="false" customHeight="false" outlineLevel="0" collapsed="false">
      <c r="C99" s="1059"/>
      <c r="K99" s="451"/>
      <c r="L99" s="1059"/>
      <c r="M99" s="451"/>
      <c r="N99" s="451"/>
      <c r="O99" s="451"/>
      <c r="P99" s="929"/>
      <c r="Q99" s="929"/>
      <c r="R99" s="929"/>
      <c r="T99" s="451"/>
      <c r="U99" s="1059"/>
      <c r="V99" s="451"/>
      <c r="W99" s="451"/>
      <c r="X99" s="451"/>
      <c r="Y99" s="929"/>
      <c r="Z99" s="929"/>
      <c r="AA99" s="929"/>
      <c r="AC99" s="451"/>
      <c r="AD99" s="451"/>
      <c r="AE99" s="451"/>
      <c r="AF99" s="451"/>
      <c r="AG99" s="451"/>
      <c r="AH99" s="929"/>
      <c r="AI99" s="929"/>
      <c r="AJ99" s="929"/>
    </row>
    <row r="100" customFormat="false" ht="12.75" hidden="false" customHeight="false" outlineLevel="0" collapsed="false">
      <c r="K100" s="451"/>
      <c r="L100" s="451"/>
      <c r="M100" s="451"/>
      <c r="N100" s="451"/>
      <c r="O100" s="451"/>
      <c r="P100" s="929"/>
      <c r="Q100" s="929"/>
      <c r="R100" s="929"/>
      <c r="T100" s="451"/>
      <c r="U100" s="451"/>
      <c r="V100" s="451"/>
      <c r="W100" s="451"/>
      <c r="X100" s="451"/>
      <c r="Y100" s="929"/>
      <c r="Z100" s="929"/>
      <c r="AA100" s="929"/>
      <c r="AC100" s="451"/>
      <c r="AD100" s="451"/>
      <c r="AE100" s="451"/>
      <c r="AF100" s="451"/>
      <c r="AG100" s="451"/>
      <c r="AH100" s="929"/>
      <c r="AI100" s="929"/>
      <c r="AJ100" s="929"/>
    </row>
    <row r="101" customFormat="false" ht="12.75" hidden="false" customHeight="false" outlineLevel="0" collapsed="false">
      <c r="Y101" s="929"/>
      <c r="Z101" s="929"/>
      <c r="AA101" s="929"/>
      <c r="AC101" s="451"/>
      <c r="AD101" s="451"/>
      <c r="AE101" s="451"/>
      <c r="AF101" s="451"/>
      <c r="AG101" s="451"/>
      <c r="AH101" s="929"/>
      <c r="AI101" s="929"/>
      <c r="AJ101" s="929"/>
    </row>
    <row r="102" customFormat="false" ht="12.75" hidden="false" customHeight="false" outlineLevel="0" collapsed="false">
      <c r="Y102" s="929"/>
      <c r="Z102" s="929"/>
      <c r="AA102" s="929"/>
      <c r="AC102" s="451"/>
      <c r="AD102" s="451"/>
      <c r="AE102" s="451"/>
      <c r="AF102" s="451"/>
      <c r="AG102" s="451"/>
      <c r="AH102" s="929"/>
      <c r="AI102" s="929"/>
      <c r="AJ102" s="929"/>
    </row>
    <row r="103" customFormat="false" ht="12.75" hidden="false" customHeight="false" outlineLevel="0" collapsed="false">
      <c r="Y103" s="929"/>
      <c r="Z103" s="929"/>
      <c r="AA103" s="929"/>
      <c r="AC103" s="451"/>
      <c r="AD103" s="451"/>
      <c r="AE103" s="451"/>
      <c r="AF103" s="451"/>
      <c r="AG103" s="451"/>
      <c r="AH103" s="929"/>
      <c r="AI103" s="929"/>
      <c r="AJ103" s="929"/>
    </row>
    <row r="104" customFormat="false" ht="12.75" hidden="false" customHeight="false" outlineLevel="0" collapsed="false">
      <c r="B104" s="23"/>
      <c r="Y104" s="929"/>
      <c r="Z104" s="929"/>
      <c r="AA104" s="929"/>
      <c r="AC104" s="451"/>
      <c r="AD104" s="451"/>
      <c r="AE104" s="451"/>
      <c r="AF104" s="451"/>
      <c r="AG104" s="451"/>
      <c r="AH104" s="929"/>
      <c r="AI104" s="929"/>
      <c r="AJ104" s="929"/>
    </row>
    <row r="105" customFormat="false" ht="12.75" hidden="false" customHeight="false" outlineLevel="0" collapsed="false">
      <c r="A105" s="912"/>
      <c r="Y105" s="929"/>
      <c r="Z105" s="929"/>
      <c r="AA105" s="929"/>
      <c r="AC105" s="451"/>
      <c r="AD105" s="451"/>
      <c r="AE105" s="451"/>
      <c r="AF105" s="451"/>
      <c r="AG105" s="451"/>
      <c r="AH105" s="929"/>
      <c r="AI105" s="929"/>
      <c r="AJ105" s="929"/>
    </row>
    <row r="106" customFormat="false" ht="12.75" hidden="false" customHeight="false" outlineLevel="0" collapsed="false">
      <c r="Y106" s="929"/>
      <c r="Z106" s="929"/>
      <c r="AA106" s="929"/>
      <c r="AC106" s="451"/>
      <c r="AD106" s="451"/>
      <c r="AE106" s="451"/>
      <c r="AF106" s="451"/>
      <c r="AG106" s="451"/>
      <c r="AH106" s="929"/>
      <c r="AI106" s="929"/>
      <c r="AJ106" s="929"/>
    </row>
    <row r="107" customFormat="false" ht="12.75" hidden="false" customHeight="false" outlineLevel="0" collapsed="false">
      <c r="Y107" s="929"/>
      <c r="Z107" s="929"/>
      <c r="AA107" s="929"/>
      <c r="AC107" s="451"/>
      <c r="AD107" s="451"/>
      <c r="AE107" s="451"/>
      <c r="AF107" s="451"/>
      <c r="AG107" s="451"/>
      <c r="AH107" s="929"/>
      <c r="AI107" s="929"/>
      <c r="AJ107" s="929"/>
    </row>
    <row r="108" customFormat="false" ht="12.75" hidden="false" customHeight="false" outlineLevel="0" collapsed="false">
      <c r="Y108" s="929"/>
      <c r="Z108" s="929"/>
      <c r="AA108" s="929"/>
      <c r="AC108" s="451"/>
      <c r="AD108" s="451"/>
      <c r="AE108" s="451"/>
      <c r="AF108" s="451"/>
      <c r="AG108" s="451"/>
      <c r="AH108" s="929"/>
      <c r="AI108" s="929"/>
      <c r="AJ108" s="929"/>
    </row>
    <row r="109" customFormat="false" ht="12.75" hidden="false" customHeight="false" outlineLevel="0" collapsed="false">
      <c r="Y109" s="929"/>
      <c r="Z109" s="929"/>
      <c r="AA109" s="929"/>
      <c r="AC109" s="451"/>
      <c r="AD109" s="451"/>
      <c r="AE109" s="451"/>
      <c r="AF109" s="451"/>
      <c r="AG109" s="451"/>
      <c r="AH109" s="929"/>
      <c r="AI109" s="929"/>
      <c r="AJ109" s="929"/>
    </row>
    <row r="110" customFormat="false" ht="12.75" hidden="false" customHeight="false" outlineLevel="0" collapsed="false">
      <c r="Y110" s="929"/>
      <c r="Z110" s="929"/>
      <c r="AA110" s="929"/>
      <c r="AC110" s="451"/>
      <c r="AD110" s="451"/>
      <c r="AE110" s="451"/>
      <c r="AF110" s="451"/>
      <c r="AG110" s="451"/>
      <c r="AH110" s="929"/>
      <c r="AI110" s="929"/>
      <c r="AJ110" s="929"/>
    </row>
    <row r="111" customFormat="false" ht="12.75" hidden="false" customHeight="false" outlineLevel="0" collapsed="false">
      <c r="Y111" s="929"/>
      <c r="Z111" s="929"/>
      <c r="AA111" s="929"/>
      <c r="AC111" s="451"/>
      <c r="AD111" s="451"/>
      <c r="AE111" s="451"/>
      <c r="AF111" s="451"/>
      <c r="AG111" s="451"/>
      <c r="AH111" s="929"/>
      <c r="AI111" s="929"/>
      <c r="AJ111" s="929"/>
    </row>
    <row r="112" customFormat="false" ht="12.75" hidden="false" customHeight="false" outlineLevel="0" collapsed="false">
      <c r="Y112" s="929"/>
      <c r="Z112" s="929"/>
      <c r="AA112" s="929"/>
      <c r="AC112" s="451"/>
      <c r="AD112" s="451"/>
      <c r="AE112" s="451"/>
      <c r="AF112" s="451"/>
      <c r="AG112" s="451"/>
      <c r="AH112" s="929"/>
      <c r="AI112" s="929"/>
      <c r="AJ112" s="929"/>
    </row>
    <row r="113" customFormat="false" ht="12.75" hidden="false" customHeight="false" outlineLevel="0" collapsed="false">
      <c r="Y113" s="929"/>
      <c r="Z113" s="929"/>
      <c r="AA113" s="929"/>
      <c r="AC113" s="451"/>
      <c r="AD113" s="451"/>
      <c r="AE113" s="451"/>
      <c r="AF113" s="451"/>
      <c r="AG113" s="451"/>
      <c r="AH113" s="929"/>
      <c r="AI113" s="929"/>
      <c r="AJ113" s="929"/>
    </row>
    <row r="114" customFormat="false" ht="12.75" hidden="false" customHeight="false" outlineLevel="0" collapsed="false">
      <c r="Y114" s="929"/>
      <c r="Z114" s="929"/>
      <c r="AA114" s="929"/>
      <c r="AC114" s="451"/>
      <c r="AD114" s="451"/>
      <c r="AE114" s="451"/>
      <c r="AF114" s="451"/>
      <c r="AG114" s="451"/>
      <c r="AH114" s="929"/>
      <c r="AI114" s="929"/>
      <c r="AJ114" s="929"/>
    </row>
    <row r="115" customFormat="false" ht="12.75" hidden="false" customHeight="false" outlineLevel="0" collapsed="false">
      <c r="Y115" s="929"/>
      <c r="Z115" s="929"/>
      <c r="AA115" s="929"/>
      <c r="AC115" s="451"/>
      <c r="AD115" s="451"/>
      <c r="AE115" s="451"/>
      <c r="AF115" s="451"/>
      <c r="AG115" s="451"/>
      <c r="AH115" s="929"/>
      <c r="AI115" s="929"/>
      <c r="AJ115" s="929"/>
    </row>
    <row r="116" s="23" customFormat="true" ht="12.75" hidden="false" customHeight="false" outlineLevel="0" collapsed="false">
      <c r="Y116" s="999"/>
      <c r="Z116" s="999"/>
      <c r="AA116" s="999"/>
      <c r="AH116" s="999"/>
      <c r="AI116" s="999"/>
      <c r="AJ116" s="999"/>
    </row>
    <row r="117" customFormat="false" ht="12.75" hidden="false" customHeight="false" outlineLevel="0" collapsed="false">
      <c r="Y117" s="929"/>
      <c r="Z117" s="929"/>
      <c r="AA117" s="929"/>
      <c r="AC117" s="451"/>
      <c r="AD117" s="451"/>
      <c r="AE117" s="451"/>
      <c r="AF117" s="451"/>
      <c r="AG117" s="451"/>
      <c r="AH117" s="929"/>
      <c r="AI117" s="929"/>
      <c r="AJ117" s="929"/>
    </row>
    <row r="118" customFormat="false" ht="12.75" hidden="false" customHeight="false" outlineLevel="0" collapsed="false">
      <c r="Y118" s="929"/>
      <c r="Z118" s="929"/>
      <c r="AA118" s="929"/>
      <c r="AC118" s="451"/>
      <c r="AD118" s="451"/>
      <c r="AE118" s="451"/>
      <c r="AF118" s="451"/>
      <c r="AG118" s="451"/>
      <c r="AH118" s="929"/>
      <c r="AI118" s="929"/>
      <c r="AJ118" s="929"/>
    </row>
    <row r="119" customFormat="false" ht="12.75" hidden="false" customHeight="false" outlineLevel="0" collapsed="false">
      <c r="Y119" s="929"/>
      <c r="Z119" s="929"/>
      <c r="AA119" s="929"/>
      <c r="AC119" s="451"/>
      <c r="AD119" s="451"/>
      <c r="AE119" s="451"/>
      <c r="AF119" s="451"/>
      <c r="AG119" s="451"/>
      <c r="AH119" s="929"/>
      <c r="AI119" s="929"/>
      <c r="AJ119" s="929"/>
    </row>
    <row r="120" customFormat="false" ht="12.75" hidden="false" customHeight="false" outlineLevel="0" collapsed="false">
      <c r="Y120" s="929"/>
      <c r="Z120" s="929"/>
      <c r="AA120" s="929"/>
      <c r="AC120" s="451"/>
      <c r="AD120" s="451"/>
      <c r="AE120" s="451"/>
      <c r="AF120" s="451"/>
      <c r="AG120" s="451"/>
      <c r="AH120" s="929"/>
      <c r="AI120" s="929"/>
      <c r="AJ120" s="929"/>
    </row>
    <row r="121" customFormat="false" ht="12.75" hidden="false" customHeight="false" outlineLevel="0" collapsed="false">
      <c r="Y121" s="929"/>
      <c r="Z121" s="929"/>
      <c r="AA121" s="929"/>
      <c r="AC121" s="451"/>
      <c r="AD121" s="451"/>
      <c r="AE121" s="451"/>
      <c r="AF121" s="451"/>
      <c r="AG121" s="451"/>
      <c r="AH121" s="929"/>
      <c r="AI121" s="929"/>
      <c r="AJ121" s="929"/>
    </row>
    <row r="122" customFormat="false" ht="12.75" hidden="false" customHeight="false" outlineLevel="0" collapsed="false">
      <c r="Y122" s="929"/>
      <c r="Z122" s="929"/>
      <c r="AA122" s="929"/>
      <c r="AC122" s="451"/>
      <c r="AD122" s="451"/>
      <c r="AE122" s="451"/>
      <c r="AF122" s="451"/>
      <c r="AG122" s="451"/>
      <c r="AH122" s="929"/>
      <c r="AI122" s="929"/>
      <c r="AJ122" s="929"/>
    </row>
    <row r="123" customFormat="false" ht="12.75" hidden="false" customHeight="false" outlineLevel="0" collapsed="false">
      <c r="Y123" s="929"/>
      <c r="Z123" s="929"/>
      <c r="AA123" s="929"/>
      <c r="AC123" s="451"/>
      <c r="AD123" s="451"/>
      <c r="AE123" s="451"/>
      <c r="AF123" s="451"/>
      <c r="AG123" s="451"/>
      <c r="AH123" s="929"/>
      <c r="AI123" s="929"/>
      <c r="AJ123" s="929"/>
    </row>
    <row r="124" customFormat="false" ht="12.75" hidden="false" customHeight="false" outlineLevel="0" collapsed="false">
      <c r="Y124" s="929"/>
      <c r="Z124" s="929"/>
      <c r="AA124" s="929"/>
      <c r="AC124" s="451"/>
      <c r="AD124" s="451"/>
      <c r="AE124" s="451"/>
      <c r="AF124" s="451"/>
      <c r="AG124" s="451"/>
      <c r="AH124" s="929"/>
      <c r="AI124" s="929"/>
      <c r="AJ124" s="929"/>
    </row>
    <row r="125" customFormat="false" ht="12.75" hidden="false" customHeight="false" outlineLevel="0" collapsed="false">
      <c r="Y125" s="929"/>
      <c r="Z125" s="929"/>
      <c r="AA125" s="929"/>
      <c r="AC125" s="451"/>
      <c r="AD125" s="451"/>
      <c r="AE125" s="451"/>
      <c r="AF125" s="451"/>
      <c r="AG125" s="451"/>
      <c r="AH125" s="929"/>
      <c r="AI125" s="929"/>
      <c r="AJ125" s="929"/>
    </row>
    <row r="126" customFormat="false" ht="12.75" hidden="false" customHeight="false" outlineLevel="0" collapsed="false">
      <c r="Y126" s="929"/>
      <c r="Z126" s="929"/>
      <c r="AA126" s="929"/>
      <c r="AC126" s="451"/>
      <c r="AD126" s="451"/>
      <c r="AE126" s="451"/>
      <c r="AF126" s="451"/>
      <c r="AG126" s="451"/>
      <c r="AH126" s="929"/>
      <c r="AI126" s="929"/>
      <c r="AJ126" s="929"/>
    </row>
    <row r="127" customFormat="false" ht="12.75" hidden="false" customHeight="false" outlineLevel="0" collapsed="false">
      <c r="Y127" s="929"/>
      <c r="Z127" s="929"/>
      <c r="AA127" s="929"/>
      <c r="AC127" s="451"/>
      <c r="AD127" s="451"/>
      <c r="AE127" s="451"/>
      <c r="AF127" s="451"/>
      <c r="AG127" s="451"/>
      <c r="AH127" s="929"/>
      <c r="AI127" s="929"/>
      <c r="AJ127" s="929"/>
    </row>
    <row r="128" s="23" customFormat="true" ht="12.75" hidden="false" customHeight="false" outlineLevel="0" collapsed="false">
      <c r="Y128" s="999"/>
      <c r="Z128" s="999"/>
      <c r="AA128" s="999"/>
      <c r="AH128" s="999"/>
      <c r="AI128" s="999"/>
      <c r="AJ128" s="999"/>
    </row>
    <row r="129" customFormat="false" ht="12.75" hidden="false" customHeight="false" outlineLevel="0" collapsed="false">
      <c r="Y129" s="929"/>
      <c r="Z129" s="929"/>
      <c r="AA129" s="929"/>
      <c r="AC129" s="451"/>
      <c r="AD129" s="451"/>
      <c r="AE129" s="451"/>
      <c r="AF129" s="451"/>
      <c r="AG129" s="451"/>
      <c r="AH129" s="929"/>
      <c r="AI129" s="929"/>
      <c r="AJ129" s="929"/>
    </row>
    <row r="130" customFormat="false" ht="12.75" hidden="false" customHeight="false" outlineLevel="0" collapsed="false">
      <c r="Y130" s="929"/>
      <c r="Z130" s="929"/>
      <c r="AA130" s="929"/>
      <c r="AC130" s="451"/>
      <c r="AD130" s="451"/>
      <c r="AE130" s="451"/>
      <c r="AF130" s="451"/>
      <c r="AG130" s="451"/>
      <c r="AH130" s="929"/>
      <c r="AI130" s="929"/>
      <c r="AJ130" s="929"/>
    </row>
    <row r="131" customFormat="false" ht="12.75" hidden="false" customHeight="false" outlineLevel="0" collapsed="false">
      <c r="Y131" s="929"/>
      <c r="Z131" s="929"/>
      <c r="AA131" s="929"/>
      <c r="AC131" s="451"/>
      <c r="AD131" s="451"/>
      <c r="AE131" s="451"/>
      <c r="AF131" s="451"/>
      <c r="AG131" s="451"/>
      <c r="AH131" s="929"/>
      <c r="AI131" s="929"/>
      <c r="AJ131" s="929"/>
    </row>
    <row r="132" customFormat="false" ht="12.75" hidden="false" customHeight="false" outlineLevel="0" collapsed="false">
      <c r="Y132" s="929"/>
      <c r="Z132" s="929"/>
      <c r="AA132" s="929"/>
      <c r="AC132" s="451"/>
      <c r="AD132" s="451"/>
      <c r="AE132" s="451"/>
      <c r="AF132" s="451"/>
      <c r="AG132" s="451"/>
      <c r="AH132" s="929"/>
      <c r="AI132" s="929"/>
      <c r="AJ132" s="929"/>
    </row>
    <row r="133" customFormat="false" ht="12.75" hidden="false" customHeight="false" outlineLevel="0" collapsed="false">
      <c r="Y133" s="929"/>
      <c r="Z133" s="929"/>
      <c r="AA133" s="929"/>
      <c r="AC133" s="451"/>
      <c r="AD133" s="451"/>
      <c r="AE133" s="451"/>
      <c r="AF133" s="451"/>
      <c r="AG133" s="451"/>
      <c r="AH133" s="929"/>
      <c r="AI133" s="929"/>
      <c r="AJ133" s="929"/>
    </row>
    <row r="134" customFormat="false" ht="12.75" hidden="false" customHeight="false" outlineLevel="0" collapsed="false">
      <c r="Y134" s="929"/>
      <c r="Z134" s="929"/>
      <c r="AA134" s="929"/>
      <c r="AC134" s="451"/>
      <c r="AD134" s="451"/>
      <c r="AE134" s="451"/>
      <c r="AF134" s="451"/>
      <c r="AG134" s="451"/>
      <c r="AH134" s="929"/>
      <c r="AI134" s="929"/>
      <c r="AJ134" s="929"/>
    </row>
    <row r="135" customFormat="false" ht="12.75" hidden="false" customHeight="false" outlineLevel="0" collapsed="false">
      <c r="Y135" s="929"/>
      <c r="Z135" s="929"/>
      <c r="AA135" s="929"/>
      <c r="AC135" s="451"/>
      <c r="AD135" s="451"/>
      <c r="AE135" s="451"/>
      <c r="AF135" s="451"/>
      <c r="AG135" s="451"/>
      <c r="AH135" s="929"/>
      <c r="AI135" s="929"/>
      <c r="AJ135" s="929"/>
    </row>
    <row r="136" customFormat="false" ht="12.75" hidden="false" customHeight="false" outlineLevel="0" collapsed="false">
      <c r="Y136" s="929"/>
      <c r="Z136" s="929"/>
      <c r="AA136" s="929"/>
      <c r="AC136" s="451"/>
      <c r="AD136" s="451"/>
      <c r="AE136" s="451"/>
      <c r="AF136" s="451"/>
      <c r="AG136" s="451"/>
      <c r="AH136" s="929"/>
      <c r="AI136" s="929"/>
      <c r="AJ136" s="929"/>
    </row>
    <row r="137" customFormat="false" ht="12.75" hidden="false" customHeight="false" outlineLevel="0" collapsed="false">
      <c r="Y137" s="929"/>
      <c r="Z137" s="929"/>
      <c r="AA137" s="929"/>
      <c r="AC137" s="451"/>
      <c r="AD137" s="451"/>
      <c r="AE137" s="451"/>
      <c r="AF137" s="451"/>
      <c r="AG137" s="451"/>
      <c r="AH137" s="929"/>
      <c r="AI137" s="929"/>
      <c r="AJ137" s="929"/>
    </row>
    <row r="138" customFormat="false" ht="12.75" hidden="false" customHeight="false" outlineLevel="0" collapsed="false">
      <c r="Y138" s="929"/>
      <c r="Z138" s="929"/>
      <c r="AA138" s="929"/>
      <c r="AC138" s="451"/>
      <c r="AD138" s="451"/>
      <c r="AE138" s="451"/>
      <c r="AF138" s="451"/>
      <c r="AG138" s="451"/>
      <c r="AH138" s="929"/>
      <c r="AI138" s="929"/>
      <c r="AJ138" s="929"/>
    </row>
    <row r="139" customFormat="false" ht="12.75" hidden="false" customHeight="false" outlineLevel="0" collapsed="false">
      <c r="Y139" s="929"/>
      <c r="Z139" s="929"/>
      <c r="AA139" s="929"/>
      <c r="AC139" s="451"/>
      <c r="AD139" s="451"/>
      <c r="AE139" s="451"/>
      <c r="AF139" s="451"/>
      <c r="AG139" s="451"/>
      <c r="AH139" s="929"/>
      <c r="AI139" s="929"/>
      <c r="AJ139" s="929"/>
    </row>
    <row r="140" s="23" customFormat="true" ht="12.75" hidden="false" customHeight="false" outlineLevel="0" collapsed="false">
      <c r="Y140" s="999"/>
      <c r="Z140" s="999"/>
      <c r="AA140" s="999"/>
      <c r="AH140" s="999"/>
      <c r="AI140" s="999"/>
      <c r="AJ140" s="999"/>
    </row>
    <row r="141" customFormat="false" ht="12.75" hidden="false" customHeight="false" outlineLevel="0" collapsed="false">
      <c r="Y141" s="929"/>
      <c r="Z141" s="929"/>
      <c r="AA141" s="929"/>
      <c r="AC141" s="451"/>
      <c r="AD141" s="451"/>
      <c r="AE141" s="451"/>
      <c r="AF141" s="451"/>
      <c r="AG141" s="451"/>
      <c r="AH141" s="929"/>
      <c r="AI141" s="929"/>
      <c r="AJ141" s="929"/>
    </row>
    <row r="142" customFormat="false" ht="12.75" hidden="false" customHeight="false" outlineLevel="0" collapsed="false">
      <c r="K142" s="451"/>
      <c r="L142" s="451"/>
      <c r="M142" s="451"/>
      <c r="N142" s="451"/>
      <c r="O142" s="451"/>
      <c r="P142" s="929"/>
      <c r="Q142" s="929"/>
      <c r="R142" s="929"/>
      <c r="T142" s="451"/>
      <c r="U142" s="451"/>
      <c r="V142" s="451"/>
      <c r="W142" s="451"/>
      <c r="X142" s="451"/>
      <c r="Y142" s="929"/>
      <c r="Z142" s="929"/>
      <c r="AA142" s="929"/>
      <c r="AC142" s="451"/>
      <c r="AD142" s="451"/>
      <c r="AE142" s="451"/>
      <c r="AF142" s="451"/>
      <c r="AG142" s="451"/>
      <c r="AH142" s="929"/>
      <c r="AI142" s="929"/>
      <c r="AJ142" s="929"/>
    </row>
    <row r="143" customFormat="false" ht="12.75" hidden="false" customHeight="false" outlineLevel="0" collapsed="false">
      <c r="K143" s="451"/>
      <c r="L143" s="451"/>
      <c r="M143" s="451"/>
      <c r="N143" s="451"/>
      <c r="O143" s="451"/>
      <c r="P143" s="929"/>
      <c r="Q143" s="929"/>
      <c r="R143" s="929"/>
      <c r="T143" s="451"/>
      <c r="U143" s="451"/>
      <c r="V143" s="451"/>
      <c r="W143" s="451"/>
      <c r="X143" s="451"/>
      <c r="Y143" s="929"/>
      <c r="Z143" s="929"/>
      <c r="AA143" s="929"/>
      <c r="AC143" s="451"/>
      <c r="AD143" s="451"/>
      <c r="AE143" s="451"/>
      <c r="AF143" s="451"/>
      <c r="AG143" s="451"/>
      <c r="AH143" s="929"/>
      <c r="AI143" s="929"/>
      <c r="AJ143" s="929"/>
    </row>
    <row r="144" customFormat="false" ht="12.75" hidden="false" customHeight="false" outlineLevel="0" collapsed="false">
      <c r="K144" s="451"/>
      <c r="L144" s="451"/>
      <c r="M144" s="451"/>
      <c r="N144" s="451"/>
      <c r="O144" s="451"/>
      <c r="P144" s="929"/>
      <c r="Q144" s="929"/>
      <c r="R144" s="929"/>
      <c r="T144" s="451"/>
      <c r="U144" s="451"/>
      <c r="V144" s="451"/>
      <c r="W144" s="451"/>
      <c r="X144" s="451"/>
      <c r="Y144" s="929"/>
      <c r="Z144" s="929"/>
      <c r="AA144" s="929"/>
      <c r="AC144" s="451"/>
      <c r="AD144" s="451"/>
      <c r="AE144" s="451"/>
      <c r="AF144" s="451"/>
      <c r="AG144" s="451"/>
      <c r="AH144" s="929"/>
      <c r="AI144" s="929"/>
      <c r="AJ144" s="929"/>
    </row>
    <row r="145" customFormat="false" ht="12.75" hidden="false" customHeight="false" outlineLevel="0" collapsed="false">
      <c r="K145" s="451"/>
      <c r="L145" s="451"/>
      <c r="M145" s="451"/>
      <c r="N145" s="451"/>
      <c r="O145" s="451"/>
      <c r="P145" s="929"/>
      <c r="Q145" s="929"/>
      <c r="R145" s="929"/>
      <c r="T145" s="451"/>
      <c r="U145" s="451"/>
      <c r="V145" s="451"/>
      <c r="W145" s="451"/>
      <c r="X145" s="451"/>
      <c r="Y145" s="929"/>
      <c r="Z145" s="929"/>
      <c r="AA145" s="929"/>
      <c r="AC145" s="451"/>
      <c r="AD145" s="451"/>
      <c r="AE145" s="451"/>
      <c r="AF145" s="451"/>
      <c r="AG145" s="451"/>
      <c r="AH145" s="929"/>
      <c r="AI145" s="929"/>
      <c r="AJ145" s="929"/>
    </row>
    <row r="146" customFormat="false" ht="12.75" hidden="false" customHeight="false" outlineLevel="0" collapsed="false">
      <c r="K146" s="451"/>
      <c r="L146" s="451"/>
      <c r="M146" s="451"/>
      <c r="N146" s="451"/>
      <c r="O146" s="451"/>
      <c r="P146" s="929"/>
      <c r="Q146" s="929"/>
      <c r="R146" s="929"/>
      <c r="T146" s="451"/>
      <c r="U146" s="451"/>
      <c r="V146" s="451"/>
      <c r="W146" s="451"/>
      <c r="X146" s="451"/>
      <c r="Y146" s="929"/>
      <c r="Z146" s="929"/>
      <c r="AA146" s="929"/>
      <c r="AC146" s="451"/>
      <c r="AD146" s="451"/>
      <c r="AE146" s="451"/>
      <c r="AF146" s="451"/>
      <c r="AG146" s="451"/>
      <c r="AH146" s="929"/>
      <c r="AI146" s="929"/>
      <c r="AJ146" s="929"/>
    </row>
    <row r="147" customFormat="false" ht="12.75" hidden="false" customHeight="false" outlineLevel="0" collapsed="false">
      <c r="K147" s="451"/>
      <c r="L147" s="451"/>
      <c r="M147" s="451"/>
      <c r="N147" s="451"/>
      <c r="O147" s="451"/>
      <c r="P147" s="929"/>
      <c r="Q147" s="929"/>
      <c r="R147" s="929"/>
      <c r="T147" s="451"/>
      <c r="U147" s="451"/>
      <c r="V147" s="451"/>
      <c r="W147" s="451"/>
      <c r="X147" s="451"/>
      <c r="Y147" s="929"/>
      <c r="Z147" s="929"/>
      <c r="AA147" s="929"/>
      <c r="AC147" s="451"/>
      <c r="AD147" s="451"/>
      <c r="AE147" s="451"/>
      <c r="AF147" s="451"/>
      <c r="AG147" s="451"/>
      <c r="AH147" s="929"/>
      <c r="AI147" s="929"/>
      <c r="AJ147" s="929"/>
    </row>
    <row r="148" customFormat="false" ht="12.75" hidden="false" customHeight="false" outlineLevel="0" collapsed="false">
      <c r="K148" s="451"/>
      <c r="L148" s="451"/>
      <c r="M148" s="451"/>
      <c r="N148" s="451"/>
      <c r="O148" s="451"/>
      <c r="P148" s="929"/>
      <c r="Q148" s="929"/>
      <c r="R148" s="929"/>
      <c r="T148" s="451"/>
      <c r="U148" s="451"/>
      <c r="V148" s="451"/>
      <c r="W148" s="451"/>
      <c r="X148" s="451"/>
      <c r="Y148" s="929"/>
      <c r="Z148" s="929"/>
      <c r="AA148" s="929"/>
      <c r="AC148" s="451"/>
      <c r="AD148" s="451"/>
      <c r="AE148" s="451"/>
      <c r="AF148" s="451"/>
      <c r="AG148" s="451"/>
      <c r="AH148" s="929"/>
      <c r="AI148" s="929"/>
      <c r="AJ148" s="929"/>
    </row>
    <row r="149" customFormat="false" ht="12.75" hidden="false" customHeight="false" outlineLevel="0" collapsed="false">
      <c r="K149" s="451"/>
      <c r="L149" s="451"/>
      <c r="M149" s="451"/>
      <c r="N149" s="451"/>
      <c r="O149" s="451"/>
      <c r="P149" s="929"/>
      <c r="Q149" s="929"/>
      <c r="R149" s="929"/>
      <c r="T149" s="451"/>
      <c r="U149" s="451"/>
      <c r="V149" s="451"/>
      <c r="W149" s="451"/>
      <c r="X149" s="451"/>
      <c r="Y149" s="929"/>
      <c r="Z149" s="929"/>
      <c r="AA149" s="929"/>
      <c r="AC149" s="451"/>
      <c r="AD149" s="451"/>
      <c r="AE149" s="451"/>
      <c r="AF149" s="451"/>
      <c r="AG149" s="451"/>
      <c r="AH149" s="929"/>
      <c r="AI149" s="929"/>
      <c r="AJ149" s="929"/>
    </row>
    <row r="150" customFormat="false" ht="12.75" hidden="false" customHeight="false" outlineLevel="0" collapsed="false">
      <c r="K150" s="451"/>
      <c r="L150" s="451"/>
      <c r="M150" s="451"/>
      <c r="N150" s="451"/>
      <c r="O150" s="451"/>
      <c r="P150" s="929"/>
      <c r="Q150" s="929"/>
      <c r="R150" s="929"/>
      <c r="T150" s="451"/>
      <c r="U150" s="451"/>
      <c r="V150" s="451"/>
      <c r="W150" s="451"/>
      <c r="X150" s="451"/>
      <c r="Y150" s="929"/>
      <c r="Z150" s="929"/>
      <c r="AA150" s="929"/>
      <c r="AC150" s="451"/>
      <c r="AD150" s="451"/>
      <c r="AE150" s="451"/>
      <c r="AF150" s="451"/>
      <c r="AG150" s="451"/>
      <c r="AH150" s="929"/>
      <c r="AI150" s="929"/>
      <c r="AJ150" s="929"/>
    </row>
    <row r="151" customFormat="false" ht="12.75" hidden="false" customHeight="false" outlineLevel="0" collapsed="false">
      <c r="K151" s="451"/>
      <c r="L151" s="451"/>
      <c r="M151" s="451"/>
      <c r="N151" s="451"/>
      <c r="O151" s="451"/>
      <c r="P151" s="929"/>
      <c r="Q151" s="929"/>
      <c r="R151" s="929"/>
      <c r="T151" s="451"/>
      <c r="U151" s="451"/>
      <c r="V151" s="451"/>
      <c r="W151" s="451"/>
      <c r="X151" s="451"/>
      <c r="Y151" s="929"/>
      <c r="Z151" s="929"/>
      <c r="AA151" s="929"/>
      <c r="AC151" s="451"/>
      <c r="AD151" s="451"/>
      <c r="AE151" s="451"/>
      <c r="AF151" s="451"/>
      <c r="AG151" s="451"/>
      <c r="AH151" s="929"/>
      <c r="AI151" s="929"/>
      <c r="AJ151" s="929"/>
    </row>
    <row r="152" customFormat="false" ht="12.75" hidden="false" customHeight="false" outlineLevel="0" collapsed="false">
      <c r="K152" s="451"/>
      <c r="L152" s="451"/>
      <c r="M152" s="451"/>
      <c r="N152" s="451"/>
      <c r="O152" s="451"/>
      <c r="P152" s="929"/>
      <c r="Q152" s="929"/>
      <c r="R152" s="929"/>
      <c r="T152" s="451"/>
      <c r="U152" s="451"/>
      <c r="V152" s="451"/>
      <c r="W152" s="451"/>
      <c r="X152" s="451"/>
      <c r="Y152" s="929"/>
      <c r="Z152" s="929"/>
      <c r="AA152" s="929"/>
      <c r="AC152" s="451"/>
      <c r="AD152" s="451"/>
      <c r="AE152" s="451"/>
      <c r="AF152" s="451"/>
      <c r="AG152" s="451"/>
      <c r="AH152" s="929"/>
      <c r="AI152" s="929"/>
      <c r="AJ152" s="929"/>
    </row>
    <row r="153" customFormat="false" ht="12.75" hidden="false" customHeight="false" outlineLevel="0" collapsed="false">
      <c r="K153" s="451"/>
      <c r="L153" s="451"/>
      <c r="M153" s="451"/>
      <c r="N153" s="451"/>
      <c r="O153" s="451"/>
      <c r="P153" s="929"/>
      <c r="Q153" s="929"/>
      <c r="R153" s="929"/>
      <c r="T153" s="451"/>
      <c r="U153" s="451"/>
      <c r="V153" s="451"/>
      <c r="W153" s="451"/>
      <c r="X153" s="451"/>
      <c r="Y153" s="929"/>
      <c r="Z153" s="929"/>
      <c r="AA153" s="929"/>
      <c r="AC153" s="451"/>
      <c r="AD153" s="451"/>
      <c r="AE153" s="451"/>
      <c r="AF153" s="451"/>
      <c r="AG153" s="451"/>
      <c r="AH153" s="929"/>
      <c r="AI153" s="929"/>
      <c r="AJ153" s="929"/>
    </row>
    <row r="154" customFormat="false" ht="12.75" hidden="false" customHeight="false" outlineLevel="0" collapsed="false">
      <c r="K154" s="451"/>
      <c r="L154" s="451"/>
      <c r="M154" s="451"/>
      <c r="N154" s="451"/>
      <c r="O154" s="451"/>
      <c r="P154" s="929"/>
      <c r="Q154" s="929"/>
      <c r="R154" s="929"/>
      <c r="T154" s="451"/>
      <c r="U154" s="451"/>
      <c r="V154" s="451"/>
      <c r="W154" s="451"/>
      <c r="X154" s="451"/>
      <c r="Y154" s="929"/>
      <c r="Z154" s="929"/>
      <c r="AA154" s="929"/>
      <c r="AC154" s="451"/>
      <c r="AD154" s="451"/>
      <c r="AE154" s="451"/>
      <c r="AF154" s="451"/>
      <c r="AG154" s="451"/>
      <c r="AH154" s="929"/>
      <c r="AI154" s="929"/>
      <c r="AJ154" s="929"/>
    </row>
    <row r="155" customFormat="false" ht="12.75" hidden="false" customHeight="false" outlineLevel="0" collapsed="false">
      <c r="K155" s="451"/>
      <c r="L155" s="451"/>
      <c r="M155" s="451"/>
      <c r="N155" s="451"/>
      <c r="O155" s="451"/>
      <c r="P155" s="929"/>
      <c r="Q155" s="929"/>
      <c r="R155" s="929"/>
      <c r="T155" s="451"/>
      <c r="U155" s="451"/>
      <c r="V155" s="451"/>
      <c r="W155" s="451"/>
      <c r="X155" s="451"/>
      <c r="Y155" s="929"/>
      <c r="Z155" s="929"/>
      <c r="AA155" s="929"/>
      <c r="AC155" s="451"/>
      <c r="AD155" s="451"/>
      <c r="AE155" s="451"/>
      <c r="AF155" s="451"/>
      <c r="AG155" s="451"/>
      <c r="AH155" s="929"/>
      <c r="AI155" s="929"/>
      <c r="AJ155" s="929"/>
    </row>
    <row r="156" customFormat="false" ht="12.75" hidden="false" customHeight="false" outlineLevel="0" collapsed="false">
      <c r="K156" s="451"/>
      <c r="L156" s="451"/>
      <c r="M156" s="451"/>
      <c r="N156" s="451"/>
      <c r="O156" s="451"/>
      <c r="P156" s="929"/>
      <c r="Q156" s="929"/>
      <c r="R156" s="929"/>
      <c r="T156" s="451"/>
      <c r="U156" s="451"/>
      <c r="V156" s="451"/>
      <c r="W156" s="451"/>
      <c r="X156" s="451"/>
      <c r="Y156" s="929"/>
      <c r="Z156" s="929"/>
      <c r="AA156" s="929"/>
      <c r="AC156" s="451"/>
      <c r="AD156" s="451"/>
      <c r="AE156" s="451"/>
      <c r="AF156" s="451"/>
      <c r="AG156" s="451"/>
      <c r="AH156" s="929"/>
      <c r="AI156" s="929"/>
      <c r="AJ156" s="929"/>
    </row>
    <row r="157" customFormat="false" ht="12.75" hidden="false" customHeight="false" outlineLevel="0" collapsed="false">
      <c r="K157" s="451"/>
      <c r="L157" s="451"/>
      <c r="M157" s="451"/>
      <c r="N157" s="451"/>
      <c r="O157" s="451"/>
      <c r="P157" s="929"/>
      <c r="Q157" s="929"/>
      <c r="R157" s="929"/>
      <c r="T157" s="451"/>
      <c r="U157" s="451"/>
      <c r="V157" s="451"/>
      <c r="W157" s="451"/>
      <c r="X157" s="451"/>
      <c r="Y157" s="929"/>
      <c r="Z157" s="929"/>
      <c r="AA157" s="929"/>
      <c r="AC157" s="451"/>
      <c r="AD157" s="451"/>
      <c r="AE157" s="451"/>
      <c r="AF157" s="451"/>
      <c r="AG157" s="451"/>
      <c r="AH157" s="929"/>
      <c r="AI157" s="929"/>
      <c r="AJ157" s="929"/>
    </row>
    <row r="158" customFormat="false" ht="12.75" hidden="false" customHeight="false" outlineLevel="0" collapsed="false">
      <c r="K158" s="451"/>
      <c r="L158" s="451"/>
      <c r="M158" s="451"/>
      <c r="N158" s="451"/>
      <c r="O158" s="451"/>
      <c r="P158" s="929"/>
      <c r="Q158" s="929"/>
      <c r="R158" s="929"/>
      <c r="T158" s="451"/>
      <c r="U158" s="451"/>
      <c r="V158" s="451"/>
      <c r="W158" s="451"/>
      <c r="X158" s="451"/>
      <c r="Y158" s="929"/>
      <c r="Z158" s="929"/>
      <c r="AA158" s="929"/>
      <c r="AC158" s="451"/>
      <c r="AD158" s="451"/>
      <c r="AE158" s="451"/>
      <c r="AF158" s="451"/>
      <c r="AG158" s="451"/>
      <c r="AH158" s="929"/>
      <c r="AI158" s="929"/>
      <c r="AJ158" s="929"/>
    </row>
    <row r="159" customFormat="false" ht="12.75" hidden="false" customHeight="false" outlineLevel="0" collapsed="false">
      <c r="K159" s="451"/>
      <c r="L159" s="451"/>
      <c r="M159" s="451"/>
      <c r="N159" s="451"/>
      <c r="O159" s="451"/>
      <c r="P159" s="929"/>
      <c r="Q159" s="929"/>
      <c r="R159" s="929"/>
      <c r="T159" s="451"/>
      <c r="U159" s="451"/>
      <c r="V159" s="451"/>
      <c r="W159" s="451"/>
      <c r="X159" s="451"/>
      <c r="Y159" s="929"/>
      <c r="Z159" s="929"/>
      <c r="AA159" s="929"/>
      <c r="AC159" s="451"/>
      <c r="AD159" s="451"/>
      <c r="AE159" s="451"/>
      <c r="AF159" s="451"/>
      <c r="AG159" s="451"/>
      <c r="AH159" s="929"/>
      <c r="AI159" s="929"/>
      <c r="AJ159" s="929"/>
    </row>
    <row r="160" customFormat="false" ht="12.75" hidden="false" customHeight="false" outlineLevel="0" collapsed="false">
      <c r="K160" s="451"/>
      <c r="L160" s="451"/>
      <c r="M160" s="451"/>
      <c r="N160" s="451"/>
      <c r="O160" s="451"/>
      <c r="P160" s="929"/>
      <c r="Q160" s="929"/>
      <c r="R160" s="929"/>
      <c r="T160" s="451"/>
      <c r="U160" s="451"/>
      <c r="V160" s="451"/>
      <c r="W160" s="451"/>
      <c r="X160" s="451"/>
      <c r="Y160" s="929"/>
      <c r="Z160" s="929"/>
      <c r="AA160" s="929"/>
      <c r="AC160" s="451"/>
      <c r="AD160" s="451"/>
      <c r="AE160" s="451"/>
      <c r="AF160" s="451"/>
      <c r="AG160" s="451"/>
      <c r="AH160" s="929"/>
      <c r="AI160" s="929"/>
      <c r="AJ160" s="929"/>
    </row>
    <row r="161" customFormat="false" ht="12.75" hidden="false" customHeight="false" outlineLevel="0" collapsed="false">
      <c r="K161" s="451"/>
      <c r="L161" s="451"/>
      <c r="M161" s="451"/>
      <c r="N161" s="451"/>
      <c r="O161" s="451"/>
      <c r="P161" s="929"/>
      <c r="Q161" s="929"/>
      <c r="R161" s="929"/>
      <c r="T161" s="451"/>
      <c r="U161" s="451"/>
      <c r="V161" s="451"/>
      <c r="W161" s="451"/>
      <c r="X161" s="451"/>
      <c r="Y161" s="929"/>
      <c r="Z161" s="929"/>
      <c r="AA161" s="929"/>
      <c r="AC161" s="451"/>
      <c r="AD161" s="451"/>
      <c r="AE161" s="451"/>
      <c r="AF161" s="451"/>
      <c r="AG161" s="451"/>
      <c r="AH161" s="929"/>
      <c r="AI161" s="929"/>
      <c r="AJ161" s="929"/>
    </row>
    <row r="162" customFormat="false" ht="12.75" hidden="false" customHeight="false" outlineLevel="0" collapsed="false">
      <c r="K162" s="451"/>
      <c r="L162" s="451"/>
      <c r="M162" s="451"/>
      <c r="N162" s="451"/>
      <c r="O162" s="451"/>
      <c r="P162" s="929"/>
      <c r="Q162" s="929"/>
      <c r="R162" s="929"/>
      <c r="T162" s="451"/>
      <c r="U162" s="451"/>
      <c r="V162" s="451"/>
      <c r="W162" s="451"/>
      <c r="X162" s="451"/>
      <c r="Y162" s="929"/>
      <c r="Z162" s="929"/>
      <c r="AA162" s="929"/>
      <c r="AC162" s="451"/>
      <c r="AD162" s="451"/>
      <c r="AE162" s="451"/>
      <c r="AF162" s="451"/>
      <c r="AG162" s="451"/>
      <c r="AH162" s="929"/>
      <c r="AI162" s="929"/>
      <c r="AJ162" s="929"/>
    </row>
    <row r="163" customFormat="false" ht="12.75" hidden="false" customHeight="false" outlineLevel="0" collapsed="false">
      <c r="K163" s="451"/>
      <c r="L163" s="451"/>
      <c r="M163" s="451"/>
      <c r="N163" s="451"/>
      <c r="O163" s="451"/>
      <c r="P163" s="929"/>
      <c r="Q163" s="929"/>
      <c r="R163" s="929"/>
      <c r="T163" s="451"/>
      <c r="U163" s="451"/>
      <c r="V163" s="451"/>
      <c r="W163" s="451"/>
      <c r="X163" s="451"/>
      <c r="Y163" s="929"/>
      <c r="Z163" s="929"/>
      <c r="AA163" s="929"/>
      <c r="AC163" s="451"/>
      <c r="AD163" s="451"/>
      <c r="AE163" s="451"/>
      <c r="AF163" s="451"/>
      <c r="AG163" s="451"/>
      <c r="AH163" s="929"/>
      <c r="AI163" s="929"/>
      <c r="AJ163" s="929"/>
    </row>
    <row r="164" customFormat="false" ht="12.75" hidden="false" customHeight="false" outlineLevel="0" collapsed="false">
      <c r="K164" s="451"/>
      <c r="L164" s="451"/>
      <c r="M164" s="451"/>
      <c r="N164" s="451"/>
      <c r="O164" s="451"/>
      <c r="P164" s="929"/>
      <c r="Q164" s="929"/>
      <c r="R164" s="929"/>
      <c r="T164" s="451"/>
      <c r="U164" s="451"/>
      <c r="V164" s="451"/>
      <c r="W164" s="451"/>
      <c r="X164" s="451"/>
      <c r="Y164" s="929"/>
      <c r="Z164" s="929"/>
      <c r="AA164" s="929"/>
      <c r="AC164" s="451"/>
      <c r="AD164" s="451"/>
      <c r="AE164" s="451"/>
      <c r="AF164" s="451"/>
      <c r="AG164" s="451"/>
      <c r="AH164" s="929"/>
      <c r="AI164" s="929"/>
      <c r="AJ164" s="929"/>
    </row>
    <row r="165" customFormat="false" ht="12.75" hidden="false" customHeight="false" outlineLevel="0" collapsed="false">
      <c r="K165" s="451"/>
      <c r="L165" s="451"/>
      <c r="M165" s="451"/>
      <c r="N165" s="451"/>
      <c r="O165" s="451"/>
      <c r="P165" s="929"/>
      <c r="Q165" s="929"/>
      <c r="R165" s="929"/>
      <c r="T165" s="451"/>
      <c r="U165" s="451"/>
      <c r="V165" s="451"/>
      <c r="W165" s="451"/>
      <c r="X165" s="451"/>
      <c r="Y165" s="929"/>
      <c r="Z165" s="929"/>
      <c r="AA165" s="929"/>
      <c r="AC165" s="451"/>
      <c r="AD165" s="451"/>
      <c r="AE165" s="451"/>
      <c r="AF165" s="451"/>
      <c r="AG165" s="451"/>
      <c r="AH165" s="929"/>
      <c r="AI165" s="929"/>
      <c r="AJ165" s="929"/>
    </row>
    <row r="166" customFormat="false" ht="12.75" hidden="false" customHeight="false" outlineLevel="0" collapsed="false">
      <c r="K166" s="451"/>
      <c r="L166" s="451"/>
      <c r="M166" s="451"/>
      <c r="N166" s="451"/>
      <c r="O166" s="451"/>
      <c r="P166" s="929"/>
      <c r="Q166" s="929"/>
      <c r="R166" s="929"/>
      <c r="T166" s="451"/>
      <c r="U166" s="451"/>
      <c r="V166" s="451"/>
      <c r="W166" s="451"/>
      <c r="X166" s="451"/>
      <c r="Y166" s="929"/>
      <c r="Z166" s="929"/>
      <c r="AA166" s="929"/>
      <c r="AC166" s="451"/>
      <c r="AD166" s="451"/>
      <c r="AE166" s="451"/>
      <c r="AF166" s="451"/>
      <c r="AG166" s="451"/>
      <c r="AH166" s="929"/>
      <c r="AI166" s="929"/>
      <c r="AJ166" s="929"/>
    </row>
    <row r="167" customFormat="false" ht="12.75" hidden="false" customHeight="false" outlineLevel="0" collapsed="false">
      <c r="K167" s="451"/>
      <c r="L167" s="451"/>
      <c r="M167" s="451"/>
      <c r="N167" s="451"/>
      <c r="O167" s="451"/>
      <c r="P167" s="929"/>
      <c r="Q167" s="929"/>
      <c r="R167" s="929"/>
      <c r="T167" s="451"/>
      <c r="U167" s="451"/>
      <c r="V167" s="451"/>
      <c r="W167" s="451"/>
      <c r="X167" s="451"/>
      <c r="Y167" s="929"/>
      <c r="Z167" s="929"/>
      <c r="AA167" s="929"/>
      <c r="AC167" s="451"/>
      <c r="AD167" s="451"/>
      <c r="AE167" s="451"/>
      <c r="AF167" s="451"/>
      <c r="AG167" s="451"/>
      <c r="AH167" s="929"/>
      <c r="AI167" s="929"/>
      <c r="AJ167" s="929"/>
    </row>
    <row r="168" customFormat="false" ht="12.75" hidden="false" customHeight="false" outlineLevel="0" collapsed="false">
      <c r="K168" s="451"/>
      <c r="L168" s="451"/>
      <c r="M168" s="451"/>
      <c r="N168" s="451"/>
      <c r="O168" s="451"/>
      <c r="P168" s="929"/>
      <c r="Q168" s="929"/>
      <c r="R168" s="929"/>
      <c r="T168" s="451"/>
      <c r="U168" s="451"/>
      <c r="V168" s="451"/>
      <c r="W168" s="451"/>
      <c r="X168" s="451"/>
      <c r="Y168" s="929"/>
      <c r="Z168" s="929"/>
      <c r="AA168" s="929"/>
      <c r="AC168" s="451"/>
      <c r="AD168" s="451"/>
      <c r="AE168" s="451"/>
      <c r="AF168" s="451"/>
      <c r="AG168" s="451"/>
      <c r="AH168" s="929"/>
      <c r="AI168" s="929"/>
      <c r="AJ168" s="929"/>
    </row>
    <row r="169" customFormat="false" ht="12.75" hidden="false" customHeight="false" outlineLevel="0" collapsed="false">
      <c r="K169" s="451"/>
      <c r="L169" s="451"/>
      <c r="M169" s="451"/>
      <c r="N169" s="451"/>
      <c r="O169" s="451"/>
      <c r="P169" s="929"/>
      <c r="Q169" s="929"/>
      <c r="R169" s="929"/>
      <c r="T169" s="451"/>
      <c r="U169" s="451"/>
      <c r="V169" s="451"/>
      <c r="W169" s="451"/>
      <c r="X169" s="451"/>
      <c r="Y169" s="929"/>
      <c r="Z169" s="929"/>
      <c r="AA169" s="929"/>
      <c r="AC169" s="451"/>
      <c r="AD169" s="451"/>
      <c r="AE169" s="451"/>
      <c r="AF169" s="451"/>
      <c r="AG169" s="451"/>
      <c r="AH169" s="929"/>
      <c r="AI169" s="929"/>
      <c r="AJ169" s="929"/>
    </row>
    <row r="170" customFormat="false" ht="12.75" hidden="false" customHeight="false" outlineLevel="0" collapsed="false">
      <c r="K170" s="451"/>
      <c r="L170" s="451"/>
      <c r="M170" s="451"/>
      <c r="N170" s="451"/>
      <c r="O170" s="451"/>
      <c r="P170" s="929"/>
      <c r="Q170" s="929"/>
      <c r="R170" s="929"/>
      <c r="T170" s="451"/>
      <c r="U170" s="451"/>
      <c r="V170" s="451"/>
      <c r="W170" s="451"/>
      <c r="X170" s="451"/>
      <c r="Y170" s="929"/>
      <c r="Z170" s="929"/>
      <c r="AA170" s="929"/>
      <c r="AC170" s="451"/>
      <c r="AD170" s="451"/>
      <c r="AE170" s="451"/>
      <c r="AF170" s="451"/>
      <c r="AG170" s="451"/>
      <c r="AH170" s="929"/>
      <c r="AI170" s="929"/>
      <c r="AJ170" s="929"/>
    </row>
    <row r="171" customFormat="false" ht="12.75" hidden="false" customHeight="false" outlineLevel="0" collapsed="false">
      <c r="K171" s="451"/>
      <c r="L171" s="451"/>
      <c r="M171" s="451"/>
      <c r="N171" s="451"/>
      <c r="O171" s="451"/>
      <c r="P171" s="929"/>
      <c r="Q171" s="929"/>
      <c r="R171" s="929"/>
      <c r="T171" s="451"/>
      <c r="U171" s="451"/>
      <c r="V171" s="451"/>
      <c r="W171" s="451"/>
      <c r="X171" s="451"/>
      <c r="Y171" s="929"/>
      <c r="Z171" s="929"/>
      <c r="AA171" s="929"/>
      <c r="AC171" s="451"/>
      <c r="AD171" s="451"/>
      <c r="AE171" s="451"/>
      <c r="AF171" s="451"/>
      <c r="AG171" s="451"/>
      <c r="AH171" s="929"/>
      <c r="AI171" s="929"/>
      <c r="AJ171" s="929"/>
    </row>
    <row r="172" customFormat="false" ht="12.75" hidden="false" customHeight="false" outlineLevel="0" collapsed="false">
      <c r="K172" s="451"/>
      <c r="L172" s="451"/>
      <c r="M172" s="451"/>
      <c r="N172" s="451"/>
      <c r="O172" s="451"/>
      <c r="P172" s="929"/>
      <c r="Q172" s="929"/>
      <c r="R172" s="929"/>
      <c r="T172" s="451"/>
      <c r="U172" s="451"/>
      <c r="V172" s="451"/>
      <c r="W172" s="451"/>
      <c r="X172" s="451"/>
      <c r="Y172" s="929"/>
      <c r="Z172" s="929"/>
      <c r="AA172" s="929"/>
      <c r="AC172" s="451"/>
      <c r="AD172" s="451"/>
      <c r="AE172" s="451"/>
      <c r="AF172" s="451"/>
      <c r="AG172" s="451"/>
      <c r="AH172" s="929"/>
      <c r="AI172" s="929"/>
      <c r="AJ172" s="929"/>
    </row>
    <row r="173" customFormat="false" ht="12.75" hidden="false" customHeight="false" outlineLevel="0" collapsed="false">
      <c r="K173" s="451"/>
      <c r="L173" s="451"/>
      <c r="M173" s="451"/>
      <c r="N173" s="451"/>
      <c r="O173" s="451"/>
      <c r="P173" s="929"/>
      <c r="Q173" s="929"/>
      <c r="R173" s="929"/>
      <c r="T173" s="451"/>
      <c r="U173" s="451"/>
      <c r="V173" s="451"/>
      <c r="W173" s="451"/>
      <c r="X173" s="451"/>
      <c r="Y173" s="929"/>
      <c r="Z173" s="929"/>
      <c r="AA173" s="929"/>
      <c r="AC173" s="451"/>
      <c r="AD173" s="451"/>
      <c r="AE173" s="451"/>
      <c r="AF173" s="451"/>
      <c r="AG173" s="451"/>
      <c r="AH173" s="929"/>
      <c r="AI173" s="929"/>
      <c r="AJ173" s="929"/>
    </row>
    <row r="174" customFormat="false" ht="12.75" hidden="false" customHeight="false" outlineLevel="0" collapsed="false">
      <c r="K174" s="451"/>
      <c r="L174" s="451"/>
      <c r="M174" s="451"/>
      <c r="N174" s="451"/>
      <c r="O174" s="451"/>
      <c r="P174" s="929"/>
      <c r="Q174" s="929"/>
      <c r="R174" s="929"/>
      <c r="T174" s="451"/>
      <c r="U174" s="451"/>
      <c r="V174" s="451"/>
      <c r="W174" s="451"/>
      <c r="X174" s="451"/>
      <c r="Y174" s="929"/>
      <c r="Z174" s="929"/>
      <c r="AA174" s="929"/>
      <c r="AC174" s="451"/>
      <c r="AD174" s="451"/>
      <c r="AE174" s="451"/>
      <c r="AF174" s="451"/>
      <c r="AG174" s="451"/>
      <c r="AH174" s="929"/>
      <c r="AI174" s="929"/>
      <c r="AJ174" s="929"/>
    </row>
    <row r="175" customFormat="false" ht="12.75" hidden="false" customHeight="false" outlineLevel="0" collapsed="false">
      <c r="K175" s="451"/>
      <c r="L175" s="451"/>
      <c r="M175" s="451"/>
      <c r="N175" s="451"/>
      <c r="O175" s="451"/>
      <c r="P175" s="929"/>
      <c r="Q175" s="929"/>
      <c r="R175" s="929"/>
      <c r="T175" s="451"/>
      <c r="U175" s="451"/>
      <c r="V175" s="451"/>
      <c r="W175" s="451"/>
      <c r="X175" s="451"/>
      <c r="Y175" s="929"/>
      <c r="Z175" s="929"/>
      <c r="AA175" s="929"/>
      <c r="AC175" s="451"/>
      <c r="AD175" s="451"/>
      <c r="AE175" s="451"/>
      <c r="AF175" s="451"/>
      <c r="AG175" s="451"/>
      <c r="AH175" s="929"/>
      <c r="AI175" s="929"/>
      <c r="AJ175" s="929"/>
    </row>
    <row r="176" customFormat="false" ht="12.75" hidden="false" customHeight="false" outlineLevel="0" collapsed="false">
      <c r="K176" s="451"/>
      <c r="L176" s="451"/>
      <c r="M176" s="451"/>
      <c r="N176" s="451"/>
      <c r="O176" s="451"/>
      <c r="P176" s="929"/>
      <c r="Q176" s="929"/>
      <c r="R176" s="929"/>
      <c r="T176" s="451"/>
      <c r="U176" s="451"/>
      <c r="V176" s="451"/>
      <c r="W176" s="451"/>
      <c r="X176" s="451"/>
      <c r="Y176" s="929"/>
      <c r="Z176" s="929"/>
      <c r="AA176" s="929"/>
      <c r="AC176" s="451"/>
      <c r="AD176" s="451"/>
      <c r="AE176" s="451"/>
      <c r="AF176" s="451"/>
      <c r="AG176" s="451"/>
      <c r="AH176" s="929"/>
      <c r="AI176" s="929"/>
      <c r="AJ176" s="929"/>
    </row>
    <row r="177" customFormat="false" ht="12.75" hidden="false" customHeight="false" outlineLevel="0" collapsed="false">
      <c r="K177" s="451"/>
      <c r="L177" s="451"/>
      <c r="M177" s="451"/>
      <c r="N177" s="451"/>
      <c r="O177" s="451"/>
      <c r="P177" s="929"/>
      <c r="Q177" s="929"/>
      <c r="R177" s="929"/>
      <c r="T177" s="451"/>
      <c r="U177" s="451"/>
      <c r="V177" s="451"/>
      <c r="W177" s="451"/>
      <c r="X177" s="451"/>
      <c r="Y177" s="929"/>
      <c r="Z177" s="929"/>
      <c r="AA177" s="929"/>
      <c r="AC177" s="451"/>
      <c r="AD177" s="451"/>
      <c r="AE177" s="451"/>
      <c r="AF177" s="451"/>
      <c r="AG177" s="451"/>
      <c r="AH177" s="929"/>
      <c r="AI177" s="929"/>
      <c r="AJ177" s="929"/>
    </row>
    <row r="178" customFormat="false" ht="12.75" hidden="false" customHeight="false" outlineLevel="0" collapsed="false">
      <c r="K178" s="451"/>
      <c r="L178" s="451"/>
      <c r="M178" s="451"/>
      <c r="N178" s="451"/>
      <c r="O178" s="451"/>
      <c r="P178" s="929"/>
      <c r="Q178" s="929"/>
      <c r="R178" s="929"/>
      <c r="T178" s="451"/>
      <c r="U178" s="451"/>
      <c r="V178" s="451"/>
      <c r="W178" s="451"/>
      <c r="X178" s="451"/>
      <c r="Y178" s="929"/>
      <c r="Z178" s="929"/>
      <c r="AA178" s="929"/>
      <c r="AC178" s="451"/>
      <c r="AD178" s="451"/>
      <c r="AE178" s="451"/>
      <c r="AF178" s="451"/>
      <c r="AG178" s="451"/>
      <c r="AH178" s="929"/>
      <c r="AI178" s="929"/>
      <c r="AJ178" s="929"/>
    </row>
    <row r="179" customFormat="false" ht="12.75" hidden="false" customHeight="false" outlineLevel="0" collapsed="false">
      <c r="K179" s="451"/>
      <c r="L179" s="451"/>
      <c r="M179" s="451"/>
      <c r="N179" s="451"/>
      <c r="O179" s="451"/>
      <c r="P179" s="929"/>
      <c r="Q179" s="929"/>
      <c r="R179" s="929"/>
      <c r="T179" s="451"/>
      <c r="U179" s="451"/>
      <c r="V179" s="451"/>
      <c r="W179" s="451"/>
      <c r="X179" s="451"/>
      <c r="Y179" s="929"/>
      <c r="Z179" s="929"/>
      <c r="AA179" s="929"/>
      <c r="AC179" s="451"/>
      <c r="AD179" s="451"/>
      <c r="AE179" s="451"/>
      <c r="AF179" s="451"/>
      <c r="AG179" s="451"/>
      <c r="AH179" s="929"/>
      <c r="AI179" s="929"/>
      <c r="AJ179" s="929"/>
    </row>
    <row r="180" customFormat="false" ht="12.75" hidden="false" customHeight="false" outlineLevel="0" collapsed="false">
      <c r="K180" s="451"/>
      <c r="L180" s="451"/>
      <c r="M180" s="451"/>
      <c r="N180" s="451"/>
      <c r="O180" s="451"/>
      <c r="P180" s="929"/>
      <c r="Q180" s="929"/>
      <c r="R180" s="929"/>
      <c r="T180" s="451"/>
      <c r="U180" s="451"/>
      <c r="V180" s="451"/>
      <c r="W180" s="451"/>
      <c r="X180" s="451"/>
      <c r="Y180" s="929"/>
      <c r="Z180" s="929"/>
      <c r="AA180" s="929"/>
      <c r="AC180" s="451"/>
      <c r="AD180" s="451"/>
      <c r="AE180" s="451"/>
      <c r="AF180" s="451"/>
      <c r="AG180" s="451"/>
      <c r="AH180" s="929"/>
      <c r="AI180" s="929"/>
      <c r="AJ180" s="929"/>
    </row>
    <row r="181" customFormat="false" ht="12.75" hidden="false" customHeight="false" outlineLevel="0" collapsed="false">
      <c r="K181" s="451"/>
      <c r="L181" s="451"/>
      <c r="M181" s="451"/>
      <c r="N181" s="451"/>
      <c r="O181" s="451"/>
      <c r="P181" s="929"/>
      <c r="Q181" s="929"/>
      <c r="R181" s="929"/>
      <c r="T181" s="451"/>
      <c r="U181" s="451"/>
      <c r="V181" s="451"/>
      <c r="W181" s="451"/>
      <c r="X181" s="451"/>
      <c r="Y181" s="929"/>
      <c r="Z181" s="929"/>
      <c r="AA181" s="929"/>
      <c r="AC181" s="451"/>
      <c r="AD181" s="451"/>
      <c r="AE181" s="451"/>
      <c r="AF181" s="451"/>
      <c r="AG181" s="451"/>
      <c r="AH181" s="929"/>
      <c r="AI181" s="929"/>
      <c r="AJ181" s="929"/>
    </row>
    <row r="182" customFormat="false" ht="12.75" hidden="false" customHeight="false" outlineLevel="0" collapsed="false">
      <c r="K182" s="451"/>
      <c r="L182" s="451"/>
      <c r="M182" s="451"/>
      <c r="N182" s="451"/>
      <c r="O182" s="451"/>
      <c r="P182" s="929"/>
      <c r="Q182" s="929"/>
      <c r="R182" s="929"/>
      <c r="T182" s="451"/>
      <c r="U182" s="451"/>
      <c r="V182" s="451"/>
      <c r="W182" s="451"/>
      <c r="X182" s="451"/>
      <c r="Y182" s="929"/>
      <c r="Z182" s="929"/>
      <c r="AA182" s="929"/>
      <c r="AC182" s="451"/>
      <c r="AD182" s="451"/>
      <c r="AE182" s="451"/>
      <c r="AF182" s="451"/>
      <c r="AG182" s="451"/>
      <c r="AH182" s="929"/>
      <c r="AI182" s="929"/>
      <c r="AJ182" s="929"/>
    </row>
    <row r="183" customFormat="false" ht="12.75" hidden="false" customHeight="false" outlineLevel="0" collapsed="false">
      <c r="K183" s="451"/>
      <c r="L183" s="451"/>
      <c r="M183" s="451"/>
      <c r="N183" s="451"/>
      <c r="O183" s="451"/>
      <c r="P183" s="929"/>
      <c r="Q183" s="929"/>
      <c r="R183" s="929"/>
      <c r="T183" s="451"/>
      <c r="U183" s="451"/>
      <c r="V183" s="451"/>
      <c r="W183" s="451"/>
      <c r="X183" s="451"/>
      <c r="Y183" s="929"/>
      <c r="Z183" s="929"/>
      <c r="AA183" s="929"/>
      <c r="AC183" s="451"/>
      <c r="AD183" s="451"/>
      <c r="AE183" s="451"/>
      <c r="AF183" s="451"/>
      <c r="AG183" s="451"/>
      <c r="AH183" s="929"/>
      <c r="AI183" s="929"/>
      <c r="AJ183" s="929"/>
    </row>
    <row r="184" customFormat="false" ht="12.75" hidden="false" customHeight="false" outlineLevel="0" collapsed="false">
      <c r="K184" s="451"/>
      <c r="L184" s="451"/>
      <c r="M184" s="451"/>
      <c r="N184" s="451"/>
      <c r="O184" s="451"/>
      <c r="P184" s="929"/>
      <c r="Q184" s="929"/>
      <c r="R184" s="929"/>
      <c r="T184" s="451"/>
      <c r="U184" s="451"/>
      <c r="V184" s="451"/>
      <c r="W184" s="451"/>
      <c r="X184" s="451"/>
      <c r="Y184" s="929"/>
      <c r="Z184" s="929"/>
      <c r="AA184" s="929"/>
      <c r="AC184" s="451"/>
      <c r="AD184" s="451"/>
      <c r="AE184" s="451"/>
      <c r="AF184" s="451"/>
      <c r="AG184" s="451"/>
      <c r="AH184" s="929"/>
      <c r="AI184" s="929"/>
      <c r="AJ184" s="929"/>
    </row>
    <row r="185" customFormat="false" ht="12.75" hidden="false" customHeight="false" outlineLevel="0" collapsed="false">
      <c r="K185" s="451"/>
      <c r="L185" s="451"/>
      <c r="M185" s="451"/>
      <c r="N185" s="451"/>
      <c r="O185" s="451"/>
      <c r="P185" s="929"/>
      <c r="Q185" s="929"/>
      <c r="R185" s="929"/>
      <c r="T185" s="451"/>
      <c r="U185" s="451"/>
      <c r="V185" s="451"/>
      <c r="W185" s="451"/>
      <c r="X185" s="451"/>
      <c r="Y185" s="929"/>
      <c r="Z185" s="929"/>
      <c r="AA185" s="929"/>
      <c r="AC185" s="451"/>
      <c r="AD185" s="451"/>
      <c r="AE185" s="451"/>
      <c r="AF185" s="451"/>
      <c r="AG185" s="451"/>
      <c r="AH185" s="929"/>
      <c r="AI185" s="929"/>
      <c r="AJ185" s="929"/>
    </row>
    <row r="186" customFormat="false" ht="12.75" hidden="false" customHeight="false" outlineLevel="0" collapsed="false">
      <c r="K186" s="451"/>
      <c r="L186" s="451"/>
      <c r="M186" s="451"/>
      <c r="N186" s="451"/>
      <c r="O186" s="451"/>
      <c r="P186" s="929"/>
      <c r="Q186" s="929"/>
      <c r="R186" s="929"/>
      <c r="T186" s="451"/>
      <c r="U186" s="451"/>
      <c r="V186" s="451"/>
      <c r="W186" s="451"/>
      <c r="X186" s="451"/>
      <c r="Y186" s="929"/>
      <c r="Z186" s="929"/>
      <c r="AA186" s="929"/>
      <c r="AC186" s="451"/>
      <c r="AD186" s="451"/>
      <c r="AE186" s="451"/>
      <c r="AF186" s="451"/>
      <c r="AG186" s="451"/>
      <c r="AH186" s="929"/>
      <c r="AI186" s="929"/>
      <c r="AJ186" s="929"/>
    </row>
    <row r="187" customFormat="false" ht="12.75" hidden="false" customHeight="false" outlineLevel="0" collapsed="false">
      <c r="K187" s="451"/>
      <c r="L187" s="451"/>
      <c r="M187" s="451"/>
      <c r="N187" s="451"/>
      <c r="O187" s="451"/>
      <c r="P187" s="929"/>
      <c r="Q187" s="929"/>
      <c r="R187" s="929"/>
      <c r="T187" s="451"/>
      <c r="U187" s="451"/>
      <c r="V187" s="451"/>
      <c r="W187" s="451"/>
      <c r="X187" s="451"/>
      <c r="Y187" s="929"/>
      <c r="Z187" s="929"/>
      <c r="AA187" s="929"/>
      <c r="AC187" s="451"/>
      <c r="AD187" s="451"/>
      <c r="AE187" s="451"/>
      <c r="AF187" s="451"/>
      <c r="AG187" s="451"/>
      <c r="AH187" s="929"/>
      <c r="AI187" s="929"/>
      <c r="AJ187" s="929"/>
    </row>
    <row r="188" customFormat="false" ht="12.75" hidden="false" customHeight="false" outlineLevel="0" collapsed="false">
      <c r="K188" s="451"/>
      <c r="L188" s="451"/>
      <c r="M188" s="451"/>
      <c r="N188" s="451"/>
      <c r="O188" s="451"/>
      <c r="P188" s="929"/>
      <c r="Q188" s="929"/>
      <c r="R188" s="929"/>
      <c r="T188" s="451"/>
      <c r="U188" s="451"/>
      <c r="V188" s="451"/>
      <c r="W188" s="451"/>
      <c r="X188" s="451"/>
      <c r="Y188" s="929"/>
      <c r="Z188" s="929"/>
      <c r="AA188" s="929"/>
      <c r="AC188" s="451"/>
      <c r="AD188" s="451"/>
      <c r="AE188" s="451"/>
      <c r="AF188" s="451"/>
      <c r="AG188" s="451"/>
      <c r="AH188" s="929"/>
      <c r="AI188" s="929"/>
      <c r="AJ188" s="929"/>
    </row>
    <row r="189" customFormat="false" ht="12.75" hidden="false" customHeight="false" outlineLevel="0" collapsed="false">
      <c r="K189" s="451"/>
      <c r="L189" s="451"/>
      <c r="M189" s="451"/>
      <c r="N189" s="451"/>
      <c r="O189" s="451"/>
      <c r="P189" s="929"/>
      <c r="Q189" s="929"/>
      <c r="R189" s="929"/>
      <c r="T189" s="451"/>
      <c r="U189" s="451"/>
      <c r="V189" s="451"/>
      <c r="W189" s="451"/>
      <c r="X189" s="451"/>
      <c r="Y189" s="929"/>
      <c r="Z189" s="929"/>
      <c r="AA189" s="929"/>
      <c r="AC189" s="451"/>
      <c r="AD189" s="451"/>
      <c r="AE189" s="451"/>
      <c r="AF189" s="451"/>
      <c r="AG189" s="451"/>
      <c r="AH189" s="929"/>
      <c r="AI189" s="929"/>
      <c r="AJ189" s="929"/>
    </row>
    <row r="190" customFormat="false" ht="12.75" hidden="false" customHeight="false" outlineLevel="0" collapsed="false">
      <c r="K190" s="451"/>
      <c r="L190" s="451"/>
      <c r="M190" s="451"/>
      <c r="N190" s="451"/>
      <c r="O190" s="451"/>
      <c r="P190" s="929"/>
      <c r="Q190" s="929"/>
      <c r="R190" s="929"/>
      <c r="T190" s="451"/>
      <c r="U190" s="451"/>
      <c r="V190" s="451"/>
      <c r="W190" s="451"/>
      <c r="X190" s="451"/>
      <c r="Y190" s="929"/>
      <c r="Z190" s="929"/>
      <c r="AA190" s="929"/>
      <c r="AC190" s="451"/>
      <c r="AD190" s="451"/>
      <c r="AE190" s="451"/>
      <c r="AF190" s="451"/>
      <c r="AG190" s="451"/>
      <c r="AH190" s="929"/>
      <c r="AI190" s="929"/>
      <c r="AJ190" s="929"/>
    </row>
    <row r="191" customFormat="false" ht="12.75" hidden="false" customHeight="false" outlineLevel="0" collapsed="false">
      <c r="K191" s="451"/>
      <c r="L191" s="451"/>
      <c r="M191" s="451"/>
      <c r="N191" s="451"/>
      <c r="O191" s="451"/>
      <c r="P191" s="929"/>
      <c r="Q191" s="929"/>
      <c r="R191" s="929"/>
      <c r="T191" s="451"/>
      <c r="U191" s="451"/>
      <c r="V191" s="451"/>
      <c r="W191" s="451"/>
      <c r="X191" s="451"/>
      <c r="Y191" s="929"/>
      <c r="Z191" s="929"/>
      <c r="AA191" s="929"/>
      <c r="AC191" s="451"/>
      <c r="AD191" s="451"/>
      <c r="AE191" s="451"/>
      <c r="AF191" s="451"/>
      <c r="AG191" s="451"/>
      <c r="AH191" s="929"/>
      <c r="AI191" s="929"/>
      <c r="AJ191" s="929"/>
    </row>
    <row r="192" customFormat="false" ht="12.75" hidden="false" customHeight="false" outlineLevel="0" collapsed="false">
      <c r="K192" s="451"/>
      <c r="L192" s="451"/>
      <c r="M192" s="451"/>
      <c r="N192" s="451"/>
      <c r="O192" s="451"/>
      <c r="P192" s="929"/>
      <c r="Q192" s="929"/>
      <c r="R192" s="929"/>
      <c r="T192" s="451"/>
      <c r="U192" s="451"/>
      <c r="V192" s="451"/>
      <c r="W192" s="451"/>
      <c r="X192" s="451"/>
      <c r="Y192" s="929"/>
      <c r="Z192" s="929"/>
      <c r="AA192" s="929"/>
      <c r="AC192" s="451"/>
      <c r="AD192" s="451"/>
      <c r="AE192" s="451"/>
      <c r="AF192" s="451"/>
      <c r="AG192" s="451"/>
      <c r="AH192" s="929"/>
      <c r="AI192" s="929"/>
      <c r="AJ192" s="929"/>
    </row>
    <row r="193" customFormat="false" ht="12.75" hidden="false" customHeight="false" outlineLevel="0" collapsed="false">
      <c r="K193" s="451"/>
      <c r="L193" s="451"/>
      <c r="M193" s="451"/>
      <c r="N193" s="451"/>
      <c r="O193" s="451"/>
      <c r="P193" s="929"/>
      <c r="Q193" s="929"/>
      <c r="R193" s="929"/>
      <c r="T193" s="451"/>
      <c r="U193" s="451"/>
      <c r="V193" s="451"/>
      <c r="W193" s="451"/>
      <c r="X193" s="451"/>
      <c r="Y193" s="929"/>
      <c r="Z193" s="929"/>
      <c r="AA193" s="929"/>
      <c r="AC193" s="451"/>
      <c r="AD193" s="451"/>
      <c r="AE193" s="451"/>
      <c r="AF193" s="451"/>
      <c r="AG193" s="451"/>
      <c r="AH193" s="929"/>
      <c r="AI193" s="929"/>
      <c r="AJ193" s="929"/>
    </row>
    <row r="194" customFormat="false" ht="12.75" hidden="false" customHeight="false" outlineLevel="0" collapsed="false">
      <c r="K194" s="451"/>
      <c r="L194" s="451"/>
      <c r="M194" s="451"/>
      <c r="N194" s="451"/>
      <c r="O194" s="451"/>
      <c r="P194" s="929"/>
      <c r="Q194" s="929"/>
      <c r="R194" s="929"/>
      <c r="T194" s="451"/>
      <c r="U194" s="451"/>
      <c r="V194" s="451"/>
      <c r="W194" s="451"/>
      <c r="X194" s="451"/>
      <c r="Y194" s="929"/>
      <c r="Z194" s="929"/>
      <c r="AA194" s="929"/>
      <c r="AC194" s="451"/>
      <c r="AD194" s="451"/>
      <c r="AE194" s="451"/>
      <c r="AF194" s="451"/>
      <c r="AG194" s="451"/>
      <c r="AH194" s="929"/>
      <c r="AI194" s="929"/>
      <c r="AJ194" s="929"/>
    </row>
    <row r="195" customFormat="false" ht="12.75" hidden="false" customHeight="false" outlineLevel="0" collapsed="false">
      <c r="K195" s="451"/>
      <c r="L195" s="451"/>
      <c r="M195" s="451"/>
      <c r="N195" s="451"/>
      <c r="O195" s="451"/>
      <c r="P195" s="929"/>
      <c r="Q195" s="929"/>
      <c r="R195" s="929"/>
      <c r="T195" s="451"/>
      <c r="U195" s="451"/>
      <c r="V195" s="451"/>
      <c r="W195" s="451"/>
      <c r="X195" s="451"/>
      <c r="Y195" s="929"/>
      <c r="Z195" s="929"/>
      <c r="AA195" s="929"/>
      <c r="AC195" s="451"/>
      <c r="AD195" s="451"/>
      <c r="AE195" s="451"/>
      <c r="AF195" s="451"/>
      <c r="AG195" s="451"/>
      <c r="AH195" s="929"/>
      <c r="AI195" s="929"/>
      <c r="AJ195" s="929"/>
    </row>
    <row r="196" customFormat="false" ht="12.75" hidden="false" customHeight="false" outlineLevel="0" collapsed="false">
      <c r="K196" s="451"/>
      <c r="L196" s="451"/>
      <c r="M196" s="451"/>
      <c r="N196" s="451"/>
      <c r="O196" s="451"/>
      <c r="P196" s="929"/>
      <c r="Q196" s="929"/>
      <c r="R196" s="929"/>
      <c r="T196" s="451"/>
      <c r="U196" s="451"/>
      <c r="V196" s="451"/>
      <c r="W196" s="451"/>
      <c r="X196" s="451"/>
      <c r="Y196" s="929"/>
      <c r="Z196" s="929"/>
      <c r="AA196" s="929"/>
      <c r="AC196" s="451"/>
      <c r="AD196" s="451"/>
      <c r="AE196" s="451"/>
      <c r="AF196" s="451"/>
      <c r="AG196" s="451"/>
      <c r="AH196" s="929"/>
      <c r="AI196" s="929"/>
      <c r="AJ196" s="929"/>
    </row>
    <row r="197" customFormat="false" ht="12.75" hidden="false" customHeight="false" outlineLevel="0" collapsed="false">
      <c r="K197" s="451"/>
      <c r="L197" s="451"/>
      <c r="M197" s="451"/>
      <c r="N197" s="451"/>
      <c r="O197" s="451"/>
      <c r="P197" s="929"/>
      <c r="Q197" s="929"/>
      <c r="R197" s="929"/>
      <c r="T197" s="451"/>
      <c r="U197" s="451"/>
      <c r="V197" s="451"/>
      <c r="W197" s="451"/>
      <c r="X197" s="451"/>
      <c r="Y197" s="929"/>
      <c r="Z197" s="929"/>
      <c r="AA197" s="929"/>
      <c r="AC197" s="451"/>
      <c r="AD197" s="451"/>
      <c r="AE197" s="451"/>
      <c r="AF197" s="451"/>
      <c r="AG197" s="451"/>
      <c r="AH197" s="929"/>
      <c r="AI197" s="929"/>
      <c r="AJ197" s="929"/>
    </row>
    <row r="198" customFormat="false" ht="12.75" hidden="false" customHeight="false" outlineLevel="0" collapsed="false">
      <c r="K198" s="451"/>
      <c r="L198" s="451"/>
      <c r="M198" s="451"/>
      <c r="N198" s="451"/>
      <c r="O198" s="451"/>
      <c r="P198" s="929"/>
      <c r="Q198" s="929"/>
      <c r="R198" s="929"/>
      <c r="T198" s="451"/>
      <c r="U198" s="451"/>
      <c r="V198" s="451"/>
      <c r="W198" s="451"/>
      <c r="X198" s="451"/>
      <c r="Y198" s="929"/>
      <c r="Z198" s="929"/>
      <c r="AA198" s="929"/>
      <c r="AC198" s="451"/>
      <c r="AD198" s="451"/>
      <c r="AE198" s="451"/>
      <c r="AF198" s="451"/>
      <c r="AG198" s="451"/>
      <c r="AH198" s="929"/>
      <c r="AI198" s="929"/>
      <c r="AJ198" s="929"/>
    </row>
    <row r="199" customFormat="false" ht="12.75" hidden="false" customHeight="false" outlineLevel="0" collapsed="false">
      <c r="K199" s="451"/>
      <c r="L199" s="451"/>
      <c r="M199" s="451"/>
      <c r="N199" s="451"/>
      <c r="O199" s="451"/>
      <c r="P199" s="929"/>
      <c r="Q199" s="929"/>
      <c r="R199" s="929"/>
      <c r="T199" s="451"/>
      <c r="U199" s="451"/>
      <c r="V199" s="451"/>
      <c r="W199" s="451"/>
      <c r="X199" s="451"/>
      <c r="Y199" s="929"/>
      <c r="Z199" s="929"/>
      <c r="AA199" s="929"/>
      <c r="AC199" s="451"/>
      <c r="AD199" s="451"/>
      <c r="AE199" s="451"/>
      <c r="AF199" s="451"/>
      <c r="AG199" s="451"/>
      <c r="AH199" s="929"/>
      <c r="AI199" s="929"/>
      <c r="AJ199" s="929"/>
    </row>
    <row r="200" customFormat="false" ht="12.75" hidden="false" customHeight="false" outlineLevel="0" collapsed="false">
      <c r="K200" s="451"/>
      <c r="L200" s="451"/>
      <c r="M200" s="451"/>
      <c r="N200" s="451"/>
      <c r="O200" s="451"/>
      <c r="P200" s="929"/>
      <c r="Q200" s="929"/>
      <c r="R200" s="929"/>
      <c r="T200" s="451"/>
      <c r="U200" s="451"/>
      <c r="V200" s="451"/>
      <c r="W200" s="451"/>
      <c r="X200" s="451"/>
      <c r="Y200" s="929"/>
      <c r="Z200" s="929"/>
      <c r="AA200" s="929"/>
      <c r="AC200" s="451"/>
      <c r="AD200" s="451"/>
      <c r="AE200" s="451"/>
      <c r="AF200" s="451"/>
      <c r="AG200" s="451"/>
      <c r="AH200" s="929"/>
      <c r="AI200" s="929"/>
      <c r="AJ200" s="929"/>
    </row>
    <row r="201" customFormat="false" ht="12.75" hidden="false" customHeight="false" outlineLevel="0" collapsed="false">
      <c r="K201" s="451"/>
      <c r="L201" s="451"/>
      <c r="M201" s="451"/>
      <c r="N201" s="451"/>
      <c r="O201" s="451"/>
      <c r="P201" s="929"/>
      <c r="Q201" s="929"/>
      <c r="R201" s="929"/>
      <c r="T201" s="451"/>
      <c r="U201" s="451"/>
      <c r="V201" s="451"/>
      <c r="W201" s="451"/>
      <c r="X201" s="451"/>
      <c r="Y201" s="929"/>
      <c r="Z201" s="929"/>
      <c r="AA201" s="929"/>
      <c r="AC201" s="451"/>
      <c r="AD201" s="451"/>
      <c r="AE201" s="451"/>
      <c r="AF201" s="451"/>
      <c r="AG201" s="451"/>
      <c r="AH201" s="929"/>
      <c r="AI201" s="929"/>
      <c r="AJ201" s="929"/>
    </row>
    <row r="202" customFormat="false" ht="12.75" hidden="false" customHeight="false" outlineLevel="0" collapsed="false">
      <c r="K202" s="451"/>
      <c r="L202" s="451"/>
      <c r="M202" s="451"/>
      <c r="N202" s="451"/>
      <c r="O202" s="451"/>
      <c r="P202" s="929"/>
      <c r="Q202" s="929"/>
      <c r="R202" s="929"/>
      <c r="T202" s="451"/>
      <c r="U202" s="451"/>
      <c r="V202" s="451"/>
      <c r="W202" s="451"/>
      <c r="X202" s="451"/>
      <c r="Y202" s="929"/>
      <c r="Z202" s="929"/>
      <c r="AA202" s="929"/>
      <c r="AC202" s="451"/>
      <c r="AD202" s="451"/>
      <c r="AE202" s="451"/>
      <c r="AF202" s="451"/>
      <c r="AG202" s="451"/>
      <c r="AH202" s="929"/>
      <c r="AI202" s="929"/>
      <c r="AJ202" s="929"/>
    </row>
    <row r="203" customFormat="false" ht="12.75" hidden="false" customHeight="false" outlineLevel="0" collapsed="false">
      <c r="K203" s="451"/>
      <c r="L203" s="451"/>
      <c r="M203" s="451"/>
      <c r="N203" s="451"/>
      <c r="O203" s="451"/>
      <c r="P203" s="929"/>
      <c r="Q203" s="929"/>
      <c r="R203" s="929"/>
      <c r="T203" s="451"/>
      <c r="U203" s="451"/>
      <c r="V203" s="451"/>
      <c r="W203" s="451"/>
      <c r="X203" s="451"/>
      <c r="Y203" s="929"/>
      <c r="Z203" s="929"/>
      <c r="AA203" s="929"/>
      <c r="AC203" s="451"/>
      <c r="AD203" s="451"/>
      <c r="AE203" s="451"/>
      <c r="AF203" s="451"/>
      <c r="AG203" s="451"/>
      <c r="AH203" s="929"/>
      <c r="AI203" s="929"/>
      <c r="AJ203" s="929"/>
    </row>
    <row r="204" customFormat="false" ht="12.75" hidden="false" customHeight="false" outlineLevel="0" collapsed="false">
      <c r="K204" s="451"/>
      <c r="L204" s="451"/>
      <c r="M204" s="451"/>
      <c r="N204" s="451"/>
      <c r="O204" s="451"/>
      <c r="P204" s="929"/>
      <c r="Q204" s="929"/>
      <c r="R204" s="929"/>
      <c r="T204" s="451"/>
      <c r="U204" s="451"/>
      <c r="V204" s="451"/>
      <c r="W204" s="451"/>
      <c r="X204" s="451"/>
      <c r="Y204" s="929"/>
      <c r="Z204" s="929"/>
      <c r="AA204" s="929"/>
      <c r="AC204" s="451"/>
      <c r="AD204" s="451"/>
      <c r="AE204" s="451"/>
      <c r="AF204" s="451"/>
      <c r="AG204" s="451"/>
      <c r="AH204" s="929"/>
      <c r="AI204" s="929"/>
      <c r="AJ204" s="929"/>
    </row>
    <row r="205" customFormat="false" ht="12.75" hidden="false" customHeight="false" outlineLevel="0" collapsed="false">
      <c r="K205" s="451"/>
      <c r="L205" s="451"/>
      <c r="M205" s="451"/>
      <c r="N205" s="451"/>
      <c r="O205" s="451"/>
      <c r="P205" s="929"/>
      <c r="Q205" s="929"/>
      <c r="R205" s="929"/>
      <c r="T205" s="451"/>
      <c r="U205" s="451"/>
      <c r="V205" s="451"/>
      <c r="W205" s="451"/>
      <c r="X205" s="451"/>
      <c r="Y205" s="929"/>
      <c r="Z205" s="929"/>
      <c r="AA205" s="929"/>
      <c r="AC205" s="451"/>
      <c r="AD205" s="451"/>
      <c r="AE205" s="451"/>
      <c r="AF205" s="451"/>
      <c r="AG205" s="451"/>
      <c r="AH205" s="929"/>
      <c r="AI205" s="929"/>
      <c r="AJ205" s="929"/>
    </row>
    <row r="206" customFormat="false" ht="12.75" hidden="false" customHeight="false" outlineLevel="0" collapsed="false">
      <c r="K206" s="451"/>
      <c r="L206" s="451"/>
      <c r="M206" s="451"/>
      <c r="N206" s="451"/>
      <c r="O206" s="451"/>
      <c r="P206" s="929"/>
      <c r="Q206" s="929"/>
      <c r="R206" s="929"/>
      <c r="T206" s="451"/>
      <c r="U206" s="451"/>
      <c r="V206" s="451"/>
      <c r="W206" s="451"/>
      <c r="X206" s="451"/>
      <c r="Y206" s="929"/>
      <c r="Z206" s="929"/>
      <c r="AA206" s="929"/>
      <c r="AC206" s="451"/>
      <c r="AD206" s="451"/>
      <c r="AE206" s="451"/>
      <c r="AF206" s="451"/>
      <c r="AG206" s="451"/>
      <c r="AH206" s="929"/>
      <c r="AI206" s="929"/>
      <c r="AJ206" s="929"/>
    </row>
    <row r="207" customFormat="false" ht="12.75" hidden="false" customHeight="false" outlineLevel="0" collapsed="false">
      <c r="K207" s="451"/>
      <c r="L207" s="451"/>
      <c r="M207" s="451"/>
      <c r="N207" s="451"/>
      <c r="O207" s="451"/>
      <c r="P207" s="929"/>
      <c r="Q207" s="929"/>
      <c r="R207" s="929"/>
      <c r="T207" s="451"/>
      <c r="U207" s="451"/>
      <c r="V207" s="451"/>
      <c r="W207" s="451"/>
      <c r="X207" s="451"/>
      <c r="Y207" s="929"/>
      <c r="Z207" s="929"/>
      <c r="AA207" s="929"/>
      <c r="AC207" s="451"/>
      <c r="AD207" s="451"/>
      <c r="AE207" s="451"/>
      <c r="AF207" s="451"/>
      <c r="AG207" s="451"/>
      <c r="AH207" s="929"/>
      <c r="AI207" s="929"/>
      <c r="AJ207" s="929"/>
    </row>
    <row r="208" customFormat="false" ht="12.75" hidden="false" customHeight="false" outlineLevel="0" collapsed="false">
      <c r="K208" s="451"/>
      <c r="L208" s="451"/>
      <c r="M208" s="451"/>
      <c r="N208" s="451"/>
      <c r="O208" s="451"/>
      <c r="P208" s="929"/>
      <c r="Q208" s="929"/>
      <c r="R208" s="929"/>
      <c r="T208" s="451"/>
      <c r="U208" s="451"/>
      <c r="V208" s="451"/>
      <c r="W208" s="451"/>
      <c r="X208" s="451"/>
      <c r="Y208" s="929"/>
      <c r="Z208" s="929"/>
      <c r="AA208" s="929"/>
      <c r="AC208" s="451"/>
      <c r="AD208" s="451"/>
      <c r="AE208" s="451"/>
      <c r="AF208" s="451"/>
      <c r="AG208" s="451"/>
      <c r="AH208" s="929"/>
      <c r="AI208" s="929"/>
      <c r="AJ208" s="929"/>
    </row>
    <row r="209" customFormat="false" ht="12.75" hidden="false" customHeight="false" outlineLevel="0" collapsed="false">
      <c r="K209" s="451"/>
      <c r="L209" s="451"/>
      <c r="M209" s="451"/>
      <c r="N209" s="451"/>
      <c r="O209" s="451"/>
      <c r="P209" s="929"/>
      <c r="Q209" s="929"/>
      <c r="R209" s="929"/>
      <c r="T209" s="451"/>
      <c r="U209" s="451"/>
      <c r="V209" s="451"/>
      <c r="W209" s="451"/>
      <c r="X209" s="451"/>
      <c r="Y209" s="929"/>
      <c r="Z209" s="929"/>
      <c r="AA209" s="929"/>
      <c r="AC209" s="451"/>
      <c r="AD209" s="451"/>
      <c r="AE209" s="451"/>
      <c r="AF209" s="451"/>
      <c r="AG209" s="451"/>
      <c r="AH209" s="929"/>
      <c r="AI209" s="929"/>
      <c r="AJ209" s="929"/>
    </row>
    <row r="210" customFormat="false" ht="12.75" hidden="false" customHeight="false" outlineLevel="0" collapsed="false">
      <c r="K210" s="451"/>
      <c r="L210" s="451"/>
      <c r="M210" s="451"/>
      <c r="N210" s="451"/>
      <c r="O210" s="451"/>
      <c r="P210" s="929"/>
      <c r="Q210" s="929"/>
      <c r="R210" s="929"/>
      <c r="T210" s="451"/>
      <c r="U210" s="451"/>
      <c r="V210" s="451"/>
      <c r="W210" s="451"/>
      <c r="X210" s="451"/>
      <c r="Y210" s="929"/>
      <c r="Z210" s="929"/>
      <c r="AA210" s="929"/>
      <c r="AC210" s="451"/>
      <c r="AD210" s="451"/>
      <c r="AE210" s="451"/>
      <c r="AF210" s="451"/>
      <c r="AG210" s="451"/>
      <c r="AH210" s="929"/>
      <c r="AI210" s="929"/>
      <c r="AJ210" s="929"/>
    </row>
    <row r="211" customFormat="false" ht="12.75" hidden="false" customHeight="false" outlineLevel="0" collapsed="false">
      <c r="K211" s="451"/>
      <c r="L211" s="451"/>
      <c r="M211" s="451"/>
      <c r="N211" s="451"/>
      <c r="O211" s="451"/>
      <c r="P211" s="929"/>
      <c r="Q211" s="929"/>
      <c r="R211" s="929"/>
      <c r="T211" s="451"/>
      <c r="U211" s="451"/>
      <c r="V211" s="451"/>
      <c r="W211" s="451"/>
      <c r="X211" s="451"/>
      <c r="Y211" s="929"/>
      <c r="Z211" s="929"/>
      <c r="AA211" s="929"/>
      <c r="AC211" s="451"/>
      <c r="AD211" s="451"/>
      <c r="AE211" s="451"/>
      <c r="AF211" s="451"/>
      <c r="AG211" s="451"/>
      <c r="AH211" s="929"/>
      <c r="AI211" s="929"/>
      <c r="AJ211" s="929"/>
    </row>
    <row r="212" customFormat="false" ht="12.75" hidden="false" customHeight="false" outlineLevel="0" collapsed="false">
      <c r="K212" s="451"/>
      <c r="L212" s="451"/>
      <c r="M212" s="451"/>
      <c r="N212" s="451"/>
      <c r="O212" s="451"/>
      <c r="P212" s="929"/>
      <c r="Q212" s="929"/>
      <c r="R212" s="929"/>
      <c r="T212" s="451"/>
      <c r="U212" s="451"/>
      <c r="V212" s="451"/>
      <c r="W212" s="451"/>
      <c r="X212" s="451"/>
      <c r="Y212" s="929"/>
      <c r="Z212" s="929"/>
      <c r="AA212" s="929"/>
      <c r="AC212" s="451"/>
      <c r="AD212" s="451"/>
      <c r="AE212" s="451"/>
      <c r="AF212" s="451"/>
      <c r="AG212" s="451"/>
      <c r="AH212" s="929"/>
      <c r="AI212" s="929"/>
      <c r="AJ212" s="929"/>
    </row>
    <row r="213" customFormat="false" ht="12.75" hidden="false" customHeight="false" outlineLevel="0" collapsed="false">
      <c r="K213" s="451"/>
      <c r="L213" s="451"/>
      <c r="M213" s="451"/>
      <c r="N213" s="451"/>
      <c r="O213" s="451"/>
      <c r="P213" s="929"/>
      <c r="Q213" s="929"/>
      <c r="R213" s="929"/>
      <c r="T213" s="451"/>
      <c r="U213" s="451"/>
      <c r="V213" s="451"/>
      <c r="W213" s="451"/>
      <c r="X213" s="451"/>
      <c r="Y213" s="929"/>
      <c r="Z213" s="929"/>
      <c r="AA213" s="929"/>
      <c r="AC213" s="451"/>
      <c r="AD213" s="451"/>
      <c r="AE213" s="451"/>
      <c r="AF213" s="451"/>
      <c r="AG213" s="451"/>
      <c r="AH213" s="929"/>
      <c r="AI213" s="929"/>
      <c r="AJ213" s="929"/>
    </row>
    <row r="214" customFormat="false" ht="12.75" hidden="false" customHeight="false" outlineLevel="0" collapsed="false">
      <c r="K214" s="451"/>
      <c r="L214" s="451"/>
      <c r="M214" s="451"/>
      <c r="N214" s="451"/>
      <c r="O214" s="451"/>
      <c r="P214" s="929"/>
      <c r="Q214" s="929"/>
      <c r="R214" s="929"/>
      <c r="T214" s="451"/>
      <c r="U214" s="451"/>
      <c r="V214" s="451"/>
      <c r="W214" s="451"/>
      <c r="X214" s="451"/>
      <c r="Y214" s="929"/>
      <c r="Z214" s="929"/>
      <c r="AA214" s="929"/>
      <c r="AC214" s="451"/>
      <c r="AD214" s="451"/>
      <c r="AE214" s="451"/>
      <c r="AF214" s="451"/>
      <c r="AG214" s="451"/>
      <c r="AH214" s="929"/>
      <c r="AI214" s="929"/>
      <c r="AJ214" s="929"/>
    </row>
    <row r="215" customFormat="false" ht="12.75" hidden="false" customHeight="false" outlineLevel="0" collapsed="false">
      <c r="K215" s="451"/>
      <c r="L215" s="451"/>
      <c r="M215" s="451"/>
      <c r="N215" s="451"/>
      <c r="O215" s="451"/>
      <c r="P215" s="929"/>
      <c r="Q215" s="929"/>
      <c r="R215" s="929"/>
      <c r="T215" s="451"/>
      <c r="U215" s="451"/>
      <c r="V215" s="451"/>
      <c r="W215" s="451"/>
      <c r="X215" s="451"/>
      <c r="Y215" s="929"/>
      <c r="Z215" s="929"/>
      <c r="AA215" s="929"/>
      <c r="AC215" s="451"/>
      <c r="AD215" s="451"/>
      <c r="AE215" s="451"/>
      <c r="AF215" s="451"/>
      <c r="AG215" s="451"/>
      <c r="AH215" s="929"/>
      <c r="AI215" s="929"/>
      <c r="AJ215" s="929"/>
    </row>
    <row r="216" customFormat="false" ht="12.75" hidden="false" customHeight="false" outlineLevel="0" collapsed="false">
      <c r="K216" s="451"/>
      <c r="L216" s="451"/>
      <c r="M216" s="451"/>
      <c r="N216" s="451"/>
      <c r="O216" s="451"/>
      <c r="P216" s="929"/>
      <c r="Q216" s="929"/>
      <c r="R216" s="929"/>
      <c r="T216" s="451"/>
      <c r="U216" s="451"/>
      <c r="V216" s="451"/>
      <c r="W216" s="451"/>
      <c r="X216" s="451"/>
      <c r="Y216" s="929"/>
      <c r="Z216" s="929"/>
      <c r="AA216" s="929"/>
      <c r="AC216" s="451"/>
      <c r="AD216" s="451"/>
      <c r="AE216" s="451"/>
      <c r="AF216" s="451"/>
      <c r="AG216" s="451"/>
      <c r="AH216" s="929"/>
      <c r="AI216" s="929"/>
      <c r="AJ216" s="929"/>
    </row>
    <row r="217" customFormat="false" ht="12.75" hidden="false" customHeight="false" outlineLevel="0" collapsed="false">
      <c r="K217" s="451"/>
      <c r="L217" s="451"/>
      <c r="M217" s="451"/>
      <c r="N217" s="451"/>
      <c r="O217" s="451"/>
      <c r="P217" s="929"/>
      <c r="Q217" s="929"/>
      <c r="R217" s="929"/>
      <c r="T217" s="451"/>
      <c r="U217" s="451"/>
      <c r="V217" s="451"/>
      <c r="W217" s="451"/>
      <c r="X217" s="451"/>
      <c r="Y217" s="929"/>
      <c r="Z217" s="929"/>
      <c r="AA217" s="929"/>
      <c r="AC217" s="451"/>
      <c r="AD217" s="451"/>
      <c r="AE217" s="451"/>
      <c r="AF217" s="451"/>
      <c r="AG217" s="451"/>
      <c r="AH217" s="929"/>
      <c r="AI217" s="929"/>
      <c r="AJ217" s="929"/>
    </row>
    <row r="218" customFormat="false" ht="12.75" hidden="false" customHeight="false" outlineLevel="0" collapsed="false">
      <c r="K218" s="451"/>
      <c r="L218" s="451"/>
      <c r="M218" s="451"/>
      <c r="N218" s="451"/>
      <c r="O218" s="451"/>
      <c r="P218" s="929"/>
      <c r="Q218" s="929"/>
      <c r="R218" s="929"/>
      <c r="T218" s="451"/>
      <c r="U218" s="451"/>
      <c r="V218" s="451"/>
      <c r="W218" s="451"/>
      <c r="X218" s="451"/>
      <c r="Y218" s="929"/>
      <c r="Z218" s="929"/>
      <c r="AA218" s="929"/>
      <c r="AC218" s="451"/>
      <c r="AD218" s="451"/>
      <c r="AE218" s="451"/>
      <c r="AF218" s="451"/>
      <c r="AG218" s="451"/>
      <c r="AH218" s="929"/>
      <c r="AI218" s="929"/>
      <c r="AJ218" s="929"/>
    </row>
    <row r="219" customFormat="false" ht="12.75" hidden="false" customHeight="false" outlineLevel="0" collapsed="false">
      <c r="K219" s="451"/>
      <c r="L219" s="451"/>
      <c r="M219" s="451"/>
      <c r="N219" s="451"/>
      <c r="O219" s="451"/>
      <c r="P219" s="929"/>
      <c r="Q219" s="929"/>
      <c r="R219" s="929"/>
      <c r="T219" s="451"/>
      <c r="U219" s="451"/>
      <c r="V219" s="451"/>
      <c r="W219" s="451"/>
      <c r="X219" s="451"/>
      <c r="Y219" s="929"/>
      <c r="Z219" s="929"/>
      <c r="AA219" s="929"/>
      <c r="AC219" s="451"/>
      <c r="AD219" s="451"/>
      <c r="AE219" s="451"/>
      <c r="AF219" s="451"/>
      <c r="AG219" s="451"/>
      <c r="AH219" s="929"/>
      <c r="AI219" s="929"/>
      <c r="AJ219" s="929"/>
    </row>
    <row r="220" customFormat="false" ht="12.75" hidden="false" customHeight="false" outlineLevel="0" collapsed="false">
      <c r="K220" s="451"/>
      <c r="L220" s="451"/>
      <c r="M220" s="451"/>
      <c r="N220" s="451"/>
      <c r="O220" s="451"/>
      <c r="P220" s="929"/>
      <c r="Q220" s="929"/>
      <c r="R220" s="929"/>
      <c r="T220" s="451"/>
      <c r="U220" s="451"/>
      <c r="V220" s="451"/>
      <c r="W220" s="451"/>
      <c r="X220" s="451"/>
      <c r="Y220" s="929"/>
      <c r="Z220" s="929"/>
      <c r="AA220" s="929"/>
      <c r="AC220" s="451"/>
      <c r="AD220" s="451"/>
      <c r="AE220" s="451"/>
      <c r="AF220" s="451"/>
      <c r="AG220" s="451"/>
      <c r="AH220" s="929"/>
      <c r="AI220" s="929"/>
      <c r="AJ220" s="929"/>
    </row>
    <row r="221" customFormat="false" ht="12.75" hidden="false" customHeight="false" outlineLevel="0" collapsed="false">
      <c r="K221" s="451"/>
      <c r="L221" s="451"/>
      <c r="M221" s="451"/>
      <c r="N221" s="451"/>
      <c r="O221" s="451"/>
      <c r="P221" s="929"/>
      <c r="Q221" s="929"/>
      <c r="R221" s="929"/>
      <c r="T221" s="451"/>
      <c r="U221" s="451"/>
      <c r="V221" s="451"/>
      <c r="W221" s="451"/>
      <c r="X221" s="451"/>
      <c r="Y221" s="929"/>
      <c r="Z221" s="929"/>
      <c r="AA221" s="929"/>
      <c r="AC221" s="451"/>
      <c r="AD221" s="451"/>
      <c r="AE221" s="451"/>
      <c r="AF221" s="451"/>
      <c r="AG221" s="451"/>
      <c r="AH221" s="929"/>
      <c r="AI221" s="929"/>
      <c r="AJ221" s="929"/>
    </row>
    <row r="222" customFormat="false" ht="12.75" hidden="false" customHeight="false" outlineLevel="0" collapsed="false">
      <c r="K222" s="451"/>
      <c r="L222" s="451"/>
      <c r="M222" s="451"/>
      <c r="N222" s="451"/>
      <c r="O222" s="451"/>
      <c r="P222" s="929"/>
      <c r="Q222" s="929"/>
      <c r="R222" s="929"/>
      <c r="T222" s="451"/>
      <c r="U222" s="451"/>
      <c r="V222" s="451"/>
      <c r="W222" s="451"/>
      <c r="X222" s="451"/>
      <c r="Y222" s="929"/>
      <c r="Z222" s="929"/>
      <c r="AA222" s="929"/>
      <c r="AC222" s="451"/>
      <c r="AD222" s="451"/>
      <c r="AE222" s="451"/>
      <c r="AF222" s="451"/>
      <c r="AG222" s="451"/>
      <c r="AH222" s="929"/>
      <c r="AI222" s="929"/>
      <c r="AJ222" s="929"/>
    </row>
    <row r="223" customFormat="false" ht="12.75" hidden="false" customHeight="false" outlineLevel="0" collapsed="false">
      <c r="K223" s="451"/>
      <c r="L223" s="451"/>
      <c r="M223" s="451"/>
      <c r="N223" s="451"/>
      <c r="O223" s="451"/>
      <c r="P223" s="929"/>
      <c r="Q223" s="929"/>
      <c r="R223" s="929"/>
      <c r="T223" s="451"/>
      <c r="U223" s="451"/>
      <c r="V223" s="451"/>
      <c r="W223" s="451"/>
      <c r="X223" s="451"/>
      <c r="Y223" s="929"/>
      <c r="Z223" s="929"/>
      <c r="AA223" s="929"/>
      <c r="AC223" s="451"/>
      <c r="AD223" s="451"/>
      <c r="AE223" s="451"/>
      <c r="AF223" s="451"/>
      <c r="AG223" s="451"/>
      <c r="AH223" s="929"/>
      <c r="AI223" s="929"/>
      <c r="AJ223" s="929"/>
    </row>
    <row r="224" customFormat="false" ht="12.75" hidden="false" customHeight="false" outlineLevel="0" collapsed="false">
      <c r="K224" s="451"/>
      <c r="L224" s="451"/>
      <c r="M224" s="451"/>
      <c r="N224" s="451"/>
      <c r="O224" s="451"/>
      <c r="P224" s="929"/>
      <c r="Q224" s="929"/>
      <c r="R224" s="929"/>
      <c r="T224" s="451"/>
      <c r="U224" s="451"/>
      <c r="V224" s="451"/>
      <c r="W224" s="451"/>
      <c r="X224" s="451"/>
      <c r="Y224" s="929"/>
      <c r="Z224" s="929"/>
      <c r="AA224" s="929"/>
      <c r="AC224" s="451"/>
      <c r="AD224" s="451"/>
      <c r="AE224" s="451"/>
      <c r="AF224" s="451"/>
      <c r="AG224" s="451"/>
      <c r="AH224" s="929"/>
      <c r="AI224" s="929"/>
      <c r="AJ224" s="929"/>
    </row>
    <row r="225" customFormat="false" ht="12.75" hidden="false" customHeight="false" outlineLevel="0" collapsed="false">
      <c r="K225" s="451"/>
      <c r="L225" s="451"/>
      <c r="M225" s="451"/>
      <c r="N225" s="451"/>
      <c r="O225" s="451"/>
      <c r="P225" s="929"/>
      <c r="Q225" s="929"/>
      <c r="R225" s="929"/>
      <c r="T225" s="451"/>
      <c r="U225" s="451"/>
      <c r="V225" s="451"/>
      <c r="W225" s="451"/>
      <c r="X225" s="451"/>
      <c r="Y225" s="929"/>
      <c r="Z225" s="929"/>
      <c r="AA225" s="929"/>
      <c r="AC225" s="451"/>
      <c r="AD225" s="451"/>
      <c r="AE225" s="451"/>
      <c r="AF225" s="451"/>
      <c r="AG225" s="451"/>
      <c r="AH225" s="929"/>
      <c r="AI225" s="929"/>
      <c r="AJ225" s="929"/>
    </row>
    <row r="226" customFormat="false" ht="12.75" hidden="false" customHeight="false" outlineLevel="0" collapsed="false">
      <c r="K226" s="451"/>
      <c r="L226" s="451"/>
      <c r="M226" s="451"/>
      <c r="N226" s="451"/>
      <c r="O226" s="451"/>
      <c r="P226" s="929"/>
      <c r="Q226" s="929"/>
      <c r="R226" s="929"/>
      <c r="T226" s="451"/>
      <c r="U226" s="451"/>
      <c r="V226" s="451"/>
      <c r="W226" s="451"/>
      <c r="X226" s="451"/>
      <c r="Y226" s="929"/>
      <c r="Z226" s="929"/>
      <c r="AA226" s="929"/>
      <c r="AC226" s="451"/>
      <c r="AD226" s="451"/>
      <c r="AE226" s="451"/>
      <c r="AF226" s="451"/>
      <c r="AG226" s="451"/>
      <c r="AH226" s="929"/>
      <c r="AI226" s="929"/>
      <c r="AJ226" s="929"/>
    </row>
    <row r="227" customFormat="false" ht="12.75" hidden="false" customHeight="false" outlineLevel="0" collapsed="false">
      <c r="K227" s="451"/>
      <c r="L227" s="451"/>
      <c r="M227" s="451"/>
      <c r="N227" s="451"/>
      <c r="O227" s="451"/>
      <c r="P227" s="929"/>
      <c r="Q227" s="929"/>
      <c r="R227" s="929"/>
      <c r="T227" s="451"/>
      <c r="U227" s="451"/>
      <c r="V227" s="451"/>
      <c r="W227" s="451"/>
      <c r="X227" s="451"/>
      <c r="Y227" s="929"/>
      <c r="Z227" s="929"/>
      <c r="AA227" s="929"/>
      <c r="AC227" s="451"/>
      <c r="AD227" s="451"/>
      <c r="AE227" s="451"/>
      <c r="AF227" s="451"/>
      <c r="AG227" s="451"/>
      <c r="AH227" s="929"/>
      <c r="AI227" s="929"/>
      <c r="AJ227" s="929"/>
    </row>
    <row r="228" customFormat="false" ht="12.75" hidden="false" customHeight="false" outlineLevel="0" collapsed="false">
      <c r="K228" s="451"/>
      <c r="L228" s="451"/>
      <c r="M228" s="451"/>
      <c r="N228" s="451"/>
      <c r="O228" s="451"/>
      <c r="P228" s="929"/>
      <c r="Q228" s="929"/>
      <c r="R228" s="929"/>
      <c r="T228" s="451"/>
      <c r="U228" s="451"/>
      <c r="V228" s="451"/>
      <c r="W228" s="451"/>
      <c r="X228" s="451"/>
      <c r="Y228" s="929"/>
      <c r="Z228" s="929"/>
      <c r="AA228" s="929"/>
      <c r="AC228" s="451"/>
      <c r="AD228" s="451"/>
      <c r="AE228" s="451"/>
      <c r="AF228" s="451"/>
      <c r="AG228" s="451"/>
      <c r="AH228" s="929"/>
      <c r="AI228" s="929"/>
      <c r="AJ228" s="929"/>
    </row>
    <row r="229" customFormat="false" ht="12.75" hidden="false" customHeight="false" outlineLevel="0" collapsed="false">
      <c r="K229" s="451"/>
      <c r="L229" s="451"/>
      <c r="M229" s="451"/>
      <c r="N229" s="451"/>
      <c r="O229" s="451"/>
      <c r="P229" s="929"/>
      <c r="Q229" s="929"/>
      <c r="R229" s="929"/>
      <c r="T229" s="451"/>
      <c r="U229" s="451"/>
      <c r="V229" s="451"/>
      <c r="W229" s="451"/>
      <c r="X229" s="451"/>
      <c r="Y229" s="929"/>
      <c r="Z229" s="929"/>
      <c r="AA229" s="929"/>
      <c r="AC229" s="451"/>
      <c r="AD229" s="451"/>
      <c r="AE229" s="451"/>
      <c r="AF229" s="451"/>
      <c r="AG229" s="451"/>
      <c r="AH229" s="929"/>
      <c r="AI229" s="929"/>
      <c r="AJ229" s="929"/>
    </row>
    <row r="230" customFormat="false" ht="12.75" hidden="false" customHeight="false" outlineLevel="0" collapsed="false">
      <c r="K230" s="451"/>
      <c r="L230" s="451"/>
      <c r="M230" s="451"/>
      <c r="N230" s="451"/>
      <c r="O230" s="451"/>
      <c r="P230" s="929"/>
      <c r="Q230" s="929"/>
      <c r="R230" s="929"/>
      <c r="T230" s="451"/>
      <c r="U230" s="451"/>
      <c r="V230" s="451"/>
      <c r="W230" s="451"/>
      <c r="X230" s="451"/>
      <c r="Y230" s="929"/>
      <c r="Z230" s="929"/>
      <c r="AA230" s="929"/>
      <c r="AC230" s="451"/>
      <c r="AD230" s="451"/>
      <c r="AE230" s="451"/>
      <c r="AF230" s="451"/>
      <c r="AG230" s="451"/>
      <c r="AH230" s="929"/>
      <c r="AI230" s="929"/>
      <c r="AJ230" s="929"/>
    </row>
    <row r="231" customFormat="false" ht="12.75" hidden="false" customHeight="false" outlineLevel="0" collapsed="false">
      <c r="K231" s="451"/>
      <c r="L231" s="451"/>
      <c r="M231" s="451"/>
      <c r="N231" s="451"/>
      <c r="O231" s="451"/>
      <c r="P231" s="929"/>
      <c r="Q231" s="929"/>
      <c r="R231" s="929"/>
      <c r="T231" s="451"/>
      <c r="U231" s="451"/>
      <c r="V231" s="451"/>
      <c r="W231" s="451"/>
      <c r="X231" s="451"/>
      <c r="Y231" s="929"/>
      <c r="Z231" s="929"/>
      <c r="AA231" s="929"/>
      <c r="AC231" s="451"/>
      <c r="AD231" s="451"/>
      <c r="AE231" s="451"/>
      <c r="AF231" s="451"/>
      <c r="AG231" s="451"/>
      <c r="AH231" s="929"/>
      <c r="AI231" s="929"/>
      <c r="AJ231" s="929"/>
    </row>
    <row r="232" customFormat="false" ht="12.75" hidden="false" customHeight="false" outlineLevel="0" collapsed="false">
      <c r="K232" s="451"/>
      <c r="L232" s="451"/>
      <c r="M232" s="451"/>
      <c r="N232" s="451"/>
      <c r="O232" s="451"/>
      <c r="P232" s="929"/>
      <c r="Q232" s="929"/>
      <c r="R232" s="929"/>
      <c r="T232" s="451"/>
      <c r="U232" s="451"/>
      <c r="V232" s="451"/>
      <c r="W232" s="451"/>
      <c r="X232" s="451"/>
      <c r="Y232" s="929"/>
      <c r="Z232" s="929"/>
      <c r="AA232" s="929"/>
      <c r="AC232" s="451"/>
      <c r="AD232" s="451"/>
      <c r="AE232" s="451"/>
      <c r="AF232" s="451"/>
      <c r="AG232" s="451"/>
      <c r="AH232" s="929"/>
      <c r="AI232" s="929"/>
      <c r="AJ232" s="929"/>
    </row>
    <row r="233" customFormat="false" ht="12.75" hidden="false" customHeight="false" outlineLevel="0" collapsed="false">
      <c r="K233" s="451"/>
      <c r="L233" s="451"/>
      <c r="M233" s="451"/>
      <c r="N233" s="451"/>
      <c r="O233" s="451"/>
      <c r="P233" s="929"/>
      <c r="Q233" s="929"/>
      <c r="R233" s="929"/>
      <c r="T233" s="451"/>
      <c r="U233" s="451"/>
      <c r="V233" s="451"/>
      <c r="W233" s="451"/>
      <c r="X233" s="451"/>
      <c r="Y233" s="929"/>
      <c r="Z233" s="929"/>
      <c r="AA233" s="929"/>
      <c r="AC233" s="451"/>
      <c r="AD233" s="451"/>
      <c r="AE233" s="451"/>
      <c r="AF233" s="451"/>
      <c r="AG233" s="451"/>
      <c r="AH233" s="929"/>
      <c r="AI233" s="929"/>
      <c r="AJ233" s="929"/>
    </row>
    <row r="234" customFormat="false" ht="12.75" hidden="false" customHeight="false" outlineLevel="0" collapsed="false">
      <c r="K234" s="451"/>
      <c r="L234" s="451"/>
      <c r="M234" s="451"/>
      <c r="N234" s="451"/>
      <c r="O234" s="451"/>
      <c r="P234" s="929"/>
      <c r="Q234" s="929"/>
      <c r="R234" s="929"/>
      <c r="T234" s="451"/>
      <c r="U234" s="451"/>
      <c r="V234" s="451"/>
      <c r="W234" s="451"/>
      <c r="X234" s="451"/>
      <c r="Y234" s="929"/>
      <c r="Z234" s="929"/>
      <c r="AA234" s="929"/>
      <c r="AC234" s="451"/>
      <c r="AD234" s="451"/>
      <c r="AE234" s="451"/>
      <c r="AF234" s="451"/>
      <c r="AG234" s="451"/>
      <c r="AH234" s="929"/>
      <c r="AI234" s="929"/>
      <c r="AJ234" s="929"/>
    </row>
    <row r="235" customFormat="false" ht="12.75" hidden="false" customHeight="false" outlineLevel="0" collapsed="false">
      <c r="K235" s="451"/>
      <c r="L235" s="451"/>
      <c r="M235" s="451"/>
      <c r="N235" s="451"/>
      <c r="O235" s="451"/>
      <c r="P235" s="929"/>
      <c r="Q235" s="929"/>
      <c r="R235" s="929"/>
      <c r="T235" s="451"/>
      <c r="U235" s="451"/>
      <c r="V235" s="451"/>
      <c r="W235" s="451"/>
      <c r="X235" s="451"/>
      <c r="Y235" s="929"/>
      <c r="Z235" s="929"/>
      <c r="AA235" s="929"/>
      <c r="AC235" s="451"/>
      <c r="AD235" s="451"/>
      <c r="AE235" s="451"/>
      <c r="AF235" s="451"/>
      <c r="AG235" s="451"/>
      <c r="AH235" s="929"/>
      <c r="AI235" s="929"/>
      <c r="AJ235" s="929"/>
    </row>
    <row r="236" customFormat="false" ht="12.75" hidden="false" customHeight="false" outlineLevel="0" collapsed="false">
      <c r="K236" s="451"/>
      <c r="L236" s="451"/>
      <c r="M236" s="451"/>
      <c r="N236" s="451"/>
      <c r="O236" s="451"/>
      <c r="P236" s="929"/>
      <c r="Q236" s="929"/>
      <c r="R236" s="929"/>
      <c r="T236" s="451"/>
      <c r="U236" s="451"/>
      <c r="V236" s="451"/>
      <c r="W236" s="451"/>
      <c r="X236" s="451"/>
      <c r="Y236" s="929"/>
      <c r="Z236" s="929"/>
      <c r="AA236" s="929"/>
      <c r="AC236" s="451"/>
      <c r="AD236" s="451"/>
      <c r="AE236" s="451"/>
      <c r="AF236" s="451"/>
      <c r="AG236" s="451"/>
      <c r="AH236" s="929"/>
      <c r="AI236" s="929"/>
      <c r="AJ236" s="929"/>
    </row>
    <row r="237" customFormat="false" ht="12.75" hidden="false" customHeight="false" outlineLevel="0" collapsed="false">
      <c r="K237" s="451"/>
      <c r="L237" s="451"/>
      <c r="M237" s="451"/>
      <c r="N237" s="451"/>
      <c r="O237" s="451"/>
      <c r="P237" s="929"/>
      <c r="Q237" s="929"/>
      <c r="R237" s="929"/>
      <c r="T237" s="451"/>
      <c r="U237" s="451"/>
      <c r="V237" s="451"/>
      <c r="W237" s="451"/>
      <c r="X237" s="451"/>
      <c r="Y237" s="929"/>
      <c r="Z237" s="929"/>
      <c r="AA237" s="929"/>
      <c r="AC237" s="451"/>
      <c r="AD237" s="451"/>
      <c r="AE237" s="451"/>
      <c r="AF237" s="451"/>
      <c r="AG237" s="451"/>
      <c r="AH237" s="929"/>
      <c r="AI237" s="929"/>
      <c r="AJ237" s="929"/>
    </row>
    <row r="238" customFormat="false" ht="12.75" hidden="false" customHeight="false" outlineLevel="0" collapsed="false">
      <c r="K238" s="451"/>
      <c r="L238" s="451"/>
      <c r="M238" s="451"/>
      <c r="N238" s="451"/>
      <c r="O238" s="451"/>
      <c r="P238" s="929"/>
      <c r="Q238" s="929"/>
      <c r="R238" s="929"/>
      <c r="T238" s="451"/>
      <c r="U238" s="451"/>
      <c r="V238" s="451"/>
      <c r="W238" s="451"/>
      <c r="X238" s="451"/>
      <c r="Y238" s="929"/>
      <c r="Z238" s="929"/>
      <c r="AA238" s="929"/>
      <c r="AC238" s="451"/>
      <c r="AD238" s="451"/>
      <c r="AE238" s="451"/>
      <c r="AF238" s="451"/>
      <c r="AG238" s="451"/>
      <c r="AH238" s="929"/>
      <c r="AI238" s="929"/>
      <c r="AJ238" s="929"/>
    </row>
    <row r="239" customFormat="false" ht="12.75" hidden="false" customHeight="false" outlineLevel="0" collapsed="false">
      <c r="K239" s="451"/>
      <c r="L239" s="451"/>
      <c r="M239" s="451"/>
      <c r="N239" s="451"/>
      <c r="O239" s="451"/>
      <c r="P239" s="929"/>
      <c r="Q239" s="929"/>
      <c r="R239" s="929"/>
      <c r="T239" s="451"/>
      <c r="U239" s="451"/>
      <c r="V239" s="451"/>
      <c r="W239" s="451"/>
      <c r="X239" s="451"/>
      <c r="Y239" s="929"/>
      <c r="Z239" s="929"/>
      <c r="AA239" s="929"/>
      <c r="AC239" s="451"/>
      <c r="AD239" s="451"/>
      <c r="AE239" s="451"/>
      <c r="AF239" s="451"/>
      <c r="AG239" s="451"/>
      <c r="AH239" s="929"/>
      <c r="AI239" s="929"/>
      <c r="AJ239" s="929"/>
    </row>
    <row r="240" customFormat="false" ht="12.75" hidden="false" customHeight="false" outlineLevel="0" collapsed="false">
      <c r="K240" s="451"/>
      <c r="L240" s="451"/>
      <c r="M240" s="451"/>
      <c r="N240" s="451"/>
      <c r="O240" s="451"/>
      <c r="P240" s="929"/>
      <c r="Q240" s="929"/>
      <c r="R240" s="929"/>
      <c r="T240" s="451"/>
      <c r="U240" s="451"/>
      <c r="V240" s="451"/>
      <c r="W240" s="451"/>
      <c r="X240" s="451"/>
      <c r="Y240" s="929"/>
      <c r="Z240" s="929"/>
      <c r="AA240" s="929"/>
      <c r="AC240" s="451"/>
      <c r="AD240" s="451"/>
      <c r="AE240" s="451"/>
      <c r="AF240" s="451"/>
      <c r="AG240" s="451"/>
      <c r="AH240" s="929"/>
      <c r="AI240" s="929"/>
      <c r="AJ240" s="929"/>
    </row>
    <row r="241" customFormat="false" ht="12.75" hidden="false" customHeight="false" outlineLevel="0" collapsed="false">
      <c r="K241" s="451"/>
      <c r="L241" s="451"/>
      <c r="M241" s="451"/>
      <c r="N241" s="451"/>
      <c r="O241" s="451"/>
      <c r="P241" s="929"/>
      <c r="Q241" s="929"/>
      <c r="R241" s="929"/>
      <c r="T241" s="451"/>
      <c r="U241" s="451"/>
      <c r="V241" s="451"/>
      <c r="W241" s="451"/>
      <c r="X241" s="451"/>
      <c r="Y241" s="929"/>
      <c r="Z241" s="929"/>
      <c r="AA241" s="929"/>
      <c r="AC241" s="451"/>
      <c r="AD241" s="451"/>
      <c r="AE241" s="451"/>
      <c r="AF241" s="451"/>
      <c r="AG241" s="451"/>
      <c r="AH241" s="929"/>
      <c r="AI241" s="929"/>
      <c r="AJ241" s="929"/>
    </row>
    <row r="242" customFormat="false" ht="12.75" hidden="false" customHeight="false" outlineLevel="0" collapsed="false">
      <c r="K242" s="451"/>
      <c r="L242" s="451"/>
      <c r="M242" s="451"/>
      <c r="N242" s="451"/>
      <c r="O242" s="451"/>
      <c r="P242" s="929"/>
      <c r="Q242" s="929"/>
      <c r="R242" s="929"/>
      <c r="T242" s="451"/>
      <c r="U242" s="451"/>
      <c r="V242" s="451"/>
      <c r="W242" s="451"/>
      <c r="X242" s="451"/>
      <c r="Y242" s="929"/>
      <c r="Z242" s="929"/>
      <c r="AA242" s="929"/>
      <c r="AC242" s="451"/>
      <c r="AD242" s="451"/>
      <c r="AE242" s="451"/>
      <c r="AF242" s="451"/>
      <c r="AG242" s="451"/>
      <c r="AH242" s="929"/>
      <c r="AI242" s="929"/>
      <c r="AJ242" s="929"/>
    </row>
    <row r="243" customFormat="false" ht="12.75" hidden="false" customHeight="false" outlineLevel="0" collapsed="false">
      <c r="K243" s="451"/>
      <c r="L243" s="451"/>
      <c r="M243" s="451"/>
      <c r="N243" s="451"/>
      <c r="O243" s="451"/>
      <c r="P243" s="929"/>
      <c r="Q243" s="929"/>
      <c r="R243" s="929"/>
      <c r="T243" s="451"/>
      <c r="U243" s="451"/>
      <c r="V243" s="451"/>
      <c r="W243" s="451"/>
      <c r="X243" s="451"/>
      <c r="Y243" s="929"/>
      <c r="Z243" s="929"/>
      <c r="AA243" s="929"/>
      <c r="AC243" s="451"/>
      <c r="AD243" s="451"/>
      <c r="AE243" s="451"/>
      <c r="AF243" s="451"/>
      <c r="AG243" s="451"/>
      <c r="AH243" s="929"/>
      <c r="AI243" s="929"/>
      <c r="AJ243" s="929"/>
    </row>
    <row r="244" customFormat="false" ht="12.75" hidden="false" customHeight="false" outlineLevel="0" collapsed="false">
      <c r="K244" s="451"/>
      <c r="L244" s="451"/>
      <c r="M244" s="451"/>
      <c r="N244" s="451"/>
      <c r="O244" s="451"/>
      <c r="P244" s="929"/>
      <c r="Q244" s="929"/>
      <c r="R244" s="929"/>
      <c r="T244" s="451"/>
      <c r="U244" s="451"/>
      <c r="V244" s="451"/>
      <c r="W244" s="451"/>
      <c r="X244" s="451"/>
      <c r="Y244" s="929"/>
      <c r="Z244" s="929"/>
      <c r="AA244" s="929"/>
      <c r="AC244" s="451"/>
      <c r="AD244" s="451"/>
      <c r="AE244" s="451"/>
      <c r="AF244" s="451"/>
      <c r="AG244" s="451"/>
      <c r="AH244" s="929"/>
      <c r="AI244" s="929"/>
      <c r="AJ244" s="929"/>
    </row>
    <row r="245" customFormat="false" ht="12.75" hidden="false" customHeight="false" outlineLevel="0" collapsed="false">
      <c r="K245" s="451"/>
      <c r="L245" s="451"/>
      <c r="M245" s="451"/>
      <c r="N245" s="451"/>
      <c r="O245" s="451"/>
      <c r="P245" s="929"/>
      <c r="Q245" s="929"/>
      <c r="R245" s="929"/>
      <c r="T245" s="451"/>
      <c r="U245" s="451"/>
      <c r="V245" s="451"/>
      <c r="W245" s="451"/>
      <c r="X245" s="451"/>
      <c r="Y245" s="929"/>
      <c r="Z245" s="929"/>
      <c r="AA245" s="929"/>
      <c r="AC245" s="451"/>
      <c r="AD245" s="451"/>
      <c r="AE245" s="451"/>
      <c r="AF245" s="451"/>
      <c r="AG245" s="451"/>
      <c r="AH245" s="929"/>
      <c r="AI245" s="929"/>
      <c r="AJ245" s="929"/>
    </row>
    <row r="246" customFormat="false" ht="12.75" hidden="false" customHeight="false" outlineLevel="0" collapsed="false">
      <c r="K246" s="451"/>
      <c r="L246" s="451"/>
      <c r="M246" s="451"/>
      <c r="N246" s="451"/>
      <c r="O246" s="451"/>
      <c r="P246" s="929"/>
      <c r="Q246" s="929"/>
      <c r="R246" s="929"/>
      <c r="T246" s="451"/>
      <c r="U246" s="451"/>
      <c r="V246" s="451"/>
      <c r="W246" s="451"/>
      <c r="X246" s="451"/>
      <c r="Y246" s="929"/>
      <c r="Z246" s="929"/>
      <c r="AA246" s="929"/>
      <c r="AC246" s="451"/>
      <c r="AD246" s="451"/>
      <c r="AE246" s="451"/>
      <c r="AF246" s="451"/>
      <c r="AG246" s="451"/>
      <c r="AH246" s="929"/>
      <c r="AI246" s="929"/>
      <c r="AJ246" s="929"/>
    </row>
    <row r="247" customFormat="false" ht="12.75" hidden="false" customHeight="false" outlineLevel="0" collapsed="false">
      <c r="K247" s="451"/>
      <c r="L247" s="451"/>
      <c r="M247" s="451"/>
      <c r="N247" s="451"/>
      <c r="O247" s="451"/>
      <c r="P247" s="929"/>
      <c r="Q247" s="929"/>
      <c r="R247" s="929"/>
      <c r="T247" s="451"/>
      <c r="U247" s="451"/>
      <c r="V247" s="451"/>
      <c r="W247" s="451"/>
      <c r="X247" s="451"/>
      <c r="Y247" s="929"/>
      <c r="Z247" s="929"/>
      <c r="AA247" s="929"/>
      <c r="AC247" s="451"/>
      <c r="AD247" s="451"/>
      <c r="AE247" s="451"/>
      <c r="AF247" s="451"/>
      <c r="AG247" s="451"/>
      <c r="AH247" s="929"/>
      <c r="AI247" s="929"/>
      <c r="AJ247" s="929"/>
    </row>
    <row r="248" customFormat="false" ht="12.75" hidden="false" customHeight="false" outlineLevel="0" collapsed="false">
      <c r="K248" s="451"/>
      <c r="L248" s="451"/>
      <c r="M248" s="451"/>
      <c r="N248" s="451"/>
      <c r="O248" s="451"/>
      <c r="P248" s="929"/>
      <c r="Q248" s="929"/>
      <c r="R248" s="929"/>
      <c r="T248" s="451"/>
      <c r="U248" s="451"/>
      <c r="V248" s="451"/>
      <c r="W248" s="451"/>
      <c r="X248" s="451"/>
      <c r="Y248" s="929"/>
      <c r="Z248" s="929"/>
      <c r="AA248" s="929"/>
      <c r="AC248" s="451"/>
      <c r="AD248" s="451"/>
      <c r="AE248" s="451"/>
      <c r="AF248" s="451"/>
      <c r="AG248" s="451"/>
      <c r="AH248" s="929"/>
      <c r="AI248" s="929"/>
      <c r="AJ248" s="929"/>
    </row>
    <row r="249" customFormat="false" ht="12.75" hidden="false" customHeight="false" outlineLevel="0" collapsed="false">
      <c r="K249" s="451"/>
      <c r="L249" s="451"/>
      <c r="M249" s="451"/>
      <c r="N249" s="451"/>
      <c r="O249" s="451"/>
      <c r="P249" s="929"/>
      <c r="Q249" s="929"/>
      <c r="R249" s="929"/>
      <c r="T249" s="451"/>
      <c r="U249" s="451"/>
      <c r="V249" s="451"/>
      <c r="W249" s="451"/>
      <c r="X249" s="451"/>
      <c r="Y249" s="929"/>
      <c r="Z249" s="929"/>
      <c r="AA249" s="929"/>
      <c r="AC249" s="451"/>
      <c r="AD249" s="451"/>
      <c r="AE249" s="451"/>
      <c r="AF249" s="451"/>
      <c r="AG249" s="451"/>
      <c r="AH249" s="929"/>
      <c r="AI249" s="929"/>
      <c r="AJ249" s="929"/>
    </row>
    <row r="250" customFormat="false" ht="12.75" hidden="false" customHeight="false" outlineLevel="0" collapsed="false">
      <c r="K250" s="451"/>
      <c r="L250" s="451"/>
      <c r="M250" s="451"/>
      <c r="N250" s="451"/>
      <c r="O250" s="451"/>
      <c r="P250" s="929"/>
      <c r="Q250" s="929"/>
      <c r="R250" s="929"/>
      <c r="T250" s="451"/>
      <c r="U250" s="451"/>
      <c r="V250" s="451"/>
      <c r="W250" s="451"/>
      <c r="X250" s="451"/>
      <c r="Y250" s="929"/>
      <c r="Z250" s="929"/>
      <c r="AA250" s="929"/>
      <c r="AC250" s="451"/>
      <c r="AD250" s="451"/>
      <c r="AE250" s="451"/>
      <c r="AF250" s="451"/>
      <c r="AG250" s="451"/>
      <c r="AH250" s="929"/>
      <c r="AI250" s="929"/>
      <c r="AJ250" s="929"/>
    </row>
    <row r="251" customFormat="false" ht="12.75" hidden="false" customHeight="false" outlineLevel="0" collapsed="false">
      <c r="K251" s="451"/>
      <c r="L251" s="451"/>
      <c r="M251" s="451"/>
      <c r="N251" s="451"/>
      <c r="O251" s="451"/>
      <c r="P251" s="929"/>
      <c r="Q251" s="929"/>
      <c r="R251" s="929"/>
      <c r="T251" s="451"/>
      <c r="U251" s="451"/>
      <c r="V251" s="451"/>
      <c r="W251" s="451"/>
      <c r="X251" s="451"/>
      <c r="Y251" s="929"/>
      <c r="Z251" s="929"/>
      <c r="AA251" s="929"/>
      <c r="AC251" s="451"/>
      <c r="AD251" s="451"/>
      <c r="AE251" s="451"/>
      <c r="AF251" s="451"/>
      <c r="AG251" s="451"/>
      <c r="AH251" s="929"/>
      <c r="AI251" s="929"/>
      <c r="AJ251" s="929"/>
    </row>
    <row r="252" customFormat="false" ht="12.75" hidden="false" customHeight="false" outlineLevel="0" collapsed="false">
      <c r="K252" s="451"/>
      <c r="L252" s="451"/>
      <c r="M252" s="451"/>
      <c r="N252" s="451"/>
      <c r="O252" s="451"/>
      <c r="P252" s="929"/>
      <c r="Q252" s="929"/>
      <c r="R252" s="929"/>
      <c r="T252" s="451"/>
      <c r="U252" s="451"/>
      <c r="V252" s="451"/>
      <c r="W252" s="451"/>
      <c r="X252" s="451"/>
      <c r="Y252" s="929"/>
      <c r="Z252" s="929"/>
      <c r="AA252" s="929"/>
      <c r="AC252" s="451"/>
      <c r="AD252" s="451"/>
      <c r="AE252" s="451"/>
      <c r="AF252" s="451"/>
      <c r="AG252" s="451"/>
      <c r="AH252" s="929"/>
      <c r="AI252" s="929"/>
      <c r="AJ252" s="929"/>
    </row>
    <row r="253" customFormat="false" ht="12.75" hidden="false" customHeight="false" outlineLevel="0" collapsed="false">
      <c r="K253" s="451"/>
      <c r="L253" s="451"/>
      <c r="M253" s="451"/>
      <c r="N253" s="451"/>
      <c r="O253" s="451"/>
      <c r="P253" s="929"/>
      <c r="Q253" s="929"/>
      <c r="R253" s="929"/>
      <c r="T253" s="451"/>
      <c r="U253" s="451"/>
      <c r="V253" s="451"/>
      <c r="W253" s="451"/>
      <c r="X253" s="451"/>
      <c r="Y253" s="929"/>
      <c r="Z253" s="929"/>
      <c r="AA253" s="929"/>
      <c r="AC253" s="451"/>
      <c r="AD253" s="451"/>
      <c r="AE253" s="451"/>
      <c r="AF253" s="451"/>
      <c r="AG253" s="451"/>
      <c r="AH253" s="929"/>
      <c r="AI253" s="929"/>
      <c r="AJ253" s="929"/>
    </row>
    <row r="254" customFormat="false" ht="12.75" hidden="false" customHeight="false" outlineLevel="0" collapsed="false">
      <c r="K254" s="451"/>
      <c r="L254" s="451"/>
      <c r="M254" s="451"/>
      <c r="N254" s="451"/>
      <c r="O254" s="451"/>
      <c r="P254" s="929"/>
      <c r="Q254" s="929"/>
      <c r="R254" s="929"/>
      <c r="T254" s="451"/>
      <c r="U254" s="451"/>
      <c r="V254" s="451"/>
      <c r="W254" s="451"/>
      <c r="X254" s="451"/>
      <c r="Y254" s="929"/>
      <c r="Z254" s="929"/>
      <c r="AA254" s="929"/>
      <c r="AC254" s="451"/>
      <c r="AD254" s="451"/>
      <c r="AE254" s="451"/>
      <c r="AF254" s="451"/>
      <c r="AG254" s="451"/>
      <c r="AH254" s="929"/>
      <c r="AI254" s="929"/>
      <c r="AJ254" s="929"/>
    </row>
    <row r="255" customFormat="false" ht="12.75" hidden="false" customHeight="false" outlineLevel="0" collapsed="false">
      <c r="K255" s="451"/>
      <c r="L255" s="451"/>
      <c r="M255" s="451"/>
      <c r="N255" s="451"/>
      <c r="O255" s="451"/>
      <c r="P255" s="929"/>
      <c r="Q255" s="929"/>
      <c r="R255" s="929"/>
      <c r="T255" s="451"/>
      <c r="U255" s="451"/>
      <c r="V255" s="451"/>
      <c r="W255" s="451"/>
      <c r="X255" s="451"/>
      <c r="Y255" s="929"/>
      <c r="Z255" s="929"/>
      <c r="AA255" s="929"/>
      <c r="AC255" s="451"/>
      <c r="AD255" s="451"/>
      <c r="AE255" s="451"/>
      <c r="AF255" s="451"/>
      <c r="AG255" s="451"/>
      <c r="AH255" s="929"/>
      <c r="AI255" s="929"/>
      <c r="AJ255" s="929"/>
    </row>
    <row r="256" customFormat="false" ht="12.75" hidden="false" customHeight="false" outlineLevel="0" collapsed="false">
      <c r="K256" s="451"/>
      <c r="L256" s="451"/>
      <c r="M256" s="451"/>
      <c r="N256" s="451"/>
      <c r="O256" s="451"/>
      <c r="P256" s="929"/>
      <c r="Q256" s="929"/>
      <c r="R256" s="929"/>
      <c r="T256" s="451"/>
      <c r="U256" s="451"/>
      <c r="V256" s="451"/>
      <c r="W256" s="451"/>
      <c r="X256" s="451"/>
      <c r="Y256" s="929"/>
      <c r="Z256" s="929"/>
      <c r="AA256" s="929"/>
      <c r="AC256" s="451"/>
      <c r="AD256" s="451"/>
      <c r="AE256" s="451"/>
      <c r="AF256" s="451"/>
      <c r="AG256" s="451"/>
      <c r="AH256" s="929"/>
      <c r="AI256" s="929"/>
      <c r="AJ256" s="929"/>
    </row>
    <row r="257" customFormat="false" ht="12.75" hidden="false" customHeight="false" outlineLevel="0" collapsed="false">
      <c r="K257" s="451"/>
      <c r="L257" s="451"/>
      <c r="M257" s="451"/>
      <c r="N257" s="451"/>
      <c r="O257" s="451"/>
      <c r="P257" s="929"/>
      <c r="Q257" s="929"/>
      <c r="R257" s="929"/>
      <c r="T257" s="451"/>
      <c r="U257" s="451"/>
      <c r="V257" s="451"/>
      <c r="W257" s="451"/>
      <c r="X257" s="451"/>
      <c r="Y257" s="929"/>
      <c r="Z257" s="929"/>
      <c r="AA257" s="929"/>
      <c r="AC257" s="451"/>
      <c r="AD257" s="451"/>
      <c r="AE257" s="451"/>
      <c r="AF257" s="451"/>
      <c r="AG257" s="451"/>
      <c r="AH257" s="929"/>
      <c r="AI257" s="929"/>
      <c r="AJ257" s="929"/>
    </row>
    <row r="258" customFormat="false" ht="12.75" hidden="false" customHeight="false" outlineLevel="0" collapsed="false">
      <c r="K258" s="451"/>
      <c r="L258" s="451"/>
      <c r="M258" s="451"/>
      <c r="N258" s="451"/>
      <c r="O258" s="451"/>
      <c r="P258" s="929"/>
      <c r="Q258" s="929"/>
      <c r="R258" s="929"/>
      <c r="T258" s="451"/>
      <c r="U258" s="451"/>
      <c r="V258" s="451"/>
      <c r="W258" s="451"/>
      <c r="X258" s="451"/>
      <c r="Y258" s="929"/>
      <c r="Z258" s="929"/>
      <c r="AA258" s="929"/>
      <c r="AC258" s="451"/>
      <c r="AD258" s="451"/>
      <c r="AE258" s="451"/>
      <c r="AF258" s="451"/>
      <c r="AG258" s="451"/>
      <c r="AH258" s="929"/>
      <c r="AI258" s="929"/>
      <c r="AJ258" s="929"/>
    </row>
    <row r="259" customFormat="false" ht="12.75" hidden="false" customHeight="false" outlineLevel="0" collapsed="false">
      <c r="K259" s="451"/>
      <c r="L259" s="451"/>
      <c r="M259" s="451"/>
      <c r="N259" s="451"/>
      <c r="O259" s="451"/>
      <c r="P259" s="929"/>
      <c r="Q259" s="929"/>
      <c r="R259" s="929"/>
      <c r="T259" s="451"/>
      <c r="U259" s="451"/>
      <c r="V259" s="451"/>
      <c r="W259" s="451"/>
      <c r="X259" s="451"/>
      <c r="Y259" s="929"/>
      <c r="Z259" s="929"/>
      <c r="AA259" s="929"/>
      <c r="AC259" s="451"/>
      <c r="AD259" s="451"/>
      <c r="AE259" s="451"/>
      <c r="AF259" s="451"/>
      <c r="AG259" s="451"/>
      <c r="AH259" s="929"/>
      <c r="AI259" s="929"/>
      <c r="AJ259" s="929"/>
    </row>
    <row r="260" customFormat="false" ht="12.75" hidden="false" customHeight="false" outlineLevel="0" collapsed="false">
      <c r="K260" s="451"/>
      <c r="L260" s="451"/>
      <c r="M260" s="451"/>
      <c r="N260" s="451"/>
      <c r="O260" s="451"/>
      <c r="P260" s="929"/>
      <c r="Q260" s="929"/>
      <c r="R260" s="929"/>
      <c r="T260" s="451"/>
      <c r="U260" s="451"/>
      <c r="V260" s="451"/>
      <c r="W260" s="451"/>
      <c r="X260" s="451"/>
      <c r="Y260" s="929"/>
      <c r="Z260" s="929"/>
      <c r="AA260" s="929"/>
      <c r="AC260" s="451"/>
      <c r="AD260" s="451"/>
      <c r="AE260" s="451"/>
      <c r="AF260" s="451"/>
      <c r="AG260" s="451"/>
      <c r="AH260" s="929"/>
      <c r="AI260" s="929"/>
      <c r="AJ260" s="929"/>
    </row>
    <row r="261" customFormat="false" ht="12.75" hidden="false" customHeight="false" outlineLevel="0" collapsed="false">
      <c r="K261" s="451"/>
      <c r="L261" s="451"/>
      <c r="M261" s="451"/>
      <c r="N261" s="451"/>
      <c r="O261" s="451"/>
      <c r="P261" s="929"/>
      <c r="Q261" s="929"/>
      <c r="R261" s="929"/>
      <c r="T261" s="451"/>
      <c r="U261" s="451"/>
      <c r="V261" s="451"/>
      <c r="W261" s="451"/>
      <c r="X261" s="451"/>
      <c r="Y261" s="929"/>
      <c r="Z261" s="929"/>
      <c r="AA261" s="929"/>
      <c r="AC261" s="451"/>
      <c r="AD261" s="451"/>
      <c r="AE261" s="451"/>
      <c r="AF261" s="451"/>
      <c r="AG261" s="451"/>
      <c r="AH261" s="929"/>
      <c r="AI261" s="929"/>
      <c r="AJ261" s="929"/>
    </row>
    <row r="262" customFormat="false" ht="12.75" hidden="false" customHeight="false" outlineLevel="0" collapsed="false">
      <c r="K262" s="451"/>
      <c r="L262" s="451"/>
      <c r="M262" s="451"/>
      <c r="N262" s="451"/>
      <c r="O262" s="451"/>
      <c r="P262" s="929"/>
      <c r="Q262" s="929"/>
      <c r="R262" s="929"/>
      <c r="T262" s="451"/>
      <c r="U262" s="451"/>
      <c r="V262" s="451"/>
      <c r="W262" s="451"/>
      <c r="X262" s="451"/>
      <c r="Y262" s="929"/>
      <c r="Z262" s="929"/>
      <c r="AA262" s="929"/>
      <c r="AC262" s="451"/>
      <c r="AD262" s="451"/>
      <c r="AE262" s="451"/>
      <c r="AF262" s="451"/>
      <c r="AG262" s="451"/>
      <c r="AH262" s="929"/>
      <c r="AI262" s="929"/>
      <c r="AJ262" s="929"/>
    </row>
    <row r="263" customFormat="false" ht="12.75" hidden="false" customHeight="false" outlineLevel="0" collapsed="false">
      <c r="K263" s="451"/>
      <c r="L263" s="451"/>
      <c r="M263" s="451"/>
      <c r="N263" s="451"/>
      <c r="O263" s="451"/>
      <c r="P263" s="929"/>
      <c r="Q263" s="929"/>
      <c r="R263" s="929"/>
      <c r="T263" s="451"/>
      <c r="U263" s="451"/>
      <c r="V263" s="451"/>
      <c r="W263" s="451"/>
      <c r="X263" s="451"/>
      <c r="Y263" s="929"/>
      <c r="Z263" s="929"/>
      <c r="AA263" s="929"/>
      <c r="AC263" s="451"/>
      <c r="AD263" s="451"/>
      <c r="AE263" s="451"/>
      <c r="AF263" s="451"/>
      <c r="AG263" s="451"/>
      <c r="AH263" s="929"/>
      <c r="AI263" s="929"/>
      <c r="AJ263" s="929"/>
    </row>
    <row r="264" customFormat="false" ht="12.75" hidden="false" customHeight="false" outlineLevel="0" collapsed="false">
      <c r="K264" s="451"/>
      <c r="L264" s="451"/>
      <c r="M264" s="451"/>
      <c r="N264" s="451"/>
      <c r="O264" s="451"/>
      <c r="P264" s="929"/>
      <c r="Q264" s="929"/>
      <c r="R264" s="929"/>
      <c r="T264" s="451"/>
      <c r="U264" s="451"/>
      <c r="V264" s="451"/>
      <c r="W264" s="451"/>
      <c r="X264" s="451"/>
      <c r="Y264" s="929"/>
      <c r="Z264" s="929"/>
      <c r="AA264" s="929"/>
      <c r="AC264" s="451"/>
      <c r="AD264" s="451"/>
      <c r="AE264" s="451"/>
      <c r="AF264" s="451"/>
      <c r="AG264" s="451"/>
      <c r="AH264" s="929"/>
      <c r="AI264" s="929"/>
      <c r="AJ264" s="929"/>
    </row>
    <row r="265" customFormat="false" ht="12.75" hidden="false" customHeight="false" outlineLevel="0" collapsed="false">
      <c r="K265" s="451"/>
      <c r="L265" s="451"/>
      <c r="M265" s="451"/>
      <c r="N265" s="451"/>
      <c r="O265" s="451"/>
      <c r="P265" s="929"/>
      <c r="Q265" s="929"/>
      <c r="R265" s="929"/>
      <c r="T265" s="451"/>
      <c r="U265" s="451"/>
      <c r="V265" s="451"/>
      <c r="W265" s="451"/>
      <c r="X265" s="451"/>
      <c r="Y265" s="929"/>
      <c r="Z265" s="929"/>
      <c r="AA265" s="929"/>
      <c r="AC265" s="451"/>
      <c r="AD265" s="451"/>
      <c r="AE265" s="451"/>
      <c r="AF265" s="451"/>
      <c r="AG265" s="451"/>
      <c r="AH265" s="929"/>
      <c r="AI265" s="929"/>
      <c r="AJ265" s="929"/>
    </row>
    <row r="266" customFormat="false" ht="12.75" hidden="false" customHeight="false" outlineLevel="0" collapsed="false">
      <c r="K266" s="451"/>
      <c r="L266" s="451"/>
      <c r="M266" s="451"/>
      <c r="N266" s="451"/>
      <c r="O266" s="451"/>
      <c r="P266" s="929"/>
      <c r="Q266" s="929"/>
      <c r="R266" s="929"/>
      <c r="T266" s="451"/>
      <c r="U266" s="451"/>
      <c r="V266" s="451"/>
      <c r="W266" s="451"/>
      <c r="X266" s="451"/>
      <c r="Y266" s="929"/>
      <c r="Z266" s="929"/>
      <c r="AA266" s="929"/>
      <c r="AC266" s="451"/>
      <c r="AD266" s="451"/>
      <c r="AE266" s="451"/>
      <c r="AF266" s="451"/>
      <c r="AG266" s="451"/>
      <c r="AH266" s="929"/>
      <c r="AI266" s="929"/>
      <c r="AJ266" s="929"/>
    </row>
    <row r="267" customFormat="false" ht="12.75" hidden="false" customHeight="false" outlineLevel="0" collapsed="false">
      <c r="K267" s="451"/>
      <c r="L267" s="451"/>
      <c r="M267" s="451"/>
      <c r="N267" s="451"/>
      <c r="O267" s="451"/>
      <c r="P267" s="929"/>
      <c r="Q267" s="929"/>
      <c r="R267" s="929"/>
      <c r="T267" s="451"/>
      <c r="U267" s="451"/>
      <c r="V267" s="451"/>
      <c r="W267" s="451"/>
      <c r="X267" s="451"/>
      <c r="Y267" s="929"/>
      <c r="Z267" s="929"/>
      <c r="AA267" s="929"/>
      <c r="AC267" s="451"/>
      <c r="AD267" s="451"/>
      <c r="AE267" s="451"/>
      <c r="AF267" s="451"/>
      <c r="AG267" s="451"/>
      <c r="AH267" s="929"/>
      <c r="AI267" s="929"/>
      <c r="AJ267" s="929"/>
    </row>
    <row r="268" customFormat="false" ht="12.75" hidden="false" customHeight="false" outlineLevel="0" collapsed="false">
      <c r="K268" s="451"/>
      <c r="L268" s="451"/>
      <c r="M268" s="451"/>
      <c r="N268" s="451"/>
      <c r="O268" s="451"/>
      <c r="P268" s="929"/>
      <c r="Q268" s="929"/>
      <c r="R268" s="929"/>
      <c r="T268" s="451"/>
      <c r="U268" s="451"/>
      <c r="V268" s="451"/>
      <c r="W268" s="451"/>
      <c r="X268" s="451"/>
      <c r="Y268" s="929"/>
      <c r="Z268" s="929"/>
      <c r="AA268" s="929"/>
      <c r="AC268" s="451"/>
      <c r="AD268" s="451"/>
      <c r="AE268" s="451"/>
      <c r="AF268" s="451"/>
      <c r="AG268" s="451"/>
      <c r="AH268" s="929"/>
      <c r="AI268" s="929"/>
      <c r="AJ268" s="929"/>
    </row>
    <row r="269" customFormat="false" ht="12.75" hidden="false" customHeight="false" outlineLevel="0" collapsed="false">
      <c r="K269" s="451"/>
      <c r="L269" s="451"/>
      <c r="M269" s="451"/>
      <c r="N269" s="451"/>
      <c r="O269" s="451"/>
      <c r="P269" s="929"/>
      <c r="Q269" s="929"/>
      <c r="R269" s="929"/>
      <c r="T269" s="451"/>
      <c r="U269" s="451"/>
      <c r="V269" s="451"/>
      <c r="W269" s="451"/>
      <c r="X269" s="451"/>
      <c r="Y269" s="929"/>
      <c r="Z269" s="929"/>
      <c r="AA269" s="929"/>
      <c r="AC269" s="451"/>
      <c r="AD269" s="451"/>
      <c r="AE269" s="451"/>
      <c r="AF269" s="451"/>
      <c r="AG269" s="451"/>
      <c r="AH269" s="929"/>
      <c r="AI269" s="929"/>
      <c r="AJ269" s="929"/>
    </row>
    <row r="270" customFormat="false" ht="12.75" hidden="false" customHeight="false" outlineLevel="0" collapsed="false">
      <c r="K270" s="451"/>
      <c r="L270" s="451"/>
      <c r="M270" s="451"/>
      <c r="N270" s="451"/>
      <c r="O270" s="451"/>
      <c r="P270" s="929"/>
      <c r="Q270" s="929"/>
      <c r="R270" s="929"/>
      <c r="T270" s="451"/>
      <c r="U270" s="451"/>
      <c r="V270" s="451"/>
      <c r="W270" s="451"/>
      <c r="X270" s="451"/>
      <c r="Y270" s="929"/>
      <c r="Z270" s="929"/>
      <c r="AA270" s="929"/>
      <c r="AC270" s="451"/>
      <c r="AD270" s="451"/>
      <c r="AE270" s="451"/>
      <c r="AF270" s="451"/>
      <c r="AG270" s="451"/>
      <c r="AH270" s="929"/>
      <c r="AI270" s="929"/>
      <c r="AJ270" s="929"/>
    </row>
    <row r="271" customFormat="false" ht="12.75" hidden="false" customHeight="false" outlineLevel="0" collapsed="false">
      <c r="K271" s="451"/>
      <c r="L271" s="451"/>
      <c r="M271" s="451"/>
      <c r="N271" s="451"/>
      <c r="O271" s="451"/>
      <c r="P271" s="929"/>
      <c r="Q271" s="929"/>
      <c r="R271" s="929"/>
      <c r="T271" s="451"/>
      <c r="U271" s="451"/>
      <c r="V271" s="451"/>
      <c r="W271" s="451"/>
      <c r="X271" s="451"/>
      <c r="Y271" s="929"/>
      <c r="Z271" s="929"/>
      <c r="AA271" s="929"/>
      <c r="AC271" s="451"/>
      <c r="AD271" s="451"/>
      <c r="AE271" s="451"/>
      <c r="AF271" s="451"/>
      <c r="AG271" s="451"/>
      <c r="AH271" s="929"/>
      <c r="AI271" s="929"/>
      <c r="AJ271" s="929"/>
    </row>
    <row r="272" customFormat="false" ht="12.75" hidden="false" customHeight="false" outlineLevel="0" collapsed="false">
      <c r="K272" s="451"/>
      <c r="L272" s="451"/>
      <c r="M272" s="451"/>
      <c r="N272" s="451"/>
      <c r="O272" s="451"/>
      <c r="P272" s="929"/>
      <c r="Q272" s="929"/>
      <c r="R272" s="929"/>
      <c r="T272" s="451"/>
      <c r="U272" s="451"/>
      <c r="V272" s="451"/>
      <c r="W272" s="451"/>
      <c r="X272" s="451"/>
      <c r="Y272" s="929"/>
      <c r="Z272" s="929"/>
      <c r="AA272" s="929"/>
      <c r="AC272" s="451"/>
      <c r="AD272" s="451"/>
      <c r="AE272" s="451"/>
      <c r="AF272" s="451"/>
      <c r="AG272" s="451"/>
      <c r="AH272" s="929"/>
      <c r="AI272" s="929"/>
      <c r="AJ272" s="929"/>
    </row>
    <row r="273" customFormat="false" ht="12.75" hidden="false" customHeight="false" outlineLevel="0" collapsed="false">
      <c r="K273" s="451"/>
      <c r="L273" s="451"/>
      <c r="M273" s="451"/>
      <c r="N273" s="451"/>
      <c r="O273" s="451"/>
      <c r="P273" s="929"/>
      <c r="Q273" s="929"/>
      <c r="R273" s="929"/>
      <c r="T273" s="451"/>
      <c r="U273" s="451"/>
      <c r="V273" s="451"/>
      <c r="W273" s="451"/>
      <c r="X273" s="451"/>
      <c r="Y273" s="929"/>
      <c r="Z273" s="929"/>
      <c r="AA273" s="929"/>
      <c r="AC273" s="451"/>
      <c r="AD273" s="451"/>
      <c r="AE273" s="451"/>
      <c r="AF273" s="451"/>
      <c r="AG273" s="451"/>
      <c r="AH273" s="929"/>
      <c r="AI273" s="929"/>
      <c r="AJ273" s="929"/>
    </row>
    <row r="274" customFormat="false" ht="12.75" hidden="false" customHeight="false" outlineLevel="0" collapsed="false">
      <c r="K274" s="451"/>
      <c r="L274" s="451"/>
      <c r="M274" s="451"/>
      <c r="N274" s="451"/>
      <c r="O274" s="451"/>
      <c r="P274" s="929"/>
      <c r="Q274" s="929"/>
      <c r="R274" s="929"/>
      <c r="T274" s="451"/>
      <c r="U274" s="451"/>
      <c r="V274" s="451"/>
      <c r="W274" s="451"/>
      <c r="X274" s="451"/>
      <c r="Y274" s="929"/>
      <c r="Z274" s="929"/>
      <c r="AA274" s="929"/>
      <c r="AC274" s="451"/>
      <c r="AD274" s="451"/>
      <c r="AE274" s="451"/>
      <c r="AF274" s="451"/>
      <c r="AG274" s="451"/>
      <c r="AH274" s="929"/>
      <c r="AI274" s="929"/>
      <c r="AJ274" s="929"/>
    </row>
    <row r="275" customFormat="false" ht="12.75" hidden="false" customHeight="false" outlineLevel="0" collapsed="false">
      <c r="K275" s="451"/>
      <c r="L275" s="451"/>
      <c r="M275" s="451"/>
      <c r="N275" s="451"/>
      <c r="O275" s="451"/>
      <c r="P275" s="929"/>
      <c r="Q275" s="929"/>
      <c r="R275" s="929"/>
      <c r="T275" s="451"/>
      <c r="U275" s="451"/>
      <c r="V275" s="451"/>
      <c r="W275" s="451"/>
      <c r="X275" s="451"/>
      <c r="Y275" s="929"/>
      <c r="Z275" s="929"/>
      <c r="AA275" s="929"/>
      <c r="AC275" s="451"/>
      <c r="AD275" s="451"/>
      <c r="AE275" s="451"/>
      <c r="AF275" s="451"/>
      <c r="AG275" s="451"/>
      <c r="AH275" s="929"/>
      <c r="AI275" s="929"/>
      <c r="AJ275" s="929"/>
    </row>
    <row r="276" customFormat="false" ht="12.75" hidden="false" customHeight="false" outlineLevel="0" collapsed="false">
      <c r="K276" s="451"/>
      <c r="L276" s="451"/>
      <c r="M276" s="451"/>
      <c r="N276" s="451"/>
      <c r="O276" s="451"/>
      <c r="P276" s="929"/>
      <c r="Q276" s="929"/>
      <c r="R276" s="929"/>
      <c r="T276" s="451"/>
      <c r="U276" s="451"/>
      <c r="V276" s="451"/>
      <c r="W276" s="451"/>
      <c r="X276" s="451"/>
      <c r="Y276" s="929"/>
      <c r="Z276" s="929"/>
      <c r="AA276" s="929"/>
      <c r="AC276" s="451"/>
      <c r="AD276" s="451"/>
      <c r="AE276" s="451"/>
      <c r="AF276" s="451"/>
      <c r="AG276" s="451"/>
      <c r="AH276" s="929"/>
      <c r="AI276" s="929"/>
      <c r="AJ276" s="929"/>
    </row>
    <row r="277" customFormat="false" ht="12.75" hidden="false" customHeight="false" outlineLevel="0" collapsed="false">
      <c r="K277" s="451"/>
      <c r="L277" s="451"/>
      <c r="M277" s="451"/>
      <c r="N277" s="451"/>
      <c r="O277" s="451"/>
      <c r="P277" s="929"/>
      <c r="Q277" s="929"/>
      <c r="R277" s="929"/>
      <c r="T277" s="451"/>
      <c r="U277" s="451"/>
      <c r="V277" s="451"/>
      <c r="W277" s="451"/>
      <c r="X277" s="451"/>
      <c r="Y277" s="929"/>
      <c r="Z277" s="929"/>
      <c r="AA277" s="929"/>
      <c r="AC277" s="451"/>
      <c r="AD277" s="451"/>
      <c r="AE277" s="451"/>
      <c r="AF277" s="451"/>
      <c r="AG277" s="451"/>
      <c r="AH277" s="929"/>
      <c r="AI277" s="929"/>
      <c r="AJ277" s="929"/>
    </row>
    <row r="278" customFormat="false" ht="12.75" hidden="false" customHeight="false" outlineLevel="0" collapsed="false">
      <c r="K278" s="451"/>
      <c r="L278" s="451"/>
      <c r="M278" s="451"/>
      <c r="N278" s="451"/>
      <c r="O278" s="451"/>
      <c r="P278" s="929"/>
      <c r="Q278" s="929"/>
      <c r="R278" s="929"/>
      <c r="T278" s="451"/>
      <c r="U278" s="451"/>
      <c r="V278" s="451"/>
      <c r="W278" s="451"/>
      <c r="X278" s="451"/>
      <c r="Y278" s="929"/>
      <c r="Z278" s="929"/>
      <c r="AA278" s="929"/>
      <c r="AC278" s="451"/>
      <c r="AD278" s="451"/>
      <c r="AE278" s="451"/>
      <c r="AF278" s="451"/>
      <c r="AG278" s="451"/>
      <c r="AH278" s="929"/>
      <c r="AI278" s="929"/>
      <c r="AJ278" s="929"/>
    </row>
    <row r="279" customFormat="false" ht="12.75" hidden="false" customHeight="false" outlineLevel="0" collapsed="false">
      <c r="K279" s="451"/>
      <c r="L279" s="451"/>
      <c r="M279" s="451"/>
      <c r="N279" s="451"/>
      <c r="O279" s="451"/>
      <c r="P279" s="929"/>
      <c r="Q279" s="929"/>
      <c r="R279" s="929"/>
      <c r="T279" s="451"/>
      <c r="U279" s="451"/>
      <c r="V279" s="451"/>
      <c r="W279" s="451"/>
      <c r="X279" s="451"/>
      <c r="Y279" s="929"/>
      <c r="Z279" s="929"/>
      <c r="AA279" s="929"/>
      <c r="AC279" s="451"/>
      <c r="AD279" s="451"/>
      <c r="AE279" s="451"/>
      <c r="AF279" s="451"/>
      <c r="AG279" s="451"/>
      <c r="AH279" s="929"/>
      <c r="AI279" s="929"/>
      <c r="AJ279" s="929"/>
    </row>
    <row r="280" customFormat="false" ht="12.75" hidden="false" customHeight="false" outlineLevel="0" collapsed="false">
      <c r="K280" s="451"/>
      <c r="L280" s="451"/>
      <c r="M280" s="451"/>
      <c r="N280" s="451"/>
      <c r="O280" s="451"/>
      <c r="P280" s="929"/>
      <c r="Q280" s="929"/>
      <c r="R280" s="929"/>
      <c r="T280" s="451"/>
      <c r="U280" s="451"/>
      <c r="V280" s="451"/>
      <c r="W280" s="451"/>
      <c r="X280" s="451"/>
      <c r="Y280" s="929"/>
      <c r="Z280" s="929"/>
      <c r="AA280" s="929"/>
      <c r="AC280" s="451"/>
      <c r="AD280" s="451"/>
      <c r="AE280" s="451"/>
      <c r="AF280" s="451"/>
      <c r="AG280" s="451"/>
      <c r="AH280" s="929"/>
      <c r="AI280" s="929"/>
      <c r="AJ280" s="929"/>
    </row>
    <row r="281" customFormat="false" ht="12.75" hidden="false" customHeight="false" outlineLevel="0" collapsed="false">
      <c r="K281" s="451"/>
      <c r="L281" s="451"/>
      <c r="M281" s="451"/>
      <c r="N281" s="451"/>
      <c r="O281" s="451"/>
      <c r="P281" s="929"/>
      <c r="Q281" s="929"/>
      <c r="R281" s="929"/>
      <c r="T281" s="451"/>
      <c r="U281" s="451"/>
      <c r="V281" s="451"/>
      <c r="W281" s="451"/>
      <c r="X281" s="451"/>
      <c r="Y281" s="929"/>
      <c r="Z281" s="929"/>
      <c r="AA281" s="929"/>
      <c r="AC281" s="451"/>
      <c r="AD281" s="451"/>
      <c r="AE281" s="451"/>
      <c r="AF281" s="451"/>
      <c r="AG281" s="451"/>
      <c r="AH281" s="929"/>
      <c r="AI281" s="929"/>
      <c r="AJ281" s="929"/>
    </row>
    <row r="282" customFormat="false" ht="12.75" hidden="false" customHeight="false" outlineLevel="0" collapsed="false">
      <c r="K282" s="451"/>
      <c r="L282" s="451"/>
      <c r="M282" s="451"/>
      <c r="N282" s="451"/>
      <c r="O282" s="451"/>
      <c r="P282" s="929"/>
      <c r="Q282" s="929"/>
      <c r="R282" s="929"/>
      <c r="T282" s="451"/>
      <c r="U282" s="451"/>
      <c r="V282" s="451"/>
      <c r="W282" s="451"/>
      <c r="X282" s="451"/>
      <c r="Y282" s="929"/>
      <c r="Z282" s="929"/>
      <c r="AA282" s="929"/>
      <c r="AC282" s="451"/>
      <c r="AD282" s="451"/>
      <c r="AE282" s="451"/>
      <c r="AF282" s="451"/>
      <c r="AG282" s="451"/>
      <c r="AH282" s="929"/>
      <c r="AI282" s="929"/>
      <c r="AJ282" s="929"/>
    </row>
    <row r="283" customFormat="false" ht="12.75" hidden="false" customHeight="false" outlineLevel="0" collapsed="false">
      <c r="K283" s="451"/>
      <c r="L283" s="451"/>
      <c r="M283" s="451"/>
      <c r="N283" s="451"/>
      <c r="O283" s="451"/>
      <c r="P283" s="929"/>
      <c r="Q283" s="929"/>
      <c r="R283" s="929"/>
      <c r="T283" s="451"/>
      <c r="U283" s="451"/>
      <c r="V283" s="451"/>
      <c r="W283" s="451"/>
      <c r="X283" s="451"/>
      <c r="Y283" s="929"/>
      <c r="Z283" s="929"/>
      <c r="AA283" s="929"/>
      <c r="AC283" s="451"/>
      <c r="AD283" s="451"/>
      <c r="AE283" s="451"/>
      <c r="AF283" s="451"/>
      <c r="AG283" s="451"/>
      <c r="AH283" s="929"/>
      <c r="AI283" s="929"/>
      <c r="AJ283" s="929"/>
    </row>
    <row r="284" customFormat="false" ht="12.75" hidden="false" customHeight="false" outlineLevel="0" collapsed="false">
      <c r="K284" s="451"/>
      <c r="L284" s="451"/>
      <c r="M284" s="451"/>
      <c r="N284" s="451"/>
      <c r="O284" s="451"/>
      <c r="P284" s="929"/>
      <c r="Q284" s="929"/>
      <c r="R284" s="929"/>
      <c r="T284" s="451"/>
      <c r="U284" s="451"/>
      <c r="V284" s="451"/>
      <c r="W284" s="451"/>
      <c r="X284" s="451"/>
      <c r="Y284" s="929"/>
      <c r="Z284" s="929"/>
      <c r="AA284" s="929"/>
      <c r="AC284" s="451"/>
      <c r="AD284" s="451"/>
      <c r="AE284" s="451"/>
      <c r="AF284" s="451"/>
      <c r="AG284" s="451"/>
      <c r="AH284" s="929"/>
      <c r="AI284" s="929"/>
      <c r="AJ284" s="929"/>
    </row>
    <row r="285" customFormat="false" ht="12.75" hidden="false" customHeight="false" outlineLevel="0" collapsed="false">
      <c r="K285" s="451"/>
      <c r="L285" s="451"/>
      <c r="M285" s="451"/>
      <c r="N285" s="451"/>
      <c r="O285" s="451"/>
      <c r="P285" s="929"/>
      <c r="Q285" s="929"/>
      <c r="R285" s="929"/>
      <c r="T285" s="451"/>
      <c r="U285" s="451"/>
      <c r="V285" s="451"/>
      <c r="W285" s="451"/>
      <c r="X285" s="451"/>
      <c r="Y285" s="929"/>
      <c r="Z285" s="929"/>
      <c r="AA285" s="929"/>
      <c r="AC285" s="451"/>
      <c r="AD285" s="451"/>
      <c r="AE285" s="451"/>
      <c r="AF285" s="451"/>
      <c r="AG285" s="451"/>
      <c r="AH285" s="929"/>
      <c r="AI285" s="929"/>
      <c r="AJ285" s="929"/>
    </row>
    <row r="286" customFormat="false" ht="12.75" hidden="false" customHeight="false" outlineLevel="0" collapsed="false">
      <c r="K286" s="451"/>
      <c r="L286" s="451"/>
      <c r="M286" s="451"/>
      <c r="N286" s="451"/>
      <c r="O286" s="451"/>
      <c r="P286" s="929"/>
      <c r="Q286" s="929"/>
      <c r="R286" s="929"/>
      <c r="T286" s="451"/>
      <c r="U286" s="451"/>
      <c r="V286" s="451"/>
      <c r="W286" s="451"/>
      <c r="X286" s="451"/>
      <c r="Y286" s="929"/>
      <c r="Z286" s="929"/>
      <c r="AA286" s="929"/>
      <c r="AC286" s="451"/>
      <c r="AD286" s="451"/>
      <c r="AE286" s="451"/>
      <c r="AF286" s="451"/>
      <c r="AG286" s="451"/>
      <c r="AH286" s="929"/>
      <c r="AI286" s="929"/>
      <c r="AJ286" s="929"/>
    </row>
    <row r="287" customFormat="false" ht="12.75" hidden="false" customHeight="false" outlineLevel="0" collapsed="false">
      <c r="K287" s="451"/>
      <c r="L287" s="451"/>
      <c r="M287" s="451"/>
      <c r="N287" s="451"/>
      <c r="O287" s="451"/>
      <c r="P287" s="929"/>
      <c r="Q287" s="929"/>
      <c r="R287" s="929"/>
      <c r="T287" s="451"/>
      <c r="U287" s="451"/>
      <c r="V287" s="451"/>
      <c r="W287" s="451"/>
      <c r="X287" s="451"/>
      <c r="Y287" s="929"/>
      <c r="Z287" s="929"/>
      <c r="AA287" s="929"/>
      <c r="AC287" s="451"/>
      <c r="AD287" s="451"/>
      <c r="AE287" s="451"/>
      <c r="AF287" s="451"/>
      <c r="AG287" s="451"/>
      <c r="AH287" s="929"/>
      <c r="AI287" s="929"/>
      <c r="AJ287" s="929"/>
    </row>
    <row r="288" customFormat="false" ht="12.75" hidden="false" customHeight="false" outlineLevel="0" collapsed="false">
      <c r="K288" s="451"/>
      <c r="L288" s="451"/>
      <c r="M288" s="451"/>
      <c r="N288" s="451"/>
      <c r="O288" s="451"/>
      <c r="P288" s="929"/>
      <c r="Q288" s="929"/>
      <c r="R288" s="929"/>
      <c r="T288" s="451"/>
      <c r="U288" s="451"/>
      <c r="V288" s="451"/>
      <c r="W288" s="451"/>
      <c r="X288" s="451"/>
      <c r="Y288" s="929"/>
      <c r="Z288" s="929"/>
      <c r="AA288" s="929"/>
      <c r="AC288" s="451"/>
      <c r="AD288" s="451"/>
      <c r="AE288" s="451"/>
      <c r="AF288" s="451"/>
      <c r="AG288" s="451"/>
      <c r="AH288" s="929"/>
      <c r="AI288" s="929"/>
      <c r="AJ288" s="929"/>
    </row>
    <row r="289" customFormat="false" ht="12.75" hidden="false" customHeight="false" outlineLevel="0" collapsed="false">
      <c r="K289" s="451"/>
      <c r="L289" s="451"/>
      <c r="M289" s="451"/>
      <c r="N289" s="451"/>
      <c r="O289" s="451"/>
      <c r="P289" s="929"/>
      <c r="Q289" s="929"/>
      <c r="R289" s="929"/>
      <c r="T289" s="451"/>
      <c r="U289" s="451"/>
      <c r="V289" s="451"/>
      <c r="W289" s="451"/>
      <c r="X289" s="451"/>
      <c r="Y289" s="929"/>
      <c r="Z289" s="929"/>
      <c r="AA289" s="929"/>
      <c r="AC289" s="451"/>
      <c r="AD289" s="451"/>
      <c r="AE289" s="451"/>
      <c r="AF289" s="451"/>
      <c r="AG289" s="451"/>
      <c r="AH289" s="929"/>
      <c r="AI289" s="929"/>
      <c r="AJ289" s="929"/>
    </row>
    <row r="290" customFormat="false" ht="12.75" hidden="false" customHeight="false" outlineLevel="0" collapsed="false">
      <c r="K290" s="451"/>
      <c r="L290" s="451"/>
      <c r="M290" s="451"/>
      <c r="N290" s="451"/>
      <c r="O290" s="451"/>
      <c r="P290" s="929"/>
      <c r="Q290" s="929"/>
      <c r="R290" s="929"/>
      <c r="T290" s="451"/>
      <c r="U290" s="451"/>
      <c r="V290" s="451"/>
      <c r="W290" s="451"/>
      <c r="X290" s="451"/>
      <c r="Y290" s="929"/>
      <c r="Z290" s="929"/>
      <c r="AA290" s="929"/>
      <c r="AC290" s="451"/>
      <c r="AD290" s="451"/>
      <c r="AE290" s="451"/>
      <c r="AF290" s="451"/>
      <c r="AG290" s="451"/>
      <c r="AH290" s="929"/>
      <c r="AI290" s="929"/>
      <c r="AJ290" s="929"/>
    </row>
    <row r="291" customFormat="false" ht="12.75" hidden="false" customHeight="false" outlineLevel="0" collapsed="false">
      <c r="K291" s="451"/>
      <c r="L291" s="451"/>
      <c r="M291" s="451"/>
      <c r="N291" s="451"/>
      <c r="O291" s="451"/>
      <c r="P291" s="929"/>
      <c r="Q291" s="929"/>
      <c r="R291" s="929"/>
      <c r="T291" s="451"/>
      <c r="U291" s="451"/>
      <c r="V291" s="451"/>
      <c r="W291" s="451"/>
      <c r="X291" s="451"/>
      <c r="Y291" s="929"/>
      <c r="Z291" s="929"/>
      <c r="AA291" s="929"/>
      <c r="AC291" s="451"/>
      <c r="AD291" s="451"/>
      <c r="AE291" s="451"/>
      <c r="AF291" s="451"/>
      <c r="AG291" s="451"/>
      <c r="AH291" s="929"/>
      <c r="AI291" s="929"/>
      <c r="AJ291" s="929"/>
    </row>
    <row r="292" customFormat="false" ht="12.75" hidden="false" customHeight="false" outlineLevel="0" collapsed="false">
      <c r="K292" s="451"/>
      <c r="L292" s="451"/>
      <c r="M292" s="451"/>
      <c r="N292" s="451"/>
      <c r="O292" s="451"/>
      <c r="P292" s="929"/>
      <c r="Q292" s="929"/>
      <c r="R292" s="929"/>
      <c r="T292" s="451"/>
      <c r="U292" s="451"/>
      <c r="V292" s="451"/>
      <c r="W292" s="451"/>
      <c r="X292" s="451"/>
      <c r="Y292" s="929"/>
      <c r="Z292" s="929"/>
      <c r="AA292" s="929"/>
      <c r="AC292" s="451"/>
      <c r="AD292" s="451"/>
      <c r="AE292" s="451"/>
      <c r="AF292" s="451"/>
      <c r="AG292" s="451"/>
      <c r="AH292" s="929"/>
      <c r="AI292" s="929"/>
      <c r="AJ292" s="929"/>
    </row>
    <row r="293" customFormat="false" ht="12.75" hidden="false" customHeight="false" outlineLevel="0" collapsed="false">
      <c r="K293" s="451"/>
      <c r="L293" s="451"/>
      <c r="M293" s="451"/>
      <c r="N293" s="451"/>
      <c r="O293" s="451"/>
      <c r="P293" s="929"/>
      <c r="Q293" s="929"/>
      <c r="R293" s="929"/>
      <c r="T293" s="451"/>
      <c r="U293" s="451"/>
      <c r="V293" s="451"/>
      <c r="W293" s="451"/>
      <c r="X293" s="451"/>
      <c r="Y293" s="929"/>
      <c r="Z293" s="929"/>
      <c r="AA293" s="929"/>
      <c r="AC293" s="451"/>
      <c r="AD293" s="451"/>
      <c r="AE293" s="451"/>
      <c r="AF293" s="451"/>
      <c r="AG293" s="451"/>
      <c r="AH293" s="929"/>
      <c r="AI293" s="929"/>
      <c r="AJ293" s="929"/>
    </row>
    <row r="294" customFormat="false" ht="12.75" hidden="false" customHeight="false" outlineLevel="0" collapsed="false">
      <c r="K294" s="451"/>
      <c r="L294" s="451"/>
      <c r="M294" s="451"/>
      <c r="N294" s="451"/>
      <c r="O294" s="451"/>
      <c r="P294" s="929"/>
      <c r="Q294" s="929"/>
      <c r="R294" s="929"/>
      <c r="T294" s="451"/>
      <c r="U294" s="451"/>
      <c r="V294" s="451"/>
      <c r="W294" s="451"/>
      <c r="X294" s="451"/>
      <c r="Y294" s="929"/>
      <c r="Z294" s="929"/>
      <c r="AA294" s="929"/>
      <c r="AC294" s="451"/>
      <c r="AD294" s="451"/>
      <c r="AE294" s="451"/>
      <c r="AF294" s="451"/>
      <c r="AG294" s="451"/>
      <c r="AH294" s="929"/>
      <c r="AI294" s="929"/>
      <c r="AJ294" s="929"/>
    </row>
    <row r="295" customFormat="false" ht="12.75" hidden="false" customHeight="false" outlineLevel="0" collapsed="false">
      <c r="K295" s="451"/>
      <c r="L295" s="451"/>
      <c r="M295" s="451"/>
      <c r="N295" s="451"/>
      <c r="O295" s="451"/>
      <c r="P295" s="929"/>
      <c r="Q295" s="929"/>
      <c r="R295" s="929"/>
      <c r="T295" s="451"/>
      <c r="U295" s="451"/>
      <c r="V295" s="451"/>
      <c r="W295" s="451"/>
      <c r="X295" s="451"/>
      <c r="Y295" s="929"/>
      <c r="Z295" s="929"/>
      <c r="AA295" s="929"/>
      <c r="AC295" s="451"/>
      <c r="AD295" s="451"/>
      <c r="AE295" s="451"/>
      <c r="AF295" s="451"/>
      <c r="AG295" s="451"/>
      <c r="AH295" s="929"/>
      <c r="AI295" s="929"/>
      <c r="AJ295" s="929"/>
    </row>
    <row r="296" customFormat="false" ht="12.75" hidden="false" customHeight="false" outlineLevel="0" collapsed="false">
      <c r="K296" s="451"/>
      <c r="L296" s="451"/>
      <c r="M296" s="451"/>
      <c r="N296" s="451"/>
      <c r="O296" s="451"/>
      <c r="P296" s="929"/>
      <c r="Q296" s="929"/>
      <c r="R296" s="929"/>
      <c r="T296" s="451"/>
      <c r="U296" s="451"/>
      <c r="V296" s="451"/>
      <c r="W296" s="451"/>
      <c r="X296" s="451"/>
      <c r="Y296" s="929"/>
      <c r="Z296" s="929"/>
      <c r="AA296" s="929"/>
      <c r="AC296" s="451"/>
      <c r="AD296" s="451"/>
      <c r="AE296" s="451"/>
      <c r="AF296" s="451"/>
      <c r="AG296" s="451"/>
      <c r="AH296" s="929"/>
      <c r="AI296" s="929"/>
      <c r="AJ296" s="929"/>
    </row>
    <row r="297" customFormat="false" ht="12.75" hidden="false" customHeight="false" outlineLevel="0" collapsed="false">
      <c r="K297" s="451"/>
      <c r="L297" s="451"/>
      <c r="M297" s="451"/>
      <c r="N297" s="451"/>
      <c r="O297" s="451"/>
      <c r="P297" s="929"/>
      <c r="Q297" s="929"/>
      <c r="R297" s="929"/>
      <c r="T297" s="451"/>
      <c r="U297" s="451"/>
      <c r="V297" s="451"/>
      <c r="W297" s="451"/>
      <c r="X297" s="451"/>
      <c r="Y297" s="929"/>
      <c r="Z297" s="929"/>
      <c r="AA297" s="929"/>
      <c r="AC297" s="451"/>
      <c r="AD297" s="451"/>
      <c r="AE297" s="451"/>
      <c r="AF297" s="451"/>
      <c r="AG297" s="451"/>
      <c r="AH297" s="929"/>
      <c r="AI297" s="929"/>
      <c r="AJ297" s="929"/>
    </row>
    <row r="298" customFormat="false" ht="12.75" hidden="false" customHeight="false" outlineLevel="0" collapsed="false">
      <c r="K298" s="451"/>
      <c r="L298" s="451"/>
      <c r="M298" s="451"/>
      <c r="N298" s="451"/>
      <c r="O298" s="451"/>
      <c r="P298" s="929"/>
      <c r="Q298" s="929"/>
      <c r="R298" s="929"/>
      <c r="T298" s="451"/>
      <c r="U298" s="451"/>
      <c r="V298" s="451"/>
      <c r="W298" s="451"/>
      <c r="X298" s="451"/>
      <c r="Y298" s="929"/>
      <c r="Z298" s="929"/>
      <c r="AA298" s="929"/>
      <c r="AC298" s="451"/>
      <c r="AD298" s="451"/>
      <c r="AE298" s="451"/>
      <c r="AF298" s="451"/>
      <c r="AG298" s="451"/>
      <c r="AH298" s="929"/>
      <c r="AI298" s="929"/>
      <c r="AJ298" s="929"/>
    </row>
    <row r="299" customFormat="false" ht="12.75" hidden="false" customHeight="false" outlineLevel="0" collapsed="false">
      <c r="K299" s="451"/>
      <c r="L299" s="451"/>
      <c r="M299" s="451"/>
      <c r="N299" s="451"/>
      <c r="O299" s="451"/>
      <c r="P299" s="929"/>
      <c r="Q299" s="929"/>
      <c r="R299" s="929"/>
      <c r="T299" s="451"/>
      <c r="U299" s="451"/>
      <c r="V299" s="451"/>
      <c r="W299" s="451"/>
      <c r="X299" s="451"/>
      <c r="Y299" s="929"/>
      <c r="Z299" s="929"/>
      <c r="AA299" s="929"/>
      <c r="AC299" s="451"/>
      <c r="AD299" s="451"/>
      <c r="AE299" s="451"/>
      <c r="AF299" s="451"/>
      <c r="AG299" s="451"/>
      <c r="AH299" s="929"/>
      <c r="AI299" s="929"/>
      <c r="AJ299" s="929"/>
    </row>
    <row r="300" customFormat="false" ht="12.75" hidden="false" customHeight="false" outlineLevel="0" collapsed="false">
      <c r="K300" s="451"/>
      <c r="L300" s="451"/>
      <c r="M300" s="451"/>
      <c r="N300" s="451"/>
      <c r="O300" s="451"/>
      <c r="P300" s="929"/>
      <c r="Q300" s="929"/>
      <c r="R300" s="929"/>
      <c r="T300" s="451"/>
      <c r="U300" s="451"/>
      <c r="V300" s="451"/>
      <c r="W300" s="451"/>
      <c r="X300" s="451"/>
      <c r="Y300" s="929"/>
      <c r="Z300" s="929"/>
      <c r="AA300" s="929"/>
      <c r="AC300" s="451"/>
      <c r="AD300" s="451"/>
      <c r="AE300" s="451"/>
      <c r="AF300" s="451"/>
      <c r="AG300" s="451"/>
      <c r="AH300" s="929"/>
      <c r="AI300" s="929"/>
      <c r="AJ300" s="929"/>
    </row>
    <row r="301" customFormat="false" ht="12.75" hidden="false" customHeight="false" outlineLevel="0" collapsed="false">
      <c r="K301" s="451"/>
      <c r="L301" s="451"/>
      <c r="M301" s="451"/>
      <c r="N301" s="451"/>
      <c r="O301" s="451"/>
      <c r="P301" s="929"/>
      <c r="Q301" s="929"/>
      <c r="R301" s="929"/>
      <c r="T301" s="451"/>
      <c r="U301" s="451"/>
      <c r="V301" s="451"/>
      <c r="W301" s="451"/>
      <c r="X301" s="451"/>
      <c r="Y301" s="929"/>
      <c r="Z301" s="929"/>
      <c r="AA301" s="929"/>
      <c r="AC301" s="451"/>
      <c r="AD301" s="451"/>
      <c r="AE301" s="451"/>
      <c r="AF301" s="451"/>
      <c r="AG301" s="451"/>
      <c r="AH301" s="929"/>
      <c r="AI301" s="929"/>
      <c r="AJ301" s="929"/>
    </row>
    <row r="302" customFormat="false" ht="12.75" hidden="false" customHeight="false" outlineLevel="0" collapsed="false">
      <c r="K302" s="451"/>
      <c r="L302" s="451"/>
      <c r="M302" s="451"/>
      <c r="N302" s="451"/>
      <c r="O302" s="451"/>
      <c r="P302" s="929"/>
      <c r="Q302" s="929"/>
      <c r="R302" s="929"/>
      <c r="T302" s="451"/>
      <c r="U302" s="451"/>
      <c r="V302" s="451"/>
      <c r="W302" s="451"/>
      <c r="X302" s="451"/>
      <c r="Y302" s="929"/>
      <c r="Z302" s="929"/>
      <c r="AA302" s="929"/>
      <c r="AC302" s="451"/>
      <c r="AD302" s="451"/>
      <c r="AE302" s="451"/>
      <c r="AF302" s="451"/>
      <c r="AG302" s="451"/>
      <c r="AH302" s="929"/>
      <c r="AI302" s="929"/>
      <c r="AJ302" s="929"/>
    </row>
    <row r="303" customFormat="false" ht="12.75" hidden="false" customHeight="false" outlineLevel="0" collapsed="false">
      <c r="K303" s="451"/>
      <c r="L303" s="451"/>
      <c r="M303" s="451"/>
      <c r="N303" s="451"/>
      <c r="O303" s="451"/>
      <c r="P303" s="929"/>
      <c r="Q303" s="929"/>
      <c r="R303" s="929"/>
      <c r="T303" s="451"/>
      <c r="U303" s="451"/>
      <c r="V303" s="451"/>
      <c r="W303" s="451"/>
      <c r="X303" s="451"/>
      <c r="Y303" s="929"/>
      <c r="Z303" s="929"/>
      <c r="AA303" s="929"/>
      <c r="AC303" s="451"/>
      <c r="AD303" s="451"/>
      <c r="AE303" s="451"/>
      <c r="AF303" s="451"/>
      <c r="AG303" s="451"/>
      <c r="AH303" s="929"/>
      <c r="AI303" s="929"/>
      <c r="AJ303" s="929"/>
    </row>
    <row r="304" customFormat="false" ht="12.75" hidden="false" customHeight="false" outlineLevel="0" collapsed="false">
      <c r="K304" s="451"/>
      <c r="L304" s="451"/>
      <c r="M304" s="451"/>
      <c r="N304" s="451"/>
      <c r="O304" s="451"/>
      <c r="P304" s="929"/>
      <c r="Q304" s="929"/>
      <c r="R304" s="929"/>
      <c r="T304" s="451"/>
      <c r="U304" s="451"/>
      <c r="V304" s="451"/>
      <c r="W304" s="451"/>
      <c r="X304" s="451"/>
      <c r="Y304" s="929"/>
      <c r="Z304" s="929"/>
      <c r="AA304" s="929"/>
      <c r="AC304" s="451"/>
      <c r="AD304" s="451"/>
      <c r="AE304" s="451"/>
      <c r="AF304" s="451"/>
      <c r="AG304" s="451"/>
      <c r="AH304" s="929"/>
      <c r="AI304" s="929"/>
      <c r="AJ304" s="929"/>
    </row>
    <row r="305" customFormat="false" ht="12.75" hidden="false" customHeight="false" outlineLevel="0" collapsed="false">
      <c r="K305" s="451"/>
      <c r="L305" s="451"/>
      <c r="M305" s="451"/>
      <c r="N305" s="451"/>
      <c r="O305" s="451"/>
      <c r="P305" s="929"/>
      <c r="Q305" s="929"/>
      <c r="R305" s="929"/>
      <c r="T305" s="451"/>
      <c r="U305" s="451"/>
      <c r="V305" s="451"/>
      <c r="W305" s="451"/>
      <c r="X305" s="451"/>
      <c r="Y305" s="929"/>
      <c r="Z305" s="929"/>
      <c r="AA305" s="929"/>
      <c r="AC305" s="451"/>
      <c r="AD305" s="451"/>
      <c r="AE305" s="451"/>
      <c r="AF305" s="451"/>
      <c r="AG305" s="451"/>
      <c r="AH305" s="929"/>
      <c r="AI305" s="929"/>
      <c r="AJ305" s="929"/>
    </row>
    <row r="306" customFormat="false" ht="12.75" hidden="false" customHeight="false" outlineLevel="0" collapsed="false">
      <c r="K306" s="451"/>
      <c r="L306" s="451"/>
      <c r="M306" s="451"/>
      <c r="N306" s="451"/>
      <c r="O306" s="451"/>
      <c r="P306" s="929"/>
      <c r="Q306" s="929"/>
      <c r="R306" s="929"/>
      <c r="T306" s="451"/>
      <c r="U306" s="451"/>
      <c r="V306" s="451"/>
      <c r="W306" s="451"/>
      <c r="X306" s="451"/>
      <c r="Y306" s="929"/>
      <c r="Z306" s="929"/>
      <c r="AA306" s="929"/>
      <c r="AC306" s="451"/>
      <c r="AD306" s="451"/>
      <c r="AE306" s="451"/>
      <c r="AF306" s="451"/>
      <c r="AG306" s="451"/>
      <c r="AH306" s="929"/>
      <c r="AI306" s="929"/>
      <c r="AJ306" s="929"/>
    </row>
    <row r="307" customFormat="false" ht="12.75" hidden="false" customHeight="false" outlineLevel="0" collapsed="false">
      <c r="K307" s="451"/>
      <c r="L307" s="451"/>
      <c r="M307" s="451"/>
      <c r="N307" s="451"/>
      <c r="O307" s="451"/>
      <c r="P307" s="929"/>
      <c r="Q307" s="929"/>
      <c r="R307" s="929"/>
      <c r="T307" s="451"/>
      <c r="U307" s="451"/>
      <c r="V307" s="451"/>
      <c r="W307" s="451"/>
      <c r="X307" s="451"/>
      <c r="Y307" s="929"/>
      <c r="Z307" s="929"/>
      <c r="AA307" s="929"/>
      <c r="AC307" s="451"/>
      <c r="AD307" s="451"/>
      <c r="AE307" s="451"/>
      <c r="AF307" s="451"/>
      <c r="AG307" s="451"/>
      <c r="AH307" s="929"/>
      <c r="AI307" s="929"/>
      <c r="AJ307" s="929"/>
    </row>
    <row r="308" customFormat="false" ht="12.75" hidden="false" customHeight="false" outlineLevel="0" collapsed="false">
      <c r="K308" s="451"/>
      <c r="L308" s="451"/>
      <c r="M308" s="451"/>
      <c r="N308" s="451"/>
      <c r="O308" s="451"/>
      <c r="P308" s="929"/>
      <c r="Q308" s="929"/>
      <c r="R308" s="929"/>
      <c r="T308" s="451"/>
      <c r="U308" s="451"/>
      <c r="V308" s="451"/>
      <c r="W308" s="451"/>
      <c r="X308" s="451"/>
      <c r="Y308" s="929"/>
      <c r="Z308" s="929"/>
      <c r="AA308" s="929"/>
      <c r="AC308" s="451"/>
      <c r="AD308" s="451"/>
      <c r="AE308" s="451"/>
      <c r="AF308" s="451"/>
      <c r="AG308" s="451"/>
      <c r="AH308" s="929"/>
      <c r="AI308" s="929"/>
      <c r="AJ308" s="929"/>
    </row>
    <row r="309" customFormat="false" ht="12.75" hidden="false" customHeight="false" outlineLevel="0" collapsed="false">
      <c r="K309" s="451"/>
      <c r="L309" s="451"/>
      <c r="M309" s="451"/>
      <c r="N309" s="451"/>
      <c r="O309" s="451"/>
      <c r="P309" s="929"/>
      <c r="Q309" s="929"/>
      <c r="R309" s="929"/>
      <c r="T309" s="451"/>
      <c r="U309" s="451"/>
      <c r="V309" s="451"/>
      <c r="W309" s="451"/>
      <c r="X309" s="451"/>
      <c r="Y309" s="929"/>
      <c r="Z309" s="929"/>
      <c r="AA309" s="929"/>
      <c r="AC309" s="451"/>
      <c r="AD309" s="451"/>
      <c r="AE309" s="451"/>
      <c r="AF309" s="451"/>
      <c r="AG309" s="451"/>
      <c r="AH309" s="929"/>
      <c r="AI309" s="929"/>
      <c r="AJ309" s="929"/>
    </row>
    <row r="310" customFormat="false" ht="12.75" hidden="false" customHeight="false" outlineLevel="0" collapsed="false">
      <c r="K310" s="451"/>
      <c r="L310" s="451"/>
      <c r="M310" s="451"/>
      <c r="N310" s="451"/>
      <c r="O310" s="451"/>
      <c r="P310" s="929"/>
      <c r="Q310" s="929"/>
      <c r="R310" s="929"/>
      <c r="T310" s="451"/>
      <c r="U310" s="451"/>
      <c r="V310" s="451"/>
      <c r="W310" s="451"/>
      <c r="X310" s="451"/>
      <c r="Y310" s="929"/>
      <c r="Z310" s="929"/>
      <c r="AA310" s="929"/>
      <c r="AC310" s="451"/>
      <c r="AD310" s="451"/>
      <c r="AE310" s="451"/>
      <c r="AF310" s="451"/>
      <c r="AG310" s="451"/>
      <c r="AH310" s="929"/>
      <c r="AI310" s="929"/>
      <c r="AJ310" s="929"/>
    </row>
    <row r="311" customFormat="false" ht="12.75" hidden="false" customHeight="false" outlineLevel="0" collapsed="false">
      <c r="K311" s="451"/>
      <c r="L311" s="451"/>
      <c r="M311" s="451"/>
      <c r="N311" s="451"/>
      <c r="O311" s="451"/>
      <c r="P311" s="929"/>
      <c r="Q311" s="929"/>
      <c r="R311" s="929"/>
      <c r="T311" s="451"/>
      <c r="U311" s="451"/>
      <c r="V311" s="451"/>
      <c r="W311" s="451"/>
      <c r="X311" s="451"/>
      <c r="Y311" s="929"/>
      <c r="Z311" s="929"/>
      <c r="AA311" s="929"/>
      <c r="AC311" s="451"/>
      <c r="AD311" s="451"/>
      <c r="AE311" s="451"/>
      <c r="AF311" s="451"/>
      <c r="AG311" s="451"/>
      <c r="AH311" s="929"/>
      <c r="AI311" s="929"/>
      <c r="AJ311" s="929"/>
    </row>
    <row r="312" customFormat="false" ht="12.75" hidden="false" customHeight="false" outlineLevel="0" collapsed="false">
      <c r="K312" s="451"/>
      <c r="L312" s="451"/>
      <c r="M312" s="451"/>
      <c r="N312" s="451"/>
      <c r="O312" s="451"/>
      <c r="P312" s="929"/>
      <c r="Q312" s="929"/>
      <c r="R312" s="929"/>
      <c r="T312" s="451"/>
      <c r="U312" s="451"/>
      <c r="V312" s="451"/>
      <c r="W312" s="451"/>
      <c r="X312" s="451"/>
      <c r="Y312" s="929"/>
      <c r="Z312" s="929"/>
      <c r="AA312" s="929"/>
      <c r="AC312" s="451"/>
      <c r="AD312" s="451"/>
      <c r="AE312" s="451"/>
      <c r="AF312" s="451"/>
      <c r="AG312" s="451"/>
      <c r="AH312" s="929"/>
      <c r="AI312" s="929"/>
      <c r="AJ312" s="929"/>
    </row>
    <row r="313" customFormat="false" ht="12.75" hidden="false" customHeight="false" outlineLevel="0" collapsed="false">
      <c r="K313" s="451"/>
      <c r="L313" s="451"/>
      <c r="M313" s="451"/>
      <c r="N313" s="451"/>
      <c r="O313" s="451"/>
      <c r="P313" s="929"/>
      <c r="Q313" s="929"/>
      <c r="R313" s="929"/>
      <c r="T313" s="451"/>
      <c r="U313" s="451"/>
      <c r="V313" s="451"/>
      <c r="W313" s="451"/>
      <c r="X313" s="451"/>
      <c r="Y313" s="929"/>
      <c r="Z313" s="929"/>
      <c r="AA313" s="929"/>
      <c r="AC313" s="451"/>
      <c r="AD313" s="451"/>
      <c r="AE313" s="451"/>
      <c r="AF313" s="451"/>
      <c r="AG313" s="451"/>
      <c r="AH313" s="929"/>
      <c r="AI313" s="929"/>
      <c r="AJ313" s="929"/>
    </row>
    <row r="314" customFormat="false" ht="12.75" hidden="false" customHeight="false" outlineLevel="0" collapsed="false">
      <c r="K314" s="451"/>
      <c r="L314" s="451"/>
      <c r="M314" s="451"/>
      <c r="N314" s="451"/>
      <c r="O314" s="451"/>
      <c r="P314" s="929"/>
      <c r="Q314" s="929"/>
      <c r="R314" s="929"/>
      <c r="T314" s="451"/>
      <c r="U314" s="451"/>
      <c r="V314" s="451"/>
      <c r="W314" s="451"/>
      <c r="X314" s="451"/>
      <c r="Y314" s="929"/>
      <c r="Z314" s="929"/>
      <c r="AA314" s="929"/>
      <c r="AC314" s="451"/>
      <c r="AD314" s="451"/>
      <c r="AE314" s="451"/>
      <c r="AF314" s="451"/>
      <c r="AG314" s="451"/>
      <c r="AH314" s="929"/>
      <c r="AI314" s="929"/>
      <c r="AJ314" s="929"/>
    </row>
    <row r="315" customFormat="false" ht="12.75" hidden="false" customHeight="false" outlineLevel="0" collapsed="false">
      <c r="K315" s="451"/>
      <c r="L315" s="451"/>
      <c r="M315" s="451"/>
      <c r="N315" s="451"/>
      <c r="O315" s="451"/>
      <c r="P315" s="929"/>
      <c r="Q315" s="929"/>
      <c r="R315" s="929"/>
      <c r="T315" s="451"/>
      <c r="U315" s="451"/>
      <c r="V315" s="451"/>
      <c r="W315" s="451"/>
      <c r="X315" s="451"/>
      <c r="Y315" s="929"/>
      <c r="Z315" s="929"/>
      <c r="AA315" s="929"/>
      <c r="AC315" s="451"/>
      <c r="AD315" s="451"/>
      <c r="AE315" s="451"/>
      <c r="AF315" s="451"/>
      <c r="AG315" s="451"/>
      <c r="AH315" s="929"/>
      <c r="AI315" s="929"/>
      <c r="AJ315" s="929"/>
    </row>
    <row r="316" customFormat="false" ht="12.75" hidden="false" customHeight="false" outlineLevel="0" collapsed="false">
      <c r="K316" s="451"/>
      <c r="L316" s="451"/>
      <c r="M316" s="451"/>
      <c r="N316" s="451"/>
      <c r="O316" s="451"/>
      <c r="P316" s="929"/>
      <c r="Q316" s="929"/>
      <c r="R316" s="929"/>
      <c r="T316" s="451"/>
      <c r="U316" s="451"/>
      <c r="V316" s="451"/>
      <c r="W316" s="451"/>
      <c r="X316" s="451"/>
      <c r="Y316" s="929"/>
      <c r="Z316" s="929"/>
      <c r="AA316" s="929"/>
      <c r="AC316" s="451"/>
      <c r="AD316" s="451"/>
      <c r="AE316" s="451"/>
      <c r="AF316" s="451"/>
      <c r="AG316" s="451"/>
      <c r="AH316" s="929"/>
      <c r="AI316" s="929"/>
      <c r="AJ316" s="929"/>
    </row>
    <row r="317" customFormat="false" ht="12.75" hidden="false" customHeight="false" outlineLevel="0" collapsed="false">
      <c r="K317" s="451"/>
      <c r="L317" s="451"/>
      <c r="M317" s="451"/>
      <c r="N317" s="451"/>
      <c r="O317" s="451"/>
      <c r="P317" s="929"/>
      <c r="Q317" s="929"/>
      <c r="R317" s="929"/>
      <c r="T317" s="451"/>
      <c r="U317" s="451"/>
      <c r="V317" s="451"/>
      <c r="W317" s="451"/>
      <c r="X317" s="451"/>
      <c r="Y317" s="929"/>
      <c r="Z317" s="929"/>
      <c r="AA317" s="929"/>
      <c r="AC317" s="451"/>
      <c r="AD317" s="451"/>
      <c r="AE317" s="451"/>
      <c r="AF317" s="451"/>
      <c r="AG317" s="451"/>
      <c r="AH317" s="929"/>
      <c r="AI317" s="929"/>
      <c r="AJ317" s="929"/>
    </row>
    <row r="318" customFormat="false" ht="12.75" hidden="false" customHeight="false" outlineLevel="0" collapsed="false">
      <c r="K318" s="451"/>
      <c r="L318" s="451"/>
      <c r="M318" s="451"/>
      <c r="N318" s="451"/>
      <c r="O318" s="451"/>
      <c r="P318" s="929"/>
      <c r="Q318" s="929"/>
      <c r="R318" s="929"/>
      <c r="T318" s="451"/>
      <c r="U318" s="451"/>
      <c r="V318" s="451"/>
      <c r="W318" s="451"/>
      <c r="X318" s="451"/>
      <c r="Y318" s="929"/>
      <c r="Z318" s="929"/>
      <c r="AA318" s="929"/>
      <c r="AC318" s="451"/>
      <c r="AD318" s="451"/>
      <c r="AE318" s="451"/>
      <c r="AF318" s="451"/>
      <c r="AG318" s="451"/>
      <c r="AH318" s="929"/>
      <c r="AI318" s="929"/>
      <c r="AJ318" s="929"/>
    </row>
    <row r="319" customFormat="false" ht="12.75" hidden="false" customHeight="false" outlineLevel="0" collapsed="false">
      <c r="K319" s="451"/>
      <c r="L319" s="451"/>
      <c r="M319" s="451"/>
      <c r="N319" s="451"/>
      <c r="O319" s="451"/>
      <c r="P319" s="929"/>
      <c r="Q319" s="929"/>
      <c r="R319" s="929"/>
      <c r="T319" s="451"/>
      <c r="U319" s="451"/>
      <c r="V319" s="451"/>
      <c r="W319" s="451"/>
      <c r="X319" s="451"/>
      <c r="Y319" s="929"/>
      <c r="Z319" s="929"/>
      <c r="AA319" s="929"/>
      <c r="AC319" s="451"/>
      <c r="AD319" s="451"/>
      <c r="AE319" s="451"/>
      <c r="AF319" s="451"/>
      <c r="AG319" s="451"/>
      <c r="AH319" s="929"/>
      <c r="AI319" s="929"/>
      <c r="AJ319" s="929"/>
    </row>
    <row r="320" customFormat="false" ht="12.75" hidden="false" customHeight="false" outlineLevel="0" collapsed="false">
      <c r="K320" s="451"/>
      <c r="L320" s="451"/>
      <c r="M320" s="451"/>
      <c r="N320" s="451"/>
      <c r="O320" s="451"/>
      <c r="P320" s="929"/>
      <c r="Q320" s="929"/>
      <c r="R320" s="929"/>
      <c r="T320" s="451"/>
      <c r="U320" s="451"/>
      <c r="V320" s="451"/>
      <c r="W320" s="451"/>
      <c r="X320" s="451"/>
      <c r="Y320" s="929"/>
      <c r="Z320" s="929"/>
      <c r="AA320" s="929"/>
      <c r="AC320" s="451"/>
      <c r="AD320" s="451"/>
      <c r="AE320" s="451"/>
      <c r="AF320" s="451"/>
      <c r="AG320" s="451"/>
      <c r="AH320" s="929"/>
      <c r="AI320" s="929"/>
      <c r="AJ320" s="929"/>
    </row>
    <row r="321" customFormat="false" ht="12.75" hidden="false" customHeight="false" outlineLevel="0" collapsed="false">
      <c r="K321" s="451"/>
      <c r="L321" s="451"/>
      <c r="M321" s="451"/>
      <c r="N321" s="451"/>
      <c r="O321" s="451"/>
      <c r="P321" s="929"/>
      <c r="Q321" s="929"/>
      <c r="R321" s="929"/>
      <c r="T321" s="451"/>
      <c r="U321" s="451"/>
      <c r="V321" s="451"/>
      <c r="W321" s="451"/>
      <c r="X321" s="451"/>
      <c r="Y321" s="929"/>
      <c r="Z321" s="929"/>
      <c r="AA321" s="929"/>
      <c r="AC321" s="451"/>
      <c r="AD321" s="451"/>
      <c r="AE321" s="451"/>
      <c r="AF321" s="451"/>
      <c r="AG321" s="451"/>
      <c r="AH321" s="929"/>
      <c r="AI321" s="929"/>
      <c r="AJ321" s="929"/>
    </row>
    <row r="322" customFormat="false" ht="12.75" hidden="false" customHeight="false" outlineLevel="0" collapsed="false">
      <c r="K322" s="451"/>
      <c r="L322" s="451"/>
      <c r="M322" s="451"/>
      <c r="N322" s="451"/>
      <c r="O322" s="451"/>
      <c r="P322" s="929"/>
      <c r="Q322" s="929"/>
      <c r="R322" s="929"/>
      <c r="T322" s="451"/>
      <c r="U322" s="451"/>
      <c r="V322" s="451"/>
      <c r="W322" s="451"/>
      <c r="X322" s="451"/>
      <c r="Y322" s="929"/>
      <c r="Z322" s="929"/>
      <c r="AA322" s="929"/>
      <c r="AC322" s="451"/>
      <c r="AD322" s="451"/>
      <c r="AE322" s="451"/>
      <c r="AF322" s="451"/>
      <c r="AG322" s="451"/>
      <c r="AH322" s="929"/>
      <c r="AI322" s="929"/>
      <c r="AJ322" s="929"/>
    </row>
    <row r="323" customFormat="false" ht="12.75" hidden="false" customHeight="false" outlineLevel="0" collapsed="false">
      <c r="K323" s="451"/>
      <c r="L323" s="451"/>
      <c r="M323" s="451"/>
      <c r="N323" s="451"/>
      <c r="O323" s="451"/>
      <c r="P323" s="929"/>
      <c r="Q323" s="929"/>
      <c r="R323" s="929"/>
      <c r="T323" s="451"/>
      <c r="U323" s="451"/>
      <c r="V323" s="451"/>
      <c r="W323" s="451"/>
      <c r="X323" s="451"/>
      <c r="Y323" s="929"/>
      <c r="Z323" s="929"/>
      <c r="AA323" s="929"/>
      <c r="AC323" s="451"/>
      <c r="AD323" s="451"/>
      <c r="AE323" s="451"/>
      <c r="AF323" s="451"/>
      <c r="AG323" s="451"/>
      <c r="AH323" s="929"/>
      <c r="AI323" s="929"/>
      <c r="AJ323" s="929"/>
    </row>
    <row r="324" customFormat="false" ht="12.75" hidden="false" customHeight="false" outlineLevel="0" collapsed="false">
      <c r="K324" s="451"/>
      <c r="L324" s="451"/>
      <c r="M324" s="451"/>
      <c r="N324" s="451"/>
      <c r="O324" s="451"/>
      <c r="P324" s="929"/>
      <c r="Q324" s="929"/>
      <c r="R324" s="929"/>
      <c r="T324" s="451"/>
      <c r="U324" s="451"/>
      <c r="V324" s="451"/>
      <c r="W324" s="451"/>
      <c r="X324" s="451"/>
      <c r="Y324" s="929"/>
      <c r="Z324" s="929"/>
      <c r="AA324" s="929"/>
      <c r="AC324" s="451"/>
      <c r="AD324" s="451"/>
      <c r="AE324" s="451"/>
      <c r="AF324" s="451"/>
      <c r="AG324" s="451"/>
      <c r="AH324" s="929"/>
      <c r="AI324" s="929"/>
      <c r="AJ324" s="929"/>
    </row>
    <row r="325" customFormat="false" ht="12.75" hidden="false" customHeight="false" outlineLevel="0" collapsed="false">
      <c r="K325" s="451"/>
      <c r="L325" s="451"/>
      <c r="M325" s="451"/>
      <c r="N325" s="451"/>
      <c r="O325" s="451"/>
      <c r="P325" s="929"/>
      <c r="Q325" s="929"/>
      <c r="R325" s="929"/>
      <c r="T325" s="451"/>
      <c r="U325" s="451"/>
      <c r="V325" s="451"/>
      <c r="W325" s="451"/>
      <c r="X325" s="451"/>
      <c r="Y325" s="929"/>
      <c r="Z325" s="929"/>
      <c r="AA325" s="929"/>
      <c r="AC325" s="451"/>
      <c r="AD325" s="451"/>
      <c r="AE325" s="451"/>
      <c r="AF325" s="451"/>
      <c r="AG325" s="451"/>
      <c r="AH325" s="929"/>
      <c r="AI325" s="929"/>
      <c r="AJ325" s="929"/>
    </row>
    <row r="326" customFormat="false" ht="12.75" hidden="false" customHeight="false" outlineLevel="0" collapsed="false">
      <c r="K326" s="451"/>
      <c r="L326" s="451"/>
      <c r="M326" s="451"/>
      <c r="N326" s="451"/>
      <c r="O326" s="451"/>
      <c r="P326" s="929"/>
      <c r="Q326" s="929"/>
      <c r="R326" s="929"/>
      <c r="T326" s="451"/>
      <c r="U326" s="451"/>
      <c r="V326" s="451"/>
      <c r="W326" s="451"/>
      <c r="X326" s="451"/>
      <c r="Y326" s="929"/>
      <c r="Z326" s="929"/>
      <c r="AA326" s="929"/>
      <c r="AC326" s="451"/>
      <c r="AD326" s="451"/>
      <c r="AE326" s="451"/>
      <c r="AF326" s="451"/>
      <c r="AG326" s="451"/>
      <c r="AH326" s="929"/>
      <c r="AI326" s="929"/>
      <c r="AJ326" s="929"/>
    </row>
    <row r="327" customFormat="false" ht="12.75" hidden="false" customHeight="false" outlineLevel="0" collapsed="false">
      <c r="K327" s="451"/>
      <c r="L327" s="451"/>
      <c r="M327" s="451"/>
      <c r="N327" s="451"/>
      <c r="O327" s="451"/>
      <c r="P327" s="929"/>
      <c r="Q327" s="929"/>
      <c r="R327" s="929"/>
      <c r="T327" s="451"/>
      <c r="U327" s="451"/>
      <c r="V327" s="451"/>
      <c r="W327" s="451"/>
      <c r="X327" s="451"/>
      <c r="Y327" s="929"/>
      <c r="Z327" s="929"/>
      <c r="AA327" s="929"/>
      <c r="AC327" s="451"/>
      <c r="AD327" s="451"/>
      <c r="AE327" s="451"/>
      <c r="AF327" s="451"/>
      <c r="AG327" s="451"/>
      <c r="AH327" s="929"/>
      <c r="AI327" s="929"/>
      <c r="AJ327" s="929"/>
    </row>
    <row r="328" customFormat="false" ht="12.75" hidden="false" customHeight="false" outlineLevel="0" collapsed="false">
      <c r="K328" s="451"/>
      <c r="L328" s="451"/>
      <c r="M328" s="451"/>
      <c r="N328" s="451"/>
      <c r="O328" s="451"/>
      <c r="P328" s="929"/>
      <c r="Q328" s="929"/>
      <c r="R328" s="929"/>
      <c r="T328" s="451"/>
      <c r="U328" s="451"/>
      <c r="V328" s="451"/>
      <c r="W328" s="451"/>
      <c r="X328" s="451"/>
      <c r="Y328" s="929"/>
      <c r="Z328" s="929"/>
      <c r="AA328" s="929"/>
      <c r="AC328" s="451"/>
      <c r="AD328" s="451"/>
      <c r="AE328" s="451"/>
      <c r="AF328" s="451"/>
      <c r="AG328" s="451"/>
      <c r="AH328" s="929"/>
      <c r="AI328" s="929"/>
      <c r="AJ328" s="929"/>
    </row>
    <row r="329" customFormat="false" ht="12.75" hidden="false" customHeight="false" outlineLevel="0" collapsed="false">
      <c r="K329" s="451"/>
      <c r="L329" s="451"/>
      <c r="M329" s="451"/>
      <c r="N329" s="451"/>
      <c r="O329" s="451"/>
      <c r="P329" s="929"/>
      <c r="Q329" s="929"/>
      <c r="R329" s="929"/>
      <c r="T329" s="451"/>
      <c r="U329" s="451"/>
      <c r="V329" s="451"/>
      <c r="W329" s="451"/>
      <c r="X329" s="451"/>
      <c r="Y329" s="929"/>
      <c r="Z329" s="929"/>
      <c r="AA329" s="929"/>
      <c r="AC329" s="451"/>
      <c r="AD329" s="451"/>
      <c r="AE329" s="451"/>
      <c r="AF329" s="451"/>
      <c r="AG329" s="451"/>
      <c r="AH329" s="929"/>
      <c r="AI329" s="929"/>
      <c r="AJ329" s="929"/>
    </row>
    <row r="330" customFormat="false" ht="12.75" hidden="false" customHeight="false" outlineLevel="0" collapsed="false">
      <c r="K330" s="451"/>
      <c r="L330" s="451"/>
      <c r="M330" s="451"/>
      <c r="N330" s="451"/>
      <c r="O330" s="451"/>
      <c r="P330" s="929"/>
      <c r="Q330" s="929"/>
      <c r="R330" s="929"/>
      <c r="T330" s="451"/>
      <c r="U330" s="451"/>
      <c r="V330" s="451"/>
      <c r="W330" s="451"/>
      <c r="X330" s="451"/>
      <c r="Y330" s="929"/>
      <c r="Z330" s="929"/>
      <c r="AA330" s="929"/>
      <c r="AC330" s="451"/>
      <c r="AD330" s="451"/>
      <c r="AE330" s="451"/>
      <c r="AF330" s="451"/>
      <c r="AG330" s="451"/>
      <c r="AH330" s="929"/>
      <c r="AI330" s="929"/>
      <c r="AJ330" s="929"/>
    </row>
    <row r="331" customFormat="false" ht="12.75" hidden="false" customHeight="false" outlineLevel="0" collapsed="false">
      <c r="K331" s="451"/>
      <c r="L331" s="451"/>
      <c r="M331" s="451"/>
      <c r="N331" s="451"/>
      <c r="O331" s="451"/>
      <c r="P331" s="929"/>
      <c r="Q331" s="929"/>
      <c r="R331" s="929"/>
      <c r="T331" s="451"/>
      <c r="U331" s="451"/>
      <c r="V331" s="451"/>
      <c r="W331" s="451"/>
      <c r="X331" s="451"/>
      <c r="Y331" s="929"/>
      <c r="Z331" s="929"/>
      <c r="AA331" s="929"/>
      <c r="AC331" s="451"/>
      <c r="AD331" s="451"/>
      <c r="AE331" s="451"/>
      <c r="AF331" s="451"/>
      <c r="AG331" s="451"/>
      <c r="AH331" s="929"/>
      <c r="AI331" s="929"/>
      <c r="AJ331" s="929"/>
    </row>
    <row r="332" customFormat="false" ht="12.75" hidden="false" customHeight="false" outlineLevel="0" collapsed="false">
      <c r="K332" s="451"/>
      <c r="L332" s="451"/>
      <c r="M332" s="451"/>
      <c r="N332" s="451"/>
      <c r="O332" s="451"/>
      <c r="P332" s="929"/>
      <c r="Q332" s="929"/>
      <c r="R332" s="929"/>
      <c r="T332" s="451"/>
      <c r="U332" s="451"/>
      <c r="V332" s="451"/>
      <c r="W332" s="451"/>
      <c r="X332" s="451"/>
      <c r="Y332" s="929"/>
      <c r="Z332" s="929"/>
      <c r="AA332" s="929"/>
      <c r="AC332" s="451"/>
      <c r="AD332" s="451"/>
      <c r="AE332" s="451"/>
      <c r="AF332" s="451"/>
      <c r="AG332" s="451"/>
      <c r="AH332" s="929"/>
      <c r="AI332" s="929"/>
      <c r="AJ332" s="929"/>
    </row>
    <row r="333" customFormat="false" ht="12.75" hidden="false" customHeight="false" outlineLevel="0" collapsed="false">
      <c r="K333" s="451"/>
      <c r="L333" s="451"/>
      <c r="M333" s="451"/>
      <c r="N333" s="451"/>
      <c r="O333" s="451"/>
      <c r="P333" s="929"/>
      <c r="Q333" s="929"/>
      <c r="R333" s="929"/>
      <c r="T333" s="451"/>
      <c r="U333" s="451"/>
      <c r="V333" s="451"/>
      <c r="W333" s="451"/>
      <c r="X333" s="451"/>
      <c r="Y333" s="929"/>
      <c r="Z333" s="929"/>
      <c r="AA333" s="929"/>
      <c r="AC333" s="451"/>
      <c r="AD333" s="451"/>
      <c r="AE333" s="451"/>
      <c r="AF333" s="451"/>
      <c r="AG333" s="451"/>
      <c r="AH333" s="929"/>
      <c r="AI333" s="929"/>
      <c r="AJ333" s="929"/>
    </row>
    <row r="334" customFormat="false" ht="12.75" hidden="false" customHeight="false" outlineLevel="0" collapsed="false">
      <c r="K334" s="451"/>
      <c r="L334" s="451"/>
      <c r="M334" s="451"/>
      <c r="N334" s="451"/>
      <c r="O334" s="451"/>
      <c r="P334" s="929"/>
      <c r="Q334" s="929"/>
      <c r="R334" s="929"/>
      <c r="T334" s="451"/>
      <c r="U334" s="451"/>
      <c r="V334" s="451"/>
      <c r="W334" s="451"/>
      <c r="X334" s="451"/>
      <c r="Y334" s="929"/>
      <c r="Z334" s="929"/>
      <c r="AA334" s="929"/>
      <c r="AC334" s="451"/>
      <c r="AD334" s="451"/>
      <c r="AE334" s="451"/>
      <c r="AF334" s="451"/>
      <c r="AG334" s="451"/>
      <c r="AH334" s="929"/>
      <c r="AI334" s="929"/>
      <c r="AJ334" s="929"/>
    </row>
    <row r="335" customFormat="false" ht="12.75" hidden="false" customHeight="false" outlineLevel="0" collapsed="false">
      <c r="K335" s="451"/>
      <c r="L335" s="451"/>
      <c r="M335" s="451"/>
      <c r="N335" s="451"/>
      <c r="O335" s="451"/>
      <c r="P335" s="929"/>
      <c r="Q335" s="929"/>
      <c r="R335" s="929"/>
      <c r="T335" s="451"/>
      <c r="U335" s="451"/>
      <c r="V335" s="451"/>
      <c r="W335" s="451"/>
      <c r="X335" s="451"/>
      <c r="Y335" s="929"/>
      <c r="Z335" s="929"/>
      <c r="AA335" s="929"/>
      <c r="AC335" s="451"/>
      <c r="AD335" s="451"/>
      <c r="AE335" s="451"/>
      <c r="AF335" s="451"/>
      <c r="AG335" s="451"/>
      <c r="AH335" s="929"/>
      <c r="AI335" s="929"/>
      <c r="AJ335" s="929"/>
    </row>
    <row r="336" customFormat="false" ht="12.75" hidden="false" customHeight="false" outlineLevel="0" collapsed="false">
      <c r="K336" s="451"/>
      <c r="L336" s="451"/>
      <c r="M336" s="451"/>
      <c r="N336" s="451"/>
      <c r="O336" s="451"/>
      <c r="P336" s="929"/>
      <c r="Q336" s="929"/>
      <c r="R336" s="929"/>
      <c r="T336" s="451"/>
      <c r="U336" s="451"/>
      <c r="V336" s="451"/>
      <c r="W336" s="451"/>
      <c r="X336" s="451"/>
      <c r="Y336" s="929"/>
      <c r="Z336" s="929"/>
      <c r="AA336" s="929"/>
      <c r="AC336" s="451"/>
      <c r="AD336" s="451"/>
      <c r="AE336" s="451"/>
      <c r="AF336" s="451"/>
      <c r="AG336" s="451"/>
      <c r="AH336" s="929"/>
      <c r="AI336" s="929"/>
      <c r="AJ336" s="929"/>
    </row>
    <row r="337" customFormat="false" ht="12.75" hidden="false" customHeight="false" outlineLevel="0" collapsed="false">
      <c r="K337" s="451"/>
      <c r="L337" s="451"/>
      <c r="M337" s="451"/>
      <c r="N337" s="451"/>
      <c r="O337" s="451"/>
      <c r="P337" s="929"/>
      <c r="Q337" s="929"/>
      <c r="R337" s="929"/>
      <c r="T337" s="451"/>
      <c r="U337" s="451"/>
      <c r="V337" s="451"/>
      <c r="W337" s="451"/>
      <c r="X337" s="451"/>
      <c r="Y337" s="929"/>
      <c r="Z337" s="929"/>
      <c r="AA337" s="929"/>
      <c r="AC337" s="451"/>
      <c r="AD337" s="451"/>
      <c r="AE337" s="451"/>
      <c r="AF337" s="451"/>
      <c r="AG337" s="451"/>
      <c r="AH337" s="929"/>
      <c r="AI337" s="929"/>
      <c r="AJ337" s="929"/>
    </row>
    <row r="338" customFormat="false" ht="12.75" hidden="false" customHeight="false" outlineLevel="0" collapsed="false">
      <c r="K338" s="451"/>
      <c r="L338" s="451"/>
      <c r="M338" s="451"/>
      <c r="N338" s="451"/>
      <c r="O338" s="451"/>
      <c r="P338" s="929"/>
      <c r="Q338" s="929"/>
      <c r="R338" s="929"/>
      <c r="T338" s="451"/>
      <c r="U338" s="451"/>
      <c r="V338" s="451"/>
      <c r="W338" s="451"/>
      <c r="X338" s="451"/>
      <c r="Y338" s="929"/>
      <c r="Z338" s="929"/>
      <c r="AA338" s="929"/>
      <c r="AC338" s="451"/>
      <c r="AD338" s="451"/>
      <c r="AE338" s="451"/>
      <c r="AF338" s="451"/>
      <c r="AG338" s="451"/>
      <c r="AH338" s="929"/>
      <c r="AI338" s="929"/>
      <c r="AJ338" s="929"/>
    </row>
    <row r="339" customFormat="false" ht="12.75" hidden="false" customHeight="false" outlineLevel="0" collapsed="false">
      <c r="K339" s="451"/>
      <c r="L339" s="451"/>
      <c r="M339" s="451"/>
      <c r="N339" s="451"/>
      <c r="O339" s="451"/>
      <c r="P339" s="929"/>
      <c r="Q339" s="929"/>
      <c r="R339" s="929"/>
      <c r="T339" s="451"/>
      <c r="U339" s="451"/>
      <c r="V339" s="451"/>
      <c r="W339" s="451"/>
      <c r="X339" s="451"/>
      <c r="Y339" s="929"/>
      <c r="Z339" s="929"/>
      <c r="AA339" s="929"/>
      <c r="AC339" s="451"/>
      <c r="AD339" s="451"/>
      <c r="AE339" s="451"/>
      <c r="AF339" s="451"/>
      <c r="AG339" s="451"/>
      <c r="AH339" s="929"/>
      <c r="AI339" s="929"/>
      <c r="AJ339" s="929"/>
    </row>
    <row r="340" customFormat="false" ht="12.75" hidden="false" customHeight="false" outlineLevel="0" collapsed="false">
      <c r="K340" s="451"/>
      <c r="L340" s="451"/>
      <c r="M340" s="451"/>
      <c r="N340" s="451"/>
      <c r="O340" s="451"/>
      <c r="P340" s="929"/>
      <c r="Q340" s="929"/>
      <c r="R340" s="929"/>
      <c r="T340" s="451"/>
      <c r="U340" s="451"/>
      <c r="V340" s="451"/>
      <c r="W340" s="451"/>
      <c r="X340" s="451"/>
      <c r="Y340" s="929"/>
      <c r="Z340" s="929"/>
      <c r="AA340" s="929"/>
      <c r="AC340" s="451"/>
      <c r="AD340" s="451"/>
      <c r="AE340" s="451"/>
      <c r="AF340" s="451"/>
      <c r="AG340" s="451"/>
      <c r="AH340" s="929"/>
      <c r="AI340" s="929"/>
      <c r="AJ340" s="929"/>
    </row>
    <row r="341" customFormat="false" ht="12.75" hidden="false" customHeight="false" outlineLevel="0" collapsed="false">
      <c r="K341" s="451"/>
      <c r="L341" s="451"/>
      <c r="M341" s="451"/>
      <c r="N341" s="451"/>
      <c r="O341" s="451"/>
      <c r="P341" s="929"/>
      <c r="Q341" s="929"/>
      <c r="R341" s="929"/>
      <c r="T341" s="451"/>
      <c r="U341" s="451"/>
      <c r="V341" s="451"/>
      <c r="W341" s="451"/>
      <c r="X341" s="451"/>
      <c r="Y341" s="929"/>
      <c r="Z341" s="929"/>
      <c r="AA341" s="929"/>
      <c r="AC341" s="451"/>
      <c r="AD341" s="451"/>
      <c r="AE341" s="451"/>
      <c r="AF341" s="451"/>
      <c r="AG341" s="451"/>
      <c r="AH341" s="929"/>
      <c r="AI341" s="929"/>
      <c r="AJ341" s="929"/>
    </row>
    <row r="342" customFormat="false" ht="12.75" hidden="false" customHeight="false" outlineLevel="0" collapsed="false">
      <c r="K342" s="451"/>
      <c r="L342" s="451"/>
      <c r="M342" s="451"/>
      <c r="N342" s="451"/>
      <c r="O342" s="451"/>
      <c r="P342" s="929"/>
      <c r="Q342" s="929"/>
      <c r="R342" s="929"/>
      <c r="T342" s="451"/>
      <c r="U342" s="451"/>
      <c r="V342" s="451"/>
      <c r="W342" s="451"/>
      <c r="X342" s="451"/>
      <c r="Y342" s="929"/>
      <c r="Z342" s="929"/>
      <c r="AA342" s="929"/>
      <c r="AC342" s="451"/>
      <c r="AD342" s="451"/>
      <c r="AE342" s="451"/>
      <c r="AF342" s="451"/>
      <c r="AG342" s="451"/>
      <c r="AH342" s="929"/>
      <c r="AI342" s="929"/>
      <c r="AJ342" s="929"/>
    </row>
    <row r="343" customFormat="false" ht="12.75" hidden="false" customHeight="false" outlineLevel="0" collapsed="false">
      <c r="K343" s="451"/>
      <c r="L343" s="451"/>
      <c r="M343" s="451"/>
      <c r="N343" s="451"/>
      <c r="O343" s="451"/>
      <c r="P343" s="929"/>
      <c r="Q343" s="929"/>
      <c r="R343" s="929"/>
      <c r="T343" s="451"/>
      <c r="U343" s="451"/>
      <c r="V343" s="451"/>
      <c r="W343" s="451"/>
      <c r="X343" s="451"/>
      <c r="Y343" s="929"/>
      <c r="Z343" s="929"/>
      <c r="AA343" s="929"/>
      <c r="AC343" s="451"/>
      <c r="AD343" s="451"/>
      <c r="AE343" s="451"/>
      <c r="AF343" s="451"/>
      <c r="AG343" s="451"/>
      <c r="AH343" s="929"/>
      <c r="AI343" s="929"/>
      <c r="AJ343" s="929"/>
    </row>
    <row r="344" customFormat="false" ht="12.75" hidden="false" customHeight="false" outlineLevel="0" collapsed="false">
      <c r="K344" s="451"/>
      <c r="L344" s="451"/>
      <c r="M344" s="451"/>
      <c r="N344" s="451"/>
      <c r="O344" s="451"/>
      <c r="P344" s="929"/>
      <c r="Q344" s="929"/>
      <c r="R344" s="929"/>
      <c r="T344" s="451"/>
      <c r="U344" s="451"/>
      <c r="V344" s="451"/>
      <c r="W344" s="451"/>
      <c r="X344" s="451"/>
      <c r="Y344" s="929"/>
      <c r="Z344" s="929"/>
      <c r="AA344" s="929"/>
      <c r="AC344" s="451"/>
      <c r="AD344" s="451"/>
      <c r="AE344" s="451"/>
      <c r="AF344" s="451"/>
      <c r="AG344" s="451"/>
      <c r="AH344" s="929"/>
      <c r="AI344" s="929"/>
      <c r="AJ344" s="929"/>
    </row>
    <row r="345" customFormat="false" ht="12.75" hidden="false" customHeight="false" outlineLevel="0" collapsed="false">
      <c r="K345" s="451"/>
      <c r="L345" s="451"/>
      <c r="M345" s="451"/>
      <c r="N345" s="451"/>
      <c r="O345" s="451"/>
      <c r="P345" s="929"/>
      <c r="Q345" s="929"/>
      <c r="R345" s="929"/>
      <c r="T345" s="451"/>
      <c r="U345" s="451"/>
      <c r="V345" s="451"/>
      <c r="W345" s="451"/>
      <c r="X345" s="451"/>
      <c r="Y345" s="929"/>
      <c r="Z345" s="929"/>
      <c r="AA345" s="929"/>
      <c r="AC345" s="451"/>
      <c r="AD345" s="451"/>
      <c r="AE345" s="451"/>
      <c r="AF345" s="451"/>
      <c r="AG345" s="451"/>
      <c r="AH345" s="929"/>
      <c r="AI345" s="929"/>
      <c r="AJ345" s="929"/>
    </row>
    <row r="346" customFormat="false" ht="12.75" hidden="false" customHeight="false" outlineLevel="0" collapsed="false">
      <c r="K346" s="451"/>
      <c r="L346" s="451"/>
      <c r="M346" s="451"/>
      <c r="N346" s="451"/>
      <c r="O346" s="451"/>
      <c r="P346" s="929"/>
      <c r="Q346" s="929"/>
      <c r="R346" s="929"/>
      <c r="T346" s="451"/>
      <c r="U346" s="451"/>
      <c r="V346" s="451"/>
      <c r="W346" s="451"/>
      <c r="X346" s="451"/>
      <c r="Y346" s="929"/>
      <c r="Z346" s="929"/>
      <c r="AA346" s="929"/>
      <c r="AC346" s="451"/>
      <c r="AD346" s="451"/>
      <c r="AE346" s="451"/>
      <c r="AF346" s="451"/>
      <c r="AG346" s="451"/>
      <c r="AH346" s="929"/>
      <c r="AI346" s="929"/>
      <c r="AJ346" s="929"/>
    </row>
    <row r="347" customFormat="false" ht="12.75" hidden="false" customHeight="false" outlineLevel="0" collapsed="false">
      <c r="K347" s="451"/>
      <c r="L347" s="451"/>
      <c r="M347" s="451"/>
      <c r="N347" s="451"/>
      <c r="O347" s="451"/>
      <c r="P347" s="929"/>
      <c r="Q347" s="929"/>
      <c r="R347" s="929"/>
      <c r="T347" s="451"/>
      <c r="U347" s="451"/>
      <c r="V347" s="451"/>
      <c r="W347" s="451"/>
      <c r="X347" s="451"/>
      <c r="Y347" s="929"/>
      <c r="Z347" s="929"/>
      <c r="AA347" s="929"/>
      <c r="AC347" s="451"/>
      <c r="AD347" s="451"/>
      <c r="AE347" s="451"/>
      <c r="AF347" s="451"/>
      <c r="AG347" s="451"/>
      <c r="AH347" s="929"/>
      <c r="AI347" s="929"/>
      <c r="AJ347" s="929"/>
    </row>
    <row r="348" customFormat="false" ht="12.75" hidden="false" customHeight="false" outlineLevel="0" collapsed="false">
      <c r="K348" s="451"/>
      <c r="L348" s="451"/>
      <c r="M348" s="451"/>
      <c r="N348" s="451"/>
      <c r="O348" s="451"/>
      <c r="P348" s="929"/>
      <c r="Q348" s="929"/>
      <c r="R348" s="929"/>
      <c r="T348" s="451"/>
      <c r="U348" s="451"/>
      <c r="V348" s="451"/>
      <c r="W348" s="451"/>
      <c r="X348" s="451"/>
      <c r="Y348" s="929"/>
      <c r="Z348" s="929"/>
      <c r="AA348" s="929"/>
      <c r="AC348" s="451"/>
      <c r="AD348" s="451"/>
      <c r="AE348" s="451"/>
      <c r="AF348" s="451"/>
      <c r="AG348" s="451"/>
      <c r="AH348" s="929"/>
      <c r="AI348" s="929"/>
      <c r="AJ348" s="929"/>
    </row>
    <row r="349" customFormat="false" ht="12.75" hidden="false" customHeight="false" outlineLevel="0" collapsed="false">
      <c r="K349" s="451"/>
      <c r="L349" s="451"/>
      <c r="M349" s="451"/>
      <c r="N349" s="451"/>
      <c r="O349" s="451"/>
      <c r="P349" s="929"/>
      <c r="Q349" s="929"/>
      <c r="R349" s="929"/>
      <c r="T349" s="451"/>
      <c r="U349" s="451"/>
      <c r="V349" s="451"/>
      <c r="W349" s="451"/>
      <c r="X349" s="451"/>
      <c r="Y349" s="929"/>
      <c r="Z349" s="929"/>
      <c r="AA349" s="929"/>
      <c r="AC349" s="451"/>
      <c r="AD349" s="451"/>
      <c r="AE349" s="451"/>
      <c r="AF349" s="451"/>
      <c r="AG349" s="451"/>
      <c r="AH349" s="929"/>
      <c r="AI349" s="929"/>
      <c r="AJ349" s="929"/>
    </row>
    <row r="350" customFormat="false" ht="12.75" hidden="false" customHeight="false" outlineLevel="0" collapsed="false">
      <c r="K350" s="451"/>
      <c r="L350" s="451"/>
      <c r="M350" s="451"/>
      <c r="N350" s="451"/>
      <c r="O350" s="451"/>
      <c r="P350" s="929"/>
      <c r="Q350" s="929"/>
      <c r="R350" s="929"/>
      <c r="T350" s="451"/>
      <c r="U350" s="451"/>
      <c r="V350" s="451"/>
      <c r="W350" s="451"/>
      <c r="X350" s="451"/>
      <c r="Y350" s="929"/>
      <c r="Z350" s="929"/>
      <c r="AA350" s="929"/>
      <c r="AC350" s="451"/>
      <c r="AD350" s="451"/>
      <c r="AE350" s="451"/>
      <c r="AF350" s="451"/>
      <c r="AG350" s="451"/>
      <c r="AH350" s="929"/>
      <c r="AI350" s="929"/>
      <c r="AJ350" s="929"/>
    </row>
    <row r="351" customFormat="false" ht="12.75" hidden="false" customHeight="false" outlineLevel="0" collapsed="false">
      <c r="K351" s="451"/>
      <c r="L351" s="451"/>
      <c r="M351" s="451"/>
      <c r="N351" s="451"/>
      <c r="O351" s="451"/>
      <c r="P351" s="929"/>
      <c r="Q351" s="929"/>
      <c r="R351" s="929"/>
      <c r="T351" s="451"/>
      <c r="U351" s="451"/>
      <c r="V351" s="451"/>
      <c r="W351" s="451"/>
      <c r="X351" s="451"/>
      <c r="Y351" s="929"/>
      <c r="Z351" s="929"/>
      <c r="AA351" s="929"/>
      <c r="AC351" s="451"/>
      <c r="AD351" s="451"/>
      <c r="AE351" s="451"/>
      <c r="AF351" s="451"/>
      <c r="AG351" s="451"/>
      <c r="AH351" s="929"/>
      <c r="AI351" s="929"/>
      <c r="AJ351" s="929"/>
    </row>
    <row r="352" customFormat="false" ht="12.75" hidden="false" customHeight="false" outlineLevel="0" collapsed="false">
      <c r="K352" s="451"/>
      <c r="L352" s="451"/>
      <c r="M352" s="451"/>
      <c r="N352" s="451"/>
      <c r="O352" s="451"/>
      <c r="P352" s="929"/>
      <c r="Q352" s="929"/>
      <c r="R352" s="929"/>
      <c r="T352" s="451"/>
      <c r="U352" s="451"/>
      <c r="V352" s="451"/>
      <c r="W352" s="451"/>
      <c r="X352" s="451"/>
      <c r="Y352" s="929"/>
      <c r="Z352" s="929"/>
      <c r="AA352" s="929"/>
      <c r="AC352" s="451"/>
      <c r="AD352" s="451"/>
      <c r="AE352" s="451"/>
      <c r="AF352" s="451"/>
      <c r="AG352" s="451"/>
      <c r="AH352" s="929"/>
      <c r="AI352" s="929"/>
      <c r="AJ352" s="929"/>
    </row>
    <row r="353" customFormat="false" ht="12.75" hidden="false" customHeight="false" outlineLevel="0" collapsed="false">
      <c r="K353" s="451"/>
      <c r="L353" s="451"/>
      <c r="M353" s="451"/>
      <c r="N353" s="451"/>
      <c r="O353" s="451"/>
      <c r="P353" s="929"/>
      <c r="Q353" s="929"/>
      <c r="R353" s="929"/>
      <c r="T353" s="451"/>
      <c r="U353" s="451"/>
      <c r="V353" s="451"/>
      <c r="W353" s="451"/>
      <c r="X353" s="451"/>
      <c r="Y353" s="929"/>
      <c r="Z353" s="929"/>
      <c r="AA353" s="929"/>
      <c r="AC353" s="451"/>
      <c r="AD353" s="451"/>
      <c r="AE353" s="451"/>
      <c r="AF353" s="451"/>
      <c r="AG353" s="451"/>
      <c r="AH353" s="929"/>
      <c r="AI353" s="929"/>
      <c r="AJ353" s="929"/>
    </row>
    <row r="354" customFormat="false" ht="12.75" hidden="false" customHeight="false" outlineLevel="0" collapsed="false">
      <c r="K354" s="451"/>
      <c r="L354" s="451"/>
      <c r="M354" s="451"/>
      <c r="N354" s="451"/>
      <c r="O354" s="451"/>
      <c r="P354" s="929"/>
      <c r="Q354" s="929"/>
      <c r="R354" s="929"/>
      <c r="T354" s="451"/>
      <c r="U354" s="451"/>
      <c r="V354" s="451"/>
      <c r="W354" s="451"/>
      <c r="X354" s="451"/>
      <c r="Y354" s="929"/>
      <c r="Z354" s="929"/>
      <c r="AA354" s="929"/>
      <c r="AC354" s="451"/>
      <c r="AD354" s="451"/>
      <c r="AE354" s="451"/>
      <c r="AF354" s="451"/>
      <c r="AG354" s="451"/>
      <c r="AH354" s="929"/>
      <c r="AI354" s="929"/>
      <c r="AJ354" s="929"/>
    </row>
    <row r="355" customFormat="false" ht="12.75" hidden="false" customHeight="false" outlineLevel="0" collapsed="false">
      <c r="K355" s="451"/>
      <c r="L355" s="451"/>
      <c r="M355" s="451"/>
      <c r="N355" s="451"/>
      <c r="O355" s="451"/>
      <c r="P355" s="929"/>
      <c r="Q355" s="929"/>
      <c r="R355" s="929"/>
      <c r="T355" s="451"/>
      <c r="U355" s="451"/>
      <c r="V355" s="451"/>
      <c r="W355" s="451"/>
      <c r="X355" s="451"/>
      <c r="Y355" s="929"/>
      <c r="Z355" s="929"/>
      <c r="AA355" s="929"/>
      <c r="AC355" s="451"/>
      <c r="AD355" s="451"/>
      <c r="AE355" s="451"/>
      <c r="AF355" s="451"/>
      <c r="AG355" s="451"/>
      <c r="AH355" s="929"/>
      <c r="AI355" s="929"/>
      <c r="AJ355" s="929"/>
    </row>
    <row r="356" customFormat="false" ht="12.75" hidden="false" customHeight="false" outlineLevel="0" collapsed="false">
      <c r="K356" s="451"/>
      <c r="L356" s="451"/>
      <c r="M356" s="451"/>
      <c r="N356" s="451"/>
      <c r="O356" s="451"/>
      <c r="P356" s="929"/>
      <c r="Q356" s="929"/>
      <c r="R356" s="929"/>
      <c r="T356" s="451"/>
      <c r="U356" s="451"/>
      <c r="V356" s="451"/>
      <c r="W356" s="451"/>
      <c r="X356" s="451"/>
      <c r="Y356" s="929"/>
      <c r="Z356" s="929"/>
      <c r="AA356" s="929"/>
      <c r="AC356" s="451"/>
      <c r="AD356" s="451"/>
      <c r="AE356" s="451"/>
      <c r="AF356" s="451"/>
      <c r="AG356" s="451"/>
      <c r="AH356" s="929"/>
      <c r="AI356" s="929"/>
      <c r="AJ356" s="929"/>
    </row>
    <row r="357" customFormat="false" ht="12.75" hidden="false" customHeight="false" outlineLevel="0" collapsed="false">
      <c r="K357" s="451"/>
      <c r="L357" s="451"/>
      <c r="M357" s="451"/>
      <c r="N357" s="451"/>
      <c r="O357" s="451"/>
      <c r="P357" s="929"/>
      <c r="Q357" s="929"/>
      <c r="R357" s="929"/>
      <c r="T357" s="451"/>
      <c r="U357" s="451"/>
      <c r="V357" s="451"/>
      <c r="W357" s="451"/>
      <c r="X357" s="451"/>
      <c r="Y357" s="929"/>
      <c r="Z357" s="929"/>
      <c r="AA357" s="929"/>
      <c r="AC357" s="451"/>
      <c r="AD357" s="451"/>
      <c r="AE357" s="451"/>
      <c r="AF357" s="451"/>
      <c r="AG357" s="451"/>
      <c r="AH357" s="929"/>
      <c r="AI357" s="929"/>
      <c r="AJ357" s="929"/>
    </row>
    <row r="358" customFormat="false" ht="12.75" hidden="false" customHeight="false" outlineLevel="0" collapsed="false">
      <c r="K358" s="451"/>
      <c r="L358" s="451"/>
      <c r="M358" s="451"/>
      <c r="N358" s="451"/>
      <c r="O358" s="451"/>
      <c r="P358" s="929"/>
      <c r="Q358" s="929"/>
      <c r="R358" s="929"/>
      <c r="T358" s="451"/>
      <c r="U358" s="451"/>
      <c r="V358" s="451"/>
      <c r="W358" s="451"/>
      <c r="X358" s="451"/>
      <c r="Y358" s="929"/>
      <c r="Z358" s="929"/>
      <c r="AA358" s="929"/>
      <c r="AC358" s="451"/>
      <c r="AD358" s="451"/>
      <c r="AE358" s="451"/>
      <c r="AF358" s="451"/>
      <c r="AG358" s="451"/>
      <c r="AH358" s="929"/>
      <c r="AI358" s="929"/>
      <c r="AJ358" s="929"/>
    </row>
    <row r="359" customFormat="false" ht="12.75" hidden="false" customHeight="false" outlineLevel="0" collapsed="false">
      <c r="K359" s="451"/>
      <c r="L359" s="451"/>
      <c r="M359" s="451"/>
      <c r="N359" s="451"/>
      <c r="O359" s="451"/>
      <c r="P359" s="929"/>
      <c r="Q359" s="929"/>
      <c r="R359" s="929"/>
      <c r="T359" s="451"/>
      <c r="U359" s="451"/>
      <c r="V359" s="451"/>
      <c r="W359" s="451"/>
      <c r="X359" s="451"/>
      <c r="Y359" s="929"/>
      <c r="Z359" s="929"/>
      <c r="AA359" s="929"/>
      <c r="AC359" s="451"/>
      <c r="AD359" s="451"/>
      <c r="AE359" s="451"/>
      <c r="AF359" s="451"/>
      <c r="AG359" s="451"/>
      <c r="AH359" s="929"/>
      <c r="AI359" s="929"/>
      <c r="AJ359" s="929"/>
    </row>
    <row r="360" customFormat="false" ht="12.75" hidden="false" customHeight="false" outlineLevel="0" collapsed="false">
      <c r="K360" s="451"/>
      <c r="L360" s="451"/>
      <c r="M360" s="451"/>
      <c r="N360" s="451"/>
      <c r="O360" s="451"/>
      <c r="P360" s="929"/>
      <c r="Q360" s="929"/>
      <c r="R360" s="929"/>
      <c r="T360" s="451"/>
      <c r="U360" s="451"/>
      <c r="V360" s="451"/>
      <c r="W360" s="451"/>
      <c r="X360" s="451"/>
      <c r="Y360" s="929"/>
      <c r="Z360" s="929"/>
      <c r="AA360" s="929"/>
      <c r="AC360" s="451"/>
      <c r="AD360" s="451"/>
      <c r="AE360" s="451"/>
      <c r="AF360" s="451"/>
      <c r="AG360" s="451"/>
      <c r="AH360" s="929"/>
      <c r="AI360" s="929"/>
      <c r="AJ360" s="929"/>
    </row>
    <row r="361" customFormat="false" ht="12.75" hidden="false" customHeight="false" outlineLevel="0" collapsed="false">
      <c r="K361" s="451"/>
      <c r="L361" s="451"/>
      <c r="M361" s="451"/>
      <c r="N361" s="451"/>
      <c r="O361" s="451"/>
      <c r="P361" s="929"/>
      <c r="Q361" s="929"/>
      <c r="R361" s="929"/>
      <c r="T361" s="451"/>
      <c r="U361" s="451"/>
      <c r="V361" s="451"/>
      <c r="W361" s="451"/>
      <c r="X361" s="451"/>
      <c r="Y361" s="929"/>
      <c r="Z361" s="929"/>
      <c r="AA361" s="929"/>
      <c r="AC361" s="451"/>
      <c r="AD361" s="451"/>
      <c r="AE361" s="451"/>
      <c r="AF361" s="451"/>
      <c r="AG361" s="451"/>
      <c r="AH361" s="929"/>
      <c r="AI361" s="929"/>
      <c r="AJ361" s="929"/>
    </row>
    <row r="362" customFormat="false" ht="12.75" hidden="false" customHeight="false" outlineLevel="0" collapsed="false">
      <c r="K362" s="451"/>
      <c r="L362" s="451"/>
      <c r="M362" s="451"/>
      <c r="N362" s="451"/>
      <c r="O362" s="451"/>
      <c r="P362" s="929"/>
      <c r="Q362" s="929"/>
      <c r="R362" s="929"/>
      <c r="T362" s="451"/>
      <c r="U362" s="451"/>
      <c r="V362" s="451"/>
      <c r="W362" s="451"/>
      <c r="X362" s="451"/>
      <c r="Y362" s="929"/>
      <c r="Z362" s="929"/>
      <c r="AA362" s="929"/>
      <c r="AC362" s="451"/>
      <c r="AD362" s="451"/>
      <c r="AE362" s="451"/>
      <c r="AF362" s="451"/>
      <c r="AG362" s="451"/>
      <c r="AH362" s="929"/>
      <c r="AI362" s="929"/>
      <c r="AJ362" s="929"/>
    </row>
    <row r="363" customFormat="false" ht="12.75" hidden="false" customHeight="false" outlineLevel="0" collapsed="false">
      <c r="K363" s="451"/>
      <c r="L363" s="451"/>
      <c r="M363" s="451"/>
      <c r="N363" s="451"/>
      <c r="O363" s="451"/>
      <c r="P363" s="929"/>
      <c r="Q363" s="929"/>
      <c r="R363" s="929"/>
      <c r="T363" s="451"/>
      <c r="U363" s="451"/>
      <c r="V363" s="451"/>
      <c r="W363" s="451"/>
      <c r="X363" s="451"/>
      <c r="Y363" s="929"/>
      <c r="Z363" s="929"/>
      <c r="AA363" s="929"/>
      <c r="AC363" s="451"/>
      <c r="AD363" s="451"/>
      <c r="AE363" s="451"/>
      <c r="AF363" s="451"/>
      <c r="AG363" s="451"/>
      <c r="AH363" s="929"/>
      <c r="AI363" s="929"/>
      <c r="AJ363" s="929"/>
    </row>
    <row r="364" customFormat="false" ht="12.75" hidden="false" customHeight="false" outlineLevel="0" collapsed="false">
      <c r="K364" s="451"/>
      <c r="L364" s="451"/>
      <c r="M364" s="451"/>
      <c r="N364" s="451"/>
      <c r="O364" s="451"/>
      <c r="P364" s="929"/>
      <c r="Q364" s="929"/>
      <c r="R364" s="929"/>
      <c r="T364" s="451"/>
      <c r="U364" s="451"/>
      <c r="V364" s="451"/>
      <c r="W364" s="451"/>
      <c r="X364" s="451"/>
      <c r="Y364" s="929"/>
      <c r="Z364" s="929"/>
      <c r="AA364" s="929"/>
      <c r="AC364" s="451"/>
      <c r="AD364" s="451"/>
      <c r="AE364" s="451"/>
      <c r="AF364" s="451"/>
      <c r="AG364" s="451"/>
      <c r="AH364" s="929"/>
      <c r="AI364" s="929"/>
      <c r="AJ364" s="929"/>
    </row>
    <row r="365" customFormat="false" ht="12.75" hidden="false" customHeight="false" outlineLevel="0" collapsed="false">
      <c r="K365" s="451"/>
      <c r="L365" s="451"/>
      <c r="M365" s="451"/>
      <c r="N365" s="451"/>
      <c r="O365" s="451"/>
      <c r="P365" s="929"/>
      <c r="Q365" s="929"/>
      <c r="R365" s="929"/>
      <c r="T365" s="451"/>
      <c r="U365" s="451"/>
      <c r="V365" s="451"/>
      <c r="W365" s="451"/>
      <c r="X365" s="451"/>
      <c r="Y365" s="929"/>
      <c r="Z365" s="929"/>
      <c r="AA365" s="929"/>
      <c r="AC365" s="451"/>
      <c r="AD365" s="451"/>
      <c r="AE365" s="451"/>
      <c r="AF365" s="451"/>
      <c r="AG365" s="451"/>
      <c r="AH365" s="929"/>
      <c r="AI365" s="929"/>
      <c r="AJ365" s="929"/>
    </row>
    <row r="366" customFormat="false" ht="12.75" hidden="false" customHeight="false" outlineLevel="0" collapsed="false">
      <c r="K366" s="451"/>
      <c r="L366" s="451"/>
      <c r="M366" s="451"/>
      <c r="N366" s="451"/>
      <c r="O366" s="451"/>
      <c r="P366" s="929"/>
      <c r="Q366" s="929"/>
      <c r="R366" s="929"/>
      <c r="T366" s="451"/>
      <c r="U366" s="451"/>
      <c r="V366" s="451"/>
      <c r="W366" s="451"/>
      <c r="X366" s="451"/>
      <c r="Y366" s="929"/>
      <c r="Z366" s="929"/>
      <c r="AA366" s="929"/>
      <c r="AC366" s="451"/>
      <c r="AD366" s="451"/>
      <c r="AE366" s="451"/>
      <c r="AF366" s="451"/>
      <c r="AG366" s="451"/>
      <c r="AH366" s="929"/>
      <c r="AI366" s="929"/>
      <c r="AJ366" s="929"/>
    </row>
    <row r="367" customFormat="false" ht="12.75" hidden="false" customHeight="false" outlineLevel="0" collapsed="false">
      <c r="K367" s="451"/>
      <c r="L367" s="451"/>
      <c r="M367" s="451"/>
      <c r="N367" s="451"/>
      <c r="O367" s="451"/>
      <c r="P367" s="929"/>
      <c r="Q367" s="929"/>
      <c r="R367" s="929"/>
      <c r="T367" s="451"/>
      <c r="U367" s="451"/>
      <c r="V367" s="451"/>
      <c r="W367" s="451"/>
      <c r="X367" s="451"/>
      <c r="Y367" s="929"/>
      <c r="Z367" s="929"/>
      <c r="AA367" s="929"/>
      <c r="AC367" s="451"/>
      <c r="AD367" s="451"/>
      <c r="AE367" s="451"/>
      <c r="AF367" s="451"/>
      <c r="AG367" s="451"/>
      <c r="AH367" s="929"/>
      <c r="AI367" s="929"/>
      <c r="AJ367" s="929"/>
    </row>
    <row r="368" customFormat="false" ht="12.75" hidden="false" customHeight="false" outlineLevel="0" collapsed="false">
      <c r="K368" s="451"/>
      <c r="L368" s="451"/>
      <c r="M368" s="451"/>
      <c r="N368" s="451"/>
      <c r="O368" s="451"/>
      <c r="P368" s="929"/>
      <c r="Q368" s="929"/>
      <c r="R368" s="929"/>
      <c r="T368" s="451"/>
      <c r="U368" s="451"/>
      <c r="V368" s="451"/>
      <c r="W368" s="451"/>
      <c r="X368" s="451"/>
      <c r="Y368" s="929"/>
      <c r="Z368" s="929"/>
      <c r="AA368" s="929"/>
      <c r="AC368" s="451"/>
      <c r="AD368" s="451"/>
      <c r="AE368" s="451"/>
      <c r="AF368" s="451"/>
      <c r="AG368" s="451"/>
      <c r="AH368" s="929"/>
      <c r="AI368" s="929"/>
      <c r="AJ368" s="929"/>
    </row>
    <row r="369" customFormat="false" ht="12.75" hidden="false" customHeight="false" outlineLevel="0" collapsed="false">
      <c r="K369" s="451"/>
      <c r="L369" s="451"/>
      <c r="M369" s="451"/>
      <c r="N369" s="451"/>
      <c r="O369" s="451"/>
      <c r="P369" s="929"/>
      <c r="Q369" s="929"/>
      <c r="R369" s="929"/>
      <c r="T369" s="451"/>
      <c r="U369" s="451"/>
      <c r="V369" s="451"/>
      <c r="W369" s="451"/>
      <c r="X369" s="451"/>
      <c r="Y369" s="929"/>
      <c r="Z369" s="929"/>
      <c r="AA369" s="929"/>
      <c r="AC369" s="451"/>
      <c r="AD369" s="451"/>
      <c r="AE369" s="451"/>
      <c r="AF369" s="451"/>
      <c r="AG369" s="451"/>
      <c r="AH369" s="929"/>
      <c r="AI369" s="929"/>
      <c r="AJ369" s="929"/>
    </row>
    <row r="370" customFormat="false" ht="12.75" hidden="false" customHeight="false" outlineLevel="0" collapsed="false">
      <c r="K370" s="451"/>
      <c r="L370" s="451"/>
      <c r="M370" s="451"/>
      <c r="N370" s="451"/>
      <c r="O370" s="451"/>
      <c r="P370" s="929"/>
      <c r="Q370" s="929"/>
      <c r="R370" s="929"/>
      <c r="T370" s="451"/>
      <c r="U370" s="451"/>
      <c r="V370" s="451"/>
      <c r="W370" s="451"/>
      <c r="X370" s="451"/>
      <c r="Y370" s="929"/>
      <c r="Z370" s="929"/>
      <c r="AA370" s="929"/>
      <c r="AC370" s="451"/>
      <c r="AD370" s="451"/>
      <c r="AE370" s="451"/>
      <c r="AF370" s="451"/>
      <c r="AG370" s="451"/>
      <c r="AH370" s="929"/>
      <c r="AI370" s="929"/>
      <c r="AJ370" s="929"/>
    </row>
    <row r="371" customFormat="false" ht="12.75" hidden="false" customHeight="false" outlineLevel="0" collapsed="false">
      <c r="K371" s="451"/>
      <c r="L371" s="451"/>
      <c r="M371" s="451"/>
      <c r="N371" s="451"/>
      <c r="O371" s="451"/>
      <c r="P371" s="929"/>
      <c r="Q371" s="929"/>
      <c r="R371" s="929"/>
      <c r="T371" s="451"/>
      <c r="U371" s="451"/>
      <c r="V371" s="451"/>
      <c r="W371" s="451"/>
      <c r="X371" s="451"/>
      <c r="Y371" s="929"/>
      <c r="Z371" s="929"/>
      <c r="AA371" s="929"/>
      <c r="AC371" s="451"/>
      <c r="AD371" s="451"/>
      <c r="AE371" s="451"/>
      <c r="AF371" s="451"/>
      <c r="AG371" s="451"/>
      <c r="AH371" s="929"/>
      <c r="AI371" s="929"/>
      <c r="AJ371" s="929"/>
    </row>
    <row r="372" customFormat="false" ht="12.75" hidden="false" customHeight="false" outlineLevel="0" collapsed="false">
      <c r="K372" s="451"/>
      <c r="L372" s="451"/>
      <c r="M372" s="451"/>
      <c r="N372" s="451"/>
      <c r="O372" s="451"/>
      <c r="P372" s="929"/>
      <c r="Q372" s="929"/>
      <c r="R372" s="929"/>
      <c r="T372" s="451"/>
      <c r="U372" s="451"/>
      <c r="V372" s="451"/>
      <c r="W372" s="451"/>
      <c r="X372" s="451"/>
      <c r="Y372" s="929"/>
      <c r="Z372" s="929"/>
      <c r="AA372" s="929"/>
      <c r="AC372" s="451"/>
      <c r="AD372" s="451"/>
      <c r="AE372" s="451"/>
      <c r="AF372" s="451"/>
      <c r="AG372" s="451"/>
      <c r="AH372" s="929"/>
      <c r="AI372" s="929"/>
      <c r="AJ372" s="929"/>
    </row>
    <row r="373" customFormat="false" ht="12.75" hidden="false" customHeight="false" outlineLevel="0" collapsed="false">
      <c r="K373" s="451"/>
      <c r="L373" s="451"/>
      <c r="M373" s="451"/>
      <c r="N373" s="451"/>
      <c r="O373" s="451"/>
      <c r="P373" s="929"/>
      <c r="Q373" s="929"/>
      <c r="R373" s="929"/>
      <c r="T373" s="451"/>
      <c r="U373" s="451"/>
      <c r="V373" s="451"/>
      <c r="W373" s="451"/>
      <c r="X373" s="451"/>
      <c r="Y373" s="929"/>
      <c r="Z373" s="929"/>
      <c r="AA373" s="929"/>
      <c r="AC373" s="451"/>
      <c r="AD373" s="451"/>
      <c r="AE373" s="451"/>
      <c r="AF373" s="451"/>
      <c r="AG373" s="451"/>
      <c r="AH373" s="929"/>
      <c r="AI373" s="929"/>
      <c r="AJ373" s="929"/>
    </row>
    <row r="374" customFormat="false" ht="12.75" hidden="false" customHeight="false" outlineLevel="0" collapsed="false">
      <c r="K374" s="451"/>
      <c r="L374" s="451"/>
      <c r="M374" s="451"/>
      <c r="N374" s="451"/>
      <c r="O374" s="451"/>
      <c r="P374" s="929"/>
      <c r="Q374" s="929"/>
      <c r="R374" s="929"/>
      <c r="T374" s="451"/>
      <c r="U374" s="451"/>
      <c r="V374" s="451"/>
      <c r="W374" s="451"/>
      <c r="X374" s="451"/>
      <c r="Y374" s="929"/>
      <c r="Z374" s="929"/>
      <c r="AA374" s="929"/>
      <c r="AC374" s="451"/>
      <c r="AD374" s="451"/>
      <c r="AE374" s="451"/>
      <c r="AF374" s="451"/>
      <c r="AG374" s="451"/>
      <c r="AH374" s="929"/>
      <c r="AI374" s="929"/>
      <c r="AJ374" s="929"/>
    </row>
    <row r="375" customFormat="false" ht="12.75" hidden="false" customHeight="false" outlineLevel="0" collapsed="false">
      <c r="K375" s="451"/>
      <c r="L375" s="451"/>
      <c r="M375" s="451"/>
      <c r="N375" s="451"/>
      <c r="O375" s="451"/>
      <c r="P375" s="929"/>
      <c r="Q375" s="929"/>
      <c r="R375" s="929"/>
      <c r="T375" s="451"/>
      <c r="U375" s="451"/>
      <c r="V375" s="451"/>
      <c r="W375" s="451"/>
      <c r="X375" s="451"/>
      <c r="Y375" s="929"/>
      <c r="Z375" s="929"/>
      <c r="AA375" s="929"/>
      <c r="AC375" s="451"/>
      <c r="AD375" s="451"/>
      <c r="AE375" s="451"/>
      <c r="AF375" s="451"/>
      <c r="AG375" s="451"/>
      <c r="AH375" s="929"/>
      <c r="AI375" s="929"/>
      <c r="AJ375" s="929"/>
    </row>
    <row r="376" customFormat="false" ht="12.75" hidden="false" customHeight="false" outlineLevel="0" collapsed="false">
      <c r="K376" s="451"/>
      <c r="L376" s="451"/>
      <c r="M376" s="451"/>
      <c r="N376" s="451"/>
      <c r="O376" s="451"/>
      <c r="P376" s="929"/>
      <c r="Q376" s="929"/>
      <c r="R376" s="929"/>
      <c r="T376" s="451"/>
      <c r="U376" s="451"/>
      <c r="V376" s="451"/>
      <c r="W376" s="451"/>
      <c r="X376" s="451"/>
      <c r="Y376" s="929"/>
      <c r="Z376" s="929"/>
      <c r="AA376" s="929"/>
      <c r="AC376" s="451"/>
      <c r="AD376" s="451"/>
      <c r="AE376" s="451"/>
      <c r="AF376" s="451"/>
      <c r="AG376" s="451"/>
      <c r="AH376" s="929"/>
      <c r="AI376" s="929"/>
      <c r="AJ376" s="929"/>
    </row>
    <row r="377" customFormat="false" ht="12.75" hidden="false" customHeight="false" outlineLevel="0" collapsed="false">
      <c r="K377" s="451"/>
      <c r="L377" s="451"/>
      <c r="M377" s="451"/>
      <c r="N377" s="451"/>
      <c r="O377" s="451"/>
      <c r="P377" s="929"/>
      <c r="Q377" s="929"/>
      <c r="R377" s="929"/>
      <c r="T377" s="451"/>
      <c r="U377" s="451"/>
      <c r="V377" s="451"/>
      <c r="W377" s="451"/>
      <c r="X377" s="451"/>
      <c r="Y377" s="929"/>
      <c r="Z377" s="929"/>
      <c r="AA377" s="929"/>
      <c r="AC377" s="451"/>
      <c r="AD377" s="451"/>
      <c r="AE377" s="451"/>
      <c r="AF377" s="451"/>
      <c r="AG377" s="451"/>
      <c r="AH377" s="929"/>
      <c r="AI377" s="929"/>
      <c r="AJ377" s="929"/>
    </row>
    <row r="378" customFormat="false" ht="12.75" hidden="false" customHeight="false" outlineLevel="0" collapsed="false">
      <c r="K378" s="451"/>
      <c r="L378" s="451"/>
      <c r="M378" s="451"/>
      <c r="N378" s="451"/>
      <c r="O378" s="451"/>
      <c r="P378" s="929"/>
      <c r="Q378" s="929"/>
      <c r="R378" s="929"/>
      <c r="T378" s="451"/>
      <c r="U378" s="451"/>
      <c r="V378" s="451"/>
      <c r="W378" s="451"/>
      <c r="X378" s="451"/>
      <c r="Y378" s="929"/>
      <c r="Z378" s="929"/>
      <c r="AA378" s="929"/>
      <c r="AC378" s="451"/>
      <c r="AD378" s="451"/>
      <c r="AE378" s="451"/>
      <c r="AF378" s="451"/>
      <c r="AG378" s="451"/>
      <c r="AH378" s="929"/>
      <c r="AI378" s="929"/>
      <c r="AJ378" s="929"/>
    </row>
    <row r="379" customFormat="false" ht="12.75" hidden="false" customHeight="false" outlineLevel="0" collapsed="false">
      <c r="K379" s="451"/>
      <c r="L379" s="451"/>
      <c r="M379" s="451"/>
      <c r="N379" s="451"/>
      <c r="O379" s="451"/>
      <c r="P379" s="929"/>
      <c r="Q379" s="929"/>
      <c r="R379" s="929"/>
      <c r="T379" s="451"/>
      <c r="U379" s="451"/>
      <c r="V379" s="451"/>
      <c r="W379" s="451"/>
      <c r="X379" s="451"/>
      <c r="Y379" s="929"/>
      <c r="Z379" s="929"/>
      <c r="AA379" s="929"/>
      <c r="AC379" s="451"/>
      <c r="AD379" s="451"/>
      <c r="AE379" s="451"/>
      <c r="AF379" s="451"/>
      <c r="AG379" s="451"/>
      <c r="AH379" s="929"/>
      <c r="AI379" s="929"/>
      <c r="AJ379" s="929"/>
    </row>
    <row r="380" customFormat="false" ht="12.75" hidden="false" customHeight="false" outlineLevel="0" collapsed="false">
      <c r="K380" s="451"/>
      <c r="L380" s="451"/>
      <c r="M380" s="451"/>
      <c r="N380" s="451"/>
      <c r="O380" s="451"/>
      <c r="P380" s="929"/>
      <c r="Q380" s="929"/>
      <c r="R380" s="929"/>
      <c r="T380" s="451"/>
      <c r="U380" s="451"/>
      <c r="V380" s="451"/>
      <c r="W380" s="451"/>
      <c r="X380" s="451"/>
      <c r="Y380" s="929"/>
      <c r="Z380" s="929"/>
      <c r="AA380" s="929"/>
      <c r="AC380" s="451"/>
      <c r="AD380" s="451"/>
      <c r="AE380" s="451"/>
      <c r="AF380" s="451"/>
      <c r="AG380" s="451"/>
      <c r="AH380" s="929"/>
      <c r="AI380" s="929"/>
      <c r="AJ380" s="929"/>
    </row>
    <row r="381" customFormat="false" ht="12.75" hidden="false" customHeight="false" outlineLevel="0" collapsed="false">
      <c r="K381" s="451"/>
      <c r="L381" s="451"/>
      <c r="M381" s="451"/>
      <c r="N381" s="451"/>
      <c r="O381" s="451"/>
      <c r="P381" s="929"/>
      <c r="Q381" s="929"/>
      <c r="R381" s="929"/>
      <c r="T381" s="451"/>
      <c r="U381" s="451"/>
      <c r="V381" s="451"/>
      <c r="W381" s="451"/>
      <c r="X381" s="451"/>
      <c r="Y381" s="929"/>
      <c r="Z381" s="929"/>
      <c r="AA381" s="929"/>
      <c r="AC381" s="451"/>
      <c r="AD381" s="451"/>
      <c r="AE381" s="451"/>
      <c r="AF381" s="451"/>
      <c r="AG381" s="451"/>
      <c r="AH381" s="929"/>
      <c r="AI381" s="929"/>
      <c r="AJ381" s="929"/>
    </row>
    <row r="382" customFormat="false" ht="12.75" hidden="false" customHeight="false" outlineLevel="0" collapsed="false">
      <c r="K382" s="451"/>
      <c r="L382" s="451"/>
      <c r="M382" s="451"/>
      <c r="N382" s="451"/>
      <c r="O382" s="451"/>
      <c r="P382" s="929"/>
      <c r="Q382" s="929"/>
      <c r="R382" s="929"/>
      <c r="T382" s="451"/>
      <c r="U382" s="451"/>
      <c r="V382" s="451"/>
      <c r="W382" s="451"/>
      <c r="X382" s="451"/>
      <c r="Y382" s="929"/>
      <c r="Z382" s="929"/>
      <c r="AA382" s="929"/>
      <c r="AC382" s="451"/>
      <c r="AD382" s="451"/>
      <c r="AE382" s="451"/>
      <c r="AF382" s="451"/>
      <c r="AG382" s="451"/>
      <c r="AH382" s="929"/>
      <c r="AI382" s="929"/>
      <c r="AJ382" s="929"/>
    </row>
    <row r="383" customFormat="false" ht="12.75" hidden="false" customHeight="false" outlineLevel="0" collapsed="false">
      <c r="K383" s="451"/>
      <c r="L383" s="451"/>
      <c r="M383" s="451"/>
      <c r="N383" s="451"/>
      <c r="O383" s="451"/>
      <c r="P383" s="929"/>
      <c r="Q383" s="929"/>
      <c r="R383" s="929"/>
      <c r="T383" s="451"/>
      <c r="U383" s="451"/>
      <c r="V383" s="451"/>
      <c r="W383" s="451"/>
      <c r="X383" s="451"/>
      <c r="Y383" s="929"/>
      <c r="Z383" s="929"/>
      <c r="AA383" s="929"/>
      <c r="AC383" s="451"/>
      <c r="AD383" s="451"/>
      <c r="AE383" s="451"/>
      <c r="AF383" s="451"/>
      <c r="AG383" s="451"/>
      <c r="AH383" s="929"/>
      <c r="AI383" s="929"/>
      <c r="AJ383" s="929"/>
    </row>
    <row r="384" customFormat="false" ht="12.75" hidden="false" customHeight="false" outlineLevel="0" collapsed="false">
      <c r="K384" s="451"/>
      <c r="L384" s="451"/>
      <c r="M384" s="451"/>
      <c r="N384" s="451"/>
      <c r="O384" s="451"/>
      <c r="P384" s="929"/>
      <c r="Q384" s="929"/>
      <c r="R384" s="929"/>
      <c r="T384" s="451"/>
      <c r="U384" s="451"/>
      <c r="V384" s="451"/>
      <c r="W384" s="451"/>
      <c r="X384" s="451"/>
      <c r="Y384" s="929"/>
      <c r="Z384" s="929"/>
      <c r="AA384" s="929"/>
      <c r="AC384" s="451"/>
      <c r="AD384" s="451"/>
      <c r="AE384" s="451"/>
      <c r="AF384" s="451"/>
      <c r="AG384" s="451"/>
      <c r="AH384" s="929"/>
      <c r="AI384" s="929"/>
      <c r="AJ384" s="929"/>
    </row>
    <row r="385" customFormat="false" ht="12.75" hidden="false" customHeight="false" outlineLevel="0" collapsed="false">
      <c r="K385" s="451"/>
      <c r="L385" s="451"/>
      <c r="M385" s="451"/>
      <c r="N385" s="451"/>
      <c r="O385" s="451"/>
      <c r="P385" s="929"/>
      <c r="Q385" s="929"/>
      <c r="R385" s="929"/>
      <c r="T385" s="451"/>
      <c r="U385" s="451"/>
      <c r="V385" s="451"/>
      <c r="W385" s="451"/>
      <c r="X385" s="451"/>
      <c r="Y385" s="929"/>
      <c r="Z385" s="929"/>
      <c r="AA385" s="929"/>
      <c r="AC385" s="451"/>
      <c r="AD385" s="451"/>
      <c r="AE385" s="451"/>
      <c r="AF385" s="451"/>
      <c r="AG385" s="451"/>
      <c r="AH385" s="929"/>
      <c r="AI385" s="929"/>
      <c r="AJ385" s="929"/>
    </row>
    <row r="386" customFormat="false" ht="12.75" hidden="false" customHeight="false" outlineLevel="0" collapsed="false">
      <c r="K386" s="451"/>
      <c r="L386" s="451"/>
      <c r="M386" s="451"/>
      <c r="N386" s="451"/>
      <c r="O386" s="451"/>
      <c r="P386" s="929"/>
      <c r="Q386" s="929"/>
      <c r="R386" s="929"/>
      <c r="T386" s="451"/>
      <c r="U386" s="451"/>
      <c r="V386" s="451"/>
      <c r="W386" s="451"/>
      <c r="X386" s="451"/>
      <c r="Y386" s="929"/>
      <c r="Z386" s="929"/>
      <c r="AA386" s="929"/>
      <c r="AC386" s="451"/>
      <c r="AD386" s="451"/>
      <c r="AE386" s="451"/>
      <c r="AF386" s="451"/>
      <c r="AG386" s="451"/>
      <c r="AH386" s="929"/>
      <c r="AI386" s="929"/>
      <c r="AJ386" s="929"/>
    </row>
    <row r="387" customFormat="false" ht="12.75" hidden="false" customHeight="false" outlineLevel="0" collapsed="false">
      <c r="K387" s="451"/>
      <c r="L387" s="451"/>
      <c r="M387" s="451"/>
      <c r="N387" s="451"/>
      <c r="O387" s="451"/>
      <c r="P387" s="929"/>
      <c r="Q387" s="929"/>
      <c r="R387" s="929"/>
      <c r="T387" s="451"/>
      <c r="U387" s="451"/>
      <c r="V387" s="451"/>
      <c r="W387" s="451"/>
      <c r="X387" s="451"/>
      <c r="Y387" s="929"/>
      <c r="Z387" s="929"/>
      <c r="AA387" s="929"/>
      <c r="AC387" s="451"/>
      <c r="AD387" s="451"/>
      <c r="AE387" s="451"/>
      <c r="AF387" s="451"/>
      <c r="AG387" s="451"/>
      <c r="AH387" s="929"/>
      <c r="AI387" s="929"/>
      <c r="AJ387" s="929"/>
    </row>
    <row r="388" customFormat="false" ht="12.75" hidden="false" customHeight="false" outlineLevel="0" collapsed="false">
      <c r="K388" s="451"/>
      <c r="L388" s="451"/>
      <c r="M388" s="451"/>
      <c r="N388" s="451"/>
      <c r="O388" s="451"/>
      <c r="P388" s="929"/>
      <c r="Q388" s="929"/>
      <c r="R388" s="929"/>
      <c r="T388" s="451"/>
      <c r="U388" s="451"/>
      <c r="V388" s="451"/>
      <c r="W388" s="451"/>
      <c r="X388" s="451"/>
      <c r="Y388" s="929"/>
      <c r="Z388" s="929"/>
      <c r="AA388" s="929"/>
      <c r="AC388" s="451"/>
      <c r="AD388" s="451"/>
      <c r="AE388" s="451"/>
      <c r="AF388" s="451"/>
      <c r="AG388" s="451"/>
      <c r="AH388" s="929"/>
      <c r="AI388" s="929"/>
      <c r="AJ388" s="929"/>
    </row>
    <row r="389" customFormat="false" ht="12.75" hidden="false" customHeight="false" outlineLevel="0" collapsed="false">
      <c r="K389" s="451"/>
      <c r="L389" s="451"/>
      <c r="M389" s="451"/>
      <c r="N389" s="451"/>
      <c r="O389" s="451"/>
      <c r="P389" s="929"/>
      <c r="Q389" s="929"/>
      <c r="R389" s="929"/>
      <c r="T389" s="451"/>
      <c r="U389" s="451"/>
      <c r="V389" s="451"/>
      <c r="W389" s="451"/>
      <c r="X389" s="451"/>
      <c r="Y389" s="929"/>
      <c r="Z389" s="929"/>
      <c r="AA389" s="929"/>
      <c r="AC389" s="451"/>
      <c r="AD389" s="451"/>
      <c r="AE389" s="451"/>
      <c r="AF389" s="451"/>
      <c r="AG389" s="451"/>
      <c r="AH389" s="929"/>
      <c r="AI389" s="929"/>
      <c r="AJ389" s="929"/>
    </row>
    <row r="390" customFormat="false" ht="12.75" hidden="false" customHeight="false" outlineLevel="0" collapsed="false">
      <c r="K390" s="451"/>
      <c r="L390" s="451"/>
      <c r="M390" s="451"/>
      <c r="N390" s="451"/>
      <c r="O390" s="451"/>
      <c r="P390" s="929"/>
      <c r="Q390" s="929"/>
      <c r="R390" s="929"/>
      <c r="T390" s="451"/>
      <c r="U390" s="451"/>
      <c r="V390" s="451"/>
      <c r="W390" s="451"/>
      <c r="X390" s="451"/>
      <c r="Y390" s="929"/>
      <c r="Z390" s="929"/>
      <c r="AA390" s="929"/>
      <c r="AC390" s="451"/>
      <c r="AD390" s="451"/>
      <c r="AE390" s="451"/>
      <c r="AF390" s="451"/>
      <c r="AG390" s="451"/>
      <c r="AH390" s="929"/>
      <c r="AI390" s="929"/>
      <c r="AJ390" s="929"/>
    </row>
    <row r="391" customFormat="false" ht="12.75" hidden="false" customHeight="false" outlineLevel="0" collapsed="false">
      <c r="K391" s="451"/>
      <c r="L391" s="451"/>
      <c r="M391" s="451"/>
      <c r="N391" s="451"/>
      <c r="O391" s="451"/>
      <c r="P391" s="929"/>
      <c r="Q391" s="929"/>
      <c r="R391" s="929"/>
      <c r="T391" s="451"/>
      <c r="U391" s="451"/>
      <c r="V391" s="451"/>
      <c r="W391" s="451"/>
      <c r="X391" s="451"/>
      <c r="Y391" s="929"/>
      <c r="Z391" s="929"/>
      <c r="AA391" s="929"/>
      <c r="AC391" s="451"/>
      <c r="AD391" s="451"/>
      <c r="AE391" s="451"/>
      <c r="AF391" s="451"/>
      <c r="AG391" s="451"/>
      <c r="AH391" s="929"/>
      <c r="AI391" s="929"/>
      <c r="AJ391" s="929"/>
    </row>
    <row r="392" customFormat="false" ht="12.75" hidden="false" customHeight="false" outlineLevel="0" collapsed="false">
      <c r="K392" s="451"/>
      <c r="L392" s="451"/>
      <c r="M392" s="451"/>
      <c r="N392" s="451"/>
      <c r="O392" s="451"/>
      <c r="P392" s="929"/>
      <c r="Q392" s="929"/>
      <c r="R392" s="929"/>
      <c r="T392" s="451"/>
      <c r="U392" s="451"/>
      <c r="V392" s="451"/>
      <c r="W392" s="451"/>
      <c r="X392" s="451"/>
      <c r="Y392" s="929"/>
      <c r="Z392" s="929"/>
      <c r="AA392" s="929"/>
      <c r="AC392" s="451"/>
      <c r="AD392" s="451"/>
      <c r="AE392" s="451"/>
      <c r="AF392" s="451"/>
      <c r="AG392" s="451"/>
      <c r="AH392" s="929"/>
      <c r="AI392" s="929"/>
      <c r="AJ392" s="929"/>
    </row>
    <row r="393" customFormat="false" ht="12.75" hidden="false" customHeight="false" outlineLevel="0" collapsed="false">
      <c r="K393" s="451"/>
      <c r="L393" s="451"/>
      <c r="M393" s="451"/>
      <c r="N393" s="451"/>
      <c r="O393" s="451"/>
      <c r="P393" s="929"/>
      <c r="Q393" s="929"/>
      <c r="R393" s="929"/>
      <c r="T393" s="451"/>
      <c r="U393" s="451"/>
      <c r="V393" s="451"/>
      <c r="W393" s="451"/>
      <c r="X393" s="451"/>
      <c r="Y393" s="929"/>
      <c r="Z393" s="929"/>
      <c r="AA393" s="929"/>
      <c r="AC393" s="451"/>
      <c r="AD393" s="451"/>
      <c r="AE393" s="451"/>
      <c r="AF393" s="451"/>
      <c r="AG393" s="451"/>
      <c r="AH393" s="929"/>
      <c r="AI393" s="929"/>
      <c r="AJ393" s="929"/>
    </row>
    <row r="394" customFormat="false" ht="12.75" hidden="false" customHeight="false" outlineLevel="0" collapsed="false">
      <c r="K394" s="451"/>
      <c r="L394" s="451"/>
      <c r="M394" s="451"/>
      <c r="N394" s="451"/>
      <c r="O394" s="451"/>
      <c r="P394" s="929"/>
      <c r="Q394" s="929"/>
      <c r="R394" s="929"/>
      <c r="T394" s="451"/>
      <c r="U394" s="451"/>
      <c r="V394" s="451"/>
      <c r="W394" s="451"/>
      <c r="X394" s="451"/>
      <c r="Y394" s="929"/>
      <c r="Z394" s="929"/>
      <c r="AA394" s="929"/>
      <c r="AC394" s="451"/>
      <c r="AD394" s="451"/>
      <c r="AE394" s="451"/>
      <c r="AF394" s="451"/>
      <c r="AG394" s="451"/>
      <c r="AH394" s="929"/>
      <c r="AI394" s="929"/>
      <c r="AJ394" s="929"/>
    </row>
    <row r="395" customFormat="false" ht="12.75" hidden="false" customHeight="false" outlineLevel="0" collapsed="false">
      <c r="K395" s="451"/>
      <c r="L395" s="451"/>
      <c r="M395" s="451"/>
      <c r="N395" s="451"/>
      <c r="O395" s="451"/>
      <c r="P395" s="929"/>
      <c r="Q395" s="929"/>
      <c r="R395" s="929"/>
      <c r="T395" s="451"/>
      <c r="U395" s="451"/>
      <c r="V395" s="451"/>
      <c r="W395" s="451"/>
      <c r="X395" s="451"/>
      <c r="Y395" s="929"/>
      <c r="Z395" s="929"/>
      <c r="AA395" s="929"/>
      <c r="AC395" s="451"/>
      <c r="AD395" s="451"/>
      <c r="AE395" s="451"/>
      <c r="AF395" s="451"/>
      <c r="AG395" s="451"/>
      <c r="AH395" s="929"/>
      <c r="AI395" s="929"/>
      <c r="AJ395" s="929"/>
    </row>
    <row r="396" customFormat="false" ht="12.75" hidden="false" customHeight="false" outlineLevel="0" collapsed="false">
      <c r="K396" s="451"/>
      <c r="L396" s="451"/>
      <c r="M396" s="451"/>
      <c r="N396" s="451"/>
      <c r="O396" s="451"/>
      <c r="P396" s="929"/>
      <c r="Q396" s="929"/>
      <c r="R396" s="929"/>
      <c r="T396" s="451"/>
      <c r="U396" s="451"/>
      <c r="V396" s="451"/>
      <c r="W396" s="451"/>
      <c r="X396" s="451"/>
      <c r="Y396" s="929"/>
      <c r="Z396" s="929"/>
      <c r="AA396" s="929"/>
      <c r="AC396" s="451"/>
      <c r="AD396" s="451"/>
      <c r="AE396" s="451"/>
      <c r="AF396" s="451"/>
      <c r="AG396" s="451"/>
      <c r="AH396" s="929"/>
      <c r="AI396" s="929"/>
      <c r="AJ396" s="929"/>
    </row>
    <row r="397" customFormat="false" ht="12.75" hidden="false" customHeight="false" outlineLevel="0" collapsed="false">
      <c r="K397" s="451"/>
      <c r="L397" s="451"/>
      <c r="M397" s="451"/>
      <c r="N397" s="451"/>
      <c r="O397" s="451"/>
      <c r="P397" s="929"/>
      <c r="Q397" s="929"/>
      <c r="R397" s="929"/>
      <c r="T397" s="451"/>
      <c r="U397" s="451"/>
      <c r="V397" s="451"/>
      <c r="W397" s="451"/>
      <c r="X397" s="451"/>
      <c r="Y397" s="929"/>
      <c r="Z397" s="929"/>
      <c r="AA397" s="929"/>
      <c r="AC397" s="451"/>
      <c r="AD397" s="451"/>
      <c r="AE397" s="451"/>
      <c r="AF397" s="451"/>
      <c r="AG397" s="451"/>
      <c r="AH397" s="929"/>
      <c r="AI397" s="929"/>
      <c r="AJ397" s="929"/>
    </row>
    <row r="398" customFormat="false" ht="12.75" hidden="false" customHeight="false" outlineLevel="0" collapsed="false">
      <c r="K398" s="451"/>
      <c r="L398" s="451"/>
      <c r="M398" s="451"/>
      <c r="N398" s="451"/>
      <c r="O398" s="451"/>
      <c r="P398" s="929"/>
      <c r="Q398" s="929"/>
      <c r="R398" s="929"/>
      <c r="T398" s="451"/>
      <c r="U398" s="451"/>
      <c r="V398" s="451"/>
      <c r="W398" s="451"/>
      <c r="X398" s="451"/>
      <c r="Y398" s="929"/>
      <c r="Z398" s="929"/>
      <c r="AA398" s="929"/>
      <c r="AC398" s="451"/>
      <c r="AD398" s="451"/>
      <c r="AE398" s="451"/>
      <c r="AF398" s="451"/>
      <c r="AG398" s="451"/>
      <c r="AH398" s="929"/>
      <c r="AI398" s="929"/>
      <c r="AJ398" s="929"/>
    </row>
    <row r="399" customFormat="false" ht="12.75" hidden="false" customHeight="false" outlineLevel="0" collapsed="false">
      <c r="K399" s="451"/>
      <c r="L399" s="451"/>
      <c r="M399" s="451"/>
      <c r="N399" s="451"/>
      <c r="O399" s="451"/>
      <c r="P399" s="929"/>
      <c r="Q399" s="929"/>
      <c r="R399" s="929"/>
      <c r="T399" s="451"/>
      <c r="U399" s="451"/>
      <c r="V399" s="451"/>
      <c r="W399" s="451"/>
      <c r="X399" s="451"/>
      <c r="Y399" s="929"/>
      <c r="Z399" s="929"/>
      <c r="AA399" s="929"/>
      <c r="AC399" s="451"/>
      <c r="AD399" s="451"/>
      <c r="AE399" s="451"/>
      <c r="AF399" s="451"/>
      <c r="AG399" s="451"/>
      <c r="AH399" s="929"/>
      <c r="AI399" s="929"/>
      <c r="AJ399" s="929"/>
    </row>
    <row r="400" customFormat="false" ht="12.75" hidden="false" customHeight="false" outlineLevel="0" collapsed="false">
      <c r="K400" s="451"/>
      <c r="L400" s="451"/>
      <c r="M400" s="451"/>
      <c r="N400" s="451"/>
      <c r="O400" s="451"/>
      <c r="P400" s="929"/>
      <c r="Q400" s="929"/>
      <c r="R400" s="929"/>
      <c r="T400" s="451"/>
      <c r="U400" s="451"/>
      <c r="V400" s="451"/>
      <c r="W400" s="451"/>
      <c r="X400" s="451"/>
      <c r="Y400" s="929"/>
      <c r="Z400" s="929"/>
      <c r="AA400" s="929"/>
      <c r="AC400" s="451"/>
      <c r="AD400" s="451"/>
      <c r="AE400" s="451"/>
      <c r="AF400" s="451"/>
      <c r="AG400" s="451"/>
      <c r="AH400" s="929"/>
      <c r="AI400" s="929"/>
      <c r="AJ400" s="929"/>
    </row>
    <row r="401" customFormat="false" ht="12.75" hidden="false" customHeight="false" outlineLevel="0" collapsed="false">
      <c r="K401" s="451"/>
      <c r="L401" s="451"/>
      <c r="M401" s="451"/>
      <c r="N401" s="451"/>
      <c r="O401" s="451"/>
      <c r="P401" s="929"/>
      <c r="Q401" s="929"/>
      <c r="R401" s="929"/>
      <c r="T401" s="451"/>
      <c r="U401" s="451"/>
      <c r="V401" s="451"/>
      <c r="W401" s="451"/>
      <c r="X401" s="451"/>
      <c r="Y401" s="929"/>
      <c r="Z401" s="929"/>
      <c r="AA401" s="929"/>
      <c r="AC401" s="451"/>
      <c r="AD401" s="451"/>
      <c r="AE401" s="451"/>
      <c r="AF401" s="451"/>
      <c r="AG401" s="451"/>
      <c r="AH401" s="929"/>
      <c r="AI401" s="929"/>
      <c r="AJ401" s="929"/>
    </row>
    <row r="402" customFormat="false" ht="12.75" hidden="false" customHeight="false" outlineLevel="0" collapsed="false">
      <c r="K402" s="451"/>
      <c r="L402" s="451"/>
      <c r="M402" s="451"/>
      <c r="N402" s="451"/>
      <c r="O402" s="451"/>
      <c r="P402" s="929"/>
      <c r="Q402" s="929"/>
      <c r="R402" s="929"/>
      <c r="T402" s="451"/>
      <c r="U402" s="451"/>
      <c r="V402" s="451"/>
      <c r="W402" s="451"/>
      <c r="X402" s="451"/>
      <c r="Y402" s="929"/>
      <c r="Z402" s="929"/>
      <c r="AA402" s="929"/>
      <c r="AC402" s="451"/>
      <c r="AD402" s="451"/>
      <c r="AE402" s="451"/>
      <c r="AF402" s="451"/>
      <c r="AG402" s="451"/>
      <c r="AH402" s="929"/>
      <c r="AI402" s="929"/>
      <c r="AJ402" s="929"/>
    </row>
    <row r="403" customFormat="false" ht="12.75" hidden="false" customHeight="false" outlineLevel="0" collapsed="false">
      <c r="K403" s="451"/>
      <c r="L403" s="451"/>
      <c r="M403" s="451"/>
      <c r="N403" s="451"/>
      <c r="O403" s="451"/>
      <c r="P403" s="929"/>
      <c r="Q403" s="929"/>
      <c r="R403" s="929"/>
      <c r="T403" s="451"/>
      <c r="U403" s="451"/>
      <c r="V403" s="451"/>
      <c r="W403" s="451"/>
      <c r="X403" s="451"/>
      <c r="Y403" s="929"/>
      <c r="Z403" s="929"/>
      <c r="AA403" s="929"/>
      <c r="AC403" s="451"/>
      <c r="AD403" s="451"/>
      <c r="AE403" s="451"/>
      <c r="AF403" s="451"/>
      <c r="AG403" s="451"/>
      <c r="AH403" s="929"/>
      <c r="AI403" s="929"/>
      <c r="AJ403" s="929"/>
    </row>
    <row r="404" customFormat="false" ht="12.75" hidden="false" customHeight="false" outlineLevel="0" collapsed="false">
      <c r="K404" s="451"/>
      <c r="L404" s="451"/>
      <c r="M404" s="451"/>
      <c r="N404" s="451"/>
      <c r="O404" s="451"/>
      <c r="P404" s="929"/>
      <c r="Q404" s="929"/>
      <c r="R404" s="929"/>
      <c r="T404" s="451"/>
      <c r="U404" s="451"/>
      <c r="V404" s="451"/>
      <c r="W404" s="451"/>
      <c r="X404" s="451"/>
      <c r="Y404" s="929"/>
      <c r="Z404" s="929"/>
      <c r="AA404" s="929"/>
      <c r="AC404" s="451"/>
      <c r="AD404" s="451"/>
      <c r="AE404" s="451"/>
      <c r="AF404" s="451"/>
      <c r="AG404" s="451"/>
      <c r="AH404" s="929"/>
      <c r="AI404" s="929"/>
      <c r="AJ404" s="929"/>
    </row>
    <row r="405" customFormat="false" ht="12.75" hidden="false" customHeight="false" outlineLevel="0" collapsed="false">
      <c r="K405" s="451"/>
      <c r="L405" s="451"/>
      <c r="M405" s="451"/>
      <c r="N405" s="451"/>
      <c r="O405" s="451"/>
      <c r="P405" s="929"/>
      <c r="Q405" s="929"/>
      <c r="R405" s="929"/>
      <c r="T405" s="451"/>
      <c r="U405" s="451"/>
      <c r="V405" s="451"/>
      <c r="W405" s="451"/>
      <c r="X405" s="451"/>
      <c r="Y405" s="929"/>
      <c r="Z405" s="929"/>
      <c r="AA405" s="929"/>
      <c r="AC405" s="451"/>
      <c r="AD405" s="451"/>
      <c r="AE405" s="451"/>
      <c r="AF405" s="451"/>
      <c r="AG405" s="451"/>
      <c r="AH405" s="929"/>
      <c r="AI405" s="929"/>
      <c r="AJ405" s="929"/>
    </row>
    <row r="406" customFormat="false" ht="12.75" hidden="false" customHeight="false" outlineLevel="0" collapsed="false">
      <c r="K406" s="451"/>
      <c r="L406" s="451"/>
      <c r="M406" s="451"/>
      <c r="N406" s="451"/>
      <c r="O406" s="451"/>
      <c r="P406" s="929"/>
      <c r="Q406" s="929"/>
      <c r="R406" s="929"/>
      <c r="T406" s="451"/>
      <c r="U406" s="451"/>
      <c r="V406" s="451"/>
      <c r="W406" s="451"/>
      <c r="X406" s="451"/>
      <c r="Y406" s="929"/>
      <c r="Z406" s="929"/>
      <c r="AA406" s="929"/>
      <c r="AC406" s="451"/>
      <c r="AD406" s="451"/>
      <c r="AE406" s="451"/>
      <c r="AF406" s="451"/>
      <c r="AG406" s="451"/>
      <c r="AH406" s="929"/>
      <c r="AI406" s="929"/>
      <c r="AJ406" s="929"/>
    </row>
    <row r="407" customFormat="false" ht="12.75" hidden="false" customHeight="false" outlineLevel="0" collapsed="false">
      <c r="K407" s="451"/>
      <c r="L407" s="451"/>
      <c r="M407" s="451"/>
      <c r="N407" s="451"/>
      <c r="O407" s="451"/>
      <c r="P407" s="929"/>
      <c r="Q407" s="929"/>
      <c r="R407" s="929"/>
      <c r="T407" s="451"/>
      <c r="U407" s="451"/>
      <c r="V407" s="451"/>
      <c r="W407" s="451"/>
      <c r="X407" s="451"/>
      <c r="Y407" s="929"/>
      <c r="Z407" s="929"/>
      <c r="AA407" s="929"/>
      <c r="AC407" s="451"/>
      <c r="AD407" s="451"/>
      <c r="AE407" s="451"/>
      <c r="AF407" s="451"/>
      <c r="AG407" s="451"/>
      <c r="AH407" s="929"/>
      <c r="AI407" s="929"/>
      <c r="AJ407" s="929"/>
    </row>
    <row r="408" customFormat="false" ht="12.75" hidden="false" customHeight="false" outlineLevel="0" collapsed="false">
      <c r="K408" s="451"/>
      <c r="L408" s="451"/>
      <c r="M408" s="451"/>
      <c r="N408" s="451"/>
      <c r="O408" s="451"/>
      <c r="P408" s="929"/>
      <c r="Q408" s="929"/>
      <c r="R408" s="929"/>
      <c r="T408" s="451"/>
      <c r="U408" s="451"/>
      <c r="V408" s="451"/>
      <c r="W408" s="451"/>
      <c r="X408" s="451"/>
      <c r="Y408" s="929"/>
      <c r="Z408" s="929"/>
      <c r="AA408" s="929"/>
      <c r="AC408" s="451"/>
      <c r="AD408" s="451"/>
      <c r="AE408" s="451"/>
      <c r="AF408" s="451"/>
      <c r="AG408" s="451"/>
      <c r="AH408" s="929"/>
      <c r="AI408" s="929"/>
      <c r="AJ408" s="929"/>
    </row>
    <row r="409" customFormat="false" ht="12.75" hidden="false" customHeight="false" outlineLevel="0" collapsed="false">
      <c r="K409" s="451"/>
      <c r="L409" s="451"/>
      <c r="M409" s="451"/>
      <c r="N409" s="451"/>
      <c r="O409" s="451"/>
      <c r="P409" s="929"/>
      <c r="Q409" s="929"/>
      <c r="R409" s="929"/>
      <c r="T409" s="451"/>
      <c r="U409" s="451"/>
      <c r="V409" s="451"/>
      <c r="W409" s="451"/>
      <c r="X409" s="451"/>
      <c r="Y409" s="929"/>
      <c r="Z409" s="929"/>
      <c r="AA409" s="929"/>
      <c r="AC409" s="451"/>
      <c r="AD409" s="451"/>
      <c r="AE409" s="451"/>
      <c r="AF409" s="451"/>
      <c r="AG409" s="451"/>
      <c r="AH409" s="929"/>
      <c r="AI409" s="929"/>
      <c r="AJ409" s="929"/>
    </row>
    <row r="410" customFormat="false" ht="12.75" hidden="false" customHeight="false" outlineLevel="0" collapsed="false">
      <c r="K410" s="451"/>
      <c r="L410" s="451"/>
      <c r="M410" s="451"/>
      <c r="N410" s="451"/>
      <c r="O410" s="451"/>
      <c r="P410" s="929"/>
      <c r="Q410" s="929"/>
      <c r="R410" s="929"/>
      <c r="T410" s="451"/>
      <c r="U410" s="451"/>
      <c r="V410" s="451"/>
      <c r="W410" s="451"/>
      <c r="X410" s="451"/>
      <c r="Y410" s="929"/>
      <c r="Z410" s="929"/>
      <c r="AA410" s="929"/>
      <c r="AC410" s="451"/>
      <c r="AD410" s="451"/>
      <c r="AE410" s="451"/>
      <c r="AF410" s="451"/>
      <c r="AG410" s="451"/>
      <c r="AH410" s="929"/>
      <c r="AI410" s="929"/>
      <c r="AJ410" s="929"/>
    </row>
    <row r="411" customFormat="false" ht="12.75" hidden="false" customHeight="false" outlineLevel="0" collapsed="false">
      <c r="K411" s="451"/>
      <c r="L411" s="451"/>
      <c r="M411" s="451"/>
      <c r="N411" s="451"/>
      <c r="O411" s="451"/>
      <c r="P411" s="929"/>
      <c r="Q411" s="929"/>
      <c r="R411" s="929"/>
      <c r="T411" s="451"/>
      <c r="U411" s="451"/>
      <c r="V411" s="451"/>
      <c r="W411" s="451"/>
      <c r="X411" s="451"/>
      <c r="Y411" s="929"/>
      <c r="Z411" s="929"/>
      <c r="AA411" s="929"/>
      <c r="AC411" s="451"/>
      <c r="AD411" s="451"/>
      <c r="AE411" s="451"/>
      <c r="AF411" s="451"/>
      <c r="AG411" s="451"/>
      <c r="AH411" s="929"/>
      <c r="AI411" s="929"/>
      <c r="AJ411" s="929"/>
    </row>
    <row r="412" customFormat="false" ht="12.75" hidden="false" customHeight="false" outlineLevel="0" collapsed="false">
      <c r="K412" s="451"/>
      <c r="L412" s="451"/>
      <c r="M412" s="451"/>
      <c r="N412" s="451"/>
      <c r="O412" s="451"/>
      <c r="P412" s="929"/>
      <c r="Q412" s="929"/>
      <c r="R412" s="929"/>
      <c r="T412" s="451"/>
      <c r="U412" s="451"/>
      <c r="V412" s="451"/>
      <c r="W412" s="451"/>
      <c r="X412" s="451"/>
      <c r="Y412" s="929"/>
      <c r="Z412" s="929"/>
      <c r="AA412" s="929"/>
      <c r="AC412" s="451"/>
      <c r="AD412" s="451"/>
      <c r="AE412" s="451"/>
      <c r="AF412" s="451"/>
      <c r="AG412" s="451"/>
      <c r="AH412" s="929"/>
      <c r="AI412" s="929"/>
      <c r="AJ412" s="929"/>
    </row>
    <row r="413" customFormat="false" ht="12.75" hidden="false" customHeight="false" outlineLevel="0" collapsed="false">
      <c r="K413" s="451"/>
      <c r="L413" s="451"/>
      <c r="M413" s="451"/>
      <c r="N413" s="451"/>
      <c r="O413" s="451"/>
      <c r="P413" s="929"/>
      <c r="Q413" s="929"/>
      <c r="R413" s="929"/>
      <c r="T413" s="451"/>
      <c r="U413" s="451"/>
      <c r="V413" s="451"/>
      <c r="W413" s="451"/>
      <c r="X413" s="451"/>
      <c r="Y413" s="929"/>
      <c r="Z413" s="929"/>
      <c r="AA413" s="929"/>
      <c r="AC413" s="451"/>
      <c r="AD413" s="451"/>
      <c r="AE413" s="451"/>
      <c r="AF413" s="451"/>
      <c r="AG413" s="451"/>
      <c r="AH413" s="929"/>
      <c r="AI413" s="929"/>
      <c r="AJ413" s="929"/>
    </row>
    <row r="414" customFormat="false" ht="12.75" hidden="false" customHeight="false" outlineLevel="0" collapsed="false">
      <c r="K414" s="451"/>
      <c r="L414" s="451"/>
      <c r="M414" s="451"/>
      <c r="N414" s="451"/>
      <c r="O414" s="451"/>
      <c r="P414" s="929"/>
      <c r="Q414" s="929"/>
      <c r="R414" s="929"/>
      <c r="T414" s="451"/>
      <c r="U414" s="451"/>
      <c r="V414" s="451"/>
      <c r="W414" s="451"/>
      <c r="X414" s="451"/>
      <c r="Y414" s="929"/>
      <c r="Z414" s="929"/>
      <c r="AA414" s="929"/>
      <c r="AC414" s="451"/>
      <c r="AD414" s="451"/>
      <c r="AE414" s="451"/>
      <c r="AF414" s="451"/>
      <c r="AG414" s="451"/>
      <c r="AH414" s="929"/>
      <c r="AI414" s="929"/>
      <c r="AJ414" s="929"/>
    </row>
    <row r="415" customFormat="false" ht="12.75" hidden="false" customHeight="false" outlineLevel="0" collapsed="false">
      <c r="K415" s="451"/>
      <c r="L415" s="451"/>
      <c r="M415" s="451"/>
      <c r="N415" s="451"/>
      <c r="O415" s="451"/>
      <c r="P415" s="929"/>
      <c r="Q415" s="929"/>
      <c r="R415" s="929"/>
      <c r="T415" s="451"/>
      <c r="U415" s="451"/>
      <c r="V415" s="451"/>
      <c r="W415" s="451"/>
      <c r="X415" s="451"/>
      <c r="Y415" s="929"/>
      <c r="Z415" s="929"/>
      <c r="AA415" s="929"/>
      <c r="AC415" s="451"/>
      <c r="AD415" s="451"/>
      <c r="AE415" s="451"/>
      <c r="AF415" s="451"/>
      <c r="AG415" s="451"/>
      <c r="AH415" s="929"/>
      <c r="AI415" s="929"/>
      <c r="AJ415" s="929"/>
    </row>
    <row r="416" customFormat="false" ht="12.75" hidden="false" customHeight="false" outlineLevel="0" collapsed="false">
      <c r="K416" s="451"/>
      <c r="L416" s="451"/>
      <c r="M416" s="451"/>
      <c r="N416" s="451"/>
      <c r="O416" s="451"/>
      <c r="P416" s="929"/>
      <c r="Q416" s="929"/>
      <c r="R416" s="929"/>
      <c r="T416" s="451"/>
      <c r="U416" s="451"/>
      <c r="V416" s="451"/>
      <c r="W416" s="451"/>
      <c r="X416" s="451"/>
      <c r="Y416" s="929"/>
      <c r="Z416" s="929"/>
      <c r="AA416" s="929"/>
      <c r="AC416" s="451"/>
      <c r="AD416" s="451"/>
      <c r="AE416" s="451"/>
      <c r="AF416" s="451"/>
      <c r="AG416" s="451"/>
      <c r="AH416" s="929"/>
      <c r="AI416" s="929"/>
      <c r="AJ416" s="929"/>
    </row>
    <row r="417" customFormat="false" ht="12.75" hidden="false" customHeight="false" outlineLevel="0" collapsed="false">
      <c r="K417" s="451"/>
      <c r="L417" s="451"/>
      <c r="M417" s="451"/>
      <c r="N417" s="451"/>
      <c r="O417" s="451"/>
      <c r="P417" s="929"/>
      <c r="Q417" s="929"/>
      <c r="R417" s="929"/>
      <c r="T417" s="451"/>
      <c r="U417" s="451"/>
      <c r="V417" s="451"/>
      <c r="W417" s="451"/>
      <c r="X417" s="451"/>
      <c r="Y417" s="929"/>
      <c r="Z417" s="929"/>
      <c r="AA417" s="929"/>
      <c r="AC417" s="451"/>
      <c r="AD417" s="451"/>
      <c r="AE417" s="451"/>
      <c r="AF417" s="451"/>
      <c r="AG417" s="451"/>
      <c r="AH417" s="929"/>
      <c r="AI417" s="929"/>
      <c r="AJ417" s="929"/>
    </row>
    <row r="418" customFormat="false" ht="12.75" hidden="false" customHeight="false" outlineLevel="0" collapsed="false">
      <c r="K418" s="451"/>
      <c r="L418" s="451"/>
      <c r="M418" s="451"/>
      <c r="N418" s="451"/>
      <c r="O418" s="451"/>
      <c r="P418" s="929"/>
      <c r="Q418" s="929"/>
      <c r="R418" s="929"/>
      <c r="T418" s="451"/>
      <c r="U418" s="451"/>
      <c r="V418" s="451"/>
      <c r="W418" s="451"/>
      <c r="X418" s="451"/>
      <c r="Y418" s="929"/>
      <c r="Z418" s="929"/>
      <c r="AA418" s="929"/>
      <c r="AC418" s="451"/>
      <c r="AD418" s="451"/>
      <c r="AE418" s="451"/>
      <c r="AF418" s="451"/>
      <c r="AG418" s="451"/>
      <c r="AH418" s="929"/>
      <c r="AI418" s="929"/>
      <c r="AJ418" s="929"/>
    </row>
    <row r="419" customFormat="false" ht="12.75" hidden="false" customHeight="false" outlineLevel="0" collapsed="false">
      <c r="K419" s="451"/>
      <c r="L419" s="451"/>
      <c r="M419" s="451"/>
      <c r="N419" s="451"/>
      <c r="O419" s="451"/>
      <c r="P419" s="929"/>
      <c r="Q419" s="929"/>
      <c r="R419" s="929"/>
      <c r="T419" s="451"/>
      <c r="U419" s="451"/>
      <c r="V419" s="451"/>
      <c r="W419" s="451"/>
      <c r="X419" s="451"/>
      <c r="Y419" s="929"/>
      <c r="Z419" s="929"/>
      <c r="AA419" s="929"/>
      <c r="AC419" s="451"/>
      <c r="AD419" s="451"/>
      <c r="AE419" s="451"/>
      <c r="AF419" s="451"/>
      <c r="AG419" s="451"/>
      <c r="AH419" s="929"/>
      <c r="AI419" s="929"/>
      <c r="AJ419" s="929"/>
    </row>
    <row r="420" customFormat="false" ht="12.75" hidden="false" customHeight="false" outlineLevel="0" collapsed="false">
      <c r="K420" s="451"/>
      <c r="L420" s="451"/>
      <c r="M420" s="451"/>
      <c r="N420" s="451"/>
      <c r="O420" s="451"/>
      <c r="P420" s="929"/>
      <c r="Q420" s="929"/>
      <c r="R420" s="929"/>
      <c r="T420" s="451"/>
      <c r="U420" s="451"/>
      <c r="V420" s="451"/>
      <c r="W420" s="451"/>
      <c r="X420" s="451"/>
      <c r="Y420" s="929"/>
      <c r="Z420" s="929"/>
      <c r="AA420" s="929"/>
      <c r="AC420" s="451"/>
      <c r="AD420" s="451"/>
      <c r="AE420" s="451"/>
      <c r="AF420" s="451"/>
      <c r="AG420" s="451"/>
      <c r="AH420" s="929"/>
      <c r="AI420" s="929"/>
      <c r="AJ420" s="929"/>
    </row>
    <row r="421" customFormat="false" ht="12.75" hidden="false" customHeight="false" outlineLevel="0" collapsed="false">
      <c r="K421" s="451"/>
      <c r="L421" s="451"/>
      <c r="M421" s="451"/>
      <c r="N421" s="451"/>
      <c r="O421" s="451"/>
      <c r="P421" s="929"/>
      <c r="Q421" s="929"/>
      <c r="R421" s="929"/>
      <c r="T421" s="451"/>
      <c r="U421" s="451"/>
      <c r="V421" s="451"/>
      <c r="W421" s="451"/>
      <c r="X421" s="451"/>
      <c r="Y421" s="929"/>
      <c r="Z421" s="929"/>
      <c r="AA421" s="929"/>
      <c r="AC421" s="451"/>
      <c r="AD421" s="451"/>
      <c r="AE421" s="451"/>
      <c r="AF421" s="451"/>
      <c r="AG421" s="451"/>
      <c r="AH421" s="929"/>
      <c r="AI421" s="929"/>
      <c r="AJ421" s="929"/>
    </row>
    <row r="422" customFormat="false" ht="12.75" hidden="false" customHeight="false" outlineLevel="0" collapsed="false">
      <c r="K422" s="451"/>
      <c r="L422" s="451"/>
      <c r="M422" s="451"/>
      <c r="N422" s="451"/>
      <c r="O422" s="451"/>
      <c r="P422" s="929"/>
      <c r="Q422" s="929"/>
      <c r="R422" s="929"/>
      <c r="T422" s="451"/>
      <c r="U422" s="451"/>
      <c r="V422" s="451"/>
      <c r="W422" s="451"/>
      <c r="X422" s="451"/>
      <c r="Y422" s="929"/>
      <c r="Z422" s="929"/>
      <c r="AA422" s="929"/>
      <c r="AC422" s="451"/>
      <c r="AD422" s="451"/>
      <c r="AE422" s="451"/>
      <c r="AF422" s="451"/>
      <c r="AG422" s="451"/>
      <c r="AH422" s="929"/>
      <c r="AI422" s="929"/>
      <c r="AJ422" s="929"/>
    </row>
    <row r="423" customFormat="false" ht="12.75" hidden="false" customHeight="false" outlineLevel="0" collapsed="false">
      <c r="K423" s="451"/>
      <c r="L423" s="451"/>
      <c r="M423" s="451"/>
      <c r="N423" s="451"/>
      <c r="O423" s="451"/>
      <c r="P423" s="929"/>
      <c r="Q423" s="929"/>
      <c r="R423" s="929"/>
      <c r="T423" s="451"/>
      <c r="U423" s="451"/>
      <c r="V423" s="451"/>
      <c r="W423" s="451"/>
      <c r="X423" s="451"/>
      <c r="Y423" s="929"/>
      <c r="Z423" s="929"/>
      <c r="AA423" s="929"/>
      <c r="AC423" s="451"/>
      <c r="AD423" s="451"/>
      <c r="AE423" s="451"/>
      <c r="AF423" s="451"/>
      <c r="AG423" s="451"/>
      <c r="AH423" s="929"/>
      <c r="AI423" s="929"/>
      <c r="AJ423" s="929"/>
    </row>
    <row r="424" customFormat="false" ht="12.75" hidden="false" customHeight="false" outlineLevel="0" collapsed="false">
      <c r="K424" s="451"/>
      <c r="L424" s="451"/>
      <c r="M424" s="451"/>
      <c r="N424" s="451"/>
      <c r="O424" s="451"/>
      <c r="P424" s="929"/>
      <c r="Q424" s="929"/>
      <c r="R424" s="929"/>
      <c r="T424" s="451"/>
      <c r="U424" s="451"/>
      <c r="V424" s="451"/>
      <c r="W424" s="451"/>
      <c r="X424" s="451"/>
      <c r="Y424" s="929"/>
      <c r="Z424" s="929"/>
      <c r="AA424" s="929"/>
      <c r="AC424" s="451"/>
      <c r="AD424" s="451"/>
      <c r="AE424" s="451"/>
      <c r="AF424" s="451"/>
      <c r="AG424" s="451"/>
      <c r="AH424" s="929"/>
      <c r="AI424" s="929"/>
      <c r="AJ424" s="929"/>
    </row>
    <row r="425" customFormat="false" ht="12.75" hidden="false" customHeight="false" outlineLevel="0" collapsed="false">
      <c r="K425" s="451"/>
      <c r="L425" s="451"/>
      <c r="M425" s="451"/>
      <c r="N425" s="451"/>
      <c r="O425" s="451"/>
      <c r="P425" s="929"/>
      <c r="Q425" s="929"/>
      <c r="R425" s="929"/>
      <c r="T425" s="451"/>
      <c r="U425" s="451"/>
      <c r="V425" s="451"/>
      <c r="W425" s="451"/>
      <c r="X425" s="451"/>
      <c r="Y425" s="929"/>
      <c r="Z425" s="929"/>
      <c r="AA425" s="929"/>
      <c r="AC425" s="451"/>
      <c r="AD425" s="451"/>
      <c r="AE425" s="451"/>
      <c r="AF425" s="451"/>
      <c r="AG425" s="451"/>
      <c r="AH425" s="929"/>
      <c r="AI425" s="929"/>
      <c r="AJ425" s="929"/>
    </row>
    <row r="426" customFormat="false" ht="12.75" hidden="false" customHeight="false" outlineLevel="0" collapsed="false">
      <c r="K426" s="451"/>
      <c r="L426" s="451"/>
      <c r="M426" s="451"/>
      <c r="N426" s="451"/>
      <c r="O426" s="451"/>
      <c r="P426" s="929"/>
      <c r="Q426" s="929"/>
      <c r="R426" s="929"/>
      <c r="T426" s="451"/>
      <c r="U426" s="451"/>
      <c r="V426" s="451"/>
      <c r="W426" s="451"/>
      <c r="X426" s="451"/>
      <c r="Y426" s="929"/>
      <c r="Z426" s="929"/>
      <c r="AA426" s="929"/>
      <c r="AC426" s="451"/>
      <c r="AD426" s="451"/>
      <c r="AE426" s="451"/>
      <c r="AF426" s="451"/>
      <c r="AG426" s="451"/>
      <c r="AH426" s="929"/>
      <c r="AI426" s="929"/>
      <c r="AJ426" s="929"/>
    </row>
    <row r="427" customFormat="false" ht="12.75" hidden="false" customHeight="false" outlineLevel="0" collapsed="false">
      <c r="K427" s="451"/>
      <c r="L427" s="451"/>
      <c r="M427" s="451"/>
      <c r="N427" s="451"/>
      <c r="O427" s="451"/>
      <c r="P427" s="929"/>
      <c r="Q427" s="929"/>
      <c r="R427" s="929"/>
      <c r="T427" s="451"/>
      <c r="U427" s="451"/>
      <c r="V427" s="451"/>
      <c r="W427" s="451"/>
      <c r="X427" s="451"/>
      <c r="Y427" s="929"/>
      <c r="Z427" s="929"/>
      <c r="AA427" s="929"/>
      <c r="AC427" s="451"/>
      <c r="AD427" s="451"/>
      <c r="AE427" s="451"/>
      <c r="AF427" s="451"/>
      <c r="AG427" s="451"/>
      <c r="AH427" s="929"/>
      <c r="AI427" s="929"/>
      <c r="AJ427" s="929"/>
    </row>
    <row r="428" customFormat="false" ht="12.75" hidden="false" customHeight="false" outlineLevel="0" collapsed="false">
      <c r="K428" s="451"/>
      <c r="L428" s="451"/>
      <c r="M428" s="451"/>
      <c r="N428" s="451"/>
      <c r="O428" s="451"/>
      <c r="P428" s="929"/>
      <c r="Q428" s="929"/>
      <c r="R428" s="929"/>
      <c r="T428" s="451"/>
      <c r="U428" s="451"/>
      <c r="V428" s="451"/>
      <c r="W428" s="451"/>
      <c r="X428" s="451"/>
      <c r="Y428" s="929"/>
      <c r="Z428" s="929"/>
      <c r="AA428" s="929"/>
      <c r="AC428" s="451"/>
      <c r="AD428" s="451"/>
      <c r="AE428" s="451"/>
      <c r="AF428" s="451"/>
      <c r="AG428" s="451"/>
      <c r="AH428" s="929"/>
      <c r="AI428" s="929"/>
      <c r="AJ428" s="929"/>
    </row>
    <row r="429" customFormat="false" ht="12.75" hidden="false" customHeight="false" outlineLevel="0" collapsed="false">
      <c r="K429" s="451"/>
      <c r="L429" s="451"/>
      <c r="M429" s="451"/>
      <c r="N429" s="451"/>
      <c r="O429" s="451"/>
      <c r="P429" s="929"/>
      <c r="Q429" s="929"/>
      <c r="R429" s="929"/>
      <c r="T429" s="451"/>
      <c r="U429" s="451"/>
      <c r="V429" s="451"/>
      <c r="W429" s="451"/>
      <c r="X429" s="451"/>
      <c r="Y429" s="929"/>
      <c r="Z429" s="929"/>
      <c r="AA429" s="929"/>
      <c r="AC429" s="451"/>
      <c r="AD429" s="451"/>
      <c r="AE429" s="451"/>
      <c r="AF429" s="451"/>
      <c r="AG429" s="451"/>
      <c r="AH429" s="929"/>
      <c r="AI429" s="929"/>
      <c r="AJ429" s="929"/>
    </row>
    <row r="430" customFormat="false" ht="12.75" hidden="false" customHeight="false" outlineLevel="0" collapsed="false">
      <c r="K430" s="451"/>
      <c r="L430" s="451"/>
      <c r="M430" s="451"/>
      <c r="N430" s="451"/>
      <c r="O430" s="451"/>
      <c r="P430" s="929"/>
      <c r="Q430" s="929"/>
      <c r="R430" s="929"/>
      <c r="T430" s="451"/>
      <c r="U430" s="451"/>
      <c r="V430" s="451"/>
      <c r="W430" s="451"/>
      <c r="X430" s="451"/>
      <c r="Y430" s="929"/>
      <c r="Z430" s="929"/>
      <c r="AA430" s="929"/>
      <c r="AC430" s="451"/>
      <c r="AD430" s="451"/>
      <c r="AE430" s="451"/>
      <c r="AF430" s="451"/>
      <c r="AG430" s="451"/>
      <c r="AH430" s="929"/>
      <c r="AI430" s="929"/>
      <c r="AJ430" s="929"/>
    </row>
    <row r="431" customFormat="false" ht="12.75" hidden="false" customHeight="false" outlineLevel="0" collapsed="false">
      <c r="K431" s="451"/>
      <c r="L431" s="451"/>
      <c r="M431" s="451"/>
      <c r="N431" s="451"/>
      <c r="O431" s="451"/>
      <c r="P431" s="929"/>
      <c r="Q431" s="929"/>
      <c r="R431" s="929"/>
      <c r="T431" s="451"/>
      <c r="U431" s="451"/>
      <c r="V431" s="451"/>
      <c r="W431" s="451"/>
      <c r="X431" s="451"/>
      <c r="Y431" s="929"/>
      <c r="Z431" s="929"/>
      <c r="AA431" s="929"/>
      <c r="AC431" s="451"/>
      <c r="AD431" s="451"/>
      <c r="AE431" s="451"/>
      <c r="AF431" s="451"/>
      <c r="AG431" s="451"/>
      <c r="AH431" s="929"/>
      <c r="AI431" s="929"/>
      <c r="AJ431" s="929"/>
    </row>
    <row r="432" customFormat="false" ht="12.75" hidden="false" customHeight="false" outlineLevel="0" collapsed="false">
      <c r="K432" s="451"/>
      <c r="L432" s="451"/>
      <c r="M432" s="451"/>
      <c r="N432" s="451"/>
      <c r="O432" s="451"/>
      <c r="P432" s="929"/>
      <c r="Q432" s="929"/>
      <c r="R432" s="929"/>
      <c r="T432" s="451"/>
      <c r="U432" s="451"/>
      <c r="V432" s="451"/>
      <c r="W432" s="451"/>
      <c r="X432" s="451"/>
      <c r="Y432" s="929"/>
      <c r="Z432" s="929"/>
      <c r="AA432" s="929"/>
      <c r="AC432" s="451"/>
      <c r="AD432" s="451"/>
      <c r="AE432" s="451"/>
      <c r="AF432" s="451"/>
      <c r="AG432" s="451"/>
      <c r="AH432" s="929"/>
      <c r="AI432" s="929"/>
      <c r="AJ432" s="929"/>
    </row>
    <row r="433" customFormat="false" ht="12.75" hidden="false" customHeight="false" outlineLevel="0" collapsed="false">
      <c r="K433" s="451"/>
      <c r="L433" s="451"/>
      <c r="M433" s="451"/>
      <c r="N433" s="451"/>
      <c r="O433" s="451"/>
      <c r="P433" s="929"/>
      <c r="Q433" s="929"/>
      <c r="R433" s="929"/>
      <c r="T433" s="451"/>
      <c r="U433" s="451"/>
      <c r="V433" s="451"/>
      <c r="W433" s="451"/>
      <c r="X433" s="451"/>
      <c r="Y433" s="929"/>
      <c r="Z433" s="929"/>
      <c r="AA433" s="929"/>
      <c r="AC433" s="451"/>
      <c r="AD433" s="451"/>
      <c r="AE433" s="451"/>
      <c r="AF433" s="451"/>
      <c r="AG433" s="451"/>
      <c r="AH433" s="929"/>
      <c r="AI433" s="929"/>
      <c r="AJ433" s="929"/>
    </row>
    <row r="434" customFormat="false" ht="12.75" hidden="false" customHeight="false" outlineLevel="0" collapsed="false">
      <c r="K434" s="451"/>
      <c r="L434" s="451"/>
      <c r="M434" s="451"/>
      <c r="N434" s="451"/>
      <c r="O434" s="451"/>
      <c r="P434" s="929"/>
      <c r="Q434" s="929"/>
      <c r="R434" s="929"/>
      <c r="T434" s="451"/>
      <c r="U434" s="451"/>
      <c r="V434" s="451"/>
      <c r="W434" s="451"/>
      <c r="X434" s="451"/>
      <c r="Y434" s="929"/>
      <c r="Z434" s="929"/>
      <c r="AA434" s="929"/>
      <c r="AC434" s="451"/>
      <c r="AD434" s="451"/>
      <c r="AE434" s="451"/>
      <c r="AF434" s="451"/>
      <c r="AG434" s="451"/>
      <c r="AH434" s="929"/>
      <c r="AI434" s="929"/>
      <c r="AJ434" s="929"/>
    </row>
    <row r="435" customFormat="false" ht="12.75" hidden="false" customHeight="false" outlineLevel="0" collapsed="false">
      <c r="K435" s="451"/>
      <c r="L435" s="451"/>
      <c r="M435" s="451"/>
      <c r="N435" s="451"/>
      <c r="O435" s="451"/>
      <c r="P435" s="929"/>
      <c r="Q435" s="929"/>
      <c r="R435" s="929"/>
      <c r="T435" s="451"/>
      <c r="U435" s="451"/>
      <c r="V435" s="451"/>
      <c r="W435" s="451"/>
      <c r="X435" s="451"/>
      <c r="Y435" s="929"/>
      <c r="Z435" s="929"/>
      <c r="AA435" s="929"/>
      <c r="AC435" s="451"/>
      <c r="AD435" s="451"/>
      <c r="AE435" s="451"/>
      <c r="AF435" s="451"/>
      <c r="AG435" s="451"/>
      <c r="AH435" s="929"/>
      <c r="AI435" s="929"/>
      <c r="AJ435" s="929"/>
    </row>
    <row r="436" customFormat="false" ht="12.75" hidden="false" customHeight="false" outlineLevel="0" collapsed="false">
      <c r="K436" s="451"/>
      <c r="L436" s="451"/>
      <c r="M436" s="451"/>
      <c r="N436" s="451"/>
      <c r="O436" s="451"/>
      <c r="P436" s="929"/>
      <c r="Q436" s="929"/>
      <c r="R436" s="929"/>
      <c r="T436" s="451"/>
      <c r="U436" s="451"/>
      <c r="V436" s="451"/>
      <c r="W436" s="451"/>
      <c r="X436" s="451"/>
      <c r="Y436" s="929"/>
      <c r="Z436" s="929"/>
      <c r="AA436" s="929"/>
      <c r="AC436" s="451"/>
      <c r="AD436" s="451"/>
      <c r="AE436" s="451"/>
      <c r="AF436" s="451"/>
      <c r="AG436" s="451"/>
      <c r="AH436" s="929"/>
      <c r="AI436" s="929"/>
      <c r="AJ436" s="929"/>
    </row>
    <row r="437" customFormat="false" ht="12.75" hidden="false" customHeight="false" outlineLevel="0" collapsed="false">
      <c r="K437" s="451"/>
      <c r="L437" s="451"/>
      <c r="M437" s="451"/>
      <c r="N437" s="451"/>
      <c r="O437" s="451"/>
      <c r="P437" s="929"/>
      <c r="Q437" s="929"/>
      <c r="R437" s="929"/>
      <c r="T437" s="451"/>
      <c r="U437" s="451"/>
      <c r="V437" s="451"/>
      <c r="W437" s="451"/>
      <c r="X437" s="451"/>
      <c r="Y437" s="929"/>
      <c r="Z437" s="929"/>
      <c r="AA437" s="929"/>
      <c r="AC437" s="451"/>
      <c r="AD437" s="451"/>
      <c r="AE437" s="451"/>
      <c r="AF437" s="451"/>
      <c r="AG437" s="451"/>
      <c r="AH437" s="929"/>
      <c r="AI437" s="929"/>
      <c r="AJ437" s="929"/>
    </row>
    <row r="438" customFormat="false" ht="12.75" hidden="false" customHeight="false" outlineLevel="0" collapsed="false">
      <c r="K438" s="451"/>
      <c r="L438" s="451"/>
      <c r="M438" s="451"/>
      <c r="N438" s="451"/>
      <c r="O438" s="451"/>
      <c r="P438" s="929"/>
      <c r="Q438" s="929"/>
      <c r="R438" s="929"/>
      <c r="T438" s="451"/>
      <c r="U438" s="451"/>
      <c r="V438" s="451"/>
      <c r="W438" s="451"/>
      <c r="X438" s="451"/>
      <c r="Y438" s="929"/>
      <c r="Z438" s="929"/>
      <c r="AA438" s="929"/>
      <c r="AC438" s="451"/>
      <c r="AD438" s="451"/>
      <c r="AE438" s="451"/>
      <c r="AF438" s="451"/>
      <c r="AG438" s="451"/>
      <c r="AH438" s="929"/>
      <c r="AI438" s="929"/>
      <c r="AJ438" s="929"/>
    </row>
    <row r="439" customFormat="false" ht="12.75" hidden="false" customHeight="false" outlineLevel="0" collapsed="false">
      <c r="K439" s="451"/>
      <c r="L439" s="451"/>
      <c r="M439" s="451"/>
      <c r="N439" s="451"/>
      <c r="O439" s="451"/>
      <c r="P439" s="929"/>
      <c r="Q439" s="929"/>
      <c r="R439" s="929"/>
      <c r="T439" s="451"/>
      <c r="U439" s="451"/>
      <c r="V439" s="451"/>
      <c r="W439" s="451"/>
      <c r="X439" s="451"/>
      <c r="Y439" s="929"/>
      <c r="Z439" s="929"/>
      <c r="AA439" s="929"/>
      <c r="AC439" s="451"/>
      <c r="AD439" s="451"/>
      <c r="AE439" s="451"/>
      <c r="AF439" s="451"/>
      <c r="AG439" s="451"/>
      <c r="AH439" s="929"/>
      <c r="AI439" s="929"/>
      <c r="AJ439" s="929"/>
    </row>
    <row r="440" customFormat="false" ht="12.75" hidden="false" customHeight="false" outlineLevel="0" collapsed="false">
      <c r="K440" s="451"/>
      <c r="L440" s="451"/>
      <c r="M440" s="451"/>
      <c r="N440" s="451"/>
      <c r="O440" s="451"/>
      <c r="P440" s="929"/>
      <c r="Q440" s="929"/>
      <c r="R440" s="929"/>
      <c r="T440" s="451"/>
      <c r="U440" s="451"/>
      <c r="V440" s="451"/>
      <c r="W440" s="451"/>
      <c r="X440" s="451"/>
      <c r="Y440" s="929"/>
      <c r="Z440" s="929"/>
      <c r="AA440" s="929"/>
      <c r="AC440" s="451"/>
      <c r="AD440" s="451"/>
      <c r="AE440" s="451"/>
      <c r="AF440" s="451"/>
      <c r="AG440" s="451"/>
      <c r="AH440" s="929"/>
      <c r="AI440" s="929"/>
      <c r="AJ440" s="929"/>
    </row>
    <row r="441" customFormat="false" ht="12.75" hidden="false" customHeight="false" outlineLevel="0" collapsed="false">
      <c r="K441" s="451"/>
      <c r="L441" s="451"/>
      <c r="M441" s="451"/>
      <c r="N441" s="451"/>
      <c r="O441" s="451"/>
      <c r="P441" s="929"/>
      <c r="Q441" s="929"/>
      <c r="R441" s="929"/>
      <c r="T441" s="451"/>
      <c r="U441" s="451"/>
      <c r="V441" s="451"/>
      <c r="W441" s="451"/>
      <c r="X441" s="451"/>
      <c r="Y441" s="929"/>
      <c r="Z441" s="929"/>
      <c r="AA441" s="929"/>
      <c r="AC441" s="451"/>
      <c r="AD441" s="451"/>
      <c r="AE441" s="451"/>
      <c r="AF441" s="451"/>
      <c r="AG441" s="451"/>
      <c r="AH441" s="929"/>
      <c r="AI441" s="929"/>
      <c r="AJ441" s="929"/>
    </row>
    <row r="442" customFormat="false" ht="12.75" hidden="false" customHeight="false" outlineLevel="0" collapsed="false">
      <c r="K442" s="451"/>
      <c r="L442" s="451"/>
      <c r="M442" s="451"/>
      <c r="N442" s="451"/>
      <c r="O442" s="451"/>
      <c r="P442" s="929"/>
      <c r="Q442" s="929"/>
      <c r="R442" s="929"/>
      <c r="T442" s="451"/>
      <c r="U442" s="451"/>
      <c r="V442" s="451"/>
      <c r="W442" s="451"/>
      <c r="X442" s="451"/>
      <c r="Y442" s="929"/>
      <c r="Z442" s="929"/>
      <c r="AA442" s="929"/>
      <c r="AC442" s="451"/>
      <c r="AD442" s="451"/>
      <c r="AE442" s="451"/>
      <c r="AF442" s="451"/>
      <c r="AG442" s="451"/>
      <c r="AH442" s="929"/>
      <c r="AI442" s="929"/>
      <c r="AJ442" s="929"/>
    </row>
    <row r="443" customFormat="false" ht="12.75" hidden="false" customHeight="false" outlineLevel="0" collapsed="false">
      <c r="K443" s="451"/>
      <c r="L443" s="451"/>
      <c r="M443" s="451"/>
      <c r="N443" s="451"/>
      <c r="O443" s="451"/>
      <c r="P443" s="929"/>
      <c r="Q443" s="929"/>
      <c r="R443" s="929"/>
      <c r="T443" s="451"/>
      <c r="U443" s="451"/>
      <c r="V443" s="451"/>
      <c r="W443" s="451"/>
      <c r="X443" s="451"/>
      <c r="Y443" s="929"/>
      <c r="Z443" s="929"/>
      <c r="AA443" s="929"/>
      <c r="AC443" s="451"/>
      <c r="AD443" s="451"/>
      <c r="AE443" s="451"/>
      <c r="AF443" s="451"/>
      <c r="AG443" s="451"/>
      <c r="AH443" s="929"/>
      <c r="AI443" s="929"/>
      <c r="AJ443" s="929"/>
    </row>
    <row r="444" customFormat="false" ht="12.75" hidden="false" customHeight="false" outlineLevel="0" collapsed="false">
      <c r="K444" s="451"/>
      <c r="L444" s="451"/>
      <c r="M444" s="451"/>
      <c r="N444" s="451"/>
      <c r="O444" s="451"/>
      <c r="P444" s="929"/>
      <c r="Q444" s="929"/>
      <c r="R444" s="929"/>
      <c r="T444" s="451"/>
      <c r="U444" s="451"/>
      <c r="V444" s="451"/>
      <c r="W444" s="451"/>
      <c r="X444" s="451"/>
      <c r="Y444" s="929"/>
      <c r="Z444" s="929"/>
      <c r="AA444" s="929"/>
      <c r="AC444" s="451"/>
      <c r="AD444" s="451"/>
      <c r="AE444" s="451"/>
      <c r="AF444" s="451"/>
      <c r="AG444" s="451"/>
      <c r="AH444" s="929"/>
      <c r="AI444" s="929"/>
      <c r="AJ444" s="929"/>
    </row>
    <row r="445" customFormat="false" ht="12.75" hidden="false" customHeight="false" outlineLevel="0" collapsed="false">
      <c r="K445" s="451"/>
      <c r="L445" s="451"/>
      <c r="M445" s="451"/>
      <c r="N445" s="451"/>
      <c r="O445" s="451"/>
      <c r="P445" s="929"/>
      <c r="Q445" s="929"/>
      <c r="R445" s="929"/>
      <c r="T445" s="451"/>
      <c r="U445" s="451"/>
      <c r="V445" s="451"/>
      <c r="W445" s="451"/>
      <c r="X445" s="451"/>
      <c r="Y445" s="929"/>
      <c r="Z445" s="929"/>
      <c r="AA445" s="929"/>
      <c r="AC445" s="451"/>
      <c r="AD445" s="451"/>
      <c r="AE445" s="451"/>
      <c r="AF445" s="451"/>
      <c r="AG445" s="451"/>
      <c r="AH445" s="929"/>
      <c r="AI445" s="929"/>
      <c r="AJ445" s="929"/>
    </row>
    <row r="446" customFormat="false" ht="12.75" hidden="false" customHeight="false" outlineLevel="0" collapsed="false">
      <c r="K446" s="451"/>
      <c r="L446" s="451"/>
      <c r="M446" s="451"/>
      <c r="N446" s="451"/>
      <c r="O446" s="451"/>
      <c r="P446" s="929"/>
      <c r="Q446" s="929"/>
      <c r="R446" s="929"/>
      <c r="T446" s="451"/>
      <c r="U446" s="451"/>
      <c r="V446" s="451"/>
      <c r="W446" s="451"/>
      <c r="X446" s="451"/>
      <c r="Y446" s="929"/>
      <c r="Z446" s="929"/>
      <c r="AA446" s="929"/>
      <c r="AC446" s="451"/>
      <c r="AD446" s="451"/>
      <c r="AE446" s="451"/>
      <c r="AF446" s="451"/>
      <c r="AG446" s="451"/>
      <c r="AH446" s="929"/>
      <c r="AI446" s="929"/>
      <c r="AJ446" s="929"/>
    </row>
    <row r="447" customFormat="false" ht="12.75" hidden="false" customHeight="false" outlineLevel="0" collapsed="false">
      <c r="K447" s="451"/>
      <c r="L447" s="451"/>
      <c r="M447" s="451"/>
      <c r="N447" s="451"/>
      <c r="O447" s="451"/>
      <c r="P447" s="929"/>
      <c r="Q447" s="929"/>
      <c r="R447" s="929"/>
      <c r="T447" s="451"/>
      <c r="U447" s="451"/>
      <c r="V447" s="451"/>
      <c r="W447" s="451"/>
      <c r="X447" s="451"/>
      <c r="Y447" s="929"/>
      <c r="Z447" s="929"/>
      <c r="AA447" s="929"/>
      <c r="AC447" s="451"/>
      <c r="AD447" s="451"/>
      <c r="AE447" s="451"/>
      <c r="AF447" s="451"/>
      <c r="AG447" s="451"/>
      <c r="AH447" s="929"/>
      <c r="AI447" s="929"/>
      <c r="AJ447" s="929"/>
    </row>
    <row r="448" customFormat="false" ht="12.75" hidden="false" customHeight="false" outlineLevel="0" collapsed="false">
      <c r="K448" s="451"/>
      <c r="L448" s="451"/>
      <c r="M448" s="451"/>
      <c r="N448" s="451"/>
      <c r="O448" s="451"/>
      <c r="P448" s="929"/>
      <c r="Q448" s="929"/>
      <c r="R448" s="929"/>
      <c r="T448" s="451"/>
      <c r="U448" s="451"/>
      <c r="V448" s="451"/>
      <c r="W448" s="451"/>
      <c r="X448" s="451"/>
      <c r="Y448" s="929"/>
      <c r="Z448" s="929"/>
      <c r="AA448" s="929"/>
      <c r="AC448" s="451"/>
      <c r="AD448" s="451"/>
      <c r="AE448" s="451"/>
      <c r="AF448" s="451"/>
      <c r="AG448" s="451"/>
      <c r="AH448" s="929"/>
      <c r="AI448" s="929"/>
      <c r="AJ448" s="929"/>
    </row>
    <row r="449" customFormat="false" ht="12.75" hidden="false" customHeight="false" outlineLevel="0" collapsed="false">
      <c r="K449" s="451"/>
      <c r="L449" s="451"/>
      <c r="M449" s="451"/>
      <c r="N449" s="451"/>
      <c r="O449" s="451"/>
      <c r="P449" s="929"/>
      <c r="Q449" s="929"/>
      <c r="R449" s="929"/>
      <c r="T449" s="451"/>
      <c r="U449" s="451"/>
      <c r="V449" s="451"/>
      <c r="W449" s="451"/>
      <c r="X449" s="451"/>
      <c r="Y449" s="929"/>
      <c r="Z449" s="929"/>
      <c r="AA449" s="929"/>
      <c r="AC449" s="451"/>
      <c r="AD449" s="451"/>
      <c r="AE449" s="451"/>
      <c r="AF449" s="451"/>
      <c r="AG449" s="451"/>
      <c r="AH449" s="929"/>
      <c r="AI449" s="929"/>
      <c r="AJ449" s="929"/>
    </row>
    <row r="450" customFormat="false" ht="12.75" hidden="false" customHeight="false" outlineLevel="0" collapsed="false">
      <c r="K450" s="451"/>
      <c r="L450" s="451"/>
      <c r="M450" s="451"/>
      <c r="N450" s="451"/>
      <c r="O450" s="451"/>
      <c r="P450" s="929"/>
      <c r="Q450" s="929"/>
      <c r="R450" s="929"/>
      <c r="T450" s="451"/>
      <c r="U450" s="451"/>
      <c r="V450" s="451"/>
      <c r="W450" s="451"/>
      <c r="X450" s="451"/>
      <c r="Y450" s="929"/>
      <c r="Z450" s="929"/>
      <c r="AA450" s="929"/>
      <c r="AC450" s="451"/>
      <c r="AD450" s="451"/>
      <c r="AE450" s="451"/>
      <c r="AF450" s="451"/>
      <c r="AG450" s="451"/>
      <c r="AH450" s="929"/>
      <c r="AI450" s="929"/>
      <c r="AJ450" s="929"/>
    </row>
    <row r="451" customFormat="false" ht="12.75" hidden="false" customHeight="false" outlineLevel="0" collapsed="false">
      <c r="K451" s="451"/>
      <c r="L451" s="451"/>
      <c r="M451" s="451"/>
      <c r="N451" s="451"/>
      <c r="O451" s="451"/>
      <c r="P451" s="929"/>
      <c r="Q451" s="929"/>
      <c r="R451" s="929"/>
      <c r="T451" s="451"/>
      <c r="U451" s="451"/>
      <c r="V451" s="451"/>
      <c r="W451" s="451"/>
      <c r="X451" s="451"/>
      <c r="Y451" s="929"/>
      <c r="Z451" s="929"/>
      <c r="AA451" s="929"/>
      <c r="AC451" s="451"/>
      <c r="AD451" s="451"/>
      <c r="AE451" s="451"/>
      <c r="AF451" s="451"/>
      <c r="AG451" s="451"/>
      <c r="AH451" s="929"/>
      <c r="AI451" s="929"/>
      <c r="AJ451" s="929"/>
    </row>
    <row r="452" customFormat="false" ht="12.75" hidden="false" customHeight="false" outlineLevel="0" collapsed="false">
      <c r="K452" s="451"/>
      <c r="L452" s="451"/>
      <c r="M452" s="451"/>
      <c r="N452" s="451"/>
      <c r="O452" s="451"/>
      <c r="P452" s="929"/>
      <c r="Q452" s="929"/>
      <c r="R452" s="929"/>
      <c r="T452" s="451"/>
      <c r="U452" s="451"/>
      <c r="V452" s="451"/>
      <c r="W452" s="451"/>
      <c r="X452" s="451"/>
      <c r="Y452" s="929"/>
      <c r="Z452" s="929"/>
      <c r="AA452" s="929"/>
      <c r="AC452" s="451"/>
      <c r="AD452" s="451"/>
      <c r="AE452" s="451"/>
      <c r="AF452" s="451"/>
      <c r="AG452" s="451"/>
      <c r="AH452" s="929"/>
      <c r="AI452" s="929"/>
      <c r="AJ452" s="929"/>
    </row>
    <row r="453" customFormat="false" ht="12.75" hidden="false" customHeight="false" outlineLevel="0" collapsed="false">
      <c r="K453" s="451"/>
      <c r="L453" s="451"/>
      <c r="M453" s="451"/>
      <c r="N453" s="451"/>
      <c r="O453" s="451"/>
      <c r="P453" s="929"/>
      <c r="Q453" s="929"/>
      <c r="R453" s="929"/>
      <c r="T453" s="451"/>
      <c r="U453" s="451"/>
      <c r="V453" s="451"/>
      <c r="W453" s="451"/>
      <c r="X453" s="451"/>
      <c r="Y453" s="929"/>
      <c r="Z453" s="929"/>
      <c r="AA453" s="929"/>
      <c r="AC453" s="451"/>
      <c r="AD453" s="451"/>
      <c r="AE453" s="451"/>
      <c r="AF453" s="451"/>
      <c r="AG453" s="451"/>
      <c r="AH453" s="929"/>
      <c r="AI453" s="929"/>
      <c r="AJ453" s="929"/>
    </row>
    <row r="454" customFormat="false" ht="12.75" hidden="false" customHeight="false" outlineLevel="0" collapsed="false">
      <c r="K454" s="451"/>
      <c r="L454" s="451"/>
      <c r="M454" s="451"/>
      <c r="N454" s="451"/>
      <c r="O454" s="451"/>
      <c r="P454" s="929"/>
      <c r="Q454" s="929"/>
      <c r="R454" s="929"/>
      <c r="T454" s="451"/>
      <c r="U454" s="451"/>
      <c r="V454" s="451"/>
      <c r="W454" s="451"/>
      <c r="X454" s="451"/>
      <c r="Y454" s="929"/>
      <c r="Z454" s="929"/>
      <c r="AA454" s="929"/>
      <c r="AC454" s="451"/>
      <c r="AD454" s="451"/>
      <c r="AE454" s="451"/>
      <c r="AF454" s="451"/>
      <c r="AG454" s="451"/>
      <c r="AH454" s="929"/>
      <c r="AI454" s="929"/>
      <c r="AJ454" s="929"/>
    </row>
    <row r="455" customFormat="false" ht="12.75" hidden="false" customHeight="false" outlineLevel="0" collapsed="false">
      <c r="K455" s="451"/>
      <c r="L455" s="451"/>
      <c r="M455" s="451"/>
      <c r="N455" s="451"/>
      <c r="O455" s="451"/>
      <c r="P455" s="929"/>
      <c r="Q455" s="929"/>
      <c r="R455" s="929"/>
      <c r="T455" s="451"/>
      <c r="U455" s="451"/>
      <c r="V455" s="451"/>
      <c r="W455" s="451"/>
      <c r="X455" s="451"/>
      <c r="Y455" s="929"/>
      <c r="Z455" s="929"/>
      <c r="AA455" s="929"/>
      <c r="AC455" s="451"/>
      <c r="AD455" s="451"/>
      <c r="AE455" s="451"/>
      <c r="AF455" s="451"/>
      <c r="AG455" s="451"/>
      <c r="AH455" s="929"/>
      <c r="AI455" s="929"/>
      <c r="AJ455" s="929"/>
    </row>
    <row r="456" customFormat="false" ht="12.75" hidden="false" customHeight="false" outlineLevel="0" collapsed="false">
      <c r="K456" s="451"/>
      <c r="L456" s="451"/>
      <c r="M456" s="451"/>
      <c r="N456" s="451"/>
      <c r="O456" s="451"/>
      <c r="P456" s="929"/>
      <c r="Q456" s="929"/>
      <c r="R456" s="929"/>
      <c r="T456" s="451"/>
      <c r="U456" s="451"/>
      <c r="V456" s="451"/>
      <c r="W456" s="451"/>
      <c r="X456" s="451"/>
      <c r="Y456" s="929"/>
      <c r="Z456" s="929"/>
      <c r="AA456" s="929"/>
      <c r="AC456" s="451"/>
      <c r="AD456" s="451"/>
      <c r="AE456" s="451"/>
      <c r="AF456" s="451"/>
      <c r="AG456" s="451"/>
      <c r="AH456" s="929"/>
      <c r="AI456" s="929"/>
      <c r="AJ456" s="929"/>
    </row>
    <row r="457" customFormat="false" ht="12.75" hidden="false" customHeight="false" outlineLevel="0" collapsed="false">
      <c r="K457" s="451"/>
      <c r="L457" s="451"/>
      <c r="M457" s="451"/>
      <c r="N457" s="451"/>
      <c r="O457" s="451"/>
      <c r="P457" s="929"/>
      <c r="Q457" s="929"/>
      <c r="R457" s="929"/>
      <c r="T457" s="451"/>
      <c r="U457" s="451"/>
      <c r="V457" s="451"/>
      <c r="W457" s="451"/>
      <c r="X457" s="451"/>
      <c r="Y457" s="929"/>
      <c r="Z457" s="929"/>
      <c r="AA457" s="929"/>
      <c r="AC457" s="451"/>
      <c r="AD457" s="451"/>
      <c r="AE457" s="451"/>
      <c r="AF457" s="451"/>
      <c r="AG457" s="451"/>
      <c r="AH457" s="929"/>
      <c r="AI457" s="929"/>
      <c r="AJ457" s="929"/>
    </row>
    <row r="458" customFormat="false" ht="12.75" hidden="false" customHeight="false" outlineLevel="0" collapsed="false">
      <c r="K458" s="451"/>
      <c r="L458" s="451"/>
      <c r="M458" s="451"/>
      <c r="N458" s="451"/>
      <c r="O458" s="451"/>
      <c r="P458" s="929"/>
      <c r="Q458" s="929"/>
      <c r="R458" s="929"/>
      <c r="T458" s="451"/>
      <c r="U458" s="451"/>
      <c r="V458" s="451"/>
      <c r="W458" s="451"/>
      <c r="X458" s="451"/>
      <c r="Y458" s="929"/>
      <c r="Z458" s="929"/>
      <c r="AA458" s="929"/>
      <c r="AC458" s="451"/>
      <c r="AD458" s="451"/>
      <c r="AE458" s="451"/>
      <c r="AF458" s="451"/>
      <c r="AG458" s="451"/>
      <c r="AH458" s="929"/>
      <c r="AI458" s="929"/>
      <c r="AJ458" s="929"/>
    </row>
    <row r="459" customFormat="false" ht="12.75" hidden="false" customHeight="false" outlineLevel="0" collapsed="false">
      <c r="K459" s="451"/>
      <c r="L459" s="451"/>
      <c r="M459" s="451"/>
      <c r="N459" s="451"/>
      <c r="O459" s="451"/>
      <c r="P459" s="929"/>
      <c r="Q459" s="929"/>
      <c r="R459" s="929"/>
      <c r="T459" s="451"/>
      <c r="U459" s="451"/>
      <c r="V459" s="451"/>
      <c r="W459" s="451"/>
      <c r="X459" s="451"/>
      <c r="Y459" s="929"/>
      <c r="Z459" s="929"/>
      <c r="AA459" s="929"/>
      <c r="AC459" s="451"/>
      <c r="AD459" s="451"/>
      <c r="AE459" s="451"/>
      <c r="AF459" s="451"/>
      <c r="AG459" s="451"/>
      <c r="AH459" s="929"/>
      <c r="AI459" s="929"/>
      <c r="AJ459" s="929"/>
    </row>
    <row r="460" customFormat="false" ht="12.75" hidden="false" customHeight="false" outlineLevel="0" collapsed="false">
      <c r="K460" s="451"/>
      <c r="L460" s="451"/>
      <c r="M460" s="451"/>
      <c r="N460" s="451"/>
      <c r="O460" s="451"/>
      <c r="P460" s="929"/>
      <c r="Q460" s="929"/>
      <c r="R460" s="929"/>
      <c r="T460" s="451"/>
      <c r="U460" s="451"/>
      <c r="V460" s="451"/>
      <c r="W460" s="451"/>
      <c r="X460" s="451"/>
      <c r="Y460" s="929"/>
      <c r="Z460" s="929"/>
      <c r="AA460" s="929"/>
      <c r="AC460" s="451"/>
      <c r="AD460" s="451"/>
      <c r="AE460" s="451"/>
      <c r="AF460" s="451"/>
      <c r="AG460" s="451"/>
      <c r="AH460" s="929"/>
      <c r="AI460" s="929"/>
      <c r="AJ460" s="929"/>
    </row>
    <row r="461" customFormat="false" ht="12.75" hidden="false" customHeight="false" outlineLevel="0" collapsed="false">
      <c r="K461" s="451"/>
      <c r="L461" s="451"/>
      <c r="M461" s="451"/>
      <c r="N461" s="451"/>
      <c r="O461" s="451"/>
      <c r="P461" s="929"/>
      <c r="Q461" s="929"/>
      <c r="R461" s="929"/>
      <c r="T461" s="451"/>
      <c r="U461" s="451"/>
      <c r="V461" s="451"/>
      <c r="W461" s="451"/>
      <c r="X461" s="451"/>
      <c r="Y461" s="929"/>
      <c r="Z461" s="929"/>
      <c r="AA461" s="929"/>
      <c r="AC461" s="451"/>
      <c r="AD461" s="451"/>
      <c r="AE461" s="451"/>
      <c r="AF461" s="451"/>
      <c r="AG461" s="451"/>
      <c r="AH461" s="929"/>
      <c r="AI461" s="929"/>
      <c r="AJ461" s="929"/>
    </row>
    <row r="462" customFormat="false" ht="12.75" hidden="false" customHeight="false" outlineLevel="0" collapsed="false">
      <c r="K462" s="451"/>
      <c r="L462" s="451"/>
      <c r="M462" s="451"/>
      <c r="N462" s="451"/>
      <c r="O462" s="451"/>
      <c r="P462" s="929"/>
      <c r="Q462" s="929"/>
      <c r="R462" s="929"/>
      <c r="T462" s="451"/>
      <c r="U462" s="451"/>
      <c r="V462" s="451"/>
      <c r="W462" s="451"/>
      <c r="X462" s="451"/>
      <c r="Y462" s="929"/>
      <c r="Z462" s="929"/>
      <c r="AA462" s="929"/>
      <c r="AC462" s="451"/>
      <c r="AD462" s="451"/>
      <c r="AE462" s="451"/>
      <c r="AF462" s="451"/>
      <c r="AG462" s="451"/>
      <c r="AH462" s="929"/>
      <c r="AI462" s="929"/>
      <c r="AJ462" s="929"/>
    </row>
    <row r="463" customFormat="false" ht="12.75" hidden="false" customHeight="false" outlineLevel="0" collapsed="false">
      <c r="K463" s="451"/>
      <c r="L463" s="451"/>
      <c r="M463" s="451"/>
      <c r="N463" s="451"/>
      <c r="O463" s="451"/>
      <c r="P463" s="929"/>
      <c r="Q463" s="929"/>
      <c r="R463" s="929"/>
      <c r="T463" s="451"/>
      <c r="U463" s="451"/>
      <c r="V463" s="451"/>
      <c r="W463" s="451"/>
      <c r="X463" s="451"/>
      <c r="Y463" s="929"/>
      <c r="Z463" s="929"/>
      <c r="AA463" s="929"/>
      <c r="AC463" s="451"/>
      <c r="AD463" s="451"/>
      <c r="AE463" s="451"/>
      <c r="AF463" s="451"/>
      <c r="AG463" s="451"/>
      <c r="AH463" s="929"/>
      <c r="AI463" s="929"/>
      <c r="AJ463" s="929"/>
    </row>
    <row r="464" customFormat="false" ht="12.75" hidden="false" customHeight="false" outlineLevel="0" collapsed="false">
      <c r="K464" s="451"/>
      <c r="L464" s="451"/>
      <c r="M464" s="451"/>
      <c r="N464" s="451"/>
      <c r="O464" s="451"/>
      <c r="P464" s="929"/>
      <c r="Q464" s="929"/>
      <c r="R464" s="929"/>
      <c r="T464" s="451"/>
      <c r="U464" s="451"/>
      <c r="V464" s="451"/>
      <c r="W464" s="451"/>
      <c r="X464" s="451"/>
      <c r="Y464" s="929"/>
      <c r="Z464" s="929"/>
      <c r="AA464" s="929"/>
      <c r="AC464" s="451"/>
      <c r="AD464" s="451"/>
      <c r="AE464" s="451"/>
      <c r="AF464" s="451"/>
      <c r="AG464" s="451"/>
      <c r="AH464" s="929"/>
      <c r="AI464" s="929"/>
      <c r="AJ464" s="929"/>
    </row>
    <row r="465" customFormat="false" ht="12.75" hidden="false" customHeight="false" outlineLevel="0" collapsed="false">
      <c r="K465" s="451"/>
      <c r="L465" s="451"/>
      <c r="M465" s="451"/>
      <c r="N465" s="451"/>
      <c r="O465" s="451"/>
      <c r="P465" s="929"/>
      <c r="Q465" s="929"/>
      <c r="R465" s="929"/>
      <c r="T465" s="451"/>
      <c r="U465" s="451"/>
      <c r="V465" s="451"/>
      <c r="W465" s="451"/>
      <c r="X465" s="451"/>
      <c r="Y465" s="929"/>
      <c r="Z465" s="929"/>
      <c r="AA465" s="929"/>
      <c r="AC465" s="451"/>
      <c r="AD465" s="451"/>
      <c r="AE465" s="451"/>
      <c r="AF465" s="451"/>
      <c r="AG465" s="451"/>
      <c r="AH465" s="929"/>
      <c r="AI465" s="929"/>
      <c r="AJ465" s="929"/>
    </row>
    <row r="466" customFormat="false" ht="12.75" hidden="false" customHeight="false" outlineLevel="0" collapsed="false">
      <c r="K466" s="451"/>
      <c r="L466" s="451"/>
      <c r="M466" s="451"/>
      <c r="N466" s="451"/>
      <c r="O466" s="451"/>
      <c r="P466" s="929"/>
      <c r="Q466" s="929"/>
      <c r="R466" s="929"/>
      <c r="T466" s="451"/>
      <c r="U466" s="451"/>
      <c r="V466" s="451"/>
      <c r="W466" s="451"/>
      <c r="X466" s="451"/>
      <c r="Y466" s="929"/>
      <c r="Z466" s="929"/>
      <c r="AA466" s="929"/>
      <c r="AC466" s="451"/>
      <c r="AD466" s="451"/>
      <c r="AE466" s="451"/>
      <c r="AF466" s="451"/>
      <c r="AG466" s="451"/>
      <c r="AH466" s="929"/>
      <c r="AI466" s="929"/>
      <c r="AJ466" s="929"/>
    </row>
    <row r="467" customFormat="false" ht="12.75" hidden="false" customHeight="false" outlineLevel="0" collapsed="false">
      <c r="K467" s="451"/>
      <c r="L467" s="451"/>
      <c r="M467" s="451"/>
      <c r="N467" s="451"/>
      <c r="O467" s="451"/>
      <c r="P467" s="929"/>
      <c r="Q467" s="929"/>
      <c r="R467" s="929"/>
      <c r="T467" s="451"/>
      <c r="U467" s="451"/>
      <c r="V467" s="451"/>
      <c r="W467" s="451"/>
      <c r="X467" s="451"/>
      <c r="Y467" s="929"/>
      <c r="Z467" s="929"/>
      <c r="AA467" s="929"/>
      <c r="AC467" s="451"/>
      <c r="AD467" s="451"/>
      <c r="AE467" s="451"/>
      <c r="AF467" s="451"/>
      <c r="AG467" s="451"/>
      <c r="AH467" s="929"/>
      <c r="AI467" s="929"/>
      <c r="AJ467" s="929"/>
    </row>
    <row r="468" customFormat="false" ht="12.75" hidden="false" customHeight="false" outlineLevel="0" collapsed="false">
      <c r="K468" s="451"/>
      <c r="L468" s="451"/>
      <c r="M468" s="451"/>
      <c r="N468" s="451"/>
      <c r="O468" s="451"/>
      <c r="P468" s="929"/>
      <c r="Q468" s="929"/>
      <c r="R468" s="929"/>
      <c r="T468" s="451"/>
      <c r="U468" s="451"/>
      <c r="V468" s="451"/>
      <c r="W468" s="451"/>
      <c r="X468" s="451"/>
      <c r="Y468" s="929"/>
      <c r="Z468" s="929"/>
      <c r="AA468" s="929"/>
      <c r="AC468" s="451"/>
      <c r="AD468" s="451"/>
      <c r="AE468" s="451"/>
      <c r="AF468" s="451"/>
      <c r="AG468" s="451"/>
      <c r="AH468" s="929"/>
      <c r="AI468" s="929"/>
      <c r="AJ468" s="929"/>
    </row>
    <row r="469" customFormat="false" ht="12.75" hidden="false" customHeight="false" outlineLevel="0" collapsed="false">
      <c r="K469" s="451"/>
      <c r="L469" s="451"/>
      <c r="M469" s="451"/>
      <c r="N469" s="451"/>
      <c r="O469" s="451"/>
      <c r="P469" s="929"/>
      <c r="Q469" s="929"/>
      <c r="R469" s="929"/>
      <c r="T469" s="451"/>
      <c r="U469" s="451"/>
      <c r="V469" s="451"/>
      <c r="W469" s="451"/>
      <c r="X469" s="451"/>
      <c r="Y469" s="929"/>
      <c r="Z469" s="929"/>
      <c r="AA469" s="929"/>
      <c r="AC469" s="451"/>
      <c r="AD469" s="451"/>
      <c r="AE469" s="451"/>
      <c r="AF469" s="451"/>
      <c r="AG469" s="451"/>
      <c r="AH469" s="929"/>
      <c r="AI469" s="929"/>
      <c r="AJ469" s="929"/>
    </row>
    <row r="470" customFormat="false" ht="12.75" hidden="false" customHeight="false" outlineLevel="0" collapsed="false">
      <c r="K470" s="451"/>
      <c r="L470" s="451"/>
      <c r="M470" s="451"/>
      <c r="N470" s="451"/>
      <c r="O470" s="451"/>
      <c r="P470" s="929"/>
      <c r="Q470" s="929"/>
      <c r="R470" s="929"/>
      <c r="T470" s="451"/>
      <c r="U470" s="451"/>
      <c r="V470" s="451"/>
      <c r="W470" s="451"/>
      <c r="X470" s="451"/>
      <c r="Y470" s="929"/>
      <c r="Z470" s="929"/>
      <c r="AA470" s="929"/>
      <c r="AC470" s="451"/>
      <c r="AD470" s="451"/>
      <c r="AE470" s="451"/>
      <c r="AF470" s="451"/>
      <c r="AG470" s="451"/>
      <c r="AH470" s="929"/>
      <c r="AI470" s="929"/>
      <c r="AJ470" s="929"/>
    </row>
    <row r="471" customFormat="false" ht="12.75" hidden="false" customHeight="false" outlineLevel="0" collapsed="false">
      <c r="K471" s="451"/>
      <c r="L471" s="451"/>
      <c r="M471" s="451"/>
      <c r="N471" s="451"/>
      <c r="O471" s="451"/>
      <c r="P471" s="929"/>
      <c r="Q471" s="929"/>
      <c r="R471" s="929"/>
      <c r="T471" s="451"/>
      <c r="U471" s="451"/>
      <c r="V471" s="451"/>
      <c r="W471" s="451"/>
      <c r="X471" s="451"/>
      <c r="Y471" s="929"/>
      <c r="Z471" s="929"/>
      <c r="AA471" s="929"/>
      <c r="AC471" s="451"/>
      <c r="AD471" s="451"/>
      <c r="AE471" s="451"/>
      <c r="AF471" s="451"/>
      <c r="AG471" s="451"/>
      <c r="AH471" s="929"/>
      <c r="AI471" s="929"/>
      <c r="AJ471" s="929"/>
    </row>
    <row r="472" customFormat="false" ht="12.75" hidden="false" customHeight="false" outlineLevel="0" collapsed="false">
      <c r="K472" s="451"/>
      <c r="L472" s="451"/>
      <c r="M472" s="451"/>
      <c r="N472" s="451"/>
      <c r="O472" s="451"/>
      <c r="P472" s="929"/>
      <c r="Q472" s="929"/>
      <c r="R472" s="929"/>
      <c r="T472" s="451"/>
      <c r="U472" s="451"/>
      <c r="V472" s="451"/>
      <c r="W472" s="451"/>
      <c r="X472" s="451"/>
      <c r="Y472" s="929"/>
      <c r="Z472" s="929"/>
      <c r="AA472" s="929"/>
      <c r="AC472" s="451"/>
      <c r="AD472" s="451"/>
      <c r="AE472" s="451"/>
      <c r="AF472" s="451"/>
      <c r="AG472" s="451"/>
      <c r="AH472" s="929"/>
      <c r="AI472" s="929"/>
      <c r="AJ472" s="929"/>
    </row>
    <row r="473" customFormat="false" ht="12.75" hidden="false" customHeight="false" outlineLevel="0" collapsed="false">
      <c r="K473" s="451"/>
      <c r="L473" s="451"/>
      <c r="M473" s="451"/>
      <c r="N473" s="451"/>
      <c r="O473" s="451"/>
      <c r="P473" s="929"/>
      <c r="Q473" s="929"/>
      <c r="R473" s="929"/>
      <c r="T473" s="451"/>
      <c r="U473" s="451"/>
      <c r="V473" s="451"/>
      <c r="W473" s="451"/>
      <c r="X473" s="451"/>
      <c r="Y473" s="929"/>
      <c r="Z473" s="929"/>
      <c r="AA473" s="929"/>
      <c r="AC473" s="451"/>
      <c r="AD473" s="451"/>
      <c r="AE473" s="451"/>
      <c r="AF473" s="451"/>
      <c r="AG473" s="451"/>
      <c r="AH473" s="929"/>
      <c r="AI473" s="929"/>
      <c r="AJ473" s="929"/>
    </row>
    <row r="474" customFormat="false" ht="12.75" hidden="false" customHeight="false" outlineLevel="0" collapsed="false">
      <c r="K474" s="451"/>
      <c r="L474" s="451"/>
      <c r="M474" s="451"/>
      <c r="N474" s="451"/>
      <c r="O474" s="451"/>
      <c r="P474" s="929"/>
      <c r="Q474" s="929"/>
      <c r="R474" s="929"/>
      <c r="T474" s="451"/>
      <c r="U474" s="451"/>
      <c r="V474" s="451"/>
      <c r="W474" s="451"/>
      <c r="X474" s="451"/>
      <c r="Y474" s="929"/>
      <c r="Z474" s="929"/>
      <c r="AA474" s="929"/>
      <c r="AC474" s="451"/>
      <c r="AD474" s="451"/>
      <c r="AE474" s="451"/>
      <c r="AF474" s="451"/>
      <c r="AG474" s="451"/>
      <c r="AH474" s="929"/>
      <c r="AI474" s="929"/>
      <c r="AJ474" s="929"/>
    </row>
    <row r="475" customFormat="false" ht="12.75" hidden="false" customHeight="false" outlineLevel="0" collapsed="false">
      <c r="K475" s="451"/>
      <c r="L475" s="451"/>
      <c r="M475" s="451"/>
      <c r="N475" s="451"/>
      <c r="O475" s="451"/>
      <c r="P475" s="929"/>
      <c r="Q475" s="929"/>
      <c r="R475" s="929"/>
      <c r="T475" s="451"/>
      <c r="U475" s="451"/>
      <c r="V475" s="451"/>
      <c r="W475" s="451"/>
      <c r="X475" s="451"/>
      <c r="Y475" s="929"/>
      <c r="Z475" s="929"/>
      <c r="AA475" s="929"/>
      <c r="AC475" s="451"/>
      <c r="AD475" s="451"/>
      <c r="AE475" s="451"/>
      <c r="AF475" s="451"/>
      <c r="AG475" s="451"/>
      <c r="AH475" s="929"/>
      <c r="AI475" s="929"/>
      <c r="AJ475" s="929"/>
    </row>
    <row r="476" customFormat="false" ht="12.75" hidden="false" customHeight="false" outlineLevel="0" collapsed="false">
      <c r="K476" s="451"/>
      <c r="L476" s="451"/>
      <c r="M476" s="451"/>
      <c r="N476" s="451"/>
      <c r="O476" s="451"/>
      <c r="P476" s="929"/>
      <c r="Q476" s="929"/>
      <c r="R476" s="929"/>
      <c r="T476" s="451"/>
      <c r="U476" s="451"/>
      <c r="V476" s="451"/>
      <c r="W476" s="451"/>
      <c r="X476" s="451"/>
      <c r="Y476" s="929"/>
      <c r="Z476" s="929"/>
      <c r="AA476" s="929"/>
      <c r="AC476" s="451"/>
      <c r="AD476" s="451"/>
      <c r="AE476" s="451"/>
      <c r="AF476" s="451"/>
      <c r="AG476" s="451"/>
      <c r="AH476" s="929"/>
      <c r="AI476" s="929"/>
      <c r="AJ476" s="929"/>
    </row>
    <row r="477" customFormat="false" ht="12.75" hidden="false" customHeight="false" outlineLevel="0" collapsed="false">
      <c r="K477" s="451"/>
      <c r="L477" s="451"/>
      <c r="M477" s="451"/>
      <c r="N477" s="451"/>
      <c r="O477" s="451"/>
      <c r="P477" s="929"/>
      <c r="Q477" s="929"/>
      <c r="R477" s="929"/>
      <c r="T477" s="451"/>
      <c r="U477" s="451"/>
      <c r="V477" s="451"/>
      <c r="W477" s="451"/>
      <c r="X477" s="451"/>
      <c r="Y477" s="929"/>
      <c r="Z477" s="929"/>
      <c r="AA477" s="929"/>
      <c r="AC477" s="451"/>
      <c r="AD477" s="451"/>
      <c r="AE477" s="451"/>
      <c r="AF477" s="451"/>
      <c r="AG477" s="451"/>
      <c r="AH477" s="929"/>
      <c r="AI477" s="929"/>
      <c r="AJ477" s="929"/>
    </row>
    <row r="478" customFormat="false" ht="12.75" hidden="false" customHeight="false" outlineLevel="0" collapsed="false">
      <c r="K478" s="451"/>
      <c r="L478" s="451"/>
      <c r="M478" s="451"/>
      <c r="N478" s="451"/>
      <c r="O478" s="451"/>
      <c r="P478" s="929"/>
      <c r="Q478" s="929"/>
      <c r="R478" s="929"/>
      <c r="T478" s="451"/>
      <c r="U478" s="451"/>
      <c r="V478" s="451"/>
      <c r="W478" s="451"/>
      <c r="X478" s="451"/>
      <c r="Y478" s="929"/>
      <c r="Z478" s="929"/>
      <c r="AA478" s="929"/>
      <c r="AC478" s="451"/>
      <c r="AD478" s="451"/>
      <c r="AE478" s="451"/>
      <c r="AF478" s="451"/>
      <c r="AG478" s="451"/>
      <c r="AH478" s="929"/>
      <c r="AI478" s="929"/>
      <c r="AJ478" s="929"/>
    </row>
    <row r="479" customFormat="false" ht="12.75" hidden="false" customHeight="false" outlineLevel="0" collapsed="false">
      <c r="K479" s="451"/>
      <c r="L479" s="451"/>
      <c r="M479" s="451"/>
      <c r="N479" s="451"/>
      <c r="O479" s="451"/>
      <c r="P479" s="929"/>
      <c r="Q479" s="929"/>
      <c r="R479" s="929"/>
      <c r="T479" s="451"/>
      <c r="U479" s="451"/>
      <c r="V479" s="451"/>
      <c r="W479" s="451"/>
      <c r="X479" s="451"/>
      <c r="Y479" s="929"/>
      <c r="Z479" s="929"/>
      <c r="AA479" s="929"/>
      <c r="AC479" s="451"/>
      <c r="AD479" s="451"/>
      <c r="AE479" s="451"/>
      <c r="AF479" s="451"/>
      <c r="AG479" s="451"/>
      <c r="AH479" s="929"/>
      <c r="AI479" s="929"/>
      <c r="AJ479" s="929"/>
    </row>
    <row r="480" customFormat="false" ht="12.75" hidden="false" customHeight="false" outlineLevel="0" collapsed="false">
      <c r="K480" s="451"/>
      <c r="L480" s="451"/>
      <c r="M480" s="451"/>
      <c r="N480" s="451"/>
      <c r="O480" s="451"/>
      <c r="P480" s="929"/>
      <c r="Q480" s="929"/>
      <c r="R480" s="929"/>
      <c r="T480" s="451"/>
      <c r="U480" s="451"/>
      <c r="V480" s="451"/>
      <c r="W480" s="451"/>
      <c r="X480" s="451"/>
      <c r="Y480" s="929"/>
      <c r="Z480" s="929"/>
      <c r="AA480" s="929"/>
      <c r="AC480" s="451"/>
      <c r="AD480" s="451"/>
      <c r="AE480" s="451"/>
      <c r="AF480" s="451"/>
      <c r="AG480" s="451"/>
      <c r="AH480" s="929"/>
      <c r="AI480" s="929"/>
      <c r="AJ480" s="929"/>
    </row>
    <row r="481" customFormat="false" ht="12.75" hidden="false" customHeight="false" outlineLevel="0" collapsed="false">
      <c r="K481" s="451"/>
      <c r="L481" s="451"/>
      <c r="M481" s="451"/>
      <c r="N481" s="451"/>
      <c r="O481" s="451"/>
      <c r="P481" s="929"/>
      <c r="Q481" s="929"/>
      <c r="R481" s="929"/>
      <c r="T481" s="451"/>
      <c r="U481" s="451"/>
      <c r="V481" s="451"/>
      <c r="W481" s="451"/>
      <c r="X481" s="451"/>
      <c r="Y481" s="929"/>
      <c r="Z481" s="929"/>
      <c r="AA481" s="929"/>
      <c r="AC481" s="451"/>
      <c r="AD481" s="451"/>
      <c r="AE481" s="451"/>
      <c r="AF481" s="451"/>
      <c r="AG481" s="451"/>
      <c r="AH481" s="929"/>
      <c r="AI481" s="929"/>
      <c r="AJ481" s="929"/>
    </row>
    <row r="482" customFormat="false" ht="12.75" hidden="false" customHeight="false" outlineLevel="0" collapsed="false">
      <c r="K482" s="451"/>
      <c r="L482" s="451"/>
      <c r="M482" s="451"/>
      <c r="N482" s="451"/>
      <c r="O482" s="451"/>
      <c r="P482" s="929"/>
      <c r="Q482" s="929"/>
      <c r="R482" s="929"/>
      <c r="T482" s="451"/>
      <c r="U482" s="451"/>
      <c r="V482" s="451"/>
      <c r="W482" s="451"/>
      <c r="X482" s="451"/>
      <c r="Y482" s="929"/>
      <c r="Z482" s="929"/>
      <c r="AA482" s="929"/>
      <c r="AC482" s="451"/>
      <c r="AD482" s="451"/>
      <c r="AE482" s="451"/>
      <c r="AF482" s="451"/>
      <c r="AG482" s="451"/>
      <c r="AH482" s="929"/>
      <c r="AI482" s="929"/>
      <c r="AJ482" s="929"/>
    </row>
    <row r="483" customFormat="false" ht="12.75" hidden="false" customHeight="false" outlineLevel="0" collapsed="false">
      <c r="K483" s="451"/>
      <c r="L483" s="451"/>
      <c r="M483" s="451"/>
      <c r="N483" s="451"/>
      <c r="O483" s="451"/>
      <c r="P483" s="929"/>
      <c r="Q483" s="929"/>
      <c r="R483" s="929"/>
      <c r="T483" s="451"/>
      <c r="U483" s="451"/>
      <c r="V483" s="451"/>
      <c r="W483" s="451"/>
      <c r="X483" s="451"/>
      <c r="Y483" s="929"/>
      <c r="Z483" s="929"/>
      <c r="AA483" s="929"/>
      <c r="AC483" s="451"/>
      <c r="AD483" s="451"/>
      <c r="AE483" s="451"/>
      <c r="AF483" s="451"/>
      <c r="AG483" s="451"/>
      <c r="AH483" s="929"/>
      <c r="AI483" s="929"/>
      <c r="AJ483" s="929"/>
    </row>
    <row r="484" customFormat="false" ht="12.75" hidden="false" customHeight="false" outlineLevel="0" collapsed="false">
      <c r="K484" s="451"/>
      <c r="L484" s="451"/>
      <c r="M484" s="451"/>
      <c r="N484" s="451"/>
      <c r="O484" s="451"/>
      <c r="P484" s="929"/>
      <c r="Q484" s="929"/>
      <c r="R484" s="929"/>
      <c r="T484" s="451"/>
      <c r="U484" s="451"/>
      <c r="V484" s="451"/>
      <c r="W484" s="451"/>
      <c r="X484" s="451"/>
      <c r="Y484" s="929"/>
      <c r="Z484" s="929"/>
      <c r="AA484" s="929"/>
      <c r="AC484" s="451"/>
      <c r="AD484" s="451"/>
      <c r="AE484" s="451"/>
      <c r="AF484" s="451"/>
      <c r="AG484" s="451"/>
      <c r="AH484" s="929"/>
      <c r="AI484" s="929"/>
      <c r="AJ484" s="929"/>
    </row>
    <row r="485" customFormat="false" ht="12.75" hidden="false" customHeight="false" outlineLevel="0" collapsed="false">
      <c r="K485" s="451"/>
      <c r="L485" s="451"/>
      <c r="M485" s="451"/>
      <c r="N485" s="451"/>
      <c r="O485" s="451"/>
      <c r="P485" s="929"/>
      <c r="Q485" s="929"/>
      <c r="R485" s="929"/>
      <c r="T485" s="451"/>
      <c r="U485" s="451"/>
      <c r="V485" s="451"/>
      <c r="W485" s="451"/>
      <c r="X485" s="451"/>
      <c r="Y485" s="929"/>
      <c r="Z485" s="929"/>
      <c r="AA485" s="929"/>
      <c r="AC485" s="451"/>
      <c r="AD485" s="451"/>
      <c r="AE485" s="451"/>
      <c r="AF485" s="451"/>
      <c r="AG485" s="451"/>
      <c r="AH485" s="929"/>
      <c r="AI485" s="929"/>
      <c r="AJ485" s="929"/>
    </row>
    <row r="486" customFormat="false" ht="12.75" hidden="false" customHeight="false" outlineLevel="0" collapsed="false">
      <c r="K486" s="451"/>
      <c r="L486" s="451"/>
      <c r="M486" s="451"/>
      <c r="N486" s="451"/>
      <c r="O486" s="451"/>
      <c r="P486" s="929"/>
      <c r="Q486" s="929"/>
      <c r="R486" s="929"/>
      <c r="T486" s="451"/>
      <c r="U486" s="451"/>
      <c r="V486" s="451"/>
      <c r="W486" s="451"/>
      <c r="X486" s="451"/>
      <c r="Y486" s="929"/>
      <c r="Z486" s="929"/>
      <c r="AA486" s="929"/>
      <c r="AC486" s="451"/>
      <c r="AD486" s="451"/>
      <c r="AE486" s="451"/>
      <c r="AF486" s="451"/>
      <c r="AG486" s="451"/>
      <c r="AH486" s="929"/>
      <c r="AI486" s="929"/>
      <c r="AJ486" s="929"/>
    </row>
    <row r="487" customFormat="false" ht="12.75" hidden="false" customHeight="false" outlineLevel="0" collapsed="false">
      <c r="K487" s="451"/>
      <c r="L487" s="451"/>
      <c r="M487" s="451"/>
      <c r="N487" s="451"/>
      <c r="O487" s="451"/>
      <c r="P487" s="929"/>
      <c r="Q487" s="929"/>
      <c r="R487" s="929"/>
      <c r="T487" s="451"/>
      <c r="U487" s="451"/>
      <c r="V487" s="451"/>
      <c r="W487" s="451"/>
      <c r="X487" s="451"/>
      <c r="Y487" s="929"/>
      <c r="Z487" s="929"/>
      <c r="AA487" s="929"/>
      <c r="AC487" s="451"/>
      <c r="AD487" s="451"/>
      <c r="AE487" s="451"/>
      <c r="AF487" s="451"/>
      <c r="AG487" s="451"/>
      <c r="AH487" s="929"/>
      <c r="AI487" s="929"/>
      <c r="AJ487" s="929"/>
    </row>
    <row r="488" customFormat="false" ht="12.75" hidden="false" customHeight="false" outlineLevel="0" collapsed="false">
      <c r="K488" s="451"/>
      <c r="L488" s="451"/>
      <c r="M488" s="451"/>
      <c r="N488" s="451"/>
      <c r="O488" s="451"/>
      <c r="P488" s="929"/>
      <c r="Q488" s="929"/>
      <c r="R488" s="929"/>
      <c r="T488" s="451"/>
      <c r="U488" s="451"/>
      <c r="V488" s="451"/>
      <c r="W488" s="451"/>
      <c r="X488" s="451"/>
      <c r="Y488" s="929"/>
      <c r="Z488" s="929"/>
      <c r="AA488" s="929"/>
      <c r="AC488" s="451"/>
      <c r="AD488" s="451"/>
      <c r="AE488" s="451"/>
      <c r="AF488" s="451"/>
      <c r="AG488" s="451"/>
      <c r="AH488" s="929"/>
      <c r="AI488" s="929"/>
      <c r="AJ488" s="929"/>
    </row>
    <row r="489" customFormat="false" ht="12.75" hidden="false" customHeight="false" outlineLevel="0" collapsed="false">
      <c r="K489" s="451"/>
      <c r="L489" s="451"/>
      <c r="M489" s="451"/>
      <c r="N489" s="451"/>
      <c r="O489" s="451"/>
      <c r="P489" s="929"/>
      <c r="Q489" s="929"/>
      <c r="R489" s="929"/>
      <c r="T489" s="451"/>
      <c r="U489" s="451"/>
      <c r="V489" s="451"/>
      <c r="W489" s="451"/>
      <c r="X489" s="451"/>
      <c r="Y489" s="929"/>
      <c r="Z489" s="929"/>
      <c r="AA489" s="929"/>
      <c r="AC489" s="451"/>
      <c r="AD489" s="451"/>
      <c r="AE489" s="451"/>
      <c r="AF489" s="451"/>
      <c r="AG489" s="451"/>
      <c r="AH489" s="929"/>
      <c r="AI489" s="929"/>
      <c r="AJ489" s="929"/>
    </row>
    <row r="490" customFormat="false" ht="12.75" hidden="false" customHeight="false" outlineLevel="0" collapsed="false">
      <c r="K490" s="451"/>
      <c r="L490" s="451"/>
      <c r="M490" s="451"/>
      <c r="N490" s="451"/>
      <c r="O490" s="451"/>
      <c r="P490" s="929"/>
      <c r="Q490" s="929"/>
      <c r="R490" s="929"/>
      <c r="T490" s="451"/>
      <c r="U490" s="451"/>
      <c r="V490" s="451"/>
      <c r="W490" s="451"/>
      <c r="X490" s="451"/>
      <c r="Y490" s="929"/>
      <c r="Z490" s="929"/>
      <c r="AA490" s="929"/>
      <c r="AC490" s="451"/>
      <c r="AD490" s="451"/>
      <c r="AE490" s="451"/>
      <c r="AF490" s="451"/>
      <c r="AG490" s="451"/>
      <c r="AH490" s="929"/>
      <c r="AI490" s="929"/>
      <c r="AJ490" s="929"/>
    </row>
    <row r="491" customFormat="false" ht="12.75" hidden="false" customHeight="false" outlineLevel="0" collapsed="false">
      <c r="K491" s="451"/>
      <c r="L491" s="451"/>
      <c r="M491" s="451"/>
      <c r="N491" s="451"/>
      <c r="O491" s="451"/>
      <c r="P491" s="929"/>
      <c r="Q491" s="929"/>
      <c r="R491" s="929"/>
      <c r="T491" s="451"/>
      <c r="U491" s="451"/>
      <c r="V491" s="451"/>
      <c r="W491" s="451"/>
      <c r="X491" s="451"/>
      <c r="Y491" s="929"/>
      <c r="Z491" s="929"/>
      <c r="AA491" s="929"/>
      <c r="AC491" s="451"/>
      <c r="AD491" s="451"/>
      <c r="AE491" s="451"/>
      <c r="AF491" s="451"/>
      <c r="AG491" s="451"/>
      <c r="AH491" s="929"/>
      <c r="AI491" s="929"/>
      <c r="AJ491" s="929"/>
    </row>
    <row r="492" customFormat="false" ht="12.75" hidden="false" customHeight="false" outlineLevel="0" collapsed="false">
      <c r="K492" s="451"/>
      <c r="L492" s="451"/>
      <c r="M492" s="451"/>
      <c r="N492" s="451"/>
      <c r="O492" s="451"/>
      <c r="P492" s="929"/>
      <c r="Q492" s="929"/>
      <c r="R492" s="929"/>
      <c r="T492" s="451"/>
      <c r="U492" s="451"/>
      <c r="V492" s="451"/>
      <c r="W492" s="451"/>
      <c r="X492" s="451"/>
      <c r="Y492" s="929"/>
      <c r="Z492" s="929"/>
      <c r="AA492" s="929"/>
      <c r="AC492" s="451"/>
      <c r="AD492" s="451"/>
      <c r="AE492" s="451"/>
      <c r="AF492" s="451"/>
      <c r="AG492" s="451"/>
      <c r="AH492" s="929"/>
      <c r="AI492" s="929"/>
      <c r="AJ492" s="929"/>
    </row>
    <row r="493" customFormat="false" ht="12.75" hidden="false" customHeight="false" outlineLevel="0" collapsed="false">
      <c r="K493" s="451"/>
      <c r="L493" s="451"/>
      <c r="M493" s="451"/>
      <c r="N493" s="451"/>
      <c r="O493" s="451"/>
      <c r="P493" s="929"/>
      <c r="Q493" s="929"/>
      <c r="R493" s="929"/>
      <c r="T493" s="451"/>
      <c r="U493" s="451"/>
      <c r="V493" s="451"/>
      <c r="W493" s="451"/>
      <c r="X493" s="451"/>
      <c r="Y493" s="929"/>
      <c r="Z493" s="929"/>
      <c r="AA493" s="929"/>
      <c r="AC493" s="451"/>
      <c r="AD493" s="451"/>
      <c r="AE493" s="451"/>
      <c r="AF493" s="451"/>
      <c r="AG493" s="451"/>
      <c r="AH493" s="929"/>
      <c r="AI493" s="929"/>
      <c r="AJ493" s="929"/>
    </row>
    <row r="494" customFormat="false" ht="12.75" hidden="false" customHeight="false" outlineLevel="0" collapsed="false">
      <c r="K494" s="451"/>
      <c r="L494" s="451"/>
      <c r="M494" s="451"/>
      <c r="N494" s="451"/>
      <c r="O494" s="451"/>
      <c r="P494" s="929"/>
      <c r="Q494" s="929"/>
      <c r="R494" s="929"/>
      <c r="T494" s="451"/>
      <c r="U494" s="451"/>
      <c r="V494" s="451"/>
      <c r="W494" s="451"/>
      <c r="X494" s="451"/>
      <c r="Y494" s="929"/>
      <c r="Z494" s="929"/>
      <c r="AA494" s="929"/>
      <c r="AC494" s="451"/>
      <c r="AD494" s="451"/>
      <c r="AE494" s="451"/>
      <c r="AF494" s="451"/>
      <c r="AG494" s="451"/>
      <c r="AH494" s="929"/>
      <c r="AI494" s="929"/>
      <c r="AJ494" s="929"/>
    </row>
    <row r="495" customFormat="false" ht="12.75" hidden="false" customHeight="false" outlineLevel="0" collapsed="false">
      <c r="K495" s="451"/>
      <c r="L495" s="451"/>
      <c r="M495" s="451"/>
      <c r="N495" s="451"/>
      <c r="O495" s="451"/>
      <c r="P495" s="929"/>
      <c r="Q495" s="929"/>
      <c r="R495" s="929"/>
      <c r="T495" s="451"/>
      <c r="U495" s="451"/>
      <c r="V495" s="451"/>
      <c r="W495" s="451"/>
      <c r="X495" s="451"/>
      <c r="Y495" s="929"/>
      <c r="Z495" s="929"/>
      <c r="AA495" s="929"/>
      <c r="AC495" s="451"/>
      <c r="AD495" s="451"/>
      <c r="AE495" s="451"/>
      <c r="AF495" s="451"/>
      <c r="AG495" s="451"/>
      <c r="AH495" s="929"/>
      <c r="AI495" s="929"/>
      <c r="AJ495" s="929"/>
    </row>
    <row r="496" customFormat="false" ht="12.75" hidden="false" customHeight="false" outlineLevel="0" collapsed="false">
      <c r="K496" s="451"/>
      <c r="L496" s="451"/>
      <c r="M496" s="451"/>
      <c r="N496" s="451"/>
      <c r="O496" s="451"/>
      <c r="P496" s="929"/>
      <c r="Q496" s="929"/>
      <c r="R496" s="929"/>
      <c r="T496" s="451"/>
      <c r="U496" s="451"/>
      <c r="V496" s="451"/>
      <c r="W496" s="451"/>
      <c r="X496" s="451"/>
      <c r="Y496" s="929"/>
      <c r="Z496" s="929"/>
      <c r="AA496" s="929"/>
      <c r="AC496" s="451"/>
      <c r="AD496" s="451"/>
      <c r="AE496" s="451"/>
      <c r="AF496" s="451"/>
      <c r="AG496" s="451"/>
      <c r="AH496" s="929"/>
      <c r="AI496" s="929"/>
      <c r="AJ496" s="929"/>
    </row>
    <row r="497" customFormat="false" ht="12.75" hidden="false" customHeight="false" outlineLevel="0" collapsed="false">
      <c r="K497" s="451"/>
      <c r="L497" s="451"/>
      <c r="M497" s="451"/>
      <c r="N497" s="451"/>
      <c r="O497" s="451"/>
      <c r="P497" s="929"/>
      <c r="Q497" s="929"/>
      <c r="R497" s="929"/>
      <c r="T497" s="451"/>
      <c r="U497" s="451"/>
      <c r="V497" s="451"/>
      <c r="W497" s="451"/>
      <c r="X497" s="451"/>
      <c r="Y497" s="929"/>
      <c r="Z497" s="929"/>
      <c r="AA497" s="929"/>
      <c r="AC497" s="451"/>
      <c r="AD497" s="451"/>
      <c r="AE497" s="451"/>
      <c r="AF497" s="451"/>
      <c r="AG497" s="451"/>
      <c r="AH497" s="929"/>
      <c r="AI497" s="929"/>
      <c r="AJ497" s="929"/>
    </row>
    <row r="498" customFormat="false" ht="12.75" hidden="false" customHeight="false" outlineLevel="0" collapsed="false">
      <c r="K498" s="451"/>
      <c r="L498" s="451"/>
      <c r="M498" s="451"/>
      <c r="N498" s="451"/>
      <c r="O498" s="451"/>
      <c r="P498" s="929"/>
      <c r="Q498" s="929"/>
      <c r="R498" s="929"/>
      <c r="T498" s="451"/>
      <c r="U498" s="451"/>
      <c r="V498" s="451"/>
      <c r="W498" s="451"/>
      <c r="X498" s="451"/>
      <c r="Y498" s="929"/>
      <c r="Z498" s="929"/>
      <c r="AA498" s="929"/>
      <c r="AC498" s="451"/>
      <c r="AD498" s="451"/>
      <c r="AE498" s="451"/>
      <c r="AF498" s="451"/>
      <c r="AG498" s="451"/>
      <c r="AH498" s="929"/>
      <c r="AI498" s="929"/>
      <c r="AJ498" s="929"/>
    </row>
    <row r="499" customFormat="false" ht="12.75" hidden="false" customHeight="false" outlineLevel="0" collapsed="false">
      <c r="K499" s="451"/>
      <c r="L499" s="451"/>
      <c r="M499" s="451"/>
      <c r="N499" s="451"/>
      <c r="O499" s="451"/>
      <c r="P499" s="929"/>
      <c r="Q499" s="929"/>
      <c r="R499" s="929"/>
      <c r="T499" s="451"/>
      <c r="U499" s="451"/>
      <c r="V499" s="451"/>
      <c r="W499" s="451"/>
      <c r="X499" s="451"/>
      <c r="Y499" s="929"/>
      <c r="Z499" s="929"/>
      <c r="AA499" s="929"/>
      <c r="AC499" s="451"/>
      <c r="AD499" s="451"/>
      <c r="AE499" s="451"/>
      <c r="AF499" s="451"/>
      <c r="AG499" s="451"/>
      <c r="AH499" s="929"/>
      <c r="AI499" s="929"/>
      <c r="AJ499" s="929"/>
    </row>
    <row r="500" customFormat="false" ht="12.75" hidden="false" customHeight="false" outlineLevel="0" collapsed="false">
      <c r="K500" s="451"/>
      <c r="L500" s="451"/>
      <c r="M500" s="451"/>
      <c r="N500" s="451"/>
      <c r="O500" s="451"/>
      <c r="P500" s="929"/>
      <c r="Q500" s="929"/>
      <c r="R500" s="929"/>
      <c r="T500" s="451"/>
      <c r="U500" s="451"/>
      <c r="V500" s="451"/>
      <c r="W500" s="451"/>
      <c r="X500" s="451"/>
      <c r="Y500" s="929"/>
      <c r="Z500" s="929"/>
      <c r="AA500" s="929"/>
      <c r="AC500" s="451"/>
      <c r="AD500" s="451"/>
      <c r="AE500" s="451"/>
      <c r="AF500" s="451"/>
      <c r="AG500" s="451"/>
      <c r="AH500" s="929"/>
      <c r="AI500" s="929"/>
      <c r="AJ500" s="929"/>
    </row>
    <row r="501" customFormat="false" ht="12.75" hidden="false" customHeight="false" outlineLevel="0" collapsed="false">
      <c r="K501" s="451"/>
      <c r="L501" s="451"/>
      <c r="M501" s="451"/>
      <c r="N501" s="451"/>
      <c r="O501" s="451"/>
      <c r="P501" s="929"/>
      <c r="Q501" s="929"/>
      <c r="R501" s="929"/>
      <c r="T501" s="451"/>
      <c r="U501" s="451"/>
      <c r="V501" s="451"/>
      <c r="W501" s="451"/>
      <c r="X501" s="451"/>
      <c r="Y501" s="929"/>
      <c r="Z501" s="929"/>
      <c r="AA501" s="929"/>
      <c r="AC501" s="451"/>
      <c r="AD501" s="451"/>
      <c r="AE501" s="451"/>
      <c r="AF501" s="451"/>
      <c r="AG501" s="451"/>
      <c r="AH501" s="929"/>
      <c r="AI501" s="929"/>
      <c r="AJ501" s="929"/>
    </row>
    <row r="502" customFormat="false" ht="12.75" hidden="false" customHeight="false" outlineLevel="0" collapsed="false">
      <c r="K502" s="451"/>
      <c r="L502" s="451"/>
      <c r="M502" s="451"/>
      <c r="N502" s="451"/>
      <c r="O502" s="451"/>
      <c r="P502" s="929"/>
      <c r="Q502" s="929"/>
      <c r="R502" s="929"/>
      <c r="T502" s="451"/>
      <c r="U502" s="451"/>
      <c r="V502" s="451"/>
      <c r="W502" s="451"/>
      <c r="X502" s="451"/>
      <c r="Y502" s="929"/>
      <c r="Z502" s="929"/>
      <c r="AA502" s="929"/>
      <c r="AC502" s="451"/>
      <c r="AD502" s="451"/>
      <c r="AE502" s="451"/>
      <c r="AF502" s="451"/>
      <c r="AG502" s="451"/>
      <c r="AH502" s="929"/>
      <c r="AI502" s="929"/>
      <c r="AJ502" s="929"/>
    </row>
    <row r="503" customFormat="false" ht="12.75" hidden="false" customHeight="false" outlineLevel="0" collapsed="false">
      <c r="K503" s="451"/>
      <c r="L503" s="451"/>
      <c r="M503" s="451"/>
      <c r="N503" s="451"/>
      <c r="O503" s="451"/>
      <c r="P503" s="929"/>
      <c r="Q503" s="929"/>
      <c r="R503" s="929"/>
      <c r="T503" s="451"/>
      <c r="U503" s="451"/>
      <c r="V503" s="451"/>
      <c r="W503" s="451"/>
      <c r="X503" s="451"/>
      <c r="Y503" s="929"/>
      <c r="Z503" s="929"/>
      <c r="AA503" s="929"/>
      <c r="AC503" s="451"/>
      <c r="AD503" s="451"/>
      <c r="AE503" s="451"/>
      <c r="AF503" s="451"/>
      <c r="AG503" s="451"/>
      <c r="AH503" s="929"/>
      <c r="AI503" s="929"/>
      <c r="AJ503" s="929"/>
    </row>
    <row r="504" customFormat="false" ht="12.75" hidden="false" customHeight="false" outlineLevel="0" collapsed="false">
      <c r="K504" s="451"/>
      <c r="L504" s="451"/>
      <c r="M504" s="451"/>
      <c r="N504" s="451"/>
      <c r="O504" s="451"/>
      <c r="P504" s="929"/>
      <c r="Q504" s="929"/>
      <c r="R504" s="929"/>
      <c r="T504" s="451"/>
      <c r="U504" s="451"/>
      <c r="V504" s="451"/>
      <c r="W504" s="451"/>
      <c r="X504" s="451"/>
      <c r="Y504" s="929"/>
      <c r="Z504" s="929"/>
      <c r="AA504" s="929"/>
      <c r="AC504" s="451"/>
      <c r="AD504" s="451"/>
      <c r="AE504" s="451"/>
      <c r="AF504" s="451"/>
      <c r="AG504" s="451"/>
      <c r="AH504" s="929"/>
      <c r="AI504" s="929"/>
      <c r="AJ504" s="929"/>
    </row>
    <row r="505" customFormat="false" ht="12.75" hidden="false" customHeight="false" outlineLevel="0" collapsed="false">
      <c r="K505" s="451"/>
      <c r="L505" s="451"/>
      <c r="M505" s="451"/>
      <c r="N505" s="451"/>
      <c r="O505" s="451"/>
      <c r="P505" s="929"/>
      <c r="Q505" s="929"/>
      <c r="R505" s="929"/>
      <c r="T505" s="451"/>
      <c r="U505" s="451"/>
      <c r="V505" s="451"/>
      <c r="W505" s="451"/>
      <c r="X505" s="451"/>
      <c r="Y505" s="929"/>
      <c r="Z505" s="929"/>
      <c r="AA505" s="929"/>
      <c r="AC505" s="451"/>
      <c r="AD505" s="451"/>
      <c r="AE505" s="451"/>
      <c r="AF505" s="451"/>
      <c r="AG505" s="451"/>
      <c r="AH505" s="929"/>
      <c r="AI505" s="929"/>
      <c r="AJ505" s="929"/>
    </row>
    <row r="506" customFormat="false" ht="12.75" hidden="false" customHeight="false" outlineLevel="0" collapsed="false">
      <c r="K506" s="451"/>
      <c r="L506" s="451"/>
      <c r="M506" s="451"/>
      <c r="N506" s="451"/>
      <c r="O506" s="451"/>
      <c r="P506" s="929"/>
      <c r="Q506" s="929"/>
      <c r="R506" s="929"/>
      <c r="T506" s="451"/>
      <c r="U506" s="451"/>
      <c r="V506" s="451"/>
      <c r="W506" s="451"/>
      <c r="X506" s="451"/>
      <c r="Y506" s="929"/>
      <c r="Z506" s="929"/>
      <c r="AA506" s="929"/>
      <c r="AC506" s="451"/>
      <c r="AD506" s="451"/>
      <c r="AE506" s="451"/>
      <c r="AF506" s="451"/>
      <c r="AG506" s="451"/>
      <c r="AH506" s="929"/>
      <c r="AI506" s="929"/>
      <c r="AJ506" s="929"/>
    </row>
    <row r="507" customFormat="false" ht="12.75" hidden="false" customHeight="false" outlineLevel="0" collapsed="false">
      <c r="K507" s="451"/>
      <c r="L507" s="451"/>
      <c r="M507" s="451"/>
      <c r="N507" s="451"/>
      <c r="O507" s="451"/>
      <c r="P507" s="929"/>
      <c r="Q507" s="929"/>
      <c r="R507" s="929"/>
      <c r="T507" s="451"/>
      <c r="U507" s="451"/>
      <c r="V507" s="451"/>
      <c r="W507" s="451"/>
      <c r="X507" s="451"/>
      <c r="Y507" s="929"/>
      <c r="Z507" s="929"/>
      <c r="AA507" s="929"/>
      <c r="AC507" s="451"/>
      <c r="AD507" s="451"/>
      <c r="AE507" s="451"/>
      <c r="AF507" s="451"/>
      <c r="AG507" s="451"/>
      <c r="AH507" s="929"/>
      <c r="AI507" s="929"/>
      <c r="AJ507" s="929"/>
    </row>
    <row r="508" customFormat="false" ht="12.75" hidden="false" customHeight="false" outlineLevel="0" collapsed="false">
      <c r="K508" s="451"/>
      <c r="L508" s="451"/>
      <c r="M508" s="451"/>
      <c r="N508" s="451"/>
      <c r="O508" s="451"/>
      <c r="P508" s="929"/>
      <c r="Q508" s="929"/>
      <c r="R508" s="929"/>
      <c r="T508" s="451"/>
      <c r="U508" s="451"/>
      <c r="V508" s="451"/>
      <c r="W508" s="451"/>
      <c r="X508" s="451"/>
      <c r="Y508" s="929"/>
      <c r="Z508" s="929"/>
      <c r="AA508" s="929"/>
      <c r="AC508" s="451"/>
      <c r="AD508" s="451"/>
      <c r="AE508" s="451"/>
      <c r="AF508" s="451"/>
      <c r="AG508" s="451"/>
      <c r="AH508" s="929"/>
      <c r="AI508" s="929"/>
      <c r="AJ508" s="929"/>
    </row>
    <row r="509" customFormat="false" ht="12.75" hidden="false" customHeight="false" outlineLevel="0" collapsed="false">
      <c r="K509" s="451"/>
      <c r="L509" s="451"/>
      <c r="M509" s="451"/>
      <c r="N509" s="451"/>
      <c r="O509" s="451"/>
      <c r="P509" s="929"/>
      <c r="Q509" s="929"/>
      <c r="R509" s="929"/>
      <c r="T509" s="451"/>
      <c r="U509" s="451"/>
      <c r="V509" s="451"/>
      <c r="W509" s="451"/>
      <c r="X509" s="451"/>
      <c r="Y509" s="929"/>
      <c r="Z509" s="929"/>
      <c r="AA509" s="929"/>
      <c r="AC509" s="451"/>
      <c r="AD509" s="451"/>
      <c r="AE509" s="451"/>
      <c r="AF509" s="451"/>
      <c r="AG509" s="451"/>
      <c r="AH509" s="929"/>
      <c r="AI509" s="929"/>
      <c r="AJ509" s="929"/>
    </row>
    <row r="510" customFormat="false" ht="12.75" hidden="false" customHeight="false" outlineLevel="0" collapsed="false">
      <c r="K510" s="451"/>
      <c r="L510" s="451"/>
      <c r="M510" s="451"/>
      <c r="N510" s="451"/>
      <c r="O510" s="451"/>
      <c r="P510" s="929"/>
      <c r="Q510" s="929"/>
      <c r="R510" s="929"/>
      <c r="T510" s="451"/>
      <c r="U510" s="451"/>
      <c r="V510" s="451"/>
      <c r="W510" s="451"/>
      <c r="X510" s="451"/>
      <c r="Y510" s="929"/>
      <c r="Z510" s="929"/>
      <c r="AA510" s="929"/>
      <c r="AC510" s="451"/>
      <c r="AD510" s="451"/>
      <c r="AE510" s="451"/>
      <c r="AF510" s="451"/>
      <c r="AG510" s="451"/>
      <c r="AH510" s="929"/>
      <c r="AI510" s="929"/>
      <c r="AJ510" s="929"/>
    </row>
    <row r="511" customFormat="false" ht="12.75" hidden="false" customHeight="false" outlineLevel="0" collapsed="false">
      <c r="K511" s="451"/>
      <c r="L511" s="451"/>
      <c r="M511" s="451"/>
      <c r="N511" s="451"/>
      <c r="O511" s="451"/>
      <c r="P511" s="929"/>
      <c r="Q511" s="929"/>
      <c r="R511" s="929"/>
      <c r="T511" s="451"/>
      <c r="U511" s="451"/>
      <c r="V511" s="451"/>
      <c r="W511" s="451"/>
      <c r="X511" s="451"/>
      <c r="Y511" s="929"/>
      <c r="Z511" s="929"/>
      <c r="AA511" s="929"/>
      <c r="AC511" s="451"/>
      <c r="AD511" s="451"/>
      <c r="AE511" s="451"/>
      <c r="AF511" s="451"/>
      <c r="AG511" s="451"/>
      <c r="AH511" s="929"/>
      <c r="AI511" s="929"/>
      <c r="AJ511" s="929"/>
    </row>
    <row r="512" customFormat="false" ht="12.75" hidden="false" customHeight="false" outlineLevel="0" collapsed="false">
      <c r="K512" s="451"/>
      <c r="L512" s="451"/>
      <c r="M512" s="451"/>
      <c r="N512" s="451"/>
      <c r="O512" s="451"/>
      <c r="P512" s="929"/>
      <c r="Q512" s="929"/>
      <c r="R512" s="929"/>
      <c r="T512" s="451"/>
      <c r="U512" s="451"/>
      <c r="V512" s="451"/>
      <c r="W512" s="451"/>
      <c r="X512" s="451"/>
      <c r="Y512" s="929"/>
      <c r="Z512" s="929"/>
      <c r="AA512" s="929"/>
      <c r="AC512" s="451"/>
      <c r="AD512" s="451"/>
      <c r="AE512" s="451"/>
      <c r="AF512" s="451"/>
      <c r="AG512" s="451"/>
      <c r="AH512" s="929"/>
      <c r="AI512" s="929"/>
      <c r="AJ512" s="929"/>
    </row>
    <row r="513" customFormat="false" ht="12.75" hidden="false" customHeight="false" outlineLevel="0" collapsed="false">
      <c r="K513" s="451"/>
      <c r="L513" s="451"/>
      <c r="M513" s="451"/>
      <c r="N513" s="451"/>
      <c r="O513" s="451"/>
      <c r="P513" s="929"/>
      <c r="Q513" s="929"/>
      <c r="R513" s="929"/>
      <c r="T513" s="451"/>
      <c r="U513" s="451"/>
      <c r="V513" s="451"/>
      <c r="W513" s="451"/>
      <c r="X513" s="451"/>
      <c r="Y513" s="929"/>
      <c r="Z513" s="929"/>
      <c r="AA513" s="929"/>
      <c r="AC513" s="451"/>
      <c r="AD513" s="451"/>
      <c r="AE513" s="451"/>
      <c r="AF513" s="451"/>
      <c r="AG513" s="451"/>
      <c r="AH513" s="929"/>
      <c r="AI513" s="929"/>
      <c r="AJ513" s="929"/>
    </row>
    <row r="514" customFormat="false" ht="12.75" hidden="false" customHeight="false" outlineLevel="0" collapsed="false">
      <c r="K514" s="451"/>
      <c r="L514" s="451"/>
      <c r="M514" s="451"/>
      <c r="N514" s="451"/>
      <c r="O514" s="451"/>
      <c r="P514" s="929"/>
      <c r="Q514" s="929"/>
      <c r="R514" s="929"/>
      <c r="T514" s="451"/>
      <c r="U514" s="451"/>
      <c r="V514" s="451"/>
      <c r="W514" s="451"/>
      <c r="X514" s="451"/>
      <c r="Y514" s="929"/>
      <c r="Z514" s="929"/>
      <c r="AA514" s="929"/>
      <c r="AC514" s="451"/>
      <c r="AD514" s="451"/>
      <c r="AE514" s="451"/>
      <c r="AF514" s="451"/>
      <c r="AG514" s="451"/>
      <c r="AH514" s="929"/>
      <c r="AI514" s="929"/>
      <c r="AJ514" s="929"/>
    </row>
    <row r="515" customFormat="false" ht="12.75" hidden="false" customHeight="false" outlineLevel="0" collapsed="false">
      <c r="K515" s="451"/>
      <c r="L515" s="451"/>
      <c r="M515" s="451"/>
      <c r="N515" s="451"/>
      <c r="O515" s="451"/>
      <c r="P515" s="929"/>
      <c r="Q515" s="929"/>
      <c r="R515" s="929"/>
      <c r="T515" s="451"/>
      <c r="U515" s="451"/>
      <c r="V515" s="451"/>
      <c r="W515" s="451"/>
      <c r="X515" s="451"/>
      <c r="Y515" s="929"/>
      <c r="Z515" s="929"/>
      <c r="AA515" s="929"/>
      <c r="AC515" s="451"/>
      <c r="AD515" s="451"/>
      <c r="AE515" s="451"/>
      <c r="AF515" s="451"/>
      <c r="AG515" s="451"/>
      <c r="AH515" s="929"/>
      <c r="AI515" s="929"/>
      <c r="AJ515" s="929"/>
    </row>
    <row r="516" customFormat="false" ht="12.75" hidden="false" customHeight="false" outlineLevel="0" collapsed="false">
      <c r="K516" s="451"/>
      <c r="L516" s="451"/>
      <c r="M516" s="451"/>
      <c r="N516" s="451"/>
      <c r="O516" s="451"/>
      <c r="P516" s="929"/>
      <c r="Q516" s="929"/>
      <c r="R516" s="929"/>
      <c r="T516" s="451"/>
      <c r="U516" s="451"/>
      <c r="V516" s="451"/>
      <c r="W516" s="451"/>
      <c r="X516" s="451"/>
      <c r="Y516" s="929"/>
      <c r="Z516" s="929"/>
      <c r="AA516" s="929"/>
      <c r="AC516" s="451"/>
      <c r="AD516" s="451"/>
      <c r="AE516" s="451"/>
      <c r="AF516" s="451"/>
      <c r="AG516" s="451"/>
      <c r="AH516" s="929"/>
      <c r="AI516" s="929"/>
      <c r="AJ516" s="929"/>
    </row>
    <row r="517" customFormat="false" ht="12.75" hidden="false" customHeight="false" outlineLevel="0" collapsed="false">
      <c r="K517" s="451"/>
      <c r="L517" s="451"/>
      <c r="M517" s="451"/>
      <c r="N517" s="451"/>
      <c r="O517" s="451"/>
      <c r="P517" s="929"/>
      <c r="Q517" s="929"/>
      <c r="R517" s="929"/>
      <c r="T517" s="451"/>
      <c r="U517" s="451"/>
      <c r="V517" s="451"/>
      <c r="W517" s="451"/>
      <c r="X517" s="451"/>
      <c r="Y517" s="929"/>
      <c r="Z517" s="929"/>
      <c r="AA517" s="929"/>
      <c r="AC517" s="451"/>
      <c r="AD517" s="451"/>
      <c r="AE517" s="451"/>
      <c r="AF517" s="451"/>
      <c r="AG517" s="451"/>
      <c r="AH517" s="929"/>
      <c r="AI517" s="929"/>
      <c r="AJ517" s="929"/>
    </row>
    <row r="518" customFormat="false" ht="12.75" hidden="false" customHeight="false" outlineLevel="0" collapsed="false">
      <c r="K518" s="451"/>
      <c r="L518" s="451"/>
      <c r="M518" s="451"/>
      <c r="N518" s="451"/>
      <c r="O518" s="451"/>
      <c r="P518" s="929"/>
      <c r="Q518" s="929"/>
      <c r="R518" s="929"/>
      <c r="T518" s="451"/>
      <c r="U518" s="451"/>
      <c r="V518" s="451"/>
      <c r="W518" s="451"/>
      <c r="X518" s="451"/>
      <c r="Y518" s="929"/>
      <c r="Z518" s="929"/>
      <c r="AA518" s="929"/>
      <c r="AC518" s="451"/>
      <c r="AD518" s="451"/>
      <c r="AE518" s="451"/>
      <c r="AF518" s="451"/>
      <c r="AG518" s="451"/>
      <c r="AH518" s="929"/>
      <c r="AI518" s="929"/>
      <c r="AJ518" s="929"/>
    </row>
    <row r="519" customFormat="false" ht="12.75" hidden="false" customHeight="false" outlineLevel="0" collapsed="false">
      <c r="K519" s="451"/>
      <c r="L519" s="451"/>
      <c r="M519" s="451"/>
      <c r="N519" s="451"/>
      <c r="O519" s="451"/>
      <c r="P519" s="929"/>
      <c r="Q519" s="929"/>
      <c r="R519" s="929"/>
      <c r="T519" s="451"/>
      <c r="U519" s="451"/>
      <c r="V519" s="451"/>
      <c r="W519" s="451"/>
      <c r="X519" s="451"/>
      <c r="Y519" s="929"/>
      <c r="Z519" s="929"/>
      <c r="AA519" s="929"/>
      <c r="AC519" s="451"/>
      <c r="AD519" s="451"/>
      <c r="AE519" s="451"/>
      <c r="AF519" s="451"/>
      <c r="AG519" s="451"/>
      <c r="AH519" s="929"/>
      <c r="AI519" s="929"/>
      <c r="AJ519" s="929"/>
    </row>
    <row r="520" customFormat="false" ht="12.75" hidden="false" customHeight="false" outlineLevel="0" collapsed="false">
      <c r="K520" s="451"/>
      <c r="L520" s="451"/>
      <c r="M520" s="451"/>
      <c r="N520" s="451"/>
      <c r="O520" s="451"/>
      <c r="P520" s="929"/>
      <c r="Q520" s="929"/>
      <c r="R520" s="929"/>
      <c r="T520" s="451"/>
      <c r="U520" s="451"/>
      <c r="V520" s="451"/>
      <c r="W520" s="451"/>
      <c r="X520" s="451"/>
      <c r="Y520" s="929"/>
      <c r="Z520" s="929"/>
      <c r="AA520" s="929"/>
      <c r="AC520" s="451"/>
      <c r="AD520" s="451"/>
      <c r="AE520" s="451"/>
      <c r="AF520" s="451"/>
      <c r="AG520" s="451"/>
      <c r="AH520" s="929"/>
      <c r="AI520" s="929"/>
      <c r="AJ520" s="929"/>
    </row>
    <row r="521" customFormat="false" ht="12.75" hidden="false" customHeight="false" outlineLevel="0" collapsed="false">
      <c r="K521" s="451"/>
      <c r="L521" s="451"/>
      <c r="M521" s="451"/>
      <c r="N521" s="451"/>
      <c r="O521" s="451"/>
      <c r="P521" s="929"/>
      <c r="Q521" s="929"/>
      <c r="R521" s="929"/>
      <c r="T521" s="451"/>
      <c r="U521" s="451"/>
      <c r="V521" s="451"/>
      <c r="W521" s="451"/>
      <c r="X521" s="451"/>
      <c r="Y521" s="929"/>
      <c r="Z521" s="929"/>
      <c r="AA521" s="929"/>
      <c r="AC521" s="451"/>
      <c r="AD521" s="451"/>
      <c r="AE521" s="451"/>
      <c r="AF521" s="451"/>
      <c r="AG521" s="451"/>
      <c r="AH521" s="929"/>
      <c r="AI521" s="929"/>
      <c r="AJ521" s="929"/>
    </row>
    <row r="522" customFormat="false" ht="12.75" hidden="false" customHeight="false" outlineLevel="0" collapsed="false">
      <c r="K522" s="451"/>
      <c r="L522" s="451"/>
      <c r="M522" s="451"/>
      <c r="N522" s="451"/>
      <c r="O522" s="451"/>
      <c r="P522" s="929"/>
      <c r="Q522" s="929"/>
      <c r="R522" s="929"/>
      <c r="T522" s="451"/>
      <c r="U522" s="451"/>
      <c r="V522" s="451"/>
      <c r="W522" s="451"/>
      <c r="X522" s="451"/>
      <c r="Y522" s="929"/>
      <c r="Z522" s="929"/>
      <c r="AA522" s="929"/>
      <c r="AC522" s="451"/>
      <c r="AD522" s="451"/>
      <c r="AE522" s="451"/>
      <c r="AF522" s="451"/>
      <c r="AG522" s="451"/>
      <c r="AH522" s="929"/>
      <c r="AI522" s="929"/>
      <c r="AJ522" s="929"/>
    </row>
    <row r="523" customFormat="false" ht="12.75" hidden="false" customHeight="false" outlineLevel="0" collapsed="false">
      <c r="K523" s="451"/>
      <c r="L523" s="451"/>
      <c r="M523" s="451"/>
      <c r="N523" s="451"/>
      <c r="O523" s="451"/>
      <c r="P523" s="929"/>
      <c r="Q523" s="929"/>
      <c r="R523" s="929"/>
      <c r="T523" s="451"/>
      <c r="U523" s="451"/>
      <c r="V523" s="451"/>
      <c r="W523" s="451"/>
      <c r="X523" s="451"/>
      <c r="Y523" s="929"/>
      <c r="Z523" s="929"/>
      <c r="AA523" s="929"/>
      <c r="AC523" s="451"/>
      <c r="AD523" s="451"/>
      <c r="AE523" s="451"/>
      <c r="AF523" s="451"/>
      <c r="AG523" s="451"/>
      <c r="AH523" s="929"/>
      <c r="AI523" s="929"/>
      <c r="AJ523" s="929"/>
    </row>
    <row r="524" customFormat="false" ht="12.75" hidden="false" customHeight="false" outlineLevel="0" collapsed="false">
      <c r="K524" s="451"/>
      <c r="L524" s="451"/>
      <c r="M524" s="451"/>
      <c r="N524" s="451"/>
      <c r="O524" s="451"/>
      <c r="P524" s="929"/>
      <c r="Q524" s="929"/>
      <c r="R524" s="929"/>
      <c r="T524" s="451"/>
      <c r="U524" s="451"/>
      <c r="V524" s="451"/>
      <c r="W524" s="451"/>
      <c r="X524" s="451"/>
      <c r="Y524" s="929"/>
      <c r="Z524" s="929"/>
      <c r="AA524" s="929"/>
      <c r="AC524" s="451"/>
      <c r="AD524" s="451"/>
      <c r="AE524" s="451"/>
      <c r="AF524" s="451"/>
      <c r="AG524" s="451"/>
      <c r="AH524" s="929"/>
      <c r="AI524" s="929"/>
      <c r="AJ524" s="929"/>
    </row>
    <row r="525" customFormat="false" ht="12.75" hidden="false" customHeight="false" outlineLevel="0" collapsed="false">
      <c r="K525" s="451"/>
      <c r="L525" s="451"/>
      <c r="M525" s="451"/>
      <c r="N525" s="451"/>
      <c r="O525" s="451"/>
      <c r="P525" s="929"/>
      <c r="Q525" s="929"/>
      <c r="R525" s="929"/>
      <c r="T525" s="451"/>
      <c r="U525" s="451"/>
      <c r="V525" s="451"/>
      <c r="W525" s="451"/>
      <c r="X525" s="451"/>
      <c r="Y525" s="929"/>
      <c r="Z525" s="929"/>
      <c r="AA525" s="929"/>
      <c r="AC525" s="451"/>
      <c r="AD525" s="451"/>
      <c r="AE525" s="451"/>
      <c r="AF525" s="451"/>
      <c r="AG525" s="451"/>
      <c r="AH525" s="929"/>
      <c r="AI525" s="929"/>
      <c r="AJ525" s="929"/>
    </row>
    <row r="526" customFormat="false" ht="12.75" hidden="false" customHeight="false" outlineLevel="0" collapsed="false">
      <c r="K526" s="451"/>
      <c r="L526" s="451"/>
      <c r="M526" s="451"/>
      <c r="N526" s="451"/>
      <c r="O526" s="451"/>
      <c r="P526" s="929"/>
      <c r="Q526" s="929"/>
      <c r="R526" s="929"/>
      <c r="T526" s="451"/>
      <c r="U526" s="451"/>
      <c r="V526" s="451"/>
      <c r="W526" s="451"/>
      <c r="X526" s="451"/>
      <c r="Y526" s="929"/>
      <c r="Z526" s="929"/>
      <c r="AA526" s="929"/>
      <c r="AC526" s="451"/>
      <c r="AD526" s="451"/>
      <c r="AE526" s="451"/>
      <c r="AF526" s="451"/>
      <c r="AG526" s="451"/>
      <c r="AH526" s="929"/>
      <c r="AI526" s="929"/>
      <c r="AJ526" s="929"/>
    </row>
    <row r="527" customFormat="false" ht="12.75" hidden="false" customHeight="false" outlineLevel="0" collapsed="false">
      <c r="K527" s="451"/>
      <c r="L527" s="451"/>
      <c r="M527" s="451"/>
      <c r="N527" s="451"/>
      <c r="O527" s="451"/>
      <c r="P527" s="929"/>
      <c r="Q527" s="929"/>
      <c r="R527" s="929"/>
      <c r="T527" s="451"/>
      <c r="U527" s="451"/>
      <c r="V527" s="451"/>
      <c r="W527" s="451"/>
      <c r="X527" s="451"/>
      <c r="Y527" s="929"/>
      <c r="Z527" s="929"/>
      <c r="AA527" s="929"/>
      <c r="AC527" s="451"/>
      <c r="AD527" s="451"/>
      <c r="AE527" s="451"/>
      <c r="AF527" s="451"/>
      <c r="AG527" s="451"/>
      <c r="AH527" s="929"/>
      <c r="AI527" s="929"/>
      <c r="AJ527" s="929"/>
    </row>
    <row r="528" customFormat="false" ht="12.75" hidden="false" customHeight="false" outlineLevel="0" collapsed="false">
      <c r="K528" s="451"/>
      <c r="L528" s="451"/>
      <c r="M528" s="451"/>
      <c r="N528" s="451"/>
      <c r="O528" s="451"/>
      <c r="P528" s="929"/>
      <c r="Q528" s="929"/>
      <c r="R528" s="929"/>
      <c r="T528" s="451"/>
      <c r="U528" s="451"/>
      <c r="V528" s="451"/>
      <c r="W528" s="451"/>
      <c r="X528" s="451"/>
      <c r="Y528" s="929"/>
      <c r="Z528" s="929"/>
      <c r="AA528" s="929"/>
      <c r="AC528" s="451"/>
      <c r="AD528" s="451"/>
      <c r="AE528" s="451"/>
      <c r="AF528" s="451"/>
      <c r="AG528" s="451"/>
      <c r="AH528" s="929"/>
      <c r="AI528" s="929"/>
      <c r="AJ528" s="929"/>
    </row>
    <row r="529" customFormat="false" ht="12.75" hidden="false" customHeight="false" outlineLevel="0" collapsed="false">
      <c r="K529" s="451"/>
      <c r="L529" s="451"/>
      <c r="M529" s="451"/>
      <c r="N529" s="451"/>
      <c r="O529" s="451"/>
      <c r="P529" s="929"/>
      <c r="Q529" s="929"/>
      <c r="R529" s="929"/>
      <c r="T529" s="451"/>
      <c r="U529" s="451"/>
      <c r="V529" s="451"/>
      <c r="W529" s="451"/>
      <c r="X529" s="451"/>
      <c r="Y529" s="929"/>
      <c r="Z529" s="929"/>
      <c r="AA529" s="929"/>
      <c r="AC529" s="451"/>
      <c r="AD529" s="451"/>
      <c r="AE529" s="451"/>
      <c r="AF529" s="451"/>
      <c r="AG529" s="451"/>
      <c r="AH529" s="929"/>
      <c r="AI529" s="929"/>
      <c r="AJ529" s="929"/>
    </row>
    <row r="530" customFormat="false" ht="12.75" hidden="false" customHeight="false" outlineLevel="0" collapsed="false">
      <c r="K530" s="451"/>
      <c r="L530" s="451"/>
      <c r="M530" s="451"/>
      <c r="N530" s="451"/>
      <c r="O530" s="451"/>
      <c r="P530" s="929"/>
      <c r="Q530" s="929"/>
      <c r="R530" s="929"/>
      <c r="T530" s="451"/>
      <c r="U530" s="451"/>
      <c r="V530" s="451"/>
      <c r="W530" s="451"/>
      <c r="X530" s="451"/>
      <c r="Y530" s="929"/>
      <c r="Z530" s="929"/>
      <c r="AA530" s="929"/>
      <c r="AC530" s="451"/>
      <c r="AD530" s="451"/>
      <c r="AE530" s="451"/>
      <c r="AF530" s="451"/>
      <c r="AG530" s="451"/>
      <c r="AH530" s="929"/>
      <c r="AI530" s="929"/>
      <c r="AJ530" s="929"/>
    </row>
    <row r="531" customFormat="false" ht="12.75" hidden="false" customHeight="false" outlineLevel="0" collapsed="false">
      <c r="K531" s="451"/>
      <c r="L531" s="451"/>
      <c r="M531" s="451"/>
      <c r="N531" s="451"/>
      <c r="O531" s="451"/>
      <c r="P531" s="929"/>
      <c r="Q531" s="929"/>
      <c r="R531" s="929"/>
      <c r="T531" s="451"/>
      <c r="U531" s="451"/>
      <c r="V531" s="451"/>
      <c r="W531" s="451"/>
      <c r="X531" s="451"/>
      <c r="Y531" s="929"/>
      <c r="Z531" s="929"/>
      <c r="AA531" s="929"/>
      <c r="AC531" s="451"/>
      <c r="AD531" s="451"/>
      <c r="AE531" s="451"/>
      <c r="AF531" s="451"/>
      <c r="AG531" s="451"/>
      <c r="AH531" s="929"/>
      <c r="AI531" s="929"/>
      <c r="AJ531" s="929"/>
    </row>
    <row r="532" customFormat="false" ht="12.75" hidden="false" customHeight="false" outlineLevel="0" collapsed="false">
      <c r="K532" s="451"/>
      <c r="L532" s="451"/>
      <c r="M532" s="451"/>
      <c r="N532" s="451"/>
      <c r="O532" s="451"/>
      <c r="P532" s="929"/>
      <c r="Q532" s="929"/>
      <c r="R532" s="929"/>
      <c r="T532" s="451"/>
      <c r="U532" s="451"/>
      <c r="V532" s="451"/>
      <c r="W532" s="451"/>
      <c r="X532" s="451"/>
      <c r="Y532" s="929"/>
      <c r="Z532" s="929"/>
      <c r="AA532" s="929"/>
      <c r="AC532" s="451"/>
      <c r="AD532" s="451"/>
      <c r="AE532" s="451"/>
      <c r="AF532" s="451"/>
      <c r="AG532" s="451"/>
      <c r="AH532" s="929"/>
      <c r="AI532" s="929"/>
      <c r="AJ532" s="929"/>
    </row>
    <row r="533" customFormat="false" ht="12.75" hidden="false" customHeight="false" outlineLevel="0" collapsed="false">
      <c r="K533" s="451"/>
      <c r="L533" s="451"/>
      <c r="M533" s="451"/>
      <c r="N533" s="451"/>
      <c r="O533" s="451"/>
      <c r="P533" s="929"/>
      <c r="Q533" s="929"/>
      <c r="R533" s="929"/>
      <c r="T533" s="451"/>
      <c r="U533" s="451"/>
      <c r="V533" s="451"/>
      <c r="W533" s="451"/>
      <c r="X533" s="451"/>
      <c r="Y533" s="929"/>
      <c r="Z533" s="929"/>
      <c r="AA533" s="929"/>
      <c r="AC533" s="451"/>
      <c r="AD533" s="451"/>
      <c r="AE533" s="451"/>
      <c r="AF533" s="451"/>
      <c r="AG533" s="451"/>
      <c r="AH533" s="929"/>
      <c r="AI533" s="929"/>
      <c r="AJ533" s="929"/>
    </row>
    <row r="534" customFormat="false" ht="12.75" hidden="false" customHeight="false" outlineLevel="0" collapsed="false">
      <c r="K534" s="451"/>
      <c r="L534" s="451"/>
      <c r="M534" s="451"/>
      <c r="N534" s="451"/>
      <c r="O534" s="451"/>
      <c r="P534" s="929"/>
      <c r="Q534" s="929"/>
      <c r="R534" s="929"/>
      <c r="T534" s="451"/>
      <c r="U534" s="451"/>
      <c r="V534" s="451"/>
      <c r="W534" s="451"/>
      <c r="X534" s="451"/>
      <c r="Y534" s="929"/>
      <c r="Z534" s="929"/>
      <c r="AA534" s="929"/>
      <c r="AC534" s="451"/>
      <c r="AD534" s="451"/>
      <c r="AE534" s="451"/>
      <c r="AF534" s="451"/>
      <c r="AG534" s="451"/>
      <c r="AH534" s="929"/>
      <c r="AI534" s="929"/>
      <c r="AJ534" s="929"/>
    </row>
    <row r="535" customFormat="false" ht="12.75" hidden="false" customHeight="false" outlineLevel="0" collapsed="false">
      <c r="K535" s="451"/>
      <c r="L535" s="451"/>
      <c r="M535" s="451"/>
      <c r="N535" s="451"/>
      <c r="O535" s="451"/>
      <c r="P535" s="929"/>
      <c r="Q535" s="929"/>
      <c r="R535" s="929"/>
      <c r="T535" s="451"/>
      <c r="U535" s="451"/>
      <c r="V535" s="451"/>
      <c r="W535" s="451"/>
      <c r="X535" s="451"/>
      <c r="Y535" s="929"/>
      <c r="Z535" s="929"/>
      <c r="AA535" s="929"/>
      <c r="AC535" s="451"/>
      <c r="AD535" s="451"/>
      <c r="AE535" s="451"/>
      <c r="AF535" s="451"/>
      <c r="AG535" s="451"/>
      <c r="AH535" s="929"/>
      <c r="AI535" s="929"/>
      <c r="AJ535" s="929"/>
    </row>
    <row r="536" customFormat="false" ht="12.75" hidden="false" customHeight="false" outlineLevel="0" collapsed="false">
      <c r="K536" s="451"/>
      <c r="L536" s="451"/>
      <c r="M536" s="451"/>
      <c r="N536" s="451"/>
      <c r="O536" s="451"/>
      <c r="P536" s="929"/>
      <c r="Q536" s="929"/>
      <c r="R536" s="929"/>
      <c r="T536" s="451"/>
      <c r="U536" s="451"/>
      <c r="V536" s="451"/>
      <c r="W536" s="451"/>
      <c r="X536" s="451"/>
      <c r="Y536" s="929"/>
      <c r="Z536" s="929"/>
      <c r="AA536" s="929"/>
      <c r="AC536" s="451"/>
      <c r="AD536" s="451"/>
      <c r="AE536" s="451"/>
      <c r="AF536" s="451"/>
      <c r="AG536" s="451"/>
      <c r="AH536" s="929"/>
      <c r="AI536" s="929"/>
      <c r="AJ536" s="929"/>
    </row>
    <row r="537" customFormat="false" ht="12.75" hidden="false" customHeight="false" outlineLevel="0" collapsed="false">
      <c r="K537" s="451"/>
      <c r="L537" s="451"/>
      <c r="M537" s="451"/>
      <c r="N537" s="451"/>
      <c r="O537" s="451"/>
      <c r="P537" s="929"/>
      <c r="Q537" s="929"/>
      <c r="R537" s="929"/>
      <c r="T537" s="451"/>
      <c r="U537" s="451"/>
      <c r="V537" s="451"/>
      <c r="W537" s="451"/>
      <c r="X537" s="451"/>
      <c r="Y537" s="929"/>
      <c r="Z537" s="929"/>
      <c r="AA537" s="929"/>
      <c r="AC537" s="451"/>
      <c r="AD537" s="451"/>
      <c r="AE537" s="451"/>
      <c r="AF537" s="451"/>
      <c r="AG537" s="451"/>
      <c r="AH537" s="929"/>
      <c r="AI537" s="929"/>
      <c r="AJ537" s="929"/>
    </row>
    <row r="538" customFormat="false" ht="12.75" hidden="false" customHeight="false" outlineLevel="0" collapsed="false">
      <c r="K538" s="451"/>
      <c r="L538" s="451"/>
      <c r="M538" s="451"/>
      <c r="N538" s="451"/>
      <c r="O538" s="451"/>
      <c r="P538" s="929"/>
      <c r="Q538" s="929"/>
      <c r="R538" s="929"/>
      <c r="T538" s="451"/>
      <c r="U538" s="451"/>
      <c r="V538" s="451"/>
      <c r="W538" s="451"/>
      <c r="X538" s="451"/>
      <c r="Y538" s="929"/>
      <c r="Z538" s="929"/>
      <c r="AA538" s="929"/>
      <c r="AC538" s="451"/>
      <c r="AD538" s="451"/>
      <c r="AE538" s="451"/>
      <c r="AF538" s="451"/>
      <c r="AG538" s="451"/>
      <c r="AH538" s="929"/>
      <c r="AI538" s="929"/>
      <c r="AJ538" s="929"/>
    </row>
    <row r="539" customFormat="false" ht="12.75" hidden="false" customHeight="false" outlineLevel="0" collapsed="false">
      <c r="K539" s="451"/>
      <c r="L539" s="451"/>
      <c r="M539" s="451"/>
      <c r="N539" s="451"/>
      <c r="O539" s="451"/>
      <c r="P539" s="929"/>
      <c r="Q539" s="929"/>
      <c r="R539" s="929"/>
      <c r="T539" s="451"/>
      <c r="U539" s="451"/>
      <c r="V539" s="451"/>
      <c r="W539" s="451"/>
      <c r="X539" s="451"/>
      <c r="Y539" s="929"/>
      <c r="Z539" s="929"/>
      <c r="AA539" s="929"/>
      <c r="AC539" s="451"/>
      <c r="AD539" s="451"/>
      <c r="AE539" s="451"/>
      <c r="AF539" s="451"/>
      <c r="AG539" s="451"/>
      <c r="AH539" s="929"/>
      <c r="AI539" s="929"/>
      <c r="AJ539" s="929"/>
    </row>
    <row r="540" customFormat="false" ht="12.75" hidden="false" customHeight="false" outlineLevel="0" collapsed="false">
      <c r="K540" s="451"/>
      <c r="L540" s="451"/>
      <c r="M540" s="451"/>
      <c r="N540" s="451"/>
      <c r="O540" s="451"/>
      <c r="P540" s="929"/>
      <c r="Q540" s="929"/>
      <c r="R540" s="929"/>
      <c r="T540" s="451"/>
      <c r="U540" s="451"/>
      <c r="V540" s="451"/>
      <c r="W540" s="451"/>
      <c r="X540" s="451"/>
      <c r="Y540" s="929"/>
      <c r="Z540" s="929"/>
      <c r="AA540" s="929"/>
      <c r="AC540" s="451"/>
      <c r="AD540" s="451"/>
      <c r="AE540" s="451"/>
      <c r="AF540" s="451"/>
      <c r="AG540" s="451"/>
      <c r="AH540" s="929"/>
      <c r="AI540" s="929"/>
      <c r="AJ540" s="929"/>
    </row>
    <row r="541" customFormat="false" ht="12.75" hidden="false" customHeight="false" outlineLevel="0" collapsed="false">
      <c r="K541" s="451"/>
      <c r="L541" s="451"/>
      <c r="M541" s="451"/>
      <c r="N541" s="451"/>
      <c r="O541" s="451"/>
      <c r="P541" s="929"/>
      <c r="Q541" s="929"/>
      <c r="R541" s="929"/>
      <c r="T541" s="451"/>
      <c r="U541" s="451"/>
      <c r="V541" s="451"/>
      <c r="W541" s="451"/>
      <c r="X541" s="451"/>
      <c r="Y541" s="929"/>
      <c r="Z541" s="929"/>
      <c r="AA541" s="929"/>
      <c r="AC541" s="451"/>
      <c r="AD541" s="451"/>
      <c r="AE541" s="451"/>
      <c r="AF541" s="451"/>
      <c r="AG541" s="451"/>
      <c r="AH541" s="929"/>
      <c r="AI541" s="929"/>
      <c r="AJ541" s="929"/>
    </row>
    <row r="542" customFormat="false" ht="12.75" hidden="false" customHeight="false" outlineLevel="0" collapsed="false">
      <c r="K542" s="451"/>
      <c r="L542" s="451"/>
      <c r="M542" s="451"/>
      <c r="N542" s="451"/>
      <c r="O542" s="451"/>
      <c r="P542" s="929"/>
      <c r="Q542" s="929"/>
      <c r="R542" s="929"/>
      <c r="T542" s="451"/>
      <c r="U542" s="451"/>
      <c r="V542" s="451"/>
      <c r="W542" s="451"/>
      <c r="X542" s="451"/>
      <c r="Y542" s="929"/>
      <c r="Z542" s="929"/>
      <c r="AA542" s="929"/>
      <c r="AC542" s="451"/>
      <c r="AD542" s="451"/>
      <c r="AE542" s="451"/>
      <c r="AF542" s="451"/>
      <c r="AG542" s="451"/>
      <c r="AH542" s="929"/>
      <c r="AI542" s="929"/>
      <c r="AJ542" s="929"/>
    </row>
    <row r="543" customFormat="false" ht="12.75" hidden="false" customHeight="false" outlineLevel="0" collapsed="false">
      <c r="K543" s="451"/>
      <c r="L543" s="451"/>
      <c r="M543" s="451"/>
      <c r="N543" s="451"/>
      <c r="O543" s="451"/>
      <c r="P543" s="929"/>
      <c r="Q543" s="929"/>
      <c r="R543" s="929"/>
      <c r="T543" s="451"/>
      <c r="U543" s="451"/>
      <c r="V543" s="451"/>
      <c r="W543" s="451"/>
      <c r="X543" s="451"/>
      <c r="Y543" s="929"/>
      <c r="Z543" s="929"/>
      <c r="AA543" s="929"/>
      <c r="AC543" s="451"/>
      <c r="AD543" s="451"/>
      <c r="AE543" s="451"/>
      <c r="AF543" s="451"/>
      <c r="AG543" s="451"/>
      <c r="AH543" s="929"/>
      <c r="AI543" s="929"/>
      <c r="AJ543" s="929"/>
    </row>
    <row r="544" customFormat="false" ht="12.75" hidden="false" customHeight="false" outlineLevel="0" collapsed="false">
      <c r="K544" s="451"/>
      <c r="L544" s="451"/>
      <c r="M544" s="451"/>
      <c r="N544" s="451"/>
      <c r="O544" s="451"/>
      <c r="P544" s="929"/>
      <c r="Q544" s="929"/>
      <c r="R544" s="929"/>
      <c r="T544" s="451"/>
      <c r="U544" s="451"/>
      <c r="V544" s="451"/>
      <c r="W544" s="451"/>
      <c r="X544" s="451"/>
      <c r="Y544" s="929"/>
      <c r="Z544" s="929"/>
      <c r="AA544" s="929"/>
      <c r="AC544" s="451"/>
      <c r="AD544" s="451"/>
      <c r="AE544" s="451"/>
      <c r="AF544" s="451"/>
      <c r="AG544" s="451"/>
      <c r="AH544" s="929"/>
      <c r="AI544" s="929"/>
      <c r="AJ544" s="929"/>
    </row>
    <row r="545" customFormat="false" ht="12.75" hidden="false" customHeight="false" outlineLevel="0" collapsed="false">
      <c r="K545" s="451"/>
      <c r="L545" s="451"/>
      <c r="M545" s="451"/>
      <c r="N545" s="451"/>
      <c r="O545" s="451"/>
      <c r="P545" s="929"/>
      <c r="Q545" s="929"/>
      <c r="R545" s="929"/>
      <c r="T545" s="451"/>
      <c r="U545" s="451"/>
      <c r="V545" s="451"/>
      <c r="W545" s="451"/>
      <c r="X545" s="451"/>
      <c r="Y545" s="929"/>
      <c r="Z545" s="929"/>
      <c r="AA545" s="929"/>
      <c r="AC545" s="451"/>
      <c r="AD545" s="451"/>
      <c r="AE545" s="451"/>
      <c r="AF545" s="451"/>
      <c r="AG545" s="451"/>
      <c r="AH545" s="929"/>
      <c r="AI545" s="929"/>
      <c r="AJ545" s="929"/>
    </row>
    <row r="546" customFormat="false" ht="12.75" hidden="false" customHeight="false" outlineLevel="0" collapsed="false">
      <c r="K546" s="451"/>
      <c r="L546" s="451"/>
      <c r="M546" s="451"/>
      <c r="N546" s="451"/>
      <c r="O546" s="451"/>
      <c r="P546" s="929"/>
      <c r="Q546" s="929"/>
      <c r="R546" s="929"/>
      <c r="T546" s="451"/>
      <c r="U546" s="451"/>
      <c r="V546" s="451"/>
      <c r="W546" s="451"/>
      <c r="X546" s="451"/>
      <c r="Y546" s="929"/>
      <c r="Z546" s="929"/>
      <c r="AA546" s="929"/>
      <c r="AC546" s="451"/>
      <c r="AD546" s="451"/>
      <c r="AE546" s="451"/>
      <c r="AF546" s="451"/>
      <c r="AG546" s="451"/>
      <c r="AH546" s="929"/>
      <c r="AI546" s="929"/>
      <c r="AJ546" s="929"/>
    </row>
    <row r="547" customFormat="false" ht="12.75" hidden="false" customHeight="false" outlineLevel="0" collapsed="false">
      <c r="K547" s="451"/>
      <c r="L547" s="451"/>
      <c r="M547" s="451"/>
      <c r="N547" s="451"/>
      <c r="O547" s="451"/>
      <c r="P547" s="929"/>
      <c r="Q547" s="929"/>
      <c r="R547" s="929"/>
      <c r="T547" s="451"/>
      <c r="U547" s="451"/>
      <c r="V547" s="451"/>
      <c r="W547" s="451"/>
      <c r="X547" s="451"/>
      <c r="Y547" s="929"/>
      <c r="Z547" s="929"/>
      <c r="AA547" s="929"/>
      <c r="AC547" s="451"/>
      <c r="AD547" s="451"/>
      <c r="AE547" s="451"/>
      <c r="AF547" s="451"/>
      <c r="AG547" s="451"/>
      <c r="AH547" s="929"/>
      <c r="AI547" s="929"/>
      <c r="AJ547" s="929"/>
    </row>
    <row r="548" customFormat="false" ht="12.75" hidden="false" customHeight="false" outlineLevel="0" collapsed="false">
      <c r="K548" s="451"/>
      <c r="L548" s="451"/>
      <c r="M548" s="451"/>
      <c r="N548" s="451"/>
      <c r="O548" s="451"/>
      <c r="P548" s="929"/>
      <c r="Q548" s="929"/>
      <c r="R548" s="929"/>
      <c r="T548" s="451"/>
      <c r="U548" s="451"/>
      <c r="V548" s="451"/>
      <c r="W548" s="451"/>
      <c r="X548" s="451"/>
      <c r="Y548" s="929"/>
      <c r="Z548" s="929"/>
      <c r="AA548" s="929"/>
      <c r="AC548" s="451"/>
      <c r="AD548" s="451"/>
      <c r="AE548" s="451"/>
      <c r="AF548" s="451"/>
      <c r="AG548" s="451"/>
      <c r="AH548" s="929"/>
      <c r="AI548" s="929"/>
      <c r="AJ548" s="929"/>
    </row>
    <row r="549" customFormat="false" ht="12.75" hidden="false" customHeight="false" outlineLevel="0" collapsed="false">
      <c r="K549" s="451"/>
      <c r="L549" s="451"/>
      <c r="M549" s="451"/>
      <c r="N549" s="451"/>
      <c r="O549" s="451"/>
      <c r="P549" s="929"/>
      <c r="Q549" s="929"/>
      <c r="R549" s="929"/>
      <c r="T549" s="451"/>
      <c r="U549" s="451"/>
      <c r="V549" s="451"/>
      <c r="W549" s="451"/>
      <c r="X549" s="451"/>
      <c r="Y549" s="929"/>
      <c r="Z549" s="929"/>
      <c r="AA549" s="929"/>
      <c r="AC549" s="451"/>
      <c r="AD549" s="451"/>
      <c r="AE549" s="451"/>
      <c r="AF549" s="451"/>
      <c r="AG549" s="451"/>
      <c r="AH549" s="929"/>
      <c r="AI549" s="929"/>
      <c r="AJ549" s="929"/>
    </row>
    <row r="550" customFormat="false" ht="12.75" hidden="false" customHeight="false" outlineLevel="0" collapsed="false">
      <c r="K550" s="451"/>
      <c r="L550" s="451"/>
      <c r="M550" s="451"/>
      <c r="N550" s="451"/>
      <c r="O550" s="451"/>
      <c r="P550" s="929"/>
      <c r="Q550" s="929"/>
      <c r="R550" s="929"/>
      <c r="T550" s="451"/>
      <c r="U550" s="451"/>
      <c r="V550" s="451"/>
      <c r="W550" s="451"/>
      <c r="X550" s="451"/>
      <c r="Y550" s="929"/>
      <c r="Z550" s="929"/>
      <c r="AA550" s="929"/>
      <c r="AC550" s="451"/>
      <c r="AD550" s="451"/>
      <c r="AE550" s="451"/>
      <c r="AF550" s="451"/>
      <c r="AG550" s="451"/>
      <c r="AH550" s="929"/>
      <c r="AI550" s="929"/>
      <c r="AJ550" s="929"/>
    </row>
    <row r="551" customFormat="false" ht="12.75" hidden="false" customHeight="false" outlineLevel="0" collapsed="false">
      <c r="K551" s="451"/>
      <c r="L551" s="451"/>
      <c r="M551" s="451"/>
      <c r="N551" s="451"/>
      <c r="O551" s="451"/>
      <c r="P551" s="929"/>
      <c r="Q551" s="929"/>
      <c r="R551" s="929"/>
      <c r="T551" s="451"/>
      <c r="U551" s="451"/>
      <c r="V551" s="451"/>
      <c r="W551" s="451"/>
      <c r="X551" s="451"/>
      <c r="Y551" s="929"/>
      <c r="Z551" s="929"/>
      <c r="AA551" s="929"/>
      <c r="AC551" s="451"/>
      <c r="AD551" s="451"/>
      <c r="AE551" s="451"/>
      <c r="AF551" s="451"/>
      <c r="AG551" s="451"/>
      <c r="AH551" s="929"/>
      <c r="AI551" s="929"/>
      <c r="AJ551" s="929"/>
    </row>
    <row r="552" customFormat="false" ht="12.75" hidden="false" customHeight="false" outlineLevel="0" collapsed="false">
      <c r="K552" s="451"/>
      <c r="L552" s="451"/>
      <c r="M552" s="451"/>
      <c r="N552" s="451"/>
      <c r="O552" s="451"/>
      <c r="P552" s="929"/>
      <c r="Q552" s="929"/>
      <c r="R552" s="929"/>
      <c r="T552" s="451"/>
      <c r="U552" s="451"/>
      <c r="V552" s="451"/>
      <c r="W552" s="451"/>
      <c r="X552" s="451"/>
      <c r="Y552" s="929"/>
      <c r="Z552" s="929"/>
      <c r="AA552" s="929"/>
      <c r="AC552" s="451"/>
      <c r="AD552" s="451"/>
      <c r="AE552" s="451"/>
      <c r="AF552" s="451"/>
      <c r="AG552" s="451"/>
      <c r="AH552" s="929"/>
      <c r="AI552" s="929"/>
      <c r="AJ552" s="929"/>
    </row>
    <row r="553" customFormat="false" ht="12.75" hidden="false" customHeight="false" outlineLevel="0" collapsed="false">
      <c r="K553" s="451"/>
      <c r="L553" s="451"/>
      <c r="M553" s="451"/>
      <c r="N553" s="451"/>
      <c r="O553" s="451"/>
      <c r="P553" s="929"/>
      <c r="Q553" s="929"/>
      <c r="R553" s="929"/>
      <c r="T553" s="451"/>
      <c r="U553" s="451"/>
      <c r="V553" s="451"/>
      <c r="W553" s="451"/>
      <c r="X553" s="451"/>
      <c r="Y553" s="929"/>
      <c r="Z553" s="929"/>
      <c r="AA553" s="929"/>
      <c r="AC553" s="451"/>
      <c r="AD553" s="451"/>
      <c r="AE553" s="451"/>
      <c r="AF553" s="451"/>
      <c r="AG553" s="451"/>
      <c r="AH553" s="929"/>
      <c r="AI553" s="929"/>
      <c r="AJ553" s="929"/>
    </row>
    <row r="554" customFormat="false" ht="12.75" hidden="false" customHeight="false" outlineLevel="0" collapsed="false">
      <c r="K554" s="451"/>
      <c r="L554" s="451"/>
      <c r="M554" s="451"/>
      <c r="N554" s="451"/>
      <c r="O554" s="451"/>
      <c r="P554" s="929"/>
      <c r="Q554" s="929"/>
      <c r="R554" s="929"/>
      <c r="T554" s="451"/>
      <c r="U554" s="451"/>
      <c r="V554" s="451"/>
      <c r="W554" s="451"/>
      <c r="X554" s="451"/>
      <c r="Y554" s="929"/>
      <c r="Z554" s="929"/>
      <c r="AA554" s="929"/>
      <c r="AC554" s="451"/>
      <c r="AD554" s="451"/>
      <c r="AE554" s="451"/>
      <c r="AF554" s="451"/>
      <c r="AG554" s="451"/>
      <c r="AH554" s="929"/>
      <c r="AI554" s="929"/>
      <c r="AJ554" s="929"/>
    </row>
    <row r="555" customFormat="false" ht="12.75" hidden="false" customHeight="false" outlineLevel="0" collapsed="false">
      <c r="K555" s="451"/>
      <c r="L555" s="451"/>
      <c r="M555" s="451"/>
      <c r="N555" s="451"/>
      <c r="O555" s="451"/>
      <c r="P555" s="929"/>
      <c r="Q555" s="929"/>
      <c r="R555" s="929"/>
      <c r="T555" s="451"/>
      <c r="U555" s="451"/>
      <c r="V555" s="451"/>
      <c r="W555" s="451"/>
      <c r="X555" s="451"/>
      <c r="Y555" s="929"/>
      <c r="Z555" s="929"/>
      <c r="AA555" s="929"/>
      <c r="AC555" s="451"/>
      <c r="AD555" s="451"/>
      <c r="AE555" s="451"/>
      <c r="AF555" s="451"/>
      <c r="AG555" s="451"/>
      <c r="AH555" s="929"/>
      <c r="AI555" s="929"/>
      <c r="AJ555" s="929"/>
    </row>
    <row r="556" customFormat="false" ht="12.75" hidden="false" customHeight="false" outlineLevel="0" collapsed="false">
      <c r="K556" s="451"/>
      <c r="L556" s="451"/>
      <c r="M556" s="451"/>
      <c r="N556" s="451"/>
      <c r="O556" s="451"/>
      <c r="P556" s="929"/>
      <c r="Q556" s="929"/>
      <c r="R556" s="929"/>
      <c r="T556" s="451"/>
      <c r="U556" s="451"/>
      <c r="V556" s="451"/>
      <c r="W556" s="451"/>
      <c r="X556" s="451"/>
      <c r="Y556" s="929"/>
      <c r="Z556" s="929"/>
      <c r="AA556" s="929"/>
      <c r="AC556" s="451"/>
      <c r="AD556" s="451"/>
      <c r="AE556" s="451"/>
      <c r="AF556" s="451"/>
      <c r="AG556" s="451"/>
      <c r="AH556" s="929"/>
      <c r="AI556" s="929"/>
      <c r="AJ556" s="929"/>
    </row>
    <row r="557" customFormat="false" ht="12.75" hidden="false" customHeight="false" outlineLevel="0" collapsed="false">
      <c r="K557" s="451"/>
      <c r="L557" s="451"/>
      <c r="M557" s="451"/>
      <c r="N557" s="451"/>
      <c r="O557" s="451"/>
      <c r="P557" s="929"/>
      <c r="Q557" s="929"/>
      <c r="R557" s="929"/>
      <c r="T557" s="451"/>
      <c r="U557" s="451"/>
      <c r="V557" s="451"/>
      <c r="W557" s="451"/>
      <c r="X557" s="451"/>
      <c r="Y557" s="929"/>
      <c r="Z557" s="929"/>
      <c r="AA557" s="929"/>
      <c r="AC557" s="451"/>
      <c r="AD557" s="451"/>
      <c r="AE557" s="451"/>
      <c r="AF557" s="451"/>
      <c r="AG557" s="451"/>
      <c r="AH557" s="929"/>
      <c r="AI557" s="929"/>
      <c r="AJ557" s="929"/>
    </row>
    <row r="558" customFormat="false" ht="12.75" hidden="false" customHeight="false" outlineLevel="0" collapsed="false">
      <c r="K558" s="451"/>
      <c r="L558" s="451"/>
      <c r="M558" s="451"/>
      <c r="N558" s="451"/>
      <c r="O558" s="451"/>
      <c r="P558" s="929"/>
      <c r="Q558" s="929"/>
      <c r="R558" s="929"/>
      <c r="T558" s="451"/>
      <c r="U558" s="451"/>
      <c r="V558" s="451"/>
      <c r="W558" s="451"/>
      <c r="X558" s="451"/>
      <c r="Y558" s="929"/>
      <c r="Z558" s="929"/>
      <c r="AA558" s="929"/>
      <c r="AC558" s="451"/>
      <c r="AD558" s="451"/>
      <c r="AE558" s="451"/>
      <c r="AF558" s="451"/>
      <c r="AG558" s="451"/>
      <c r="AH558" s="929"/>
      <c r="AI558" s="929"/>
      <c r="AJ558" s="929"/>
    </row>
    <row r="559" customFormat="false" ht="12.75" hidden="false" customHeight="false" outlineLevel="0" collapsed="false">
      <c r="K559" s="451"/>
      <c r="L559" s="451"/>
      <c r="M559" s="451"/>
      <c r="N559" s="451"/>
      <c r="O559" s="451"/>
      <c r="P559" s="929"/>
      <c r="Q559" s="929"/>
      <c r="R559" s="929"/>
      <c r="T559" s="451"/>
      <c r="U559" s="451"/>
      <c r="V559" s="451"/>
      <c r="W559" s="451"/>
      <c r="X559" s="451"/>
      <c r="Y559" s="929"/>
      <c r="Z559" s="929"/>
      <c r="AA559" s="929"/>
      <c r="AC559" s="451"/>
      <c r="AD559" s="451"/>
      <c r="AE559" s="451"/>
      <c r="AF559" s="451"/>
      <c r="AG559" s="451"/>
      <c r="AH559" s="929"/>
      <c r="AI559" s="929"/>
      <c r="AJ559" s="929"/>
    </row>
    <row r="560" customFormat="false" ht="12.75" hidden="false" customHeight="false" outlineLevel="0" collapsed="false">
      <c r="K560" s="451"/>
      <c r="L560" s="451"/>
      <c r="M560" s="451"/>
      <c r="N560" s="451"/>
      <c r="O560" s="451"/>
      <c r="P560" s="929"/>
      <c r="Q560" s="929"/>
      <c r="R560" s="929"/>
      <c r="T560" s="451"/>
      <c r="U560" s="451"/>
      <c r="V560" s="451"/>
      <c r="W560" s="451"/>
      <c r="X560" s="451"/>
      <c r="Y560" s="929"/>
      <c r="Z560" s="929"/>
      <c r="AA560" s="929"/>
      <c r="AC560" s="451"/>
      <c r="AD560" s="451"/>
      <c r="AE560" s="451"/>
      <c r="AF560" s="451"/>
      <c r="AG560" s="451"/>
      <c r="AH560" s="929"/>
      <c r="AI560" s="929"/>
      <c r="AJ560" s="929"/>
    </row>
    <row r="561" customFormat="false" ht="12.75" hidden="false" customHeight="false" outlineLevel="0" collapsed="false">
      <c r="K561" s="451"/>
      <c r="L561" s="451"/>
      <c r="M561" s="451"/>
      <c r="N561" s="451"/>
      <c r="O561" s="451"/>
      <c r="P561" s="929"/>
      <c r="Q561" s="929"/>
      <c r="R561" s="929"/>
      <c r="T561" s="451"/>
      <c r="U561" s="451"/>
      <c r="V561" s="451"/>
      <c r="W561" s="451"/>
      <c r="X561" s="451"/>
      <c r="Y561" s="929"/>
      <c r="Z561" s="929"/>
      <c r="AA561" s="929"/>
      <c r="AC561" s="451"/>
      <c r="AD561" s="451"/>
      <c r="AE561" s="451"/>
      <c r="AF561" s="451"/>
      <c r="AG561" s="451"/>
      <c r="AH561" s="929"/>
      <c r="AI561" s="929"/>
      <c r="AJ561" s="929"/>
    </row>
    <row r="562" customFormat="false" ht="12.75" hidden="false" customHeight="false" outlineLevel="0" collapsed="false">
      <c r="K562" s="451"/>
      <c r="L562" s="451"/>
      <c r="M562" s="451"/>
      <c r="N562" s="451"/>
      <c r="O562" s="451"/>
      <c r="P562" s="929"/>
      <c r="Q562" s="929"/>
      <c r="R562" s="929"/>
      <c r="T562" s="451"/>
      <c r="U562" s="451"/>
      <c r="V562" s="451"/>
      <c r="W562" s="451"/>
      <c r="X562" s="451"/>
      <c r="Y562" s="929"/>
      <c r="Z562" s="929"/>
      <c r="AA562" s="929"/>
      <c r="AC562" s="451"/>
      <c r="AD562" s="451"/>
      <c r="AE562" s="451"/>
      <c r="AF562" s="451"/>
      <c r="AG562" s="451"/>
      <c r="AH562" s="929"/>
      <c r="AI562" s="929"/>
      <c r="AJ562" s="929"/>
    </row>
    <row r="563" customFormat="false" ht="12.75" hidden="false" customHeight="false" outlineLevel="0" collapsed="false">
      <c r="K563" s="451"/>
      <c r="L563" s="451"/>
      <c r="M563" s="451"/>
      <c r="N563" s="451"/>
      <c r="O563" s="451"/>
      <c r="P563" s="929"/>
      <c r="Q563" s="929"/>
      <c r="R563" s="929"/>
      <c r="T563" s="451"/>
      <c r="U563" s="451"/>
      <c r="V563" s="451"/>
      <c r="W563" s="451"/>
      <c r="X563" s="451"/>
      <c r="Y563" s="929"/>
      <c r="Z563" s="929"/>
      <c r="AA563" s="929"/>
      <c r="AC563" s="451"/>
      <c r="AD563" s="451"/>
      <c r="AE563" s="451"/>
      <c r="AF563" s="451"/>
      <c r="AG563" s="451"/>
      <c r="AH563" s="929"/>
      <c r="AI563" s="929"/>
      <c r="AJ563" s="929"/>
    </row>
    <row r="564" customFormat="false" ht="12.75" hidden="false" customHeight="false" outlineLevel="0" collapsed="false">
      <c r="K564" s="451"/>
      <c r="L564" s="451"/>
      <c r="M564" s="451"/>
      <c r="N564" s="451"/>
      <c r="O564" s="451"/>
      <c r="P564" s="929"/>
      <c r="Q564" s="929"/>
      <c r="R564" s="929"/>
      <c r="T564" s="451"/>
      <c r="U564" s="451"/>
      <c r="V564" s="451"/>
      <c r="W564" s="451"/>
      <c r="X564" s="451"/>
      <c r="Y564" s="929"/>
      <c r="Z564" s="929"/>
      <c r="AA564" s="929"/>
      <c r="AC564" s="451"/>
      <c r="AD564" s="451"/>
      <c r="AE564" s="451"/>
      <c r="AF564" s="451"/>
      <c r="AG564" s="451"/>
      <c r="AH564" s="929"/>
      <c r="AI564" s="929"/>
      <c r="AJ564" s="929"/>
    </row>
    <row r="565" customFormat="false" ht="12.75" hidden="false" customHeight="false" outlineLevel="0" collapsed="false">
      <c r="K565" s="451"/>
      <c r="L565" s="451"/>
      <c r="M565" s="451"/>
      <c r="N565" s="451"/>
      <c r="O565" s="451"/>
      <c r="P565" s="929"/>
      <c r="Q565" s="929"/>
      <c r="R565" s="929"/>
      <c r="T565" s="451"/>
      <c r="U565" s="451"/>
      <c r="V565" s="451"/>
      <c r="W565" s="451"/>
      <c r="X565" s="451"/>
      <c r="Y565" s="929"/>
      <c r="Z565" s="929"/>
      <c r="AA565" s="929"/>
      <c r="AC565" s="451"/>
      <c r="AD565" s="451"/>
      <c r="AE565" s="451"/>
      <c r="AF565" s="451"/>
      <c r="AG565" s="451"/>
      <c r="AH565" s="929"/>
      <c r="AI565" s="929"/>
      <c r="AJ565" s="929"/>
    </row>
    <row r="566" customFormat="false" ht="12.75" hidden="false" customHeight="false" outlineLevel="0" collapsed="false">
      <c r="K566" s="451"/>
      <c r="L566" s="451"/>
      <c r="M566" s="451"/>
      <c r="N566" s="451"/>
      <c r="O566" s="451"/>
      <c r="P566" s="929"/>
      <c r="Q566" s="929"/>
      <c r="R566" s="929"/>
      <c r="T566" s="451"/>
      <c r="U566" s="451"/>
      <c r="V566" s="451"/>
      <c r="W566" s="451"/>
      <c r="X566" s="451"/>
      <c r="Y566" s="929"/>
      <c r="Z566" s="929"/>
      <c r="AA566" s="929"/>
      <c r="AC566" s="451"/>
      <c r="AD566" s="451"/>
      <c r="AE566" s="451"/>
      <c r="AF566" s="451"/>
      <c r="AG566" s="451"/>
      <c r="AH566" s="929"/>
      <c r="AI566" s="929"/>
      <c r="AJ566" s="929"/>
    </row>
    <row r="567" customFormat="false" ht="12.75" hidden="false" customHeight="false" outlineLevel="0" collapsed="false">
      <c r="K567" s="451"/>
      <c r="L567" s="451"/>
      <c r="M567" s="451"/>
      <c r="N567" s="451"/>
      <c r="O567" s="451"/>
      <c r="P567" s="929"/>
      <c r="Q567" s="929"/>
      <c r="R567" s="929"/>
      <c r="T567" s="451"/>
      <c r="U567" s="451"/>
      <c r="V567" s="451"/>
      <c r="W567" s="451"/>
      <c r="X567" s="451"/>
      <c r="Y567" s="929"/>
      <c r="Z567" s="929"/>
      <c r="AA567" s="929"/>
      <c r="AC567" s="451"/>
      <c r="AD567" s="451"/>
      <c r="AE567" s="451"/>
      <c r="AF567" s="451"/>
      <c r="AG567" s="451"/>
      <c r="AH567" s="929"/>
      <c r="AI567" s="929"/>
      <c r="AJ567" s="929"/>
    </row>
    <row r="568" customFormat="false" ht="12.75" hidden="false" customHeight="false" outlineLevel="0" collapsed="false">
      <c r="K568" s="451"/>
      <c r="L568" s="451"/>
      <c r="M568" s="451"/>
      <c r="N568" s="451"/>
      <c r="O568" s="451"/>
      <c r="P568" s="929"/>
      <c r="Q568" s="929"/>
      <c r="R568" s="929"/>
      <c r="T568" s="451"/>
      <c r="U568" s="451"/>
      <c r="V568" s="451"/>
      <c r="W568" s="451"/>
      <c r="X568" s="451"/>
      <c r="Y568" s="929"/>
      <c r="Z568" s="929"/>
      <c r="AA568" s="929"/>
      <c r="AC568" s="451"/>
      <c r="AD568" s="451"/>
      <c r="AE568" s="451"/>
      <c r="AF568" s="451"/>
      <c r="AG568" s="451"/>
      <c r="AH568" s="929"/>
      <c r="AI568" s="929"/>
      <c r="AJ568" s="929"/>
    </row>
    <row r="569" customFormat="false" ht="12.75" hidden="false" customHeight="false" outlineLevel="0" collapsed="false">
      <c r="K569" s="451"/>
      <c r="L569" s="451"/>
      <c r="M569" s="451"/>
      <c r="N569" s="451"/>
      <c r="O569" s="451"/>
      <c r="P569" s="929"/>
      <c r="Q569" s="929"/>
      <c r="R569" s="929"/>
      <c r="T569" s="451"/>
      <c r="U569" s="451"/>
      <c r="V569" s="451"/>
      <c r="W569" s="451"/>
      <c r="X569" s="451"/>
      <c r="Y569" s="929"/>
      <c r="Z569" s="929"/>
      <c r="AA569" s="929"/>
      <c r="AC569" s="451"/>
      <c r="AD569" s="451"/>
      <c r="AE569" s="451"/>
      <c r="AF569" s="451"/>
      <c r="AG569" s="451"/>
      <c r="AH569" s="929"/>
      <c r="AI569" s="929"/>
      <c r="AJ569" s="929"/>
    </row>
    <row r="570" customFormat="false" ht="12.75" hidden="false" customHeight="false" outlineLevel="0" collapsed="false">
      <c r="K570" s="451"/>
      <c r="L570" s="451"/>
      <c r="M570" s="451"/>
      <c r="N570" s="451"/>
      <c r="O570" s="451"/>
      <c r="P570" s="929"/>
      <c r="Q570" s="929"/>
      <c r="R570" s="929"/>
      <c r="T570" s="451"/>
      <c r="U570" s="451"/>
      <c r="V570" s="451"/>
      <c r="W570" s="451"/>
      <c r="X570" s="451"/>
      <c r="Y570" s="929"/>
      <c r="Z570" s="929"/>
      <c r="AA570" s="929"/>
      <c r="AC570" s="451"/>
      <c r="AD570" s="451"/>
      <c r="AE570" s="451"/>
      <c r="AF570" s="451"/>
      <c r="AG570" s="451"/>
      <c r="AH570" s="929"/>
      <c r="AI570" s="929"/>
      <c r="AJ570" s="929"/>
    </row>
    <row r="571" customFormat="false" ht="12.75" hidden="false" customHeight="false" outlineLevel="0" collapsed="false">
      <c r="K571" s="451"/>
      <c r="L571" s="451"/>
      <c r="M571" s="451"/>
      <c r="N571" s="451"/>
      <c r="O571" s="451"/>
      <c r="P571" s="929"/>
      <c r="Q571" s="929"/>
      <c r="R571" s="929"/>
      <c r="T571" s="451"/>
      <c r="U571" s="451"/>
      <c r="V571" s="451"/>
      <c r="W571" s="451"/>
      <c r="X571" s="451"/>
      <c r="Y571" s="929"/>
      <c r="Z571" s="929"/>
      <c r="AA571" s="929"/>
      <c r="AC571" s="451"/>
      <c r="AD571" s="451"/>
      <c r="AE571" s="451"/>
      <c r="AF571" s="451"/>
      <c r="AG571" s="451"/>
      <c r="AH571" s="929"/>
      <c r="AI571" s="929"/>
      <c r="AJ571" s="929"/>
    </row>
    <row r="572" customFormat="false" ht="12.75" hidden="false" customHeight="false" outlineLevel="0" collapsed="false">
      <c r="K572" s="451"/>
      <c r="L572" s="451"/>
      <c r="M572" s="451"/>
      <c r="N572" s="451"/>
      <c r="O572" s="451"/>
      <c r="P572" s="929"/>
      <c r="Q572" s="929"/>
      <c r="R572" s="929"/>
      <c r="T572" s="451"/>
      <c r="U572" s="451"/>
      <c r="V572" s="451"/>
      <c r="W572" s="451"/>
      <c r="X572" s="451"/>
      <c r="Y572" s="929"/>
      <c r="Z572" s="929"/>
      <c r="AA572" s="929"/>
      <c r="AC572" s="451"/>
      <c r="AD572" s="451"/>
      <c r="AE572" s="451"/>
      <c r="AF572" s="451"/>
      <c r="AG572" s="451"/>
      <c r="AH572" s="929"/>
      <c r="AI572" s="929"/>
      <c r="AJ572" s="929"/>
    </row>
    <row r="573" customFormat="false" ht="12.75" hidden="false" customHeight="false" outlineLevel="0" collapsed="false">
      <c r="K573" s="451"/>
      <c r="L573" s="451"/>
      <c r="M573" s="451"/>
      <c r="N573" s="451"/>
      <c r="O573" s="451"/>
      <c r="P573" s="929"/>
      <c r="Q573" s="929"/>
      <c r="R573" s="929"/>
      <c r="T573" s="451"/>
      <c r="U573" s="451"/>
      <c r="V573" s="451"/>
      <c r="W573" s="451"/>
      <c r="X573" s="451"/>
      <c r="Y573" s="929"/>
      <c r="Z573" s="929"/>
      <c r="AA573" s="929"/>
      <c r="AC573" s="451"/>
      <c r="AD573" s="451"/>
      <c r="AE573" s="451"/>
      <c r="AF573" s="451"/>
      <c r="AG573" s="451"/>
      <c r="AH573" s="929"/>
      <c r="AI573" s="929"/>
      <c r="AJ573" s="929"/>
    </row>
    <row r="574" customFormat="false" ht="12.75" hidden="false" customHeight="false" outlineLevel="0" collapsed="false">
      <c r="K574" s="451"/>
      <c r="L574" s="451"/>
      <c r="M574" s="451"/>
      <c r="N574" s="451"/>
      <c r="O574" s="451"/>
      <c r="P574" s="929"/>
      <c r="Q574" s="929"/>
      <c r="R574" s="929"/>
      <c r="T574" s="451"/>
      <c r="U574" s="451"/>
      <c r="V574" s="451"/>
      <c r="W574" s="451"/>
      <c r="X574" s="451"/>
      <c r="Y574" s="929"/>
      <c r="Z574" s="929"/>
      <c r="AA574" s="929"/>
      <c r="AC574" s="451"/>
      <c r="AD574" s="451"/>
      <c r="AE574" s="451"/>
      <c r="AF574" s="451"/>
      <c r="AG574" s="451"/>
      <c r="AH574" s="929"/>
      <c r="AI574" s="929"/>
      <c r="AJ574" s="929"/>
    </row>
    <row r="575" customFormat="false" ht="12.75" hidden="false" customHeight="false" outlineLevel="0" collapsed="false">
      <c r="K575" s="451"/>
      <c r="L575" s="451"/>
      <c r="M575" s="451"/>
      <c r="N575" s="451"/>
      <c r="O575" s="451"/>
      <c r="P575" s="929"/>
      <c r="Q575" s="929"/>
      <c r="R575" s="929"/>
      <c r="T575" s="451"/>
      <c r="U575" s="451"/>
      <c r="V575" s="451"/>
      <c r="W575" s="451"/>
      <c r="X575" s="451"/>
      <c r="Y575" s="929"/>
      <c r="Z575" s="929"/>
      <c r="AA575" s="929"/>
      <c r="AC575" s="451"/>
      <c r="AD575" s="451"/>
      <c r="AE575" s="451"/>
      <c r="AF575" s="451"/>
      <c r="AG575" s="451"/>
      <c r="AH575" s="929"/>
      <c r="AI575" s="929"/>
      <c r="AJ575" s="929"/>
    </row>
    <row r="576" customFormat="false" ht="12.75" hidden="false" customHeight="false" outlineLevel="0" collapsed="false">
      <c r="K576" s="451"/>
      <c r="L576" s="451"/>
      <c r="M576" s="451"/>
      <c r="N576" s="451"/>
      <c r="O576" s="451"/>
      <c r="P576" s="929"/>
      <c r="Q576" s="929"/>
      <c r="R576" s="929"/>
      <c r="T576" s="451"/>
      <c r="U576" s="451"/>
      <c r="V576" s="451"/>
      <c r="W576" s="451"/>
      <c r="X576" s="451"/>
      <c r="Y576" s="929"/>
      <c r="Z576" s="929"/>
      <c r="AA576" s="929"/>
      <c r="AC576" s="451"/>
      <c r="AD576" s="451"/>
      <c r="AE576" s="451"/>
      <c r="AF576" s="451"/>
      <c r="AG576" s="451"/>
      <c r="AH576" s="929"/>
      <c r="AI576" s="929"/>
      <c r="AJ576" s="929"/>
    </row>
    <row r="577" customFormat="false" ht="12.75" hidden="false" customHeight="false" outlineLevel="0" collapsed="false">
      <c r="K577" s="451"/>
      <c r="L577" s="451"/>
      <c r="M577" s="451"/>
      <c r="N577" s="451"/>
      <c r="O577" s="451"/>
      <c r="P577" s="929"/>
      <c r="Q577" s="929"/>
      <c r="R577" s="929"/>
      <c r="T577" s="451"/>
      <c r="U577" s="451"/>
      <c r="V577" s="451"/>
      <c r="W577" s="451"/>
      <c r="X577" s="451"/>
      <c r="Y577" s="929"/>
      <c r="Z577" s="929"/>
      <c r="AA577" s="929"/>
      <c r="AC577" s="451"/>
      <c r="AD577" s="451"/>
      <c r="AE577" s="451"/>
      <c r="AF577" s="451"/>
      <c r="AG577" s="451"/>
      <c r="AH577" s="929"/>
      <c r="AI577" s="929"/>
      <c r="AJ577" s="929"/>
    </row>
    <row r="578" customFormat="false" ht="12.75" hidden="false" customHeight="false" outlineLevel="0" collapsed="false">
      <c r="K578" s="451"/>
      <c r="L578" s="451"/>
      <c r="M578" s="451"/>
      <c r="N578" s="451"/>
      <c r="O578" s="451"/>
      <c r="P578" s="929"/>
      <c r="Q578" s="929"/>
      <c r="R578" s="929"/>
      <c r="T578" s="451"/>
      <c r="U578" s="451"/>
      <c r="V578" s="451"/>
      <c r="W578" s="451"/>
      <c r="X578" s="451"/>
      <c r="Y578" s="929"/>
      <c r="Z578" s="929"/>
      <c r="AA578" s="929"/>
      <c r="AC578" s="451"/>
      <c r="AD578" s="451"/>
      <c r="AE578" s="451"/>
      <c r="AF578" s="451"/>
      <c r="AG578" s="451"/>
      <c r="AH578" s="929"/>
      <c r="AI578" s="929"/>
      <c r="AJ578" s="929"/>
    </row>
    <row r="579" customFormat="false" ht="12.75" hidden="false" customHeight="false" outlineLevel="0" collapsed="false">
      <c r="K579" s="451"/>
      <c r="L579" s="451"/>
      <c r="M579" s="451"/>
      <c r="N579" s="451"/>
      <c r="O579" s="451"/>
      <c r="P579" s="929"/>
      <c r="Q579" s="929"/>
      <c r="R579" s="929"/>
      <c r="T579" s="451"/>
      <c r="U579" s="451"/>
      <c r="V579" s="451"/>
      <c r="W579" s="451"/>
      <c r="X579" s="451"/>
      <c r="Y579" s="929"/>
      <c r="Z579" s="929"/>
      <c r="AA579" s="929"/>
      <c r="AC579" s="451"/>
      <c r="AD579" s="451"/>
      <c r="AE579" s="451"/>
      <c r="AF579" s="451"/>
      <c r="AG579" s="451"/>
      <c r="AH579" s="929"/>
      <c r="AI579" s="929"/>
      <c r="AJ579" s="929"/>
    </row>
    <row r="580" customFormat="false" ht="12.75" hidden="false" customHeight="false" outlineLevel="0" collapsed="false">
      <c r="K580" s="451"/>
      <c r="L580" s="451"/>
      <c r="M580" s="451"/>
      <c r="N580" s="451"/>
      <c r="O580" s="451"/>
      <c r="P580" s="929"/>
      <c r="Q580" s="929"/>
      <c r="R580" s="929"/>
      <c r="T580" s="451"/>
      <c r="U580" s="451"/>
      <c r="V580" s="451"/>
      <c r="W580" s="451"/>
      <c r="X580" s="451"/>
      <c r="Y580" s="929"/>
      <c r="Z580" s="929"/>
      <c r="AA580" s="929"/>
      <c r="AC580" s="451"/>
      <c r="AD580" s="451"/>
      <c r="AE580" s="451"/>
      <c r="AF580" s="451"/>
      <c r="AG580" s="451"/>
      <c r="AH580" s="929"/>
      <c r="AI580" s="929"/>
      <c r="AJ580" s="929"/>
    </row>
    <row r="581" customFormat="false" ht="12.75" hidden="false" customHeight="false" outlineLevel="0" collapsed="false">
      <c r="K581" s="451"/>
      <c r="L581" s="451"/>
      <c r="M581" s="451"/>
      <c r="N581" s="451"/>
      <c r="O581" s="451"/>
      <c r="P581" s="929"/>
      <c r="Q581" s="929"/>
      <c r="R581" s="929"/>
      <c r="T581" s="451"/>
      <c r="U581" s="451"/>
      <c r="V581" s="451"/>
      <c r="W581" s="451"/>
      <c r="X581" s="451"/>
      <c r="Y581" s="929"/>
      <c r="Z581" s="929"/>
      <c r="AA581" s="929"/>
      <c r="AC581" s="451"/>
      <c r="AD581" s="451"/>
      <c r="AE581" s="451"/>
      <c r="AF581" s="451"/>
      <c r="AG581" s="451"/>
      <c r="AH581" s="929"/>
      <c r="AI581" s="929"/>
      <c r="AJ581" s="929"/>
    </row>
    <row r="582" customFormat="false" ht="12.75" hidden="false" customHeight="false" outlineLevel="0" collapsed="false">
      <c r="K582" s="451"/>
      <c r="L582" s="451"/>
      <c r="M582" s="451"/>
      <c r="N582" s="451"/>
      <c r="O582" s="451"/>
      <c r="P582" s="929"/>
      <c r="Q582" s="929"/>
      <c r="R582" s="929"/>
      <c r="T582" s="451"/>
      <c r="U582" s="451"/>
      <c r="V582" s="451"/>
      <c r="W582" s="451"/>
      <c r="X582" s="451"/>
      <c r="Y582" s="929"/>
      <c r="Z582" s="929"/>
      <c r="AA582" s="929"/>
      <c r="AC582" s="451"/>
      <c r="AD582" s="451"/>
      <c r="AE582" s="451"/>
      <c r="AF582" s="451"/>
      <c r="AG582" s="451"/>
      <c r="AH582" s="929"/>
      <c r="AI582" s="929"/>
      <c r="AJ582" s="929"/>
    </row>
    <row r="583" customFormat="false" ht="12.75" hidden="false" customHeight="false" outlineLevel="0" collapsed="false">
      <c r="K583" s="451"/>
      <c r="L583" s="451"/>
      <c r="M583" s="451"/>
      <c r="N583" s="451"/>
      <c r="O583" s="451"/>
      <c r="P583" s="929"/>
      <c r="Q583" s="929"/>
      <c r="R583" s="929"/>
      <c r="T583" s="451"/>
      <c r="U583" s="451"/>
      <c r="V583" s="451"/>
      <c r="W583" s="451"/>
      <c r="X583" s="451"/>
      <c r="Y583" s="929"/>
      <c r="Z583" s="929"/>
      <c r="AA583" s="929"/>
      <c r="AC583" s="451"/>
      <c r="AD583" s="451"/>
      <c r="AE583" s="451"/>
      <c r="AF583" s="451"/>
      <c r="AG583" s="451"/>
      <c r="AH583" s="929"/>
      <c r="AI583" s="929"/>
      <c r="AJ583" s="929"/>
    </row>
    <row r="584" customFormat="false" ht="12.75" hidden="false" customHeight="false" outlineLevel="0" collapsed="false">
      <c r="K584" s="451"/>
      <c r="L584" s="451"/>
      <c r="M584" s="451"/>
      <c r="N584" s="451"/>
      <c r="O584" s="451"/>
      <c r="P584" s="929"/>
      <c r="Q584" s="929"/>
      <c r="R584" s="929"/>
      <c r="T584" s="451"/>
      <c r="U584" s="451"/>
      <c r="V584" s="451"/>
      <c r="W584" s="451"/>
      <c r="X584" s="451"/>
      <c r="Y584" s="929"/>
      <c r="Z584" s="929"/>
      <c r="AA584" s="929"/>
      <c r="AC584" s="451"/>
      <c r="AD584" s="451"/>
      <c r="AE584" s="451"/>
      <c r="AF584" s="451"/>
      <c r="AG584" s="451"/>
      <c r="AH584" s="929"/>
      <c r="AI584" s="929"/>
      <c r="AJ584" s="929"/>
    </row>
    <row r="585" customFormat="false" ht="12.75" hidden="false" customHeight="false" outlineLevel="0" collapsed="false">
      <c r="K585" s="451"/>
      <c r="L585" s="451"/>
      <c r="M585" s="451"/>
      <c r="N585" s="451"/>
      <c r="O585" s="451"/>
      <c r="P585" s="929"/>
      <c r="Q585" s="929"/>
      <c r="R585" s="929"/>
      <c r="T585" s="451"/>
      <c r="U585" s="451"/>
      <c r="V585" s="451"/>
      <c r="W585" s="451"/>
      <c r="X585" s="451"/>
      <c r="Y585" s="929"/>
      <c r="Z585" s="929"/>
      <c r="AA585" s="929"/>
      <c r="AC585" s="451"/>
      <c r="AD585" s="451"/>
      <c r="AE585" s="451"/>
      <c r="AF585" s="451"/>
      <c r="AG585" s="451"/>
      <c r="AH585" s="929"/>
      <c r="AI585" s="929"/>
      <c r="AJ585" s="929"/>
    </row>
    <row r="586" customFormat="false" ht="12.75" hidden="false" customHeight="false" outlineLevel="0" collapsed="false">
      <c r="K586" s="451"/>
      <c r="L586" s="451"/>
      <c r="M586" s="451"/>
      <c r="N586" s="451"/>
      <c r="O586" s="451"/>
      <c r="P586" s="929"/>
      <c r="Q586" s="929"/>
      <c r="R586" s="929"/>
      <c r="T586" s="451"/>
      <c r="U586" s="451"/>
      <c r="V586" s="451"/>
      <c r="W586" s="451"/>
      <c r="X586" s="451"/>
      <c r="Y586" s="929"/>
      <c r="Z586" s="929"/>
      <c r="AA586" s="929"/>
      <c r="AC586" s="451"/>
      <c r="AD586" s="451"/>
      <c r="AE586" s="451"/>
      <c r="AF586" s="451"/>
      <c r="AG586" s="451"/>
      <c r="AH586" s="929"/>
      <c r="AI586" s="929"/>
      <c r="AJ586" s="929"/>
    </row>
    <row r="587" customFormat="false" ht="12.75" hidden="false" customHeight="false" outlineLevel="0" collapsed="false">
      <c r="K587" s="451"/>
      <c r="L587" s="451"/>
      <c r="M587" s="451"/>
      <c r="N587" s="451"/>
      <c r="O587" s="451"/>
      <c r="P587" s="929"/>
      <c r="Q587" s="929"/>
      <c r="R587" s="929"/>
      <c r="T587" s="451"/>
      <c r="U587" s="451"/>
      <c r="V587" s="451"/>
      <c r="W587" s="451"/>
      <c r="X587" s="451"/>
      <c r="Y587" s="929"/>
      <c r="Z587" s="929"/>
      <c r="AA587" s="929"/>
      <c r="AC587" s="451"/>
      <c r="AD587" s="451"/>
      <c r="AE587" s="451"/>
      <c r="AF587" s="451"/>
      <c r="AG587" s="451"/>
      <c r="AH587" s="929"/>
      <c r="AI587" s="929"/>
      <c r="AJ587" s="929"/>
    </row>
    <row r="588" customFormat="false" ht="12.75" hidden="false" customHeight="false" outlineLevel="0" collapsed="false">
      <c r="K588" s="451"/>
      <c r="L588" s="451"/>
      <c r="M588" s="451"/>
      <c r="N588" s="451"/>
      <c r="O588" s="451"/>
      <c r="P588" s="929"/>
      <c r="Q588" s="929"/>
      <c r="R588" s="929"/>
      <c r="T588" s="451"/>
      <c r="U588" s="451"/>
      <c r="V588" s="451"/>
      <c r="W588" s="451"/>
      <c r="X588" s="451"/>
      <c r="Y588" s="929"/>
      <c r="Z588" s="929"/>
      <c r="AA588" s="929"/>
      <c r="AC588" s="451"/>
      <c r="AD588" s="451"/>
      <c r="AE588" s="451"/>
      <c r="AF588" s="451"/>
      <c r="AG588" s="451"/>
      <c r="AH588" s="929"/>
      <c r="AI588" s="929"/>
      <c r="AJ588" s="929"/>
    </row>
    <row r="589" customFormat="false" ht="12.75" hidden="false" customHeight="false" outlineLevel="0" collapsed="false">
      <c r="K589" s="451"/>
      <c r="L589" s="451"/>
      <c r="M589" s="451"/>
      <c r="N589" s="451"/>
      <c r="O589" s="451"/>
      <c r="P589" s="929"/>
      <c r="Q589" s="929"/>
      <c r="R589" s="929"/>
      <c r="T589" s="451"/>
      <c r="U589" s="451"/>
      <c r="V589" s="451"/>
      <c r="W589" s="451"/>
      <c r="X589" s="451"/>
      <c r="Y589" s="929"/>
      <c r="Z589" s="929"/>
      <c r="AA589" s="929"/>
      <c r="AC589" s="451"/>
      <c r="AD589" s="451"/>
      <c r="AE589" s="451"/>
      <c r="AF589" s="451"/>
      <c r="AG589" s="451"/>
      <c r="AH589" s="929"/>
      <c r="AI589" s="929"/>
      <c r="AJ589" s="929"/>
    </row>
    <row r="590" customFormat="false" ht="12.75" hidden="false" customHeight="false" outlineLevel="0" collapsed="false">
      <c r="K590" s="451"/>
      <c r="L590" s="451"/>
      <c r="M590" s="451"/>
      <c r="N590" s="451"/>
      <c r="O590" s="451"/>
      <c r="P590" s="929"/>
      <c r="Q590" s="929"/>
      <c r="R590" s="929"/>
      <c r="T590" s="451"/>
      <c r="U590" s="451"/>
      <c r="V590" s="451"/>
      <c r="W590" s="451"/>
      <c r="X590" s="451"/>
      <c r="Y590" s="929"/>
      <c r="Z590" s="929"/>
      <c r="AA590" s="929"/>
      <c r="AC590" s="451"/>
      <c r="AD590" s="451"/>
      <c r="AE590" s="451"/>
      <c r="AF590" s="451"/>
      <c r="AG590" s="451"/>
      <c r="AH590" s="929"/>
      <c r="AI590" s="929"/>
      <c r="AJ590" s="929"/>
    </row>
    <row r="591" customFormat="false" ht="12.75" hidden="false" customHeight="false" outlineLevel="0" collapsed="false">
      <c r="K591" s="451"/>
      <c r="L591" s="451"/>
      <c r="M591" s="451"/>
      <c r="N591" s="451"/>
      <c r="O591" s="451"/>
      <c r="P591" s="929"/>
      <c r="Q591" s="929"/>
      <c r="R591" s="929"/>
      <c r="T591" s="451"/>
      <c r="U591" s="451"/>
      <c r="V591" s="451"/>
      <c r="W591" s="451"/>
      <c r="X591" s="451"/>
      <c r="Y591" s="929"/>
      <c r="Z591" s="929"/>
      <c r="AA591" s="929"/>
      <c r="AC591" s="451"/>
      <c r="AD591" s="451"/>
      <c r="AE591" s="451"/>
      <c r="AF591" s="451"/>
      <c r="AG591" s="451"/>
      <c r="AH591" s="929"/>
      <c r="AI591" s="929"/>
      <c r="AJ591" s="929"/>
    </row>
    <row r="592" customFormat="false" ht="12.75" hidden="false" customHeight="false" outlineLevel="0" collapsed="false">
      <c r="K592" s="451"/>
      <c r="L592" s="451"/>
      <c r="M592" s="451"/>
      <c r="N592" s="451"/>
      <c r="O592" s="451"/>
      <c r="P592" s="929"/>
      <c r="Q592" s="929"/>
      <c r="R592" s="929"/>
      <c r="T592" s="451"/>
      <c r="U592" s="451"/>
      <c r="V592" s="451"/>
      <c r="W592" s="451"/>
      <c r="X592" s="451"/>
      <c r="Y592" s="929"/>
      <c r="Z592" s="929"/>
      <c r="AA592" s="929"/>
      <c r="AC592" s="451"/>
      <c r="AD592" s="451"/>
      <c r="AE592" s="451"/>
      <c r="AF592" s="451"/>
      <c r="AG592" s="451"/>
      <c r="AH592" s="929"/>
      <c r="AI592" s="929"/>
      <c r="AJ592" s="929"/>
    </row>
    <row r="593" customFormat="false" ht="12.75" hidden="false" customHeight="false" outlineLevel="0" collapsed="false">
      <c r="K593" s="451"/>
      <c r="L593" s="451"/>
      <c r="M593" s="451"/>
      <c r="N593" s="451"/>
      <c r="O593" s="451"/>
      <c r="P593" s="929"/>
      <c r="Q593" s="929"/>
      <c r="R593" s="929"/>
      <c r="T593" s="451"/>
      <c r="U593" s="451"/>
      <c r="V593" s="451"/>
      <c r="W593" s="451"/>
      <c r="X593" s="451"/>
      <c r="Y593" s="929"/>
      <c r="Z593" s="929"/>
      <c r="AA593" s="929"/>
      <c r="AC593" s="451"/>
      <c r="AD593" s="451"/>
      <c r="AE593" s="451"/>
      <c r="AF593" s="451"/>
      <c r="AG593" s="451"/>
      <c r="AH593" s="929"/>
      <c r="AI593" s="929"/>
      <c r="AJ593" s="929"/>
    </row>
    <row r="594" customFormat="false" ht="12.75" hidden="false" customHeight="false" outlineLevel="0" collapsed="false">
      <c r="K594" s="451"/>
      <c r="L594" s="451"/>
      <c r="M594" s="451"/>
      <c r="N594" s="451"/>
      <c r="O594" s="451"/>
      <c r="P594" s="929"/>
      <c r="Q594" s="929"/>
      <c r="R594" s="929"/>
      <c r="T594" s="451"/>
      <c r="U594" s="451"/>
      <c r="V594" s="451"/>
      <c r="W594" s="451"/>
      <c r="X594" s="451"/>
      <c r="Y594" s="929"/>
      <c r="Z594" s="929"/>
      <c r="AA594" s="929"/>
      <c r="AC594" s="451"/>
      <c r="AD594" s="451"/>
      <c r="AE594" s="451"/>
      <c r="AF594" s="451"/>
      <c r="AG594" s="451"/>
      <c r="AH594" s="929"/>
      <c r="AI594" s="929"/>
      <c r="AJ594" s="929"/>
    </row>
    <row r="595" customFormat="false" ht="12.75" hidden="false" customHeight="false" outlineLevel="0" collapsed="false">
      <c r="K595" s="451"/>
      <c r="L595" s="451"/>
      <c r="M595" s="451"/>
      <c r="N595" s="451"/>
      <c r="O595" s="451"/>
      <c r="P595" s="929"/>
      <c r="Q595" s="929"/>
      <c r="R595" s="929"/>
      <c r="T595" s="451"/>
      <c r="U595" s="451"/>
      <c r="V595" s="451"/>
      <c r="W595" s="451"/>
      <c r="X595" s="451"/>
      <c r="Y595" s="929"/>
      <c r="Z595" s="929"/>
      <c r="AA595" s="929"/>
      <c r="AC595" s="451"/>
      <c r="AD595" s="451"/>
      <c r="AE595" s="451"/>
      <c r="AF595" s="451"/>
      <c r="AG595" s="451"/>
      <c r="AH595" s="929"/>
      <c r="AI595" s="929"/>
      <c r="AJ595" s="929"/>
    </row>
  </sheetData>
  <sheetProtection sheet="true" password="cc4b"/>
  <mergeCells count="39">
    <mergeCell ref="B3:G3"/>
    <mergeCell ref="B10:B11"/>
    <mergeCell ref="B20:E21"/>
    <mergeCell ref="G20:I21"/>
    <mergeCell ref="J20:L21"/>
    <mergeCell ref="M20:O21"/>
    <mergeCell ref="C22:C23"/>
    <mergeCell ref="G22:G23"/>
    <mergeCell ref="H22:H23"/>
    <mergeCell ref="K22:K23"/>
    <mergeCell ref="M22:M23"/>
    <mergeCell ref="N22:N23"/>
    <mergeCell ref="B75:C76"/>
    <mergeCell ref="K75:L76"/>
    <mergeCell ref="T75:U76"/>
    <mergeCell ref="B82:B84"/>
    <mergeCell ref="C82:C84"/>
    <mergeCell ref="D82:D84"/>
    <mergeCell ref="E82:E84"/>
    <mergeCell ref="F82:F84"/>
    <mergeCell ref="G82:G84"/>
    <mergeCell ref="H82:H84"/>
    <mergeCell ref="I82:I84"/>
    <mergeCell ref="K82:K84"/>
    <mergeCell ref="L82:L84"/>
    <mergeCell ref="M82:M84"/>
    <mergeCell ref="N82:N84"/>
    <mergeCell ref="O82:O84"/>
    <mergeCell ref="P82:P84"/>
    <mergeCell ref="Q82:Q84"/>
    <mergeCell ref="R82:R84"/>
    <mergeCell ref="T82:T84"/>
    <mergeCell ref="U82:U84"/>
    <mergeCell ref="V82:V84"/>
    <mergeCell ref="W82:W84"/>
    <mergeCell ref="X82:X84"/>
    <mergeCell ref="Y82:Y84"/>
    <mergeCell ref="Z82:Z84"/>
    <mergeCell ref="AA82:AA84"/>
  </mergeCells>
  <printOptions headings="false" gridLines="false" gridLinesSet="true" horizontalCentered="true" verticalCentered="true"/>
  <pageMargins left="0.75" right="0.75" top="1" bottom="1"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5:K18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J14" activeCellId="0" sqref="J14"/>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20.5"/>
    <col collapsed="false" customWidth="true" hidden="false" outlineLevel="0" max="3" min="3" style="0" width="16.04"/>
    <col collapsed="false" customWidth="true" hidden="false" outlineLevel="0" max="7" min="4" style="0" width="13.62"/>
    <col collapsed="false" customWidth="true" hidden="false" outlineLevel="0" max="10" min="8" style="0" width="11.46"/>
    <col collapsed="false" customWidth="true" hidden="false" outlineLevel="0" max="11" min="11" style="0" width="13.08"/>
    <col collapsed="false" customWidth="true" hidden="false" outlineLevel="0" max="12" min="12" style="0" width="12.27"/>
    <col collapsed="false" customWidth="true" hidden="false" outlineLevel="0" max="256" min="13" style="0" width="11.46"/>
  </cols>
  <sheetData>
    <row r="5" customFormat="false" ht="12.75" hidden="false" customHeight="false" outlineLevel="0" collapsed="false">
      <c r="B5" s="0" t="s">
        <v>656</v>
      </c>
      <c r="C5" s="912" t="n">
        <f aca="false">'Datos generales'!N10</f>
        <v>44957</v>
      </c>
    </row>
    <row r="10" customFormat="false" ht="13.5" hidden="false" customHeight="false" outlineLevel="0" collapsed="false"/>
    <row r="11" customFormat="false" ht="48" hidden="false" customHeight="true" outlineLevel="0" collapsed="false">
      <c r="B11" s="1060" t="s">
        <v>661</v>
      </c>
      <c r="C11" s="1060" t="str">
        <f aca="false">'Entrada Inver_Finan'!C119</f>
        <v>Deudas con socios a largo plazo</v>
      </c>
      <c r="D11" s="1060" t="str">
        <f aca="false">'Entrada Inver_Finan'!C120</f>
        <v>Otros acreedores a largo plazo</v>
      </c>
      <c r="E11" s="1060" t="str">
        <f aca="false">'Entrada Inver_Finan'!C136</f>
        <v>Deudas con socios a corto plazo.</v>
      </c>
      <c r="F11" s="1061" t="str">
        <f aca="false">'Entrada Inver_Finan'!C137</f>
        <v>Otros acreedores a corto plazo</v>
      </c>
      <c r="G11" s="1062" t="s">
        <v>662</v>
      </c>
      <c r="H11" s="1063" t="n">
        <f aca="false">'Entrada Inver_Finan'!C131</f>
        <v>0</v>
      </c>
      <c r="I11" s="1060" t="n">
        <f aca="false">'Entrada Inver_Finan'!C132</f>
        <v>0</v>
      </c>
      <c r="J11" s="1064" t="n">
        <f aca="false">'Entrada Inver_Finan'!C133</f>
        <v>0</v>
      </c>
      <c r="K11" s="1062" t="s">
        <v>663</v>
      </c>
    </row>
    <row r="12" customFormat="false" ht="12.75" hidden="false" customHeight="false" outlineLevel="0" collapsed="false">
      <c r="B12" s="12"/>
      <c r="C12" s="567"/>
      <c r="D12" s="12"/>
      <c r="E12" s="12"/>
      <c r="F12" s="358"/>
      <c r="G12" s="1065"/>
      <c r="H12" s="567"/>
      <c r="I12" s="12"/>
      <c r="J12" s="1066"/>
    </row>
    <row r="13" customFormat="false" ht="12.75" hidden="false" customHeight="false" outlineLevel="0" collapsed="false">
      <c r="B13" s="12" t="s">
        <v>183</v>
      </c>
      <c r="C13" s="578" t="n">
        <f aca="false">'Entrada Inver_Finan'!D119</f>
        <v>0</v>
      </c>
      <c r="D13" s="973" t="n">
        <f aca="false">'Entrada Inver_Finan'!D120</f>
        <v>0</v>
      </c>
      <c r="E13" s="973" t="n">
        <f aca="false">'Entrada Inver_Finan'!D136</f>
        <v>0</v>
      </c>
      <c r="F13" s="577" t="n">
        <f aca="false">'Entrada Inver_Finan'!D137</f>
        <v>0</v>
      </c>
      <c r="G13" s="1067" t="n">
        <f aca="false">SUM(C13:F13)</f>
        <v>0</v>
      </c>
      <c r="H13" s="1068" t="n">
        <f aca="false">'Entrada Inver_Finan'!D131+'Entrada Inver_Finan'!D131*'Datos generales'!D16</f>
        <v>0</v>
      </c>
      <c r="I13" s="973" t="n">
        <f aca="false">'Entrada Inver_Finan'!D132+'Entrada Inver_Finan'!D132*'Datos generales'!D16</f>
        <v>0</v>
      </c>
      <c r="J13" s="976" t="n">
        <f aca="false">'Entrada Inver_Finan'!D133+'Entrada Inver_Finan'!D133*'Datos generales'!D16</f>
        <v>0</v>
      </c>
      <c r="K13" s="1067" t="n">
        <f aca="false">SUM(H13:J13)</f>
        <v>0</v>
      </c>
    </row>
    <row r="14" customFormat="false" ht="12.75" hidden="false" customHeight="false" outlineLevel="0" collapsed="false">
      <c r="B14" s="12" t="s">
        <v>664</v>
      </c>
      <c r="C14" s="567" t="n">
        <f aca="false">'Entrada Inver_Finan'!E119*12</f>
        <v>0</v>
      </c>
      <c r="D14" s="12" t="n">
        <f aca="false">'Entrada Inver_Finan'!E120*12</f>
        <v>0</v>
      </c>
      <c r="E14" s="12" t="n">
        <f aca="false">'Entrada Inver_Finan'!E136</f>
        <v>0</v>
      </c>
      <c r="F14" s="358" t="n">
        <f aca="false">'Entrada Inver_Finan'!E137</f>
        <v>0</v>
      </c>
      <c r="G14" s="1065"/>
      <c r="H14" s="567" t="n">
        <f aca="false">'Entrada Inver_Finan'!E131</f>
        <v>0</v>
      </c>
      <c r="I14" s="12" t="n">
        <f aca="false">'Entrada Inver_Finan'!E132</f>
        <v>0</v>
      </c>
      <c r="J14" s="1066" t="n">
        <f aca="false">'Entrada Inver_Finan'!E133</f>
        <v>0</v>
      </c>
      <c r="K14" s="1065"/>
    </row>
    <row r="15" customFormat="false" ht="12.75" hidden="false" customHeight="false" outlineLevel="0" collapsed="false">
      <c r="B15" s="12" t="s">
        <v>665</v>
      </c>
      <c r="C15" s="567" t="n">
        <f aca="false">'Entrada Inver_Finan'!E119*'Entrada Inver_Finan'!F119</f>
        <v>0</v>
      </c>
      <c r="D15" s="12" t="n">
        <f aca="false">IF('Entrada Inver_Finan'!E120*'Entrada Inver_Finan'!F120=0,1,'Entrada Inver_Finan'!E120*'Entrada Inver_Finan'!F120)</f>
        <v>1</v>
      </c>
      <c r="E15" s="12"/>
      <c r="F15" s="358"/>
      <c r="G15" s="1065"/>
      <c r="H15" s="567"/>
      <c r="I15" s="12"/>
      <c r="J15" s="1066"/>
      <c r="K15" s="1065"/>
    </row>
    <row r="16" customFormat="false" ht="12.75" hidden="false" customHeight="false" outlineLevel="0" collapsed="false">
      <c r="B16" s="12" t="s">
        <v>666</v>
      </c>
      <c r="C16" s="578" t="n">
        <f aca="false">'Entrada Inver_Finan'!F119</f>
        <v>0</v>
      </c>
      <c r="D16" s="973" t="n">
        <f aca="false">'Entrada Inver_Finan'!F120</f>
        <v>0</v>
      </c>
      <c r="E16" s="12"/>
      <c r="F16" s="358"/>
      <c r="G16" s="1065"/>
      <c r="H16" s="567"/>
      <c r="I16" s="12"/>
      <c r="J16" s="1066"/>
      <c r="K16" s="1065"/>
    </row>
    <row r="17" customFormat="false" ht="12.75" hidden="false" customHeight="false" outlineLevel="0" collapsed="false">
      <c r="B17" s="12" t="s">
        <v>667</v>
      </c>
      <c r="C17" s="567" t="e">
        <f aca="false">C13/C15</f>
        <v>#DIV/0!</v>
      </c>
      <c r="D17" s="12" t="n">
        <f aca="false">D13/D15</f>
        <v>0</v>
      </c>
      <c r="E17" s="12"/>
      <c r="F17" s="358"/>
      <c r="G17" s="1065"/>
      <c r="H17" s="567"/>
      <c r="I17" s="12"/>
      <c r="J17" s="1066"/>
      <c r="K17" s="1065"/>
    </row>
    <row r="18" customFormat="false" ht="12.75" hidden="false" customHeight="false" outlineLevel="0" collapsed="false">
      <c r="B18" s="12" t="s">
        <v>272</v>
      </c>
      <c r="C18" s="1069" t="n">
        <f aca="false">IF('Entrada Inver_Finan'!G119=C5,"Inicial",DATE(YEAR('Entrada Inver_Finan'!G119),MONTH('Entrada Inver_Finan'!G119),DAY(1)))</f>
        <v>44957</v>
      </c>
      <c r="D18" s="1070" t="n">
        <f aca="false">IF('Entrada Inver_Finan'!G120=C5,"Inicial",DATE(YEAR('Entrada Inver_Finan'!G120),MONTH('Entrada Inver_Finan'!G120),DAY(1)))</f>
        <v>44957</v>
      </c>
      <c r="E18" s="12"/>
      <c r="F18" s="358"/>
      <c r="G18" s="1065"/>
      <c r="H18" s="567"/>
      <c r="I18" s="12"/>
      <c r="J18" s="1066"/>
      <c r="K18" s="1065"/>
    </row>
    <row r="19" customFormat="false" ht="12.75" hidden="false" customHeight="false" outlineLevel="0" collapsed="false">
      <c r="B19" s="12" t="s">
        <v>668</v>
      </c>
      <c r="C19" s="1069" t="n">
        <f aca="false">DATE(YEAR('Entrada Inver_Finan'!H119),MONTH('Entrada Inver_Finan'!H119),DAY(1))</f>
        <v>44957</v>
      </c>
      <c r="D19" s="1070" t="n">
        <f aca="false">DATE(YEAR('Entrada Inver_Finan'!H120),MONTH('Entrada Inver_Finan'!H120),DAY(1))</f>
        <v>44957</v>
      </c>
      <c r="E19" s="12"/>
      <c r="F19" s="358"/>
      <c r="G19" s="1065"/>
      <c r="H19" s="567"/>
      <c r="I19" s="12"/>
      <c r="J19" s="1066"/>
      <c r="K19" s="1065"/>
    </row>
    <row r="20" customFormat="false" ht="12.75" hidden="false" customHeight="false" outlineLevel="0" collapsed="false">
      <c r="B20" s="12" t="s">
        <v>669</v>
      </c>
      <c r="C20" s="1071" t="n">
        <f aca="false">DATE(YEAR($C$5),MONTH($C$5)+C14,DAY(1))</f>
        <v>44957</v>
      </c>
      <c r="D20" s="1072" t="n">
        <f aca="false">DATE(YEAR($C$5),MONTH($C$5)+D14,DAY(1))</f>
        <v>44957</v>
      </c>
      <c r="E20" s="1072" t="n">
        <f aca="false">DATE(YEAR($C$5),MONTH($C$5)+E14,DAY(1))</f>
        <v>44957</v>
      </c>
      <c r="F20" s="1073" t="n">
        <f aca="false">DATE(YEAR($C$5),MONTH($C$5)+F14,DAY(1))</f>
        <v>44957</v>
      </c>
      <c r="G20" s="1065"/>
      <c r="H20" s="1071" t="n">
        <f aca="false">DATE(YEAR($C$5),MONTH($C$5)+H14,DAY(1))</f>
        <v>44957</v>
      </c>
      <c r="I20" s="1071" t="n">
        <f aca="false">DATE(YEAR($C$5),MONTH($C$5)+I14,DAY(1))</f>
        <v>44957</v>
      </c>
      <c r="J20" s="1073" t="n">
        <f aca="false">DATE(YEAR($C$5),MONTH($C$5)+J14,DAY(1))</f>
        <v>44957</v>
      </c>
      <c r="K20" s="1074"/>
    </row>
    <row r="21" customFormat="false" ht="12.75" hidden="false" customHeight="false" outlineLevel="0" collapsed="false">
      <c r="B21" s="12" t="s">
        <v>670</v>
      </c>
      <c r="C21" s="578" t="n">
        <f aca="false">IF(C18="Inicial",C13,0)</f>
        <v>0</v>
      </c>
      <c r="D21" s="973" t="n">
        <f aca="false">IF(D18="Inicial",D13,0)</f>
        <v>0</v>
      </c>
      <c r="E21" s="1072"/>
      <c r="F21" s="1073"/>
      <c r="G21" s="1065"/>
      <c r="H21" s="1071"/>
      <c r="I21" s="1071"/>
      <c r="J21" s="1073"/>
      <c r="K21" s="1074"/>
    </row>
    <row r="22" customFormat="false" ht="12.75" hidden="false" customHeight="false" outlineLevel="0" collapsed="false">
      <c r="B22" s="12" t="s">
        <v>671</v>
      </c>
      <c r="C22" s="1075" t="n">
        <f aca="false">SUM(C33:C44)</f>
        <v>0</v>
      </c>
      <c r="D22" s="1022" t="n">
        <f aca="false">SUM(D33:D44)</f>
        <v>0</v>
      </c>
      <c r="E22" s="1026" t="n">
        <f aca="false">SUM(E33:E44)</f>
        <v>0</v>
      </c>
      <c r="F22" s="1076" t="n">
        <f aca="false">SUM(F33:F44)</f>
        <v>0</v>
      </c>
      <c r="G22" s="1077" t="n">
        <f aca="false">SUM(C22:F22)</f>
        <v>0</v>
      </c>
      <c r="H22" s="1078"/>
      <c r="I22" s="1079"/>
      <c r="J22" s="1080"/>
      <c r="K22" s="1074"/>
    </row>
    <row r="23" customFormat="false" ht="12.75" hidden="false" customHeight="false" outlineLevel="0" collapsed="false">
      <c r="B23" s="12" t="s">
        <v>672</v>
      </c>
      <c r="C23" s="1075" t="n">
        <f aca="false">SUM(C45:C56)</f>
        <v>0</v>
      </c>
      <c r="D23" s="1022" t="n">
        <f aca="false">SUM(D45:D56)</f>
        <v>0</v>
      </c>
      <c r="E23" s="1026" t="n">
        <f aca="false">SUM(E45:E56)</f>
        <v>0</v>
      </c>
      <c r="F23" s="1076" t="n">
        <f aca="false">SUM(F45:F56)</f>
        <v>0</v>
      </c>
      <c r="G23" s="1077" t="n">
        <f aca="false">SUM(C23:F23)</f>
        <v>0</v>
      </c>
      <c r="H23" s="1078"/>
      <c r="I23" s="1079"/>
      <c r="J23" s="1080"/>
      <c r="K23" s="1074"/>
    </row>
    <row r="24" customFormat="false" ht="12.75" hidden="false" customHeight="false" outlineLevel="0" collapsed="false">
      <c r="B24" s="12" t="s">
        <v>673</v>
      </c>
      <c r="C24" s="1075" t="n">
        <f aca="false">SUM(C57:C68)</f>
        <v>0</v>
      </c>
      <c r="D24" s="1022" t="n">
        <f aca="false">SUM(D57:D68)</f>
        <v>0</v>
      </c>
      <c r="E24" s="1026" t="n">
        <f aca="false">SUM(E57:E68)</f>
        <v>0</v>
      </c>
      <c r="F24" s="1076" t="n">
        <f aca="false">SUM(F57:F68)</f>
        <v>0</v>
      </c>
      <c r="G24" s="1077" t="n">
        <f aca="false">SUM(C24:F24)</f>
        <v>0</v>
      </c>
      <c r="H24" s="1078"/>
      <c r="I24" s="1079"/>
      <c r="J24" s="1080"/>
      <c r="K24" s="1074"/>
    </row>
    <row r="25" customFormat="false" ht="12.75" hidden="false" customHeight="false" outlineLevel="0" collapsed="false">
      <c r="B25" s="12" t="s">
        <v>674</v>
      </c>
      <c r="C25" s="1075" t="n">
        <f aca="false">SUM(C69:C80)</f>
        <v>0</v>
      </c>
      <c r="D25" s="1022" t="n">
        <f aca="false">SUM(D69:D80)</f>
        <v>0</v>
      </c>
      <c r="E25" s="1026" t="n">
        <f aca="false">SUM(E69:E80)</f>
        <v>0</v>
      </c>
      <c r="F25" s="1076" t="n">
        <f aca="false">SUM(F69:F80)</f>
        <v>0</v>
      </c>
      <c r="G25" s="1077" t="n">
        <f aca="false">SUM(C25:F25)</f>
        <v>0</v>
      </c>
      <c r="H25" s="1078"/>
      <c r="I25" s="1079"/>
      <c r="J25" s="1080"/>
      <c r="K25" s="1074"/>
    </row>
    <row r="26" customFormat="false" ht="12.75" hidden="false" customHeight="false" outlineLevel="0" collapsed="false">
      <c r="B26" s="12" t="s">
        <v>675</v>
      </c>
      <c r="C26" s="1076" t="n">
        <f aca="false">SUM(C84:C95)</f>
        <v>0</v>
      </c>
      <c r="D26" s="1026" t="n">
        <f aca="false">SUM(D84:D95)</f>
        <v>0</v>
      </c>
      <c r="E26" s="1026" t="n">
        <f aca="false">SUM(E84:E95)</f>
        <v>0</v>
      </c>
      <c r="F26" s="526" t="n">
        <f aca="false">SUM(F84:F95)</f>
        <v>0</v>
      </c>
      <c r="G26" s="1077" t="n">
        <f aca="false">SUM(C26:F26)</f>
        <v>0</v>
      </c>
      <c r="H26" s="584" t="n">
        <f aca="false">SUM(H84:H95)</f>
        <v>0</v>
      </c>
      <c r="I26" s="1081" t="n">
        <f aca="false">SUM(I84:I95)</f>
        <v>0</v>
      </c>
      <c r="J26" s="1082" t="n">
        <f aca="false">SUM(J84:J95)</f>
        <v>0</v>
      </c>
      <c r="K26" s="1067" t="n">
        <f aca="false">SUM(H26:J26)</f>
        <v>0</v>
      </c>
    </row>
    <row r="27" customFormat="false" ht="12.75" hidden="false" customHeight="false" outlineLevel="0" collapsed="false">
      <c r="B27" s="12" t="s">
        <v>676</v>
      </c>
      <c r="C27" s="1076" t="n">
        <f aca="false">SUM(C96:C107)</f>
        <v>0</v>
      </c>
      <c r="D27" s="1026" t="n">
        <f aca="false">SUM(D96:D107)</f>
        <v>0</v>
      </c>
      <c r="E27" s="1026" t="n">
        <f aca="false">SUM(E96:E107)</f>
        <v>0</v>
      </c>
      <c r="F27" s="526" t="n">
        <f aca="false">SUM(F96:F107)</f>
        <v>0</v>
      </c>
      <c r="G27" s="1077" t="n">
        <f aca="false">SUM(C27:F27)</f>
        <v>0</v>
      </c>
      <c r="H27" s="584" t="n">
        <f aca="false">SUM(H96:H107)</f>
        <v>0</v>
      </c>
      <c r="I27" s="1081" t="n">
        <f aca="false">SUM(I96:I107)</f>
        <v>0</v>
      </c>
      <c r="J27" s="1082" t="n">
        <f aca="false">SUM(J96:J107)</f>
        <v>0</v>
      </c>
      <c r="K27" s="1067" t="n">
        <f aca="false">SUM(H27:J27)</f>
        <v>0</v>
      </c>
    </row>
    <row r="28" customFormat="false" ht="13.5" hidden="false" customHeight="false" outlineLevel="0" collapsed="false">
      <c r="B28" s="12" t="s">
        <v>677</v>
      </c>
      <c r="C28" s="1076" t="n">
        <f aca="false">SUM(C108:C119)</f>
        <v>0</v>
      </c>
      <c r="D28" s="1026" t="n">
        <f aca="false">SUM(D108:D119)</f>
        <v>0</v>
      </c>
      <c r="E28" s="1026" t="n">
        <f aca="false">SUM(E108:E119)</f>
        <v>0</v>
      </c>
      <c r="F28" s="526" t="n">
        <f aca="false">SUM(F108:F119)</f>
        <v>0</v>
      </c>
      <c r="G28" s="1083" t="n">
        <f aca="false">SUM(C28:F28)</f>
        <v>0</v>
      </c>
      <c r="H28" s="584" t="n">
        <f aca="false">SUM(H108:H119)</f>
        <v>0</v>
      </c>
      <c r="I28" s="1081" t="n">
        <f aca="false">SUM(I108:I119)</f>
        <v>0</v>
      </c>
      <c r="J28" s="1082" t="n">
        <f aca="false">SUM(J108:J119)</f>
        <v>0</v>
      </c>
      <c r="K28" s="1084" t="n">
        <f aca="false">SUM(H28:J28)</f>
        <v>0</v>
      </c>
    </row>
    <row r="29" customFormat="false" ht="13.5" hidden="false" customHeight="false" outlineLevel="0" collapsed="false">
      <c r="B29" s="12" t="s">
        <v>678</v>
      </c>
      <c r="C29" s="1076" t="n">
        <f aca="false">SUM(C120:C131)</f>
        <v>0</v>
      </c>
      <c r="D29" s="1026" t="n">
        <f aca="false">SUM(D120:D131)</f>
        <v>0</v>
      </c>
      <c r="E29" s="1026" t="n">
        <f aca="false">SUM(E120:E131)</f>
        <v>0</v>
      </c>
      <c r="F29" s="977" t="n">
        <f aca="false">SUM(F120:F131)</f>
        <v>0</v>
      </c>
      <c r="G29" s="1085" t="n">
        <f aca="false">SUM(C29:F29)</f>
        <v>0</v>
      </c>
      <c r="H29" s="267"/>
      <c r="I29" s="267"/>
      <c r="J29" s="267"/>
      <c r="K29" s="93"/>
    </row>
    <row r="30" customFormat="false" ht="12.75" hidden="false" customHeight="false" outlineLevel="0" collapsed="false">
      <c r="C30" s="267"/>
      <c r="D30" s="267"/>
      <c r="E30" s="267"/>
      <c r="F30" s="267"/>
      <c r="G30" s="267"/>
      <c r="H30" s="267"/>
      <c r="I30" s="267"/>
    </row>
    <row r="31" customFormat="false" ht="12.75" hidden="false" customHeight="false" outlineLevel="0" collapsed="false">
      <c r="B31" s="23" t="s">
        <v>679</v>
      </c>
      <c r="C31" s="267"/>
      <c r="D31" s="267"/>
      <c r="E31" s="267"/>
      <c r="F31" s="267"/>
      <c r="G31" s="267"/>
      <c r="H31" s="267"/>
      <c r="I31" s="267"/>
      <c r="J31" s="267"/>
      <c r="K31" s="93"/>
    </row>
    <row r="32" customFormat="false" ht="13.5" hidden="false" customHeight="false" outlineLevel="0" collapsed="false">
      <c r="B32" s="1086" t="s">
        <v>159</v>
      </c>
      <c r="C32" s="1081"/>
      <c r="D32" s="1081"/>
      <c r="E32" s="267"/>
      <c r="F32" s="267"/>
      <c r="G32" s="267"/>
      <c r="H32" s="267"/>
      <c r="I32" s="267"/>
      <c r="J32" s="267"/>
      <c r="K32" s="93"/>
    </row>
    <row r="33" customFormat="false" ht="12.75" hidden="false" customHeight="false" outlineLevel="0" collapsed="false">
      <c r="B33" s="1087" t="n">
        <f aca="false">DATE(YEAR(C5),MONTH(1),DAY(1))</f>
        <v>45291</v>
      </c>
      <c r="C33" s="1026" t="n">
        <f aca="false">IF(B33=$C$18,$C$13,0)</f>
        <v>0</v>
      </c>
      <c r="D33" s="1026" t="n">
        <f aca="false">IF(B33=$D$18,$D$13,0)</f>
        <v>0</v>
      </c>
      <c r="E33" s="267"/>
      <c r="F33" s="267"/>
      <c r="G33" s="1088" t="n">
        <f aca="false">SUM(C33:F33)</f>
        <v>0</v>
      </c>
      <c r="H33" s="267"/>
      <c r="I33" s="267"/>
      <c r="J33" s="267"/>
      <c r="K33" s="93"/>
    </row>
    <row r="34" customFormat="false" ht="12.75" hidden="false" customHeight="false" outlineLevel="0" collapsed="false">
      <c r="B34" s="1087" t="n">
        <f aca="false">DATE(YEAR(B33),MONTH(B33)+1,DAY(B33))</f>
        <v>45322</v>
      </c>
      <c r="C34" s="1026" t="n">
        <f aca="false">IF(B34=$C$18,$C$13,0)</f>
        <v>0</v>
      </c>
      <c r="D34" s="1026" t="n">
        <f aca="false">IF(B34=$D$18,$D$13,0)</f>
        <v>0</v>
      </c>
      <c r="E34" s="267"/>
      <c r="F34" s="267"/>
      <c r="G34" s="1067" t="n">
        <f aca="false">SUM(C34:F34)</f>
        <v>0</v>
      </c>
      <c r="H34" s="267"/>
      <c r="I34" s="267"/>
      <c r="J34" s="267"/>
      <c r="K34" s="93"/>
    </row>
    <row r="35" customFormat="false" ht="12.75" hidden="false" customHeight="false" outlineLevel="0" collapsed="false">
      <c r="B35" s="1087" t="n">
        <f aca="false">DATE(YEAR(B34),MONTH(B34)+1,DAY(B34))</f>
        <v>45353</v>
      </c>
      <c r="C35" s="1026" t="n">
        <f aca="false">IF(B35=$C$18,$C$13,0)</f>
        <v>0</v>
      </c>
      <c r="D35" s="1026" t="n">
        <f aca="false">IF(B35=$D$18,$D$13,0)</f>
        <v>0</v>
      </c>
      <c r="E35" s="267"/>
      <c r="F35" s="267"/>
      <c r="G35" s="1067" t="n">
        <f aca="false">SUM(C35:F35)</f>
        <v>0</v>
      </c>
      <c r="H35" s="267"/>
      <c r="I35" s="267"/>
      <c r="J35" s="267"/>
      <c r="K35" s="93"/>
    </row>
    <row r="36" customFormat="false" ht="12.75" hidden="false" customHeight="false" outlineLevel="0" collapsed="false">
      <c r="B36" s="1087" t="n">
        <f aca="false">DATE(YEAR(B35),MONTH(B35)+1,DAY(B35))</f>
        <v>45384</v>
      </c>
      <c r="C36" s="1026" t="n">
        <f aca="false">IF(B36=$C$18,$C$13,0)</f>
        <v>0</v>
      </c>
      <c r="D36" s="1026" t="n">
        <f aca="false">IF(B36=$D$18,$D$13,0)</f>
        <v>0</v>
      </c>
      <c r="E36" s="267"/>
      <c r="F36" s="267"/>
      <c r="G36" s="1067" t="n">
        <f aca="false">SUM(C36:F36)</f>
        <v>0</v>
      </c>
      <c r="H36" s="267"/>
      <c r="I36" s="267"/>
      <c r="J36" s="267"/>
      <c r="K36" s="93"/>
    </row>
    <row r="37" customFormat="false" ht="12.75" hidden="false" customHeight="false" outlineLevel="0" collapsed="false">
      <c r="B37" s="1087" t="n">
        <f aca="false">DATE(YEAR(B36),MONTH(B36)+1,DAY(B36))</f>
        <v>45414</v>
      </c>
      <c r="C37" s="1026" t="n">
        <f aca="false">IF(B37=$C$18,$C$13,0)</f>
        <v>0</v>
      </c>
      <c r="D37" s="1026" t="n">
        <f aca="false">IF(B37=$D$18,$D$13,0)</f>
        <v>0</v>
      </c>
      <c r="E37" s="267"/>
      <c r="F37" s="267"/>
      <c r="G37" s="1067" t="n">
        <f aca="false">SUM(C37:F37)</f>
        <v>0</v>
      </c>
      <c r="H37" s="267"/>
      <c r="I37" s="267"/>
      <c r="J37" s="267"/>
      <c r="K37" s="93"/>
    </row>
    <row r="38" customFormat="false" ht="12.75" hidden="false" customHeight="false" outlineLevel="0" collapsed="false">
      <c r="B38" s="1087" t="n">
        <f aca="false">DATE(YEAR(B37),MONTH(B37)+1,DAY(B37))</f>
        <v>45445</v>
      </c>
      <c r="C38" s="1026" t="n">
        <f aca="false">IF(B38=$C$18,$C$13,0)</f>
        <v>0</v>
      </c>
      <c r="D38" s="1026" t="n">
        <f aca="false">IF(B38=$D$18,$D$13,0)</f>
        <v>0</v>
      </c>
      <c r="E38" s="267"/>
      <c r="F38" s="267"/>
      <c r="G38" s="1067" t="n">
        <f aca="false">SUM(C38:F38)</f>
        <v>0</v>
      </c>
      <c r="H38" s="267"/>
      <c r="I38" s="267"/>
      <c r="J38" s="267"/>
      <c r="K38" s="93"/>
    </row>
    <row r="39" customFormat="false" ht="12.75" hidden="false" customHeight="false" outlineLevel="0" collapsed="false">
      <c r="B39" s="1087" t="n">
        <f aca="false">DATE(YEAR(B38),MONTH(B38)+1,DAY(B38))</f>
        <v>45475</v>
      </c>
      <c r="C39" s="1026" t="n">
        <f aca="false">IF(B39=$C$18,$C$13,0)</f>
        <v>0</v>
      </c>
      <c r="D39" s="1026" t="n">
        <f aca="false">IF(B39=$D$18,$D$13,0)</f>
        <v>0</v>
      </c>
      <c r="E39" s="267"/>
      <c r="F39" s="267"/>
      <c r="G39" s="1067" t="n">
        <f aca="false">SUM(C39:F39)</f>
        <v>0</v>
      </c>
      <c r="H39" s="267"/>
      <c r="I39" s="267"/>
      <c r="J39" s="267"/>
      <c r="K39" s="93"/>
    </row>
    <row r="40" customFormat="false" ht="12.75" hidden="false" customHeight="false" outlineLevel="0" collapsed="false">
      <c r="B40" s="1087" t="n">
        <f aca="false">DATE(YEAR(B39),MONTH(B39)+1,DAY(B39))</f>
        <v>45506</v>
      </c>
      <c r="C40" s="1026" t="n">
        <f aca="false">IF(B40=$C$18,$C$13,0)</f>
        <v>0</v>
      </c>
      <c r="D40" s="1026" t="n">
        <f aca="false">IF(B40=$D$18,$D$13,0)</f>
        <v>0</v>
      </c>
      <c r="E40" s="267"/>
      <c r="F40" s="267"/>
      <c r="G40" s="1067" t="n">
        <f aca="false">SUM(C40:F40)</f>
        <v>0</v>
      </c>
      <c r="H40" s="267"/>
      <c r="I40" s="267"/>
      <c r="J40" s="267"/>
      <c r="K40" s="93"/>
    </row>
    <row r="41" customFormat="false" ht="12.75" hidden="false" customHeight="false" outlineLevel="0" collapsed="false">
      <c r="B41" s="1087" t="n">
        <f aca="false">DATE(YEAR(B40),MONTH(B40)+1,DAY(B40))</f>
        <v>45537</v>
      </c>
      <c r="C41" s="1026" t="n">
        <f aca="false">IF(B41=$C$18,$C$13,0)</f>
        <v>0</v>
      </c>
      <c r="D41" s="1026" t="n">
        <f aca="false">IF(B41=$D$18,$D$13,0)</f>
        <v>0</v>
      </c>
      <c r="E41" s="267"/>
      <c r="F41" s="267"/>
      <c r="G41" s="1067" t="n">
        <f aca="false">SUM(C41:F41)</f>
        <v>0</v>
      </c>
      <c r="H41" s="267"/>
      <c r="I41" s="267"/>
      <c r="J41" s="267"/>
      <c r="K41" s="93"/>
    </row>
    <row r="42" customFormat="false" ht="12.75" hidden="false" customHeight="false" outlineLevel="0" collapsed="false">
      <c r="B42" s="1087" t="n">
        <f aca="false">DATE(YEAR(B41),MONTH(B41)+1,DAY(B41))</f>
        <v>45567</v>
      </c>
      <c r="C42" s="1026" t="n">
        <f aca="false">IF(B42=$C$18,$C$13,0)</f>
        <v>0</v>
      </c>
      <c r="D42" s="1026" t="n">
        <f aca="false">IF(B42=$D$18,$D$13,0)</f>
        <v>0</v>
      </c>
      <c r="E42" s="267"/>
      <c r="F42" s="267"/>
      <c r="G42" s="1067" t="n">
        <f aca="false">SUM(C42:F42)</f>
        <v>0</v>
      </c>
      <c r="H42" s="267"/>
      <c r="I42" s="267"/>
      <c r="J42" s="267"/>
      <c r="K42" s="93"/>
    </row>
    <row r="43" customFormat="false" ht="12.75" hidden="false" customHeight="false" outlineLevel="0" collapsed="false">
      <c r="B43" s="1087" t="n">
        <f aca="false">DATE(YEAR(B42),MONTH(B42)+1,DAY(B42))</f>
        <v>45598</v>
      </c>
      <c r="C43" s="1026" t="n">
        <f aca="false">IF(B43=$C$18,$C$13,0)</f>
        <v>0</v>
      </c>
      <c r="D43" s="1026" t="n">
        <f aca="false">IF(B43=$D$18,$D$13,0)</f>
        <v>0</v>
      </c>
      <c r="E43" s="267"/>
      <c r="F43" s="267"/>
      <c r="G43" s="1067" t="n">
        <f aca="false">SUM(C43:F43)</f>
        <v>0</v>
      </c>
      <c r="H43" s="267"/>
      <c r="I43" s="267"/>
      <c r="J43" s="267"/>
      <c r="K43" s="93"/>
    </row>
    <row r="44" customFormat="false" ht="12.75" hidden="false" customHeight="false" outlineLevel="0" collapsed="false">
      <c r="B44" s="1089" t="n">
        <f aca="false">DATE(YEAR(B43),MONTH(B43)+1,DAY(B43))</f>
        <v>45628</v>
      </c>
      <c r="C44" s="1090" t="n">
        <f aca="false">IF(B44=$C$18,$C$13,0)</f>
        <v>0</v>
      </c>
      <c r="D44" s="1090" t="n">
        <f aca="false">IF(B44=$D$18,$D$13,0)</f>
        <v>0</v>
      </c>
      <c r="E44" s="267"/>
      <c r="F44" s="267"/>
      <c r="G44" s="1091" t="n">
        <f aca="false">SUM(C44:F44)</f>
        <v>0</v>
      </c>
      <c r="H44" s="267"/>
      <c r="I44" s="267"/>
      <c r="J44" s="267"/>
      <c r="K44" s="93"/>
    </row>
    <row r="45" customFormat="false" ht="12.75" hidden="false" customHeight="false" outlineLevel="0" collapsed="false">
      <c r="B45" s="1087" t="n">
        <f aca="false">DATE(YEAR(B44),MONTH(B44)+1,DAY(B44))</f>
        <v>45659</v>
      </c>
      <c r="C45" s="1026" t="n">
        <f aca="false">IF(B45=$C$18,$C$13,0)</f>
        <v>0</v>
      </c>
      <c r="D45" s="1026" t="n">
        <f aca="false">IF(B45=$D$18,$D$13,0)</f>
        <v>0</v>
      </c>
      <c r="E45" s="267"/>
      <c r="F45" s="267"/>
      <c r="G45" s="1067" t="n">
        <f aca="false">SUM(C45:F45)</f>
        <v>0</v>
      </c>
      <c r="H45" s="267"/>
      <c r="I45" s="267"/>
      <c r="J45" s="267"/>
      <c r="K45" s="93"/>
    </row>
    <row r="46" customFormat="false" ht="12.75" hidden="false" customHeight="false" outlineLevel="0" collapsed="false">
      <c r="B46" s="1087" t="n">
        <f aca="false">DATE(YEAR(B45),MONTH(B45)+1,DAY(B45))</f>
        <v>45690</v>
      </c>
      <c r="C46" s="1026" t="n">
        <f aca="false">IF(B46=$C$18,$C$13,0)</f>
        <v>0</v>
      </c>
      <c r="D46" s="1026" t="n">
        <f aca="false">IF(B46=$D$18,$D$13,0)</f>
        <v>0</v>
      </c>
      <c r="E46" s="267"/>
      <c r="F46" s="267"/>
      <c r="G46" s="1067" t="n">
        <f aca="false">SUM(C46:F46)</f>
        <v>0</v>
      </c>
      <c r="H46" s="267"/>
      <c r="I46" s="267"/>
      <c r="J46" s="267"/>
      <c r="K46" s="93"/>
    </row>
    <row r="47" customFormat="false" ht="12.75" hidden="false" customHeight="false" outlineLevel="0" collapsed="false">
      <c r="B47" s="1087" t="n">
        <f aca="false">DATE(YEAR(B46),MONTH(B46)+1,DAY(B46))</f>
        <v>45718</v>
      </c>
      <c r="C47" s="1026" t="n">
        <f aca="false">IF(B47=$C$18,$C$13,0)</f>
        <v>0</v>
      </c>
      <c r="D47" s="1026" t="n">
        <f aca="false">IF(B47=$D$18,$D$13,0)</f>
        <v>0</v>
      </c>
      <c r="E47" s="267"/>
      <c r="F47" s="267"/>
      <c r="G47" s="1067" t="n">
        <f aca="false">SUM(C47:F47)</f>
        <v>0</v>
      </c>
      <c r="H47" s="267"/>
      <c r="I47" s="267"/>
      <c r="J47" s="267"/>
      <c r="K47" s="93"/>
    </row>
    <row r="48" customFormat="false" ht="12.75" hidden="false" customHeight="false" outlineLevel="0" collapsed="false">
      <c r="B48" s="1087" t="n">
        <f aca="false">DATE(YEAR(B47),MONTH(B47)+1,DAY(B47))</f>
        <v>45749</v>
      </c>
      <c r="C48" s="1026" t="n">
        <f aca="false">IF(B48=$C$18,$C$13,0)</f>
        <v>0</v>
      </c>
      <c r="D48" s="1026" t="n">
        <f aca="false">IF(B48=$D$18,$D$13,0)</f>
        <v>0</v>
      </c>
      <c r="E48" s="267"/>
      <c r="F48" s="267"/>
      <c r="G48" s="1067" t="n">
        <f aca="false">SUM(C48:F48)</f>
        <v>0</v>
      </c>
      <c r="H48" s="267"/>
      <c r="I48" s="267"/>
      <c r="J48" s="267"/>
      <c r="K48" s="93"/>
    </row>
    <row r="49" customFormat="false" ht="12.75" hidden="false" customHeight="false" outlineLevel="0" collapsed="false">
      <c r="B49" s="1087" t="n">
        <f aca="false">DATE(YEAR(B48),MONTH(B48)+1,DAY(B48))</f>
        <v>45779</v>
      </c>
      <c r="C49" s="1026" t="n">
        <f aca="false">IF(B49=$C$18,$C$13,0)</f>
        <v>0</v>
      </c>
      <c r="D49" s="1026" t="n">
        <f aca="false">IF(B49=$D$18,$D$13,0)</f>
        <v>0</v>
      </c>
      <c r="E49" s="267"/>
      <c r="F49" s="267"/>
      <c r="G49" s="1067" t="n">
        <f aca="false">SUM(C49:F49)</f>
        <v>0</v>
      </c>
      <c r="H49" s="267"/>
      <c r="I49" s="267"/>
      <c r="J49" s="267"/>
      <c r="K49" s="93"/>
    </row>
    <row r="50" customFormat="false" ht="12.75" hidden="false" customHeight="false" outlineLevel="0" collapsed="false">
      <c r="B50" s="1087" t="n">
        <f aca="false">DATE(YEAR(B49),MONTH(B49)+1,DAY(B49))</f>
        <v>45810</v>
      </c>
      <c r="C50" s="1026" t="n">
        <f aca="false">IF(B50=$C$18,$C$13,0)</f>
        <v>0</v>
      </c>
      <c r="D50" s="1026" t="n">
        <f aca="false">IF(B50=$D$18,$D$13,0)</f>
        <v>0</v>
      </c>
      <c r="E50" s="267"/>
      <c r="F50" s="267"/>
      <c r="G50" s="1067" t="n">
        <f aca="false">SUM(C50:F50)</f>
        <v>0</v>
      </c>
      <c r="H50" s="267"/>
      <c r="I50" s="267"/>
      <c r="J50" s="267"/>
      <c r="K50" s="93"/>
    </row>
    <row r="51" customFormat="false" ht="12.75" hidden="false" customHeight="false" outlineLevel="0" collapsed="false">
      <c r="B51" s="1087" t="n">
        <f aca="false">DATE(YEAR(B50),MONTH(B50)+1,DAY(B50))</f>
        <v>45840</v>
      </c>
      <c r="C51" s="1026" t="n">
        <f aca="false">IF(B51=$C$18,$C$13,0)</f>
        <v>0</v>
      </c>
      <c r="D51" s="1026" t="n">
        <f aca="false">IF(B51=$D$18,$D$13,0)</f>
        <v>0</v>
      </c>
      <c r="E51" s="267"/>
      <c r="F51" s="267"/>
      <c r="G51" s="1067" t="n">
        <f aca="false">SUM(C51:F51)</f>
        <v>0</v>
      </c>
      <c r="H51" s="267"/>
      <c r="I51" s="267"/>
      <c r="J51" s="267"/>
      <c r="K51" s="93"/>
    </row>
    <row r="52" customFormat="false" ht="12.75" hidden="false" customHeight="false" outlineLevel="0" collapsed="false">
      <c r="B52" s="1087" t="n">
        <f aca="false">DATE(YEAR(B51),MONTH(B51)+1,DAY(B51))</f>
        <v>45871</v>
      </c>
      <c r="C52" s="1026" t="n">
        <f aca="false">IF(B52=$C$18,$C$13,0)</f>
        <v>0</v>
      </c>
      <c r="D52" s="1026" t="n">
        <f aca="false">IF(B52=$D$18,$D$13,0)</f>
        <v>0</v>
      </c>
      <c r="E52" s="267"/>
      <c r="F52" s="267"/>
      <c r="G52" s="1067" t="n">
        <f aca="false">SUM(C52:F52)</f>
        <v>0</v>
      </c>
      <c r="H52" s="267"/>
      <c r="I52" s="267"/>
      <c r="J52" s="267"/>
      <c r="K52" s="93"/>
    </row>
    <row r="53" customFormat="false" ht="12.75" hidden="false" customHeight="false" outlineLevel="0" collapsed="false">
      <c r="B53" s="1087" t="n">
        <f aca="false">DATE(YEAR(B52),MONTH(B52)+1,DAY(B52))</f>
        <v>45902</v>
      </c>
      <c r="C53" s="1026" t="n">
        <f aca="false">IF(B53=$C$18,$C$13,0)</f>
        <v>0</v>
      </c>
      <c r="D53" s="1026" t="n">
        <f aca="false">IF(B53=$D$18,$D$13,0)</f>
        <v>0</v>
      </c>
      <c r="E53" s="267"/>
      <c r="F53" s="267"/>
      <c r="G53" s="1067" t="n">
        <f aca="false">SUM(C53:F53)</f>
        <v>0</v>
      </c>
      <c r="H53" s="267"/>
      <c r="I53" s="267"/>
      <c r="J53" s="267"/>
      <c r="K53" s="93"/>
    </row>
    <row r="54" customFormat="false" ht="12.75" hidden="false" customHeight="false" outlineLevel="0" collapsed="false">
      <c r="B54" s="1087" t="n">
        <f aca="false">DATE(YEAR(B53),MONTH(B53)+1,DAY(B53))</f>
        <v>45932</v>
      </c>
      <c r="C54" s="1026" t="n">
        <f aca="false">IF(B54=$C$18,$C$13,0)</f>
        <v>0</v>
      </c>
      <c r="D54" s="1026" t="n">
        <f aca="false">IF(B54=$D$18,$D$13,0)</f>
        <v>0</v>
      </c>
      <c r="E54" s="267"/>
      <c r="F54" s="267"/>
      <c r="G54" s="1067" t="n">
        <f aca="false">SUM(C54:F54)</f>
        <v>0</v>
      </c>
      <c r="H54" s="267"/>
      <c r="I54" s="267"/>
      <c r="J54" s="267"/>
      <c r="K54" s="93"/>
    </row>
    <row r="55" customFormat="false" ht="12.75" hidden="false" customHeight="false" outlineLevel="0" collapsed="false">
      <c r="B55" s="1087" t="n">
        <f aca="false">DATE(YEAR(B54),MONTH(B54)+1,DAY(B54))</f>
        <v>45963</v>
      </c>
      <c r="C55" s="1026" t="n">
        <f aca="false">IF(B55=$C$18,$C$13,0)</f>
        <v>0</v>
      </c>
      <c r="D55" s="1026" t="n">
        <f aca="false">IF(B55=$D$18,$D$13,0)</f>
        <v>0</v>
      </c>
      <c r="E55" s="267"/>
      <c r="F55" s="267"/>
      <c r="G55" s="1067" t="n">
        <f aca="false">SUM(C55:F55)</f>
        <v>0</v>
      </c>
      <c r="H55" s="267"/>
      <c r="I55" s="267"/>
      <c r="J55" s="267"/>
      <c r="K55" s="93"/>
    </row>
    <row r="56" customFormat="false" ht="12.75" hidden="false" customHeight="false" outlineLevel="0" collapsed="false">
      <c r="B56" s="1089" t="n">
        <f aca="false">DATE(YEAR(B55),MONTH(B55)+1,DAY(B55))</f>
        <v>45993</v>
      </c>
      <c r="C56" s="1090" t="n">
        <f aca="false">IF(B56=$C$18,$C$13,0)</f>
        <v>0</v>
      </c>
      <c r="D56" s="1090" t="n">
        <f aca="false">IF(B56=$D$18,$D$13,0)</f>
        <v>0</v>
      </c>
      <c r="E56" s="267"/>
      <c r="F56" s="267"/>
      <c r="G56" s="1091" t="n">
        <f aca="false">SUM(C56:F56)</f>
        <v>0</v>
      </c>
      <c r="H56" s="267"/>
      <c r="I56" s="267"/>
      <c r="J56" s="267"/>
      <c r="K56" s="93"/>
    </row>
    <row r="57" customFormat="false" ht="12.75" hidden="false" customHeight="false" outlineLevel="0" collapsed="false">
      <c r="B57" s="1087" t="n">
        <f aca="false">DATE(YEAR(B56),MONTH(B56)+1,DAY(B56))</f>
        <v>46024</v>
      </c>
      <c r="C57" s="1026" t="n">
        <f aca="false">IF(B57=$C$18,$C$13,0)</f>
        <v>0</v>
      </c>
      <c r="D57" s="1026" t="n">
        <f aca="false">IF(B57=$D$18,$D$13,0)</f>
        <v>0</v>
      </c>
      <c r="E57" s="267"/>
      <c r="F57" s="267"/>
      <c r="G57" s="1067" t="n">
        <f aca="false">SUM(C57:F57)</f>
        <v>0</v>
      </c>
      <c r="H57" s="267"/>
      <c r="I57" s="267"/>
      <c r="J57" s="267"/>
      <c r="K57" s="93"/>
    </row>
    <row r="58" customFormat="false" ht="12.75" hidden="false" customHeight="false" outlineLevel="0" collapsed="false">
      <c r="B58" s="1087" t="n">
        <f aca="false">DATE(YEAR(B57),MONTH(B57)+1,DAY(B57))</f>
        <v>46055</v>
      </c>
      <c r="C58" s="1026" t="n">
        <f aca="false">IF(B58=$C$18,$C$13,0)</f>
        <v>0</v>
      </c>
      <c r="D58" s="1026" t="n">
        <f aca="false">IF(B58=$D$18,$D$13,0)</f>
        <v>0</v>
      </c>
      <c r="E58" s="267"/>
      <c r="F58" s="267"/>
      <c r="G58" s="1067" t="n">
        <f aca="false">SUM(C58:F58)</f>
        <v>0</v>
      </c>
      <c r="H58" s="267"/>
      <c r="I58" s="267"/>
      <c r="J58" s="267"/>
      <c r="K58" s="93"/>
    </row>
    <row r="59" customFormat="false" ht="12.75" hidden="false" customHeight="false" outlineLevel="0" collapsed="false">
      <c r="B59" s="1087" t="n">
        <f aca="false">DATE(YEAR(B58),MONTH(B58)+1,DAY(B58))</f>
        <v>46083</v>
      </c>
      <c r="C59" s="1026" t="n">
        <f aca="false">IF(B59=$C$18,$C$13,0)</f>
        <v>0</v>
      </c>
      <c r="D59" s="1026" t="n">
        <f aca="false">IF(B59=$D$18,$D$13,0)</f>
        <v>0</v>
      </c>
      <c r="E59" s="267"/>
      <c r="F59" s="267"/>
      <c r="G59" s="1067" t="n">
        <f aca="false">SUM(C59:F59)</f>
        <v>0</v>
      </c>
      <c r="H59" s="267"/>
      <c r="I59" s="267"/>
      <c r="J59" s="267"/>
      <c r="K59" s="93"/>
    </row>
    <row r="60" customFormat="false" ht="12.75" hidden="false" customHeight="false" outlineLevel="0" collapsed="false">
      <c r="B60" s="1087" t="n">
        <f aca="false">DATE(YEAR(B59),MONTH(B59)+1,DAY(B59))</f>
        <v>46114</v>
      </c>
      <c r="C60" s="1026" t="n">
        <f aca="false">IF(B60=$C$18,$C$13,0)</f>
        <v>0</v>
      </c>
      <c r="D60" s="1026" t="n">
        <f aca="false">IF(B60=$D$18,$D$13,0)</f>
        <v>0</v>
      </c>
      <c r="E60" s="267"/>
      <c r="F60" s="267"/>
      <c r="G60" s="1067" t="n">
        <f aca="false">SUM(C60:F60)</f>
        <v>0</v>
      </c>
      <c r="H60" s="267"/>
      <c r="I60" s="267"/>
      <c r="J60" s="267"/>
      <c r="K60" s="93"/>
    </row>
    <row r="61" customFormat="false" ht="12.75" hidden="false" customHeight="false" outlineLevel="0" collapsed="false">
      <c r="B61" s="1087" t="n">
        <f aca="false">DATE(YEAR(B60),MONTH(B60)+1,DAY(B60))</f>
        <v>46144</v>
      </c>
      <c r="C61" s="1026" t="n">
        <f aca="false">IF(B61=$C$18,$C$13,0)</f>
        <v>0</v>
      </c>
      <c r="D61" s="1026" t="n">
        <f aca="false">IF(B61=$D$18,$D$13,0)</f>
        <v>0</v>
      </c>
      <c r="E61" s="267"/>
      <c r="F61" s="267"/>
      <c r="G61" s="1067" t="n">
        <f aca="false">SUM(C61:F61)</f>
        <v>0</v>
      </c>
      <c r="H61" s="267"/>
      <c r="I61" s="267"/>
      <c r="J61" s="267"/>
      <c r="K61" s="93"/>
    </row>
    <row r="62" customFormat="false" ht="12.75" hidden="false" customHeight="false" outlineLevel="0" collapsed="false">
      <c r="B62" s="1087" t="n">
        <f aca="false">DATE(YEAR(B61),MONTH(B61)+1,DAY(B61))</f>
        <v>46175</v>
      </c>
      <c r="C62" s="1026" t="n">
        <f aca="false">IF(B62=$C$18,$C$13,0)</f>
        <v>0</v>
      </c>
      <c r="D62" s="1026" t="n">
        <f aca="false">IF(B62=$D$18,$D$13,0)</f>
        <v>0</v>
      </c>
      <c r="E62" s="267"/>
      <c r="F62" s="267"/>
      <c r="G62" s="1067" t="n">
        <f aca="false">SUM(C62:F62)</f>
        <v>0</v>
      </c>
      <c r="H62" s="267"/>
      <c r="I62" s="267"/>
      <c r="J62" s="267"/>
      <c r="K62" s="93"/>
    </row>
    <row r="63" customFormat="false" ht="12.75" hidden="false" customHeight="false" outlineLevel="0" collapsed="false">
      <c r="B63" s="1087" t="n">
        <f aca="false">DATE(YEAR(B62),MONTH(B62)+1,DAY(B62))</f>
        <v>46205</v>
      </c>
      <c r="C63" s="1026" t="n">
        <f aca="false">IF(B63=$C$18,$C$13,0)</f>
        <v>0</v>
      </c>
      <c r="D63" s="1026" t="n">
        <f aca="false">IF(B63=$D$18,$D$13,0)</f>
        <v>0</v>
      </c>
      <c r="E63" s="267"/>
      <c r="F63" s="267"/>
      <c r="G63" s="1067" t="n">
        <f aca="false">SUM(C63:F63)</f>
        <v>0</v>
      </c>
      <c r="H63" s="267"/>
      <c r="I63" s="267"/>
      <c r="J63" s="267"/>
      <c r="K63" s="93"/>
    </row>
    <row r="64" customFormat="false" ht="12.75" hidden="false" customHeight="false" outlineLevel="0" collapsed="false">
      <c r="B64" s="1087" t="n">
        <f aca="false">DATE(YEAR(B63),MONTH(B63)+1,DAY(B63))</f>
        <v>46236</v>
      </c>
      <c r="C64" s="1026" t="n">
        <f aca="false">IF(B64=$C$18,$C$13,0)</f>
        <v>0</v>
      </c>
      <c r="D64" s="1026" t="n">
        <f aca="false">IF(B64=$D$18,$D$13,0)</f>
        <v>0</v>
      </c>
      <c r="E64" s="267"/>
      <c r="F64" s="267"/>
      <c r="G64" s="1067" t="n">
        <f aca="false">SUM(C64:F64)</f>
        <v>0</v>
      </c>
      <c r="H64" s="267"/>
      <c r="I64" s="267"/>
      <c r="J64" s="267"/>
      <c r="K64" s="93"/>
    </row>
    <row r="65" customFormat="false" ht="12.75" hidden="false" customHeight="false" outlineLevel="0" collapsed="false">
      <c r="B65" s="1087" t="n">
        <f aca="false">DATE(YEAR(B64),MONTH(B64)+1,DAY(B64))</f>
        <v>46267</v>
      </c>
      <c r="C65" s="1026" t="n">
        <f aca="false">IF(B65=$C$18,$C$13,0)</f>
        <v>0</v>
      </c>
      <c r="D65" s="1026" t="n">
        <f aca="false">IF(B65=$D$18,$D$13,0)</f>
        <v>0</v>
      </c>
      <c r="E65" s="267"/>
      <c r="F65" s="267"/>
      <c r="G65" s="1067" t="n">
        <f aca="false">SUM(C65:F65)</f>
        <v>0</v>
      </c>
      <c r="H65" s="267"/>
      <c r="I65" s="267"/>
      <c r="J65" s="267"/>
      <c r="K65" s="93"/>
    </row>
    <row r="66" customFormat="false" ht="12.75" hidden="false" customHeight="false" outlineLevel="0" collapsed="false">
      <c r="B66" s="1087" t="n">
        <f aca="false">DATE(YEAR(B65),MONTH(B65)+1,DAY(B65))</f>
        <v>46297</v>
      </c>
      <c r="C66" s="1026" t="n">
        <f aca="false">IF(B66=$C$18,$C$13,0)</f>
        <v>0</v>
      </c>
      <c r="D66" s="1026" t="n">
        <f aca="false">IF(B66=$D$18,$D$13,0)</f>
        <v>0</v>
      </c>
      <c r="E66" s="267"/>
      <c r="F66" s="267"/>
      <c r="G66" s="1067" t="n">
        <f aca="false">SUM(C66:F66)</f>
        <v>0</v>
      </c>
      <c r="H66" s="267"/>
      <c r="I66" s="267"/>
      <c r="J66" s="267"/>
      <c r="K66" s="93"/>
    </row>
    <row r="67" customFormat="false" ht="12.75" hidden="false" customHeight="false" outlineLevel="0" collapsed="false">
      <c r="B67" s="1087" t="n">
        <f aca="false">DATE(YEAR(B66),MONTH(B66)+1,DAY(B66))</f>
        <v>46328</v>
      </c>
      <c r="C67" s="1026" t="n">
        <f aca="false">IF(B67=$C$18,$C$13,0)</f>
        <v>0</v>
      </c>
      <c r="D67" s="1026" t="n">
        <f aca="false">IF(B67=$D$18,$D$13,0)</f>
        <v>0</v>
      </c>
      <c r="E67" s="267"/>
      <c r="F67" s="267"/>
      <c r="G67" s="1067" t="n">
        <f aca="false">SUM(C67:F67)</f>
        <v>0</v>
      </c>
      <c r="H67" s="267"/>
      <c r="I67" s="267"/>
      <c r="J67" s="267"/>
      <c r="K67" s="93"/>
    </row>
    <row r="68" customFormat="false" ht="12.75" hidden="false" customHeight="false" outlineLevel="0" collapsed="false">
      <c r="B68" s="1089" t="n">
        <f aca="false">DATE(YEAR(B67),MONTH(B67)+1,DAY(B67))</f>
        <v>46358</v>
      </c>
      <c r="C68" s="1090" t="n">
        <f aca="false">IF(B68=$C$18,$C$13,0)</f>
        <v>0</v>
      </c>
      <c r="D68" s="1090" t="n">
        <f aca="false">IF(B68=$D$18,$D$13,0)</f>
        <v>0</v>
      </c>
      <c r="E68" s="267"/>
      <c r="F68" s="267"/>
      <c r="G68" s="1091" t="n">
        <f aca="false">SUM(C68:F68)</f>
        <v>0</v>
      </c>
      <c r="H68" s="267"/>
      <c r="I68" s="267"/>
      <c r="J68" s="267"/>
      <c r="K68" s="93"/>
    </row>
    <row r="69" customFormat="false" ht="12.75" hidden="false" customHeight="false" outlineLevel="0" collapsed="false">
      <c r="B69" s="1087" t="n">
        <f aca="false">DATE(YEAR(B68),MONTH(B68)+1,DAY(B68))</f>
        <v>46389</v>
      </c>
      <c r="C69" s="1026" t="n">
        <f aca="false">IF(B69=$C$18,$C$13,0)</f>
        <v>0</v>
      </c>
      <c r="D69" s="1026" t="n">
        <f aca="false">IF(B69=$D$18,$D$13,0)</f>
        <v>0</v>
      </c>
      <c r="E69" s="267"/>
      <c r="F69" s="267"/>
      <c r="G69" s="1067" t="n">
        <f aca="false">SUM(C69:F69)</f>
        <v>0</v>
      </c>
      <c r="H69" s="267"/>
      <c r="I69" s="267"/>
      <c r="J69" s="267"/>
      <c r="K69" s="93"/>
    </row>
    <row r="70" customFormat="false" ht="12.75" hidden="false" customHeight="false" outlineLevel="0" collapsed="false">
      <c r="B70" s="1087" t="n">
        <f aca="false">DATE(YEAR(B69),MONTH(B69)+1,DAY(B69))</f>
        <v>46420</v>
      </c>
      <c r="C70" s="1026" t="n">
        <f aca="false">IF(B70=$C$18,$C$13,0)</f>
        <v>0</v>
      </c>
      <c r="D70" s="1026" t="n">
        <f aca="false">IF(B70=$D$18,$D$13,0)</f>
        <v>0</v>
      </c>
      <c r="E70" s="267"/>
      <c r="F70" s="267"/>
      <c r="G70" s="1067" t="n">
        <f aca="false">SUM(C70:F70)</f>
        <v>0</v>
      </c>
      <c r="H70" s="267"/>
      <c r="I70" s="267"/>
      <c r="J70" s="267"/>
      <c r="K70" s="93"/>
    </row>
    <row r="71" customFormat="false" ht="12.75" hidden="false" customHeight="false" outlineLevel="0" collapsed="false">
      <c r="B71" s="1087" t="n">
        <f aca="false">DATE(YEAR(B70),MONTH(B70)+1,DAY(B70))</f>
        <v>46448</v>
      </c>
      <c r="C71" s="1026" t="n">
        <f aca="false">IF(B71=$C$18,$C$13,0)</f>
        <v>0</v>
      </c>
      <c r="D71" s="1026" t="n">
        <f aca="false">IF(B71=$D$18,$D$13,0)</f>
        <v>0</v>
      </c>
      <c r="E71" s="267"/>
      <c r="F71" s="267"/>
      <c r="G71" s="1067" t="n">
        <f aca="false">SUM(C71:F71)</f>
        <v>0</v>
      </c>
      <c r="H71" s="267"/>
      <c r="I71" s="267"/>
      <c r="J71" s="267"/>
      <c r="K71" s="93"/>
    </row>
    <row r="72" customFormat="false" ht="12.75" hidden="false" customHeight="false" outlineLevel="0" collapsed="false">
      <c r="B72" s="1087" t="n">
        <f aca="false">DATE(YEAR(B71),MONTH(B71)+1,DAY(B71))</f>
        <v>46479</v>
      </c>
      <c r="C72" s="1026" t="n">
        <f aca="false">IF(B72=$C$18,$C$13,0)</f>
        <v>0</v>
      </c>
      <c r="D72" s="1026" t="n">
        <f aca="false">IF(B72=$D$18,$D$13,0)</f>
        <v>0</v>
      </c>
      <c r="E72" s="267"/>
      <c r="F72" s="267"/>
      <c r="G72" s="1067" t="n">
        <f aca="false">SUM(C72:F72)</f>
        <v>0</v>
      </c>
      <c r="H72" s="267"/>
      <c r="I72" s="267"/>
      <c r="J72" s="267"/>
      <c r="K72" s="93"/>
    </row>
    <row r="73" customFormat="false" ht="12.75" hidden="false" customHeight="false" outlineLevel="0" collapsed="false">
      <c r="B73" s="1087" t="n">
        <f aca="false">DATE(YEAR(B72),MONTH(B72)+1,DAY(B72))</f>
        <v>46509</v>
      </c>
      <c r="C73" s="1026" t="n">
        <f aca="false">IF(B73=$C$18,$C$13,0)</f>
        <v>0</v>
      </c>
      <c r="D73" s="1026" t="n">
        <f aca="false">IF(B73=$D$18,$D$13,0)</f>
        <v>0</v>
      </c>
      <c r="E73" s="267"/>
      <c r="F73" s="267"/>
      <c r="G73" s="1067" t="n">
        <f aca="false">SUM(C73:F73)</f>
        <v>0</v>
      </c>
      <c r="H73" s="267"/>
      <c r="I73" s="267"/>
      <c r="J73" s="267"/>
      <c r="K73" s="93"/>
    </row>
    <row r="74" customFormat="false" ht="12.75" hidden="false" customHeight="false" outlineLevel="0" collapsed="false">
      <c r="B74" s="1087" t="n">
        <f aca="false">DATE(YEAR(B73),MONTH(B73)+1,DAY(B73))</f>
        <v>46540</v>
      </c>
      <c r="C74" s="1026" t="n">
        <f aca="false">IF(B74=$C$18,$C$13,0)</f>
        <v>0</v>
      </c>
      <c r="D74" s="1026" t="n">
        <f aca="false">IF(B74=$D$18,$D$13,0)</f>
        <v>0</v>
      </c>
      <c r="E74" s="267"/>
      <c r="F74" s="267"/>
      <c r="G74" s="1067" t="n">
        <f aca="false">SUM(C74:F74)</f>
        <v>0</v>
      </c>
      <c r="H74" s="267"/>
      <c r="I74" s="267"/>
      <c r="J74" s="267"/>
      <c r="K74" s="93"/>
    </row>
    <row r="75" customFormat="false" ht="12.75" hidden="false" customHeight="false" outlineLevel="0" collapsed="false">
      <c r="B75" s="1087" t="n">
        <f aca="false">DATE(YEAR(B74),MONTH(B74)+1,DAY(B74))</f>
        <v>46570</v>
      </c>
      <c r="C75" s="1026" t="n">
        <f aca="false">IF(B75=$C$18,$C$13,0)</f>
        <v>0</v>
      </c>
      <c r="D75" s="1026" t="n">
        <f aca="false">IF(B75=$D$18,$D$13,0)</f>
        <v>0</v>
      </c>
      <c r="E75" s="267"/>
      <c r="F75" s="267"/>
      <c r="G75" s="1067" t="n">
        <f aca="false">SUM(C75:F75)</f>
        <v>0</v>
      </c>
      <c r="H75" s="267"/>
      <c r="I75" s="267"/>
      <c r="J75" s="267"/>
      <c r="K75" s="93"/>
    </row>
    <row r="76" customFormat="false" ht="12.75" hidden="false" customHeight="false" outlineLevel="0" collapsed="false">
      <c r="B76" s="1087" t="n">
        <f aca="false">DATE(YEAR(B75),MONTH(B75)+1,DAY(B75))</f>
        <v>46601</v>
      </c>
      <c r="C76" s="1026" t="n">
        <f aca="false">IF(B76=$C$18,$C$13,0)</f>
        <v>0</v>
      </c>
      <c r="D76" s="1026" t="n">
        <f aca="false">IF(B76=$D$18,$D$13,0)</f>
        <v>0</v>
      </c>
      <c r="E76" s="267"/>
      <c r="F76" s="267"/>
      <c r="G76" s="1067" t="n">
        <f aca="false">SUM(C76:F76)</f>
        <v>0</v>
      </c>
      <c r="H76" s="267"/>
      <c r="I76" s="267"/>
      <c r="J76" s="267"/>
      <c r="K76" s="93"/>
    </row>
    <row r="77" customFormat="false" ht="12.75" hidden="false" customHeight="false" outlineLevel="0" collapsed="false">
      <c r="B77" s="1087" t="n">
        <f aca="false">DATE(YEAR(B76),MONTH(B76)+1,DAY(B76))</f>
        <v>46632</v>
      </c>
      <c r="C77" s="1026" t="n">
        <f aca="false">IF(B77=$C$18,$C$13,0)</f>
        <v>0</v>
      </c>
      <c r="D77" s="1026" t="n">
        <f aca="false">IF(B77=$D$18,$D$13,0)</f>
        <v>0</v>
      </c>
      <c r="E77" s="267"/>
      <c r="F77" s="267"/>
      <c r="G77" s="1067" t="n">
        <f aca="false">SUM(C77:F77)</f>
        <v>0</v>
      </c>
      <c r="H77" s="267"/>
      <c r="I77" s="267"/>
      <c r="J77" s="267"/>
      <c r="K77" s="93"/>
    </row>
    <row r="78" customFormat="false" ht="12.75" hidden="false" customHeight="false" outlineLevel="0" collapsed="false">
      <c r="B78" s="1087" t="n">
        <f aca="false">DATE(YEAR(B77),MONTH(B77)+1,DAY(B77))</f>
        <v>46662</v>
      </c>
      <c r="C78" s="1026" t="n">
        <f aca="false">IF(B78=$C$18,$C$13,0)</f>
        <v>0</v>
      </c>
      <c r="D78" s="1026" t="n">
        <f aca="false">IF(B78=$D$18,$D$13,0)</f>
        <v>0</v>
      </c>
      <c r="E78" s="267"/>
      <c r="F78" s="267"/>
      <c r="G78" s="1067" t="n">
        <f aca="false">SUM(C78:F78)</f>
        <v>0</v>
      </c>
      <c r="H78" s="267"/>
      <c r="I78" s="267"/>
      <c r="J78" s="267"/>
      <c r="K78" s="93"/>
    </row>
    <row r="79" customFormat="false" ht="12.75" hidden="false" customHeight="false" outlineLevel="0" collapsed="false">
      <c r="B79" s="1087" t="n">
        <f aca="false">DATE(YEAR(B78),MONTH(B78)+1,DAY(B78))</f>
        <v>46693</v>
      </c>
      <c r="C79" s="1026" t="n">
        <f aca="false">IF(B79=$C$18,$C$13,0)</f>
        <v>0</v>
      </c>
      <c r="D79" s="1026" t="n">
        <f aca="false">IF(B79=$D$18,$D$13,0)</f>
        <v>0</v>
      </c>
      <c r="E79" s="267"/>
      <c r="F79" s="267"/>
      <c r="G79" s="1067" t="n">
        <f aca="false">SUM(C79:F79)</f>
        <v>0</v>
      </c>
      <c r="H79" s="267"/>
      <c r="I79" s="267"/>
      <c r="J79" s="267"/>
      <c r="K79" s="93"/>
    </row>
    <row r="80" customFormat="false" ht="13.5" hidden="false" customHeight="false" outlineLevel="0" collapsed="false">
      <c r="B80" s="1089" t="n">
        <f aca="false">DATE(YEAR(B79),MONTH(B79)+1,DAY(B79))</f>
        <v>46723</v>
      </c>
      <c r="C80" s="1090" t="n">
        <f aca="false">IF(B80=$C$18,$C$13,0)</f>
        <v>0</v>
      </c>
      <c r="D80" s="1090" t="n">
        <f aca="false">IF(B80=$D$18,$D$13,0)</f>
        <v>0</v>
      </c>
      <c r="E80" s="267"/>
      <c r="F80" s="267"/>
      <c r="G80" s="1092" t="n">
        <f aca="false">SUM(C80:F80)</f>
        <v>0</v>
      </c>
      <c r="H80" s="267"/>
      <c r="I80" s="267"/>
      <c r="J80" s="267"/>
      <c r="K80" s="93"/>
    </row>
    <row r="81" customFormat="false" ht="12.75" hidden="false" customHeight="false" outlineLevel="0" collapsed="false">
      <c r="C81" s="267"/>
      <c r="D81" s="267"/>
      <c r="E81" s="267"/>
      <c r="F81" s="267"/>
      <c r="G81" s="267"/>
      <c r="H81" s="267"/>
      <c r="I81" s="267"/>
    </row>
    <row r="82" customFormat="false" ht="13.5" hidden="false" customHeight="false" outlineLevel="0" collapsed="false">
      <c r="B82" s="23" t="s">
        <v>680</v>
      </c>
      <c r="C82" s="267"/>
      <c r="D82" s="267"/>
      <c r="E82" s="267"/>
      <c r="F82" s="267"/>
      <c r="G82" s="267"/>
      <c r="H82" s="267"/>
      <c r="I82" s="267"/>
      <c r="J82" s="267"/>
      <c r="K82" s="93"/>
    </row>
    <row r="83" customFormat="false" ht="12.75" hidden="false" customHeight="false" outlineLevel="0" collapsed="false">
      <c r="B83" s="1086" t="s">
        <v>159</v>
      </c>
      <c r="C83" s="12"/>
      <c r="D83" s="12"/>
      <c r="E83" s="12"/>
      <c r="F83" s="1066"/>
      <c r="G83" s="1093"/>
      <c r="H83" s="567"/>
      <c r="I83" s="12"/>
      <c r="J83" s="12"/>
      <c r="K83" s="12"/>
    </row>
    <row r="84" customFormat="false" ht="12.75" hidden="false" customHeight="false" outlineLevel="0" collapsed="false">
      <c r="B84" s="1087" t="n">
        <f aca="false">DATE(YEAR(C5),MONTH(1),DAY(1))</f>
        <v>45291</v>
      </c>
      <c r="C84" s="1026" t="n">
        <f aca="false">IF(ISERROR(VLOOKUP($B84,$C$137:$D$184,2,FALSE()))=TRUE(),0,VLOOKUP($B84,$C$137:$D$184,2,FALSE()))</f>
        <v>0</v>
      </c>
      <c r="D84" s="1026" t="n">
        <f aca="false">IF(ISERROR(VLOOKUP($B84,$C$137:$F$184,4,FALSE()))=TRUE(),0,VLOOKUP($B84,$C$137:$F$184,4,FALSE()))</f>
        <v>0</v>
      </c>
      <c r="E84" s="973" t="n">
        <f aca="false">IF($B84=$E$20,$E$13,0)</f>
        <v>0</v>
      </c>
      <c r="F84" s="976" t="n">
        <f aca="false">IF($B84=$F$20,$F$13,0)</f>
        <v>0</v>
      </c>
      <c r="G84" s="1067" t="n">
        <f aca="false">SUM(C84:F84)</f>
        <v>0</v>
      </c>
      <c r="H84" s="1068" t="n">
        <f aca="false">IF($B84=$H$20,$H$13,0)</f>
        <v>0</v>
      </c>
      <c r="I84" s="973" t="n">
        <f aca="false">IF($B84=$I$20,$I$13,0)</f>
        <v>0</v>
      </c>
      <c r="J84" s="973" t="n">
        <f aca="false">IF($B84=$J$20,$J$13,0)</f>
        <v>0</v>
      </c>
      <c r="K84" s="973" t="n">
        <f aca="false">SUM(H84:J84)</f>
        <v>0</v>
      </c>
    </row>
    <row r="85" customFormat="false" ht="12.75" hidden="false" customHeight="false" outlineLevel="0" collapsed="false">
      <c r="B85" s="1087" t="n">
        <f aca="false">DATE(YEAR(B84),MONTH(B84)+1,DAY(B84))</f>
        <v>45322</v>
      </c>
      <c r="C85" s="1026" t="n">
        <f aca="false">IF(ISERROR(VLOOKUP($B85,$C$137:$D$184,2,FALSE()))=TRUE(),0,VLOOKUP($B85,$C$137:$D$184,2,FALSE()))</f>
        <v>0</v>
      </c>
      <c r="D85" s="1026" t="n">
        <f aca="false">IF(ISERROR(VLOOKUP($B85,$C$137:$F$184,4,FALSE()))=TRUE(),0,VLOOKUP($B85,$C$137:$F$184,4,FALSE()))</f>
        <v>0</v>
      </c>
      <c r="E85" s="12" t="n">
        <f aca="false">IF($B85=$E$20,$E$13,0)</f>
        <v>0</v>
      </c>
      <c r="F85" s="1066" t="n">
        <f aca="false">IF($B85=$F$20,$F$13,0)</f>
        <v>0</v>
      </c>
      <c r="G85" s="1067" t="n">
        <f aca="false">SUM(C85:F85)</f>
        <v>0</v>
      </c>
      <c r="H85" s="567" t="n">
        <f aca="false">IF($B85=$H$20,$H$13,0)</f>
        <v>0</v>
      </c>
      <c r="I85" s="12" t="n">
        <f aca="false">IF($B85=$I$20,$I$13,0)</f>
        <v>0</v>
      </c>
      <c r="J85" s="12" t="n">
        <f aca="false">IF($B85=$J$20,$J$13,0)</f>
        <v>0</v>
      </c>
      <c r="K85" s="973" t="n">
        <f aca="false">SUM(H85:J85)</f>
        <v>0</v>
      </c>
    </row>
    <row r="86" customFormat="false" ht="12.75" hidden="false" customHeight="false" outlineLevel="0" collapsed="false">
      <c r="B86" s="1087" t="n">
        <f aca="false">DATE(YEAR(B85),MONTH(B85)+1,DAY(B85))</f>
        <v>45353</v>
      </c>
      <c r="C86" s="1026" t="n">
        <f aca="false">IF(ISERROR(VLOOKUP($B86,$C$137:$D$184,2,FALSE()))=TRUE(),0,VLOOKUP($B86,$C$137:$D$184,2,FALSE()))</f>
        <v>0</v>
      </c>
      <c r="D86" s="1026" t="n">
        <f aca="false">IF(ISERROR(VLOOKUP($B86,$C$137:$F$184,4,FALSE()))=TRUE(),0,VLOOKUP($B86,$C$137:$F$184,4,FALSE()))</f>
        <v>0</v>
      </c>
      <c r="E86" s="12" t="n">
        <f aca="false">IF($B86=$E$20,$E$13,0)</f>
        <v>0</v>
      </c>
      <c r="F86" s="1066" t="n">
        <f aca="false">IF($B86=$F$20,$F$13,0)</f>
        <v>0</v>
      </c>
      <c r="G86" s="1067" t="n">
        <f aca="false">SUM(C86:F86)</f>
        <v>0</v>
      </c>
      <c r="H86" s="567" t="n">
        <f aca="false">IF($B86=$H$20,$H$13,0)</f>
        <v>0</v>
      </c>
      <c r="I86" s="12" t="n">
        <f aca="false">IF($B86=$I$20,$I$13,0)</f>
        <v>0</v>
      </c>
      <c r="J86" s="12" t="n">
        <f aca="false">IF($B86=$J$20,$J$13,0)</f>
        <v>0</v>
      </c>
      <c r="K86" s="973" t="n">
        <f aca="false">SUM(H86:J86)</f>
        <v>0</v>
      </c>
    </row>
    <row r="87" customFormat="false" ht="12.75" hidden="false" customHeight="false" outlineLevel="0" collapsed="false">
      <c r="B87" s="1087" t="n">
        <f aca="false">DATE(YEAR(B86),MONTH(B86)+1,DAY(B86))</f>
        <v>45384</v>
      </c>
      <c r="C87" s="1026" t="n">
        <f aca="false">IF(ISERROR(VLOOKUP($B87,$C$137:$D$184,2,FALSE()))=TRUE(),0,VLOOKUP($B87,$C$137:$D$184,2,FALSE()))</f>
        <v>0</v>
      </c>
      <c r="D87" s="1026" t="n">
        <f aca="false">IF(ISERROR(VLOOKUP($B87,$C$137:$F$184,4,FALSE()))=TRUE(),0,VLOOKUP($B87,$C$137:$F$184,4,FALSE()))</f>
        <v>0</v>
      </c>
      <c r="E87" s="12" t="n">
        <f aca="false">IF($B87=$E$20,$E$13,0)</f>
        <v>0</v>
      </c>
      <c r="F87" s="1066" t="n">
        <f aca="false">IF($B87=$F$20,$F$13,0)</f>
        <v>0</v>
      </c>
      <c r="G87" s="1067" t="n">
        <f aca="false">SUM(C87:F87)</f>
        <v>0</v>
      </c>
      <c r="H87" s="567" t="n">
        <f aca="false">IF($B87=$H$20,$H$13,0)</f>
        <v>0</v>
      </c>
      <c r="I87" s="12" t="n">
        <f aca="false">IF($B87=$I$20,$I$13,0)</f>
        <v>0</v>
      </c>
      <c r="J87" s="12" t="n">
        <f aca="false">IF($B87=$J$20,$J$13,0)</f>
        <v>0</v>
      </c>
      <c r="K87" s="973" t="n">
        <f aca="false">SUM(H87:J87)</f>
        <v>0</v>
      </c>
    </row>
    <row r="88" customFormat="false" ht="12.75" hidden="false" customHeight="false" outlineLevel="0" collapsed="false">
      <c r="B88" s="1087" t="n">
        <f aca="false">DATE(YEAR(B87),MONTH(B87)+1,DAY(B87))</f>
        <v>45414</v>
      </c>
      <c r="C88" s="1026" t="n">
        <f aca="false">IF(ISERROR(VLOOKUP($B88,$C$137:$D$184,2,FALSE()))=TRUE(),0,VLOOKUP($B88,$C$137:$D$184,2,FALSE()))</f>
        <v>0</v>
      </c>
      <c r="D88" s="1026" t="n">
        <f aca="false">IF(ISERROR(VLOOKUP($B88,$C$137:$F$184,4,FALSE()))=TRUE(),0,VLOOKUP($B88,$C$137:$F$184,4,FALSE()))</f>
        <v>0</v>
      </c>
      <c r="E88" s="12" t="n">
        <f aca="false">IF($B88=$E$20,$E$13,0)</f>
        <v>0</v>
      </c>
      <c r="F88" s="1066" t="n">
        <f aca="false">IF($B88=$F$20,$F$13,0)</f>
        <v>0</v>
      </c>
      <c r="G88" s="1067" t="n">
        <f aca="false">SUM(C88:F88)</f>
        <v>0</v>
      </c>
      <c r="H88" s="567" t="n">
        <f aca="false">IF($B88=$H$20,$H$13,0)</f>
        <v>0</v>
      </c>
      <c r="I88" s="12" t="n">
        <f aca="false">IF($B88=$I$20,$I$13,0)</f>
        <v>0</v>
      </c>
      <c r="J88" s="12" t="n">
        <f aca="false">IF($B88=$J$20,$J$13,0)</f>
        <v>0</v>
      </c>
      <c r="K88" s="973" t="n">
        <f aca="false">SUM(H88:J88)</f>
        <v>0</v>
      </c>
    </row>
    <row r="89" customFormat="false" ht="12.75" hidden="false" customHeight="false" outlineLevel="0" collapsed="false">
      <c r="B89" s="1087" t="n">
        <f aca="false">DATE(YEAR(B88),MONTH(B88)+1,DAY(B88))</f>
        <v>45445</v>
      </c>
      <c r="C89" s="1026" t="n">
        <f aca="false">IF(ISERROR(VLOOKUP($B89,$C$137:$D$184,2,FALSE()))=TRUE(),0,VLOOKUP($B89,$C$137:$D$184,2,FALSE()))</f>
        <v>0</v>
      </c>
      <c r="D89" s="1026" t="n">
        <f aca="false">IF(ISERROR(VLOOKUP($B89,$C$137:$F$184,4,FALSE()))=TRUE(),0,VLOOKUP($B89,$C$137:$F$184,4,FALSE()))</f>
        <v>0</v>
      </c>
      <c r="E89" s="12" t="n">
        <f aca="false">IF($B89=$E$20,$E$13,0)</f>
        <v>0</v>
      </c>
      <c r="F89" s="1066" t="n">
        <f aca="false">IF($B89=$F$20,$F$13,0)</f>
        <v>0</v>
      </c>
      <c r="G89" s="1067" t="n">
        <f aca="false">SUM(C89:F89)</f>
        <v>0</v>
      </c>
      <c r="H89" s="567" t="n">
        <f aca="false">IF($B89=$H$20,$H$13,0)</f>
        <v>0</v>
      </c>
      <c r="I89" s="12" t="n">
        <f aca="false">IF($B89=$I$20,$I$13,0)</f>
        <v>0</v>
      </c>
      <c r="J89" s="12" t="n">
        <f aca="false">IF($B89=$J$20,$J$13,0)</f>
        <v>0</v>
      </c>
      <c r="K89" s="973" t="n">
        <f aca="false">SUM(H89:J89)</f>
        <v>0</v>
      </c>
    </row>
    <row r="90" customFormat="false" ht="12.75" hidden="false" customHeight="false" outlineLevel="0" collapsed="false">
      <c r="B90" s="1087" t="n">
        <f aca="false">DATE(YEAR(B89),MONTH(B89)+1,DAY(B89))</f>
        <v>45475</v>
      </c>
      <c r="C90" s="1026" t="n">
        <f aca="false">IF(ISERROR(VLOOKUP($B90,$C$137:$D$184,2,FALSE()))=TRUE(),0,VLOOKUP($B90,$C$137:$D$184,2,FALSE()))</f>
        <v>0</v>
      </c>
      <c r="D90" s="1026" t="n">
        <f aca="false">IF(ISERROR(VLOOKUP($B90,$C$137:$F$184,4,FALSE()))=TRUE(),0,VLOOKUP($B90,$C$137:$F$184,4,FALSE()))</f>
        <v>0</v>
      </c>
      <c r="E90" s="12" t="n">
        <f aca="false">IF($B90=$E$20,$E$13,0)</f>
        <v>0</v>
      </c>
      <c r="F90" s="1066" t="n">
        <f aca="false">IF($B90=$F$20,$F$13,0)</f>
        <v>0</v>
      </c>
      <c r="G90" s="1067" t="n">
        <f aca="false">SUM(C90:F90)</f>
        <v>0</v>
      </c>
      <c r="H90" s="567" t="n">
        <f aca="false">IF($B90=$H$20,$H$13,0)</f>
        <v>0</v>
      </c>
      <c r="I90" s="12" t="n">
        <f aca="false">IF($B90=$I$20,$I$13,0)</f>
        <v>0</v>
      </c>
      <c r="J90" s="12" t="n">
        <f aca="false">IF($B90=$J$20,$J$13,0)</f>
        <v>0</v>
      </c>
      <c r="K90" s="973" t="n">
        <f aca="false">SUM(H90:J90)</f>
        <v>0</v>
      </c>
    </row>
    <row r="91" customFormat="false" ht="12.75" hidden="false" customHeight="false" outlineLevel="0" collapsed="false">
      <c r="B91" s="1087" t="n">
        <f aca="false">DATE(YEAR(B90),MONTH(B90)+1,DAY(B90))</f>
        <v>45506</v>
      </c>
      <c r="C91" s="1026" t="n">
        <f aca="false">IF(ISERROR(VLOOKUP($B91,$C$137:$D$184,2,FALSE()))=TRUE(),0,VLOOKUP($B91,$C$137:$D$184,2,FALSE()))</f>
        <v>0</v>
      </c>
      <c r="D91" s="1026" t="n">
        <f aca="false">IF(ISERROR(VLOOKUP($B91,$C$137:$F$184,4,FALSE()))=TRUE(),0,VLOOKUP($B91,$C$137:$F$184,4,FALSE()))</f>
        <v>0</v>
      </c>
      <c r="E91" s="12" t="n">
        <f aca="false">IF($B91=$E$20,$E$13,0)</f>
        <v>0</v>
      </c>
      <c r="F91" s="1066" t="n">
        <f aca="false">IF($B91=$F$20,$F$13,0)</f>
        <v>0</v>
      </c>
      <c r="G91" s="1067" t="n">
        <f aca="false">SUM(C91:F91)</f>
        <v>0</v>
      </c>
      <c r="H91" s="567" t="n">
        <f aca="false">IF($B91=$H$20,$H$13,0)</f>
        <v>0</v>
      </c>
      <c r="I91" s="12" t="n">
        <f aca="false">IF($B91=$I$20,$I$13,0)</f>
        <v>0</v>
      </c>
      <c r="J91" s="12" t="n">
        <f aca="false">IF($B91=$J$20,$J$13,0)</f>
        <v>0</v>
      </c>
      <c r="K91" s="973" t="n">
        <f aca="false">SUM(H91:J91)</f>
        <v>0</v>
      </c>
    </row>
    <row r="92" customFormat="false" ht="12.75" hidden="false" customHeight="false" outlineLevel="0" collapsed="false">
      <c r="B92" s="1087" t="n">
        <f aca="false">DATE(YEAR(B91),MONTH(B91)+1,DAY(B91))</f>
        <v>45537</v>
      </c>
      <c r="C92" s="1026" t="n">
        <f aca="false">IF(ISERROR(VLOOKUP($B92,$C$137:$D$184,2,FALSE()))=TRUE(),0,VLOOKUP($B92,$C$137:$D$184,2,FALSE()))</f>
        <v>0</v>
      </c>
      <c r="D92" s="1026" t="n">
        <f aca="false">IF(ISERROR(VLOOKUP($B92,$C$137:$F$184,4,FALSE()))=TRUE(),0,VLOOKUP($B92,$C$137:$F$184,4,FALSE()))</f>
        <v>0</v>
      </c>
      <c r="E92" s="12" t="n">
        <f aca="false">IF($B92=$E$20,$E$13,0)</f>
        <v>0</v>
      </c>
      <c r="F92" s="1066" t="n">
        <f aca="false">IF($B92=$F$20,$F$13,0)</f>
        <v>0</v>
      </c>
      <c r="G92" s="1067" t="n">
        <f aca="false">SUM(C92:F92)</f>
        <v>0</v>
      </c>
      <c r="H92" s="567" t="n">
        <f aca="false">IF($B92=$H$20,$H$13,0)</f>
        <v>0</v>
      </c>
      <c r="I92" s="12" t="n">
        <f aca="false">IF($B92=$I$20,$I$13,0)</f>
        <v>0</v>
      </c>
      <c r="J92" s="12" t="n">
        <f aca="false">IF($B92=$J$20,$J$13,0)</f>
        <v>0</v>
      </c>
      <c r="K92" s="973" t="n">
        <f aca="false">SUM(H92:J92)</f>
        <v>0</v>
      </c>
    </row>
    <row r="93" customFormat="false" ht="12.75" hidden="false" customHeight="false" outlineLevel="0" collapsed="false">
      <c r="B93" s="1087" t="n">
        <f aca="false">DATE(YEAR(B92),MONTH(B92)+1,DAY(B92))</f>
        <v>45567</v>
      </c>
      <c r="C93" s="1026" t="n">
        <f aca="false">IF(ISERROR(VLOOKUP($B93,$C$137:$D$184,2,FALSE()))=TRUE(),0,VLOOKUP($B93,$C$137:$D$184,2,FALSE()))</f>
        <v>0</v>
      </c>
      <c r="D93" s="1026" t="n">
        <f aca="false">IF(ISERROR(VLOOKUP($B93,$C$137:$F$184,4,FALSE()))=TRUE(),0,VLOOKUP($B93,$C$137:$F$184,4,FALSE()))</f>
        <v>0</v>
      </c>
      <c r="E93" s="12" t="n">
        <f aca="false">IF($B93=$E$20,$E$13,0)</f>
        <v>0</v>
      </c>
      <c r="F93" s="1066" t="n">
        <f aca="false">IF($B93=$F$20,$F$13,0)</f>
        <v>0</v>
      </c>
      <c r="G93" s="1067" t="n">
        <f aca="false">SUM(C93:F93)</f>
        <v>0</v>
      </c>
      <c r="H93" s="567" t="n">
        <f aca="false">IF($B93=$H$20,$H$13,0)</f>
        <v>0</v>
      </c>
      <c r="I93" s="12" t="n">
        <f aca="false">IF($B93=$I$20,$I$13,0)</f>
        <v>0</v>
      </c>
      <c r="J93" s="12" t="n">
        <f aca="false">IF($B93=$J$20,$J$13,0)</f>
        <v>0</v>
      </c>
      <c r="K93" s="973" t="n">
        <f aca="false">SUM(H93:J93)</f>
        <v>0</v>
      </c>
    </row>
    <row r="94" customFormat="false" ht="12.75" hidden="false" customHeight="false" outlineLevel="0" collapsed="false">
      <c r="B94" s="1087" t="n">
        <f aca="false">DATE(YEAR(B93),MONTH(B93)+1,DAY(B93))</f>
        <v>45598</v>
      </c>
      <c r="C94" s="1026" t="n">
        <f aca="false">IF(ISERROR(VLOOKUP($B94,$C$137:$D$184,2,FALSE()))=TRUE(),0,VLOOKUP($B94,$C$137:$D$184,2,FALSE()))</f>
        <v>0</v>
      </c>
      <c r="D94" s="1026" t="n">
        <f aca="false">IF(ISERROR(VLOOKUP($B94,$C$137:$F$184,4,FALSE()))=TRUE(),0,VLOOKUP($B94,$C$137:$F$184,4,FALSE()))</f>
        <v>0</v>
      </c>
      <c r="E94" s="12" t="n">
        <f aca="false">IF($B94=$E$20,$E$13,0)</f>
        <v>0</v>
      </c>
      <c r="F94" s="1066" t="n">
        <f aca="false">IF($B94=$F$20,$F$13,0)</f>
        <v>0</v>
      </c>
      <c r="G94" s="1067" t="n">
        <f aca="false">SUM(C94:F94)</f>
        <v>0</v>
      </c>
      <c r="H94" s="567" t="n">
        <f aca="false">IF($B94=$H$20,$H$13,0)</f>
        <v>0</v>
      </c>
      <c r="I94" s="12" t="n">
        <f aca="false">IF($B94=$I$20,$I$13,0)</f>
        <v>0</v>
      </c>
      <c r="J94" s="12" t="n">
        <f aca="false">IF($B94=$J$20,$J$13,0)</f>
        <v>0</v>
      </c>
      <c r="K94" s="973" t="n">
        <f aca="false">SUM(H94:J94)</f>
        <v>0</v>
      </c>
    </row>
    <row r="95" s="23" customFormat="true" ht="12.75" hidden="false" customHeight="false" outlineLevel="0" collapsed="false">
      <c r="B95" s="1094" t="n">
        <f aca="false">DATE(YEAR(B94),MONTH(B94)+1,DAY(B94))</f>
        <v>45628</v>
      </c>
      <c r="C95" s="1090" t="n">
        <f aca="false">IF(ISERROR(VLOOKUP($B95,$C$137:$D$184,2,FALSE()))=TRUE(),0,VLOOKUP($B95,$C$137:$D$184,2,FALSE()))</f>
        <v>0</v>
      </c>
      <c r="D95" s="1090" t="n">
        <f aca="false">IF(ISERROR(VLOOKUP($B95,$C$137:$F$184,4,FALSE()))=TRUE(),0,VLOOKUP($B95,$C$137:$F$184,4,FALSE()))</f>
        <v>0</v>
      </c>
      <c r="E95" s="1095" t="n">
        <f aca="false">IF($B95=$E$20,$E$13,0)</f>
        <v>0</v>
      </c>
      <c r="F95" s="706" t="n">
        <f aca="false">IF($B95=$F$20,$F$13,0)</f>
        <v>0</v>
      </c>
      <c r="G95" s="1096" t="n">
        <f aca="false">SUM(C95:F95)</f>
        <v>0</v>
      </c>
      <c r="H95" s="1097" t="n">
        <f aca="false">IF($B95=$H$20,$H$13,0)</f>
        <v>0</v>
      </c>
      <c r="I95" s="13" t="n">
        <f aca="false">IF($B95=$I$20,$I$13,0)</f>
        <v>0</v>
      </c>
      <c r="J95" s="13" t="n">
        <f aca="false">IF($B95=$J$20,$J$13,0)</f>
        <v>0</v>
      </c>
      <c r="K95" s="1098" t="n">
        <f aca="false">SUM(H95:J95)</f>
        <v>0</v>
      </c>
    </row>
    <row r="96" customFormat="false" ht="12.75" hidden="false" customHeight="false" outlineLevel="0" collapsed="false">
      <c r="B96" s="1087" t="n">
        <f aca="false">DATE(YEAR(B95),MONTH(B95)+1,DAY(B95))</f>
        <v>45659</v>
      </c>
      <c r="C96" s="1026" t="n">
        <f aca="false">IF(ISERROR(VLOOKUP($B96,$C$137:$D$184,2,FALSE()))=TRUE(),0,VLOOKUP($B96,$C$137:$D$184,2,FALSE()))</f>
        <v>0</v>
      </c>
      <c r="D96" s="1026" t="n">
        <f aca="false">IF(ISERROR(VLOOKUP($B96,$C$137:$F$184,4,FALSE()))=TRUE(),0,VLOOKUP($B96,$C$137:$F$184,4,FALSE()))</f>
        <v>0</v>
      </c>
      <c r="E96" s="12" t="n">
        <f aca="false">IF($B96=$E$20,$E$13,0)</f>
        <v>0</v>
      </c>
      <c r="F96" s="1066" t="n">
        <f aca="false">IF($B96=$F$20,$F$13,0)</f>
        <v>0</v>
      </c>
      <c r="G96" s="1067" t="n">
        <f aca="false">SUM(C96:F96)</f>
        <v>0</v>
      </c>
      <c r="H96" s="567" t="n">
        <f aca="false">IF($B96=$H$20,$H$13,0)</f>
        <v>0</v>
      </c>
      <c r="I96" s="12" t="n">
        <f aca="false">IF($B96=$I$20,$I$13,0)</f>
        <v>0</v>
      </c>
      <c r="J96" s="12" t="n">
        <f aca="false">IF($B96=$J$20,$J$13,0)</f>
        <v>0</v>
      </c>
      <c r="K96" s="973" t="n">
        <f aca="false">SUM(H96:J96)</f>
        <v>0</v>
      </c>
    </row>
    <row r="97" customFormat="false" ht="12.75" hidden="false" customHeight="false" outlineLevel="0" collapsed="false">
      <c r="B97" s="1087" t="n">
        <f aca="false">DATE(YEAR(B96),MONTH(B96)+1,DAY(B96))</f>
        <v>45690</v>
      </c>
      <c r="C97" s="1026" t="n">
        <f aca="false">IF(ISERROR(VLOOKUP($B97,$C$137:$D$184,2,FALSE()))=TRUE(),0,VLOOKUP($B97,$C$137:$D$184,2,FALSE()))</f>
        <v>0</v>
      </c>
      <c r="D97" s="1026" t="n">
        <f aca="false">IF(ISERROR(VLOOKUP($B97,$C$137:$F$184,4,FALSE()))=TRUE(),0,VLOOKUP($B97,$C$137:$F$184,4,FALSE()))</f>
        <v>0</v>
      </c>
      <c r="E97" s="12" t="n">
        <f aca="false">IF($B97=$E$20,$E$13,0)</f>
        <v>0</v>
      </c>
      <c r="F97" s="1066" t="n">
        <f aca="false">IF($B97=$F$20,$F$13,0)</f>
        <v>0</v>
      </c>
      <c r="G97" s="1067" t="n">
        <f aca="false">SUM(C97:F97)</f>
        <v>0</v>
      </c>
      <c r="H97" s="567" t="n">
        <f aca="false">IF($B97=$H$20,$H$13,0)</f>
        <v>0</v>
      </c>
      <c r="I97" s="12" t="n">
        <f aca="false">IF($B97=$I$20,$I$13,0)</f>
        <v>0</v>
      </c>
      <c r="J97" s="12" t="n">
        <f aca="false">IF($B97=$J$20,$J$13,0)</f>
        <v>0</v>
      </c>
      <c r="K97" s="973" t="n">
        <f aca="false">SUM(H97:J97)</f>
        <v>0</v>
      </c>
    </row>
    <row r="98" customFormat="false" ht="12.75" hidden="false" customHeight="false" outlineLevel="0" collapsed="false">
      <c r="B98" s="1087" t="n">
        <f aca="false">DATE(YEAR(B97),MONTH(B97)+1,DAY(B97))</f>
        <v>45718</v>
      </c>
      <c r="C98" s="1026" t="n">
        <f aca="false">IF(ISERROR(VLOOKUP($B98,$C$137:$D$184,2,FALSE()))=TRUE(),0,VLOOKUP($B98,$C$137:$D$184,2,FALSE()))</f>
        <v>0</v>
      </c>
      <c r="D98" s="1026" t="n">
        <f aca="false">IF(ISERROR(VLOOKUP($B98,$C$137:$F$184,4,FALSE()))=TRUE(),0,VLOOKUP($B98,$C$137:$F$184,4,FALSE()))</f>
        <v>0</v>
      </c>
      <c r="E98" s="12" t="n">
        <f aca="false">IF($B98=$E$20,$E$13,0)</f>
        <v>0</v>
      </c>
      <c r="F98" s="1066" t="n">
        <f aca="false">IF($B98=$F$20,$F$13,0)</f>
        <v>0</v>
      </c>
      <c r="G98" s="1067" t="n">
        <f aca="false">SUM(C98:F98)</f>
        <v>0</v>
      </c>
      <c r="H98" s="567" t="n">
        <f aca="false">IF($B98=$H$20,$H$13,0)</f>
        <v>0</v>
      </c>
      <c r="I98" s="12" t="n">
        <f aca="false">IF($B98=$I$20,$I$13,0)</f>
        <v>0</v>
      </c>
      <c r="J98" s="12" t="n">
        <f aca="false">IF($B98=$J$20,$J$13,0)</f>
        <v>0</v>
      </c>
      <c r="K98" s="973" t="n">
        <f aca="false">SUM(H98:J98)</f>
        <v>0</v>
      </c>
    </row>
    <row r="99" customFormat="false" ht="12.75" hidden="false" customHeight="false" outlineLevel="0" collapsed="false">
      <c r="B99" s="1087" t="n">
        <f aca="false">DATE(YEAR(B98),MONTH(B98)+1,DAY(B98))</f>
        <v>45749</v>
      </c>
      <c r="C99" s="1026" t="n">
        <f aca="false">IF(ISERROR(VLOOKUP($B99,$C$137:$D$184,2,FALSE()))=TRUE(),0,VLOOKUP($B99,$C$137:$D$184,2,FALSE()))</f>
        <v>0</v>
      </c>
      <c r="D99" s="1026" t="n">
        <f aca="false">IF(ISERROR(VLOOKUP($B99,$C$137:$F$184,4,FALSE()))=TRUE(),0,VLOOKUP($B99,$C$137:$F$184,4,FALSE()))</f>
        <v>0</v>
      </c>
      <c r="E99" s="12" t="n">
        <f aca="false">IF($B99=$E$20,$E$13,0)</f>
        <v>0</v>
      </c>
      <c r="F99" s="1066" t="n">
        <f aca="false">IF($B99=$F$20,$F$13,0)</f>
        <v>0</v>
      </c>
      <c r="G99" s="1067" t="n">
        <f aca="false">SUM(C99:F99)</f>
        <v>0</v>
      </c>
      <c r="H99" s="567" t="n">
        <f aca="false">IF($B99=$H$20,$H$13,0)</f>
        <v>0</v>
      </c>
      <c r="I99" s="12" t="n">
        <f aca="false">IF($B99=$I$20,$I$13,0)</f>
        <v>0</v>
      </c>
      <c r="J99" s="12" t="n">
        <f aca="false">IF($B99=$J$20,$J$13,0)</f>
        <v>0</v>
      </c>
      <c r="K99" s="973" t="n">
        <f aca="false">SUM(H99:J99)</f>
        <v>0</v>
      </c>
    </row>
    <row r="100" customFormat="false" ht="12.75" hidden="false" customHeight="false" outlineLevel="0" collapsed="false">
      <c r="B100" s="1087" t="n">
        <f aca="false">DATE(YEAR(B99),MONTH(B99)+1,DAY(B99))</f>
        <v>45779</v>
      </c>
      <c r="C100" s="1026" t="n">
        <f aca="false">IF(ISERROR(VLOOKUP($B100,$C$137:$D$184,2,FALSE()))=TRUE(),0,VLOOKUP($B100,$C$137:$D$184,2,FALSE()))</f>
        <v>0</v>
      </c>
      <c r="D100" s="1026" t="n">
        <f aca="false">IF(ISERROR(VLOOKUP($B100,$C$137:$F$184,4,FALSE()))=TRUE(),0,VLOOKUP($B100,$C$137:$F$184,4,FALSE()))</f>
        <v>0</v>
      </c>
      <c r="E100" s="12" t="n">
        <f aca="false">IF($B100=$E$20,$E$13,0)</f>
        <v>0</v>
      </c>
      <c r="F100" s="1066" t="n">
        <f aca="false">IF($B100=$F$20,$F$13,0)</f>
        <v>0</v>
      </c>
      <c r="G100" s="1067" t="n">
        <f aca="false">SUM(C100:F100)</f>
        <v>0</v>
      </c>
      <c r="H100" s="567" t="n">
        <f aca="false">IF($B100=$H$20,$H$13,0)</f>
        <v>0</v>
      </c>
      <c r="I100" s="12" t="n">
        <f aca="false">IF($B100=$I$20,$I$13,0)</f>
        <v>0</v>
      </c>
      <c r="J100" s="12" t="n">
        <f aca="false">IF($B100=$J$20,$J$13,0)</f>
        <v>0</v>
      </c>
      <c r="K100" s="973" t="n">
        <f aca="false">SUM(H100:J100)</f>
        <v>0</v>
      </c>
    </row>
    <row r="101" customFormat="false" ht="12.75" hidden="false" customHeight="false" outlineLevel="0" collapsed="false">
      <c r="B101" s="1087" t="n">
        <f aca="false">DATE(YEAR(B100),MONTH(B100)+1,DAY(B100))</f>
        <v>45810</v>
      </c>
      <c r="C101" s="1026" t="n">
        <f aca="false">IF(ISERROR(VLOOKUP($B101,$C$137:$D$184,2,FALSE()))=TRUE(),0,VLOOKUP($B101,$C$137:$D$184,2,FALSE()))</f>
        <v>0</v>
      </c>
      <c r="D101" s="1026" t="n">
        <f aca="false">IF(ISERROR(VLOOKUP($B101,$C$137:$F$184,4,FALSE()))=TRUE(),0,VLOOKUP($B101,$C$137:$F$184,4,FALSE()))</f>
        <v>0</v>
      </c>
      <c r="E101" s="12" t="n">
        <f aca="false">IF($B101=$E$20,$E$13,0)</f>
        <v>0</v>
      </c>
      <c r="F101" s="1066" t="n">
        <f aca="false">IF($B101=$F$20,$F$13,0)</f>
        <v>0</v>
      </c>
      <c r="G101" s="1067" t="n">
        <f aca="false">SUM(C101:F101)</f>
        <v>0</v>
      </c>
      <c r="H101" s="567" t="n">
        <f aca="false">IF($B101=$H$20,$H$13,0)</f>
        <v>0</v>
      </c>
      <c r="I101" s="12" t="n">
        <f aca="false">IF($B101=$I$20,$I$13,0)</f>
        <v>0</v>
      </c>
      <c r="J101" s="12" t="n">
        <f aca="false">IF($B101=$J$20,$J$13,0)</f>
        <v>0</v>
      </c>
      <c r="K101" s="973" t="n">
        <f aca="false">SUM(H101:J101)</f>
        <v>0</v>
      </c>
    </row>
    <row r="102" customFormat="false" ht="12.75" hidden="false" customHeight="false" outlineLevel="0" collapsed="false">
      <c r="B102" s="1087" t="n">
        <f aca="false">DATE(YEAR(B101),MONTH(B101)+1,DAY(B101))</f>
        <v>45840</v>
      </c>
      <c r="C102" s="1026" t="n">
        <f aca="false">IF(ISERROR(VLOOKUP($B102,$C$137:$D$184,2,FALSE()))=TRUE(),0,VLOOKUP($B102,$C$137:$D$184,2,FALSE()))</f>
        <v>0</v>
      </c>
      <c r="D102" s="1026" t="n">
        <f aca="false">IF(ISERROR(VLOOKUP($B102,$C$137:$F$184,4,FALSE()))=TRUE(),0,VLOOKUP($B102,$C$137:$F$184,4,FALSE()))</f>
        <v>0</v>
      </c>
      <c r="E102" s="12" t="n">
        <f aca="false">IF($B102=$E$20,$E$13,0)</f>
        <v>0</v>
      </c>
      <c r="F102" s="1066" t="n">
        <f aca="false">IF($B102=$F$20,$F$13,0)</f>
        <v>0</v>
      </c>
      <c r="G102" s="1067" t="n">
        <f aca="false">SUM(C102:F102)</f>
        <v>0</v>
      </c>
      <c r="H102" s="567" t="n">
        <f aca="false">IF($B102=$H$20,$H$13,0)</f>
        <v>0</v>
      </c>
      <c r="I102" s="12" t="n">
        <f aca="false">IF($B102=$I$20,$I$13,0)</f>
        <v>0</v>
      </c>
      <c r="J102" s="12" t="n">
        <f aca="false">IF($B102=$J$20,$J$13,0)</f>
        <v>0</v>
      </c>
      <c r="K102" s="973" t="n">
        <f aca="false">SUM(H102:J102)</f>
        <v>0</v>
      </c>
    </row>
    <row r="103" customFormat="false" ht="12.75" hidden="false" customHeight="false" outlineLevel="0" collapsed="false">
      <c r="B103" s="1087" t="n">
        <f aca="false">DATE(YEAR(B102),MONTH(B102)+1,DAY(B102))</f>
        <v>45871</v>
      </c>
      <c r="C103" s="1026" t="n">
        <f aca="false">IF(ISERROR(VLOOKUP($B103,$C$137:$D$184,2,FALSE()))=TRUE(),0,VLOOKUP($B103,$C$137:$D$184,2,FALSE()))</f>
        <v>0</v>
      </c>
      <c r="D103" s="1026" t="n">
        <f aca="false">IF(ISERROR(VLOOKUP($B103,$C$137:$F$184,4,FALSE()))=TRUE(),0,VLOOKUP($B103,$C$137:$F$184,4,FALSE()))</f>
        <v>0</v>
      </c>
      <c r="E103" s="12" t="n">
        <f aca="false">IF($B103=$E$20,$E$13,0)</f>
        <v>0</v>
      </c>
      <c r="F103" s="1066" t="n">
        <f aca="false">IF($B103=$F$20,$F$13,0)</f>
        <v>0</v>
      </c>
      <c r="G103" s="1067" t="n">
        <f aca="false">SUM(C103:F103)</f>
        <v>0</v>
      </c>
      <c r="H103" s="567" t="n">
        <f aca="false">IF($B103=$H$20,$H$13,0)</f>
        <v>0</v>
      </c>
      <c r="I103" s="12" t="n">
        <f aca="false">IF($B103=$I$20,$I$13,0)</f>
        <v>0</v>
      </c>
      <c r="J103" s="12" t="n">
        <f aca="false">IF($B103=$J$20,$J$13,0)</f>
        <v>0</v>
      </c>
      <c r="K103" s="973" t="n">
        <f aca="false">SUM(H103:J103)</f>
        <v>0</v>
      </c>
    </row>
    <row r="104" customFormat="false" ht="12.75" hidden="false" customHeight="false" outlineLevel="0" collapsed="false">
      <c r="B104" s="1087" t="n">
        <f aca="false">DATE(YEAR(B103),MONTH(B103)+1,DAY(B103))</f>
        <v>45902</v>
      </c>
      <c r="C104" s="1026" t="n">
        <f aca="false">IF(ISERROR(VLOOKUP($B104,$C$137:$D$184,2,FALSE()))=TRUE(),0,VLOOKUP($B104,$C$137:$D$184,2,FALSE()))</f>
        <v>0</v>
      </c>
      <c r="D104" s="1026" t="n">
        <f aca="false">IF(ISERROR(VLOOKUP($B104,$C$137:$F$184,4,FALSE()))=TRUE(),0,VLOOKUP($B104,$C$137:$F$184,4,FALSE()))</f>
        <v>0</v>
      </c>
      <c r="E104" s="12" t="n">
        <f aca="false">IF($B104=$E$20,$E$13,0)</f>
        <v>0</v>
      </c>
      <c r="F104" s="1066" t="n">
        <f aca="false">IF($B104=$F$20,$F$13,0)</f>
        <v>0</v>
      </c>
      <c r="G104" s="1067" t="n">
        <f aca="false">SUM(C104:F104)</f>
        <v>0</v>
      </c>
      <c r="H104" s="567" t="n">
        <f aca="false">IF($B104=$H$20,$H$13,0)</f>
        <v>0</v>
      </c>
      <c r="I104" s="12" t="n">
        <f aca="false">IF($B104=$I$20,$I$13,0)</f>
        <v>0</v>
      </c>
      <c r="J104" s="12" t="n">
        <f aca="false">IF($B104=$J$20,$J$13,0)</f>
        <v>0</v>
      </c>
      <c r="K104" s="973" t="n">
        <f aca="false">SUM(H104:J104)</f>
        <v>0</v>
      </c>
    </row>
    <row r="105" customFormat="false" ht="12.75" hidden="false" customHeight="false" outlineLevel="0" collapsed="false">
      <c r="B105" s="1087" t="n">
        <f aca="false">DATE(YEAR(B104),MONTH(B104)+1,DAY(B104))</f>
        <v>45932</v>
      </c>
      <c r="C105" s="1026" t="n">
        <f aca="false">IF(ISERROR(VLOOKUP($B105,$C$137:$D$184,2,FALSE()))=TRUE(),0,VLOOKUP($B105,$C$137:$D$184,2,FALSE()))</f>
        <v>0</v>
      </c>
      <c r="D105" s="1026" t="n">
        <f aca="false">IF(ISERROR(VLOOKUP($B105,$C$137:$F$184,4,FALSE()))=TRUE(),0,VLOOKUP($B105,$C$137:$F$184,4,FALSE()))</f>
        <v>0</v>
      </c>
      <c r="E105" s="12" t="n">
        <f aca="false">IF($B105=$E$20,$E$13,0)</f>
        <v>0</v>
      </c>
      <c r="F105" s="1066" t="n">
        <f aca="false">IF($B105=$F$20,$F$13,0)</f>
        <v>0</v>
      </c>
      <c r="G105" s="1067" t="n">
        <f aca="false">SUM(C105:F105)</f>
        <v>0</v>
      </c>
      <c r="H105" s="567" t="n">
        <f aca="false">IF($B105=$H$20,$H$13,0)</f>
        <v>0</v>
      </c>
      <c r="I105" s="12" t="n">
        <f aca="false">IF($B105=$I$20,$I$13,0)</f>
        <v>0</v>
      </c>
      <c r="J105" s="12" t="n">
        <f aca="false">IF($B105=$J$20,$J$13,0)</f>
        <v>0</v>
      </c>
      <c r="K105" s="973" t="n">
        <f aca="false">SUM(H105:J105)</f>
        <v>0</v>
      </c>
    </row>
    <row r="106" customFormat="false" ht="12.75" hidden="false" customHeight="false" outlineLevel="0" collapsed="false">
      <c r="B106" s="1087" t="n">
        <f aca="false">DATE(YEAR(B105),MONTH(B105)+1,DAY(B105))</f>
        <v>45963</v>
      </c>
      <c r="C106" s="1026" t="n">
        <f aca="false">IF(ISERROR(VLOOKUP($B106,$C$137:$D$184,2,FALSE()))=TRUE(),0,VLOOKUP($B106,$C$137:$D$184,2,FALSE()))</f>
        <v>0</v>
      </c>
      <c r="D106" s="1026" t="n">
        <f aca="false">IF(ISERROR(VLOOKUP($B106,$C$137:$F$184,4,FALSE()))=TRUE(),0,VLOOKUP($B106,$C$137:$F$184,4,FALSE()))</f>
        <v>0</v>
      </c>
      <c r="E106" s="12" t="n">
        <f aca="false">IF($B106=$E$20,$E$13,0)</f>
        <v>0</v>
      </c>
      <c r="F106" s="1066" t="n">
        <f aca="false">IF($B106=$F$20,$F$13,0)</f>
        <v>0</v>
      </c>
      <c r="G106" s="1067" t="n">
        <f aca="false">SUM(C106:F106)</f>
        <v>0</v>
      </c>
      <c r="H106" s="567" t="n">
        <f aca="false">IF($B106=$H$20,$H$13,0)</f>
        <v>0</v>
      </c>
      <c r="I106" s="12" t="n">
        <f aca="false">IF($B106=$I$20,$I$13,0)</f>
        <v>0</v>
      </c>
      <c r="J106" s="12" t="n">
        <f aca="false">IF($B106=$J$20,$J$13,0)</f>
        <v>0</v>
      </c>
      <c r="K106" s="973" t="n">
        <f aca="false">SUM(H106:J106)</f>
        <v>0</v>
      </c>
    </row>
    <row r="107" s="23" customFormat="true" ht="12.75" hidden="false" customHeight="false" outlineLevel="0" collapsed="false">
      <c r="B107" s="1094" t="n">
        <f aca="false">DATE(YEAR(B106),MONTH(B106)+1,DAY(B106))</f>
        <v>45993</v>
      </c>
      <c r="C107" s="1090" t="n">
        <f aca="false">IF(ISERROR(VLOOKUP($B107,$C$137:$D$184,2,FALSE()))=TRUE(),0,VLOOKUP($B107,$C$137:$D$184,2,FALSE()))</f>
        <v>0</v>
      </c>
      <c r="D107" s="1090" t="n">
        <f aca="false">IF(ISERROR(VLOOKUP($B107,$C$137:$F$184,4,FALSE()))=TRUE(),0,VLOOKUP($B107,$C$137:$F$184,4,FALSE()))</f>
        <v>0</v>
      </c>
      <c r="E107" s="1095" t="n">
        <f aca="false">IF($B107=$E$20,$E$13,0)</f>
        <v>0</v>
      </c>
      <c r="F107" s="706" t="n">
        <f aca="false">IF($B107=$F$20,$F$13,0)</f>
        <v>0</v>
      </c>
      <c r="G107" s="1096" t="n">
        <f aca="false">SUM(C107:F107)</f>
        <v>0</v>
      </c>
      <c r="H107" s="1097" t="n">
        <f aca="false">IF($B107=$H$20,$H$13,0)</f>
        <v>0</v>
      </c>
      <c r="I107" s="13" t="n">
        <f aca="false">IF($B107=$I$20,$I$13,0)</f>
        <v>0</v>
      </c>
      <c r="J107" s="13" t="n">
        <f aca="false">IF($B107=$J$20,$J$13,0)</f>
        <v>0</v>
      </c>
      <c r="K107" s="1099" t="n">
        <f aca="false">SUM(H107:J107)</f>
        <v>0</v>
      </c>
    </row>
    <row r="108" customFormat="false" ht="12.75" hidden="false" customHeight="false" outlineLevel="0" collapsed="false">
      <c r="B108" s="1087" t="n">
        <f aca="false">DATE(YEAR(B107),MONTH(B107)+1,DAY(B107))</f>
        <v>46024</v>
      </c>
      <c r="C108" s="1026" t="n">
        <f aca="false">IF(ISERROR(VLOOKUP($B108,$C$137:$D$184,2,FALSE()))=TRUE(),0,VLOOKUP($B108,$C$137:$D$184,2,FALSE()))</f>
        <v>0</v>
      </c>
      <c r="D108" s="1026" t="n">
        <f aca="false">IF(ISERROR(VLOOKUP($B108,$C$137:$F$184,4,FALSE()))=TRUE(),0,VLOOKUP($B108,$C$137:$F$184,4,FALSE()))</f>
        <v>0</v>
      </c>
      <c r="E108" s="12" t="n">
        <f aca="false">IF($B108=$E$20,$E$13,0)</f>
        <v>0</v>
      </c>
      <c r="F108" s="1066" t="n">
        <f aca="false">IF($B108=$F$20,$F$13,0)</f>
        <v>0</v>
      </c>
      <c r="G108" s="1067" t="n">
        <f aca="false">SUM(C108:F108)</f>
        <v>0</v>
      </c>
      <c r="H108" s="567" t="n">
        <f aca="false">IF($B108=$H$20,$H$13,0)</f>
        <v>0</v>
      </c>
      <c r="I108" s="12" t="n">
        <f aca="false">IF($B108=$I$20,$I$13,0)</f>
        <v>0</v>
      </c>
      <c r="J108" s="12" t="n">
        <f aca="false">IF($B108=$J$20,$J$13,0)</f>
        <v>0</v>
      </c>
      <c r="K108" s="973" t="n">
        <f aca="false">SUM(H108:J108)</f>
        <v>0</v>
      </c>
    </row>
    <row r="109" customFormat="false" ht="12.75" hidden="false" customHeight="false" outlineLevel="0" collapsed="false">
      <c r="B109" s="1087" t="n">
        <f aca="false">DATE(YEAR(B108),MONTH(B108)+1,DAY(B108))</f>
        <v>46055</v>
      </c>
      <c r="C109" s="1026" t="n">
        <f aca="false">IF(ISERROR(VLOOKUP($B109,$C$137:$D$184,2,FALSE()))=TRUE(),0,VLOOKUP($B109,$C$137:$D$184,2,FALSE()))</f>
        <v>0</v>
      </c>
      <c r="D109" s="1026" t="n">
        <f aca="false">IF(ISERROR(VLOOKUP($B109,$C$137:$F$184,4,FALSE()))=TRUE(),0,VLOOKUP($B109,$C$137:$F$184,4,FALSE()))</f>
        <v>0</v>
      </c>
      <c r="E109" s="12" t="n">
        <f aca="false">IF($B109=$E$20,$E$13,0)</f>
        <v>0</v>
      </c>
      <c r="F109" s="1066" t="n">
        <f aca="false">IF($B109=$F$20,$F$13,0)</f>
        <v>0</v>
      </c>
      <c r="G109" s="1067" t="n">
        <f aca="false">SUM(C109:F109)</f>
        <v>0</v>
      </c>
      <c r="H109" s="567" t="n">
        <f aca="false">IF($B109=$H$20,$H$13,0)</f>
        <v>0</v>
      </c>
      <c r="I109" s="12" t="n">
        <f aca="false">IF($B109=$I$20,$I$13,0)</f>
        <v>0</v>
      </c>
      <c r="J109" s="12" t="n">
        <f aca="false">IF($B109=$J$20,$J$13,0)</f>
        <v>0</v>
      </c>
      <c r="K109" s="973" t="n">
        <f aca="false">SUM(H109:J109)</f>
        <v>0</v>
      </c>
    </row>
    <row r="110" customFormat="false" ht="12.75" hidden="false" customHeight="false" outlineLevel="0" collapsed="false">
      <c r="B110" s="1087" t="n">
        <f aca="false">DATE(YEAR(B109),MONTH(B109)+1,DAY(B109))</f>
        <v>46083</v>
      </c>
      <c r="C110" s="1026" t="n">
        <f aca="false">IF(ISERROR(VLOOKUP($B110,$C$137:$D$184,2,FALSE()))=TRUE(),0,VLOOKUP($B110,$C$137:$D$184,2,FALSE()))</f>
        <v>0</v>
      </c>
      <c r="D110" s="1026" t="n">
        <f aca="false">IF(ISERROR(VLOOKUP($B110,$C$137:$F$184,4,FALSE()))=TRUE(),0,VLOOKUP($B110,$C$137:$F$184,4,FALSE()))</f>
        <v>0</v>
      </c>
      <c r="E110" s="12" t="n">
        <f aca="false">IF($B110=$E$20,$E$13,0)</f>
        <v>0</v>
      </c>
      <c r="F110" s="1066" t="n">
        <f aca="false">IF($B110=$F$20,$F$13,0)</f>
        <v>0</v>
      </c>
      <c r="G110" s="1067" t="n">
        <f aca="false">SUM(C110:F110)</f>
        <v>0</v>
      </c>
      <c r="H110" s="567" t="n">
        <f aca="false">IF($B110=$H$20,$H$13,0)</f>
        <v>0</v>
      </c>
      <c r="I110" s="12" t="n">
        <f aca="false">IF($B110=$I$20,$I$13,0)</f>
        <v>0</v>
      </c>
      <c r="J110" s="12" t="n">
        <f aca="false">IF($B110=$J$20,$J$13,0)</f>
        <v>0</v>
      </c>
      <c r="K110" s="973" t="n">
        <f aca="false">SUM(H110:J110)</f>
        <v>0</v>
      </c>
    </row>
    <row r="111" customFormat="false" ht="12.75" hidden="false" customHeight="false" outlineLevel="0" collapsed="false">
      <c r="B111" s="1087" t="n">
        <f aca="false">DATE(YEAR(B110),MONTH(B110)+1,DAY(B110))</f>
        <v>46114</v>
      </c>
      <c r="C111" s="1026" t="n">
        <f aca="false">IF(ISERROR(VLOOKUP($B111,$C$137:$D$184,2,FALSE()))=TRUE(),0,VLOOKUP($B111,$C$137:$D$184,2,FALSE()))</f>
        <v>0</v>
      </c>
      <c r="D111" s="1026" t="n">
        <f aca="false">IF(ISERROR(VLOOKUP($B111,$C$137:$F$184,4,FALSE()))=TRUE(),0,VLOOKUP($B111,$C$137:$F$184,4,FALSE()))</f>
        <v>0</v>
      </c>
      <c r="E111" s="12" t="n">
        <f aca="false">IF($B111=$E$20,$E$13,0)</f>
        <v>0</v>
      </c>
      <c r="F111" s="1066" t="n">
        <f aca="false">IF($B111=$F$20,$F$13,0)</f>
        <v>0</v>
      </c>
      <c r="G111" s="1067" t="n">
        <f aca="false">SUM(C111:F111)</f>
        <v>0</v>
      </c>
      <c r="H111" s="567" t="n">
        <f aca="false">IF($B111=$H$20,$H$13,0)</f>
        <v>0</v>
      </c>
      <c r="I111" s="12" t="n">
        <f aca="false">IF($B111=$I$20,$I$13,0)</f>
        <v>0</v>
      </c>
      <c r="J111" s="12" t="n">
        <f aca="false">IF($B111=$J$20,$J$13,0)</f>
        <v>0</v>
      </c>
      <c r="K111" s="973" t="n">
        <f aca="false">SUM(H111:J111)</f>
        <v>0</v>
      </c>
    </row>
    <row r="112" customFormat="false" ht="12.75" hidden="false" customHeight="false" outlineLevel="0" collapsed="false">
      <c r="B112" s="1087" t="n">
        <f aca="false">DATE(YEAR(B111),MONTH(B111)+1,DAY(B111))</f>
        <v>46144</v>
      </c>
      <c r="C112" s="1026" t="n">
        <f aca="false">IF(ISERROR(VLOOKUP($B112,$C$137:$D$184,2,FALSE()))=TRUE(),0,VLOOKUP($B112,$C$137:$D$184,2,FALSE()))</f>
        <v>0</v>
      </c>
      <c r="D112" s="1026" t="n">
        <f aca="false">IF(ISERROR(VLOOKUP($B112,$C$137:$F$184,4,FALSE()))=TRUE(),0,VLOOKUP($B112,$C$137:$F$184,4,FALSE()))</f>
        <v>0</v>
      </c>
      <c r="E112" s="12" t="n">
        <f aca="false">IF($B112=$E$20,$E$13,0)</f>
        <v>0</v>
      </c>
      <c r="F112" s="1066" t="n">
        <f aca="false">IF($B112=$F$20,$F$13,0)</f>
        <v>0</v>
      </c>
      <c r="G112" s="1067" t="n">
        <f aca="false">SUM(C112:F112)</f>
        <v>0</v>
      </c>
      <c r="H112" s="567" t="n">
        <f aca="false">IF($B112=$H$20,$H$13,0)</f>
        <v>0</v>
      </c>
      <c r="I112" s="12" t="n">
        <f aca="false">IF($B112=$I$20,$I$13,0)</f>
        <v>0</v>
      </c>
      <c r="J112" s="12" t="n">
        <f aca="false">IF($B112=$J$20,$J$13,0)</f>
        <v>0</v>
      </c>
      <c r="K112" s="973" t="n">
        <f aca="false">SUM(H112:J112)</f>
        <v>0</v>
      </c>
    </row>
    <row r="113" customFormat="false" ht="12.75" hidden="false" customHeight="false" outlineLevel="0" collapsed="false">
      <c r="B113" s="1087" t="n">
        <f aca="false">DATE(YEAR(B112),MONTH(B112)+1,DAY(B112))</f>
        <v>46175</v>
      </c>
      <c r="C113" s="1026" t="n">
        <f aca="false">IF(ISERROR(VLOOKUP($B113,$C$137:$D$184,2,FALSE()))=TRUE(),0,VLOOKUP($B113,$C$137:$D$184,2,FALSE()))</f>
        <v>0</v>
      </c>
      <c r="D113" s="1026" t="n">
        <f aca="false">IF(ISERROR(VLOOKUP($B113,$C$137:$F$184,4,FALSE()))=TRUE(),0,VLOOKUP($B113,$C$137:$F$184,4,FALSE()))</f>
        <v>0</v>
      </c>
      <c r="E113" s="12" t="n">
        <f aca="false">IF($B113=$E$20,$E$13,0)</f>
        <v>0</v>
      </c>
      <c r="F113" s="1066" t="n">
        <f aca="false">IF($B113=$F$20,$F$13,0)</f>
        <v>0</v>
      </c>
      <c r="G113" s="1067" t="n">
        <f aca="false">SUM(C113:F113)</f>
        <v>0</v>
      </c>
      <c r="H113" s="567" t="n">
        <f aca="false">IF($B113=$H$20,$H$13,0)</f>
        <v>0</v>
      </c>
      <c r="I113" s="12" t="n">
        <f aca="false">IF($B113=$I$20,$I$13,0)</f>
        <v>0</v>
      </c>
      <c r="J113" s="12" t="n">
        <f aca="false">IF($B113=$J$20,$J$13,0)</f>
        <v>0</v>
      </c>
      <c r="K113" s="973" t="n">
        <f aca="false">SUM(H113:J113)</f>
        <v>0</v>
      </c>
    </row>
    <row r="114" customFormat="false" ht="12.75" hidden="false" customHeight="false" outlineLevel="0" collapsed="false">
      <c r="B114" s="1087" t="n">
        <f aca="false">DATE(YEAR(B113),MONTH(B113)+1,DAY(B113))</f>
        <v>46205</v>
      </c>
      <c r="C114" s="1026" t="n">
        <f aca="false">IF(ISERROR(VLOOKUP($B114,$C$137:$D$184,2,FALSE()))=TRUE(),0,VLOOKUP($B114,$C$137:$D$184,2,FALSE()))</f>
        <v>0</v>
      </c>
      <c r="D114" s="1026" t="n">
        <f aca="false">IF(ISERROR(VLOOKUP($B114,$C$137:$F$184,4,FALSE()))=TRUE(),0,VLOOKUP($B114,$C$137:$F$184,4,FALSE()))</f>
        <v>0</v>
      </c>
      <c r="E114" s="12" t="n">
        <f aca="false">IF($B114=$E$20,$E$13,0)</f>
        <v>0</v>
      </c>
      <c r="F114" s="1066" t="n">
        <f aca="false">IF($B114=$F$20,$F$13,0)</f>
        <v>0</v>
      </c>
      <c r="G114" s="1067" t="n">
        <f aca="false">SUM(C114:F114)</f>
        <v>0</v>
      </c>
      <c r="H114" s="567" t="n">
        <f aca="false">IF($B114=$H$20,$H$13,0)</f>
        <v>0</v>
      </c>
      <c r="I114" s="12" t="n">
        <f aca="false">IF($B114=$I$20,$I$13,0)</f>
        <v>0</v>
      </c>
      <c r="J114" s="12" t="n">
        <f aca="false">IF($B114=$J$20,$J$13,0)</f>
        <v>0</v>
      </c>
      <c r="K114" s="973" t="n">
        <f aca="false">SUM(H114:J114)</f>
        <v>0</v>
      </c>
    </row>
    <row r="115" customFormat="false" ht="12.75" hidden="false" customHeight="false" outlineLevel="0" collapsed="false">
      <c r="B115" s="1087" t="n">
        <f aca="false">DATE(YEAR(B114),MONTH(B114)+1,DAY(B114))</f>
        <v>46236</v>
      </c>
      <c r="C115" s="1026" t="n">
        <f aca="false">IF(ISERROR(VLOOKUP($B115,$C$137:$D$184,2,FALSE()))=TRUE(),0,VLOOKUP($B115,$C$137:$D$184,2,FALSE()))</f>
        <v>0</v>
      </c>
      <c r="D115" s="1026" t="n">
        <f aca="false">IF(ISERROR(VLOOKUP($B115,$C$137:$F$184,4,FALSE()))=TRUE(),0,VLOOKUP($B115,$C$137:$F$184,4,FALSE()))</f>
        <v>0</v>
      </c>
      <c r="E115" s="12" t="n">
        <f aca="false">IF($B115=$E$20,$E$13,0)</f>
        <v>0</v>
      </c>
      <c r="F115" s="1066" t="n">
        <f aca="false">IF($B115=$F$20,$F$13,0)</f>
        <v>0</v>
      </c>
      <c r="G115" s="1067" t="n">
        <f aca="false">SUM(C115:F115)</f>
        <v>0</v>
      </c>
      <c r="H115" s="567" t="n">
        <f aca="false">IF($B115=$H$20,$H$13,0)</f>
        <v>0</v>
      </c>
      <c r="I115" s="12" t="n">
        <f aca="false">IF($B115=$I$20,$I$13,0)</f>
        <v>0</v>
      </c>
      <c r="J115" s="12" t="n">
        <f aca="false">IF($B115=$J$20,$J$13,0)</f>
        <v>0</v>
      </c>
      <c r="K115" s="973" t="n">
        <f aca="false">SUM(H115:J115)</f>
        <v>0</v>
      </c>
    </row>
    <row r="116" customFormat="false" ht="12.75" hidden="false" customHeight="false" outlineLevel="0" collapsed="false">
      <c r="B116" s="1087" t="n">
        <f aca="false">DATE(YEAR(B115),MONTH(B115)+1,DAY(B115))</f>
        <v>46267</v>
      </c>
      <c r="C116" s="1026" t="n">
        <f aca="false">IF(ISERROR(VLOOKUP($B116,$C$137:$D$184,2,FALSE()))=TRUE(),0,VLOOKUP($B116,$C$137:$D$184,2,FALSE()))</f>
        <v>0</v>
      </c>
      <c r="D116" s="1026" t="n">
        <f aca="false">IF(ISERROR(VLOOKUP($B116,$C$137:$F$184,4,FALSE()))=TRUE(),0,VLOOKUP($B116,$C$137:$F$184,4,FALSE()))</f>
        <v>0</v>
      </c>
      <c r="E116" s="12" t="n">
        <f aca="false">IF($B116=$E$20,$E$13,0)</f>
        <v>0</v>
      </c>
      <c r="F116" s="1066" t="n">
        <f aca="false">IF($B116=$F$20,$F$13,0)</f>
        <v>0</v>
      </c>
      <c r="G116" s="1067" t="n">
        <f aca="false">SUM(C116:F116)</f>
        <v>0</v>
      </c>
      <c r="H116" s="567" t="n">
        <f aca="false">IF($B116=$H$20,$H$13,0)</f>
        <v>0</v>
      </c>
      <c r="I116" s="12" t="n">
        <f aca="false">IF($B116=$I$20,$I$13,0)</f>
        <v>0</v>
      </c>
      <c r="J116" s="12" t="n">
        <f aca="false">IF($B116=$J$20,$J$13,0)</f>
        <v>0</v>
      </c>
      <c r="K116" s="973" t="n">
        <f aca="false">SUM(H116:J116)</f>
        <v>0</v>
      </c>
    </row>
    <row r="117" customFormat="false" ht="12.75" hidden="false" customHeight="false" outlineLevel="0" collapsed="false">
      <c r="B117" s="1087" t="n">
        <f aca="false">DATE(YEAR(B116),MONTH(B116)+1,DAY(B116))</f>
        <v>46297</v>
      </c>
      <c r="C117" s="1026" t="n">
        <f aca="false">IF(ISERROR(VLOOKUP($B117,$C$137:$D$184,2,FALSE()))=TRUE(),0,VLOOKUP($B117,$C$137:$D$184,2,FALSE()))</f>
        <v>0</v>
      </c>
      <c r="D117" s="1026" t="n">
        <f aca="false">IF(ISERROR(VLOOKUP($B117,$C$137:$F$184,4,FALSE()))=TRUE(),0,VLOOKUP($B117,$C$137:$F$184,4,FALSE()))</f>
        <v>0</v>
      </c>
      <c r="E117" s="12" t="n">
        <f aca="false">IF($B117=$E$20,$E$13,0)</f>
        <v>0</v>
      </c>
      <c r="F117" s="1066" t="n">
        <f aca="false">IF($B117=$F$20,$F$13,0)</f>
        <v>0</v>
      </c>
      <c r="G117" s="1067" t="n">
        <f aca="false">SUM(C117:F117)</f>
        <v>0</v>
      </c>
      <c r="H117" s="567" t="n">
        <f aca="false">IF($B117=$H$20,$H$13,0)</f>
        <v>0</v>
      </c>
      <c r="I117" s="12" t="n">
        <f aca="false">IF($B117=$I$20,$I$13,0)</f>
        <v>0</v>
      </c>
      <c r="J117" s="12" t="n">
        <f aca="false">IF($B117=$J$20,$J$13,0)</f>
        <v>0</v>
      </c>
      <c r="K117" s="973" t="n">
        <f aca="false">SUM(H117:J117)</f>
        <v>0</v>
      </c>
    </row>
    <row r="118" customFormat="false" ht="12.75" hidden="false" customHeight="false" outlineLevel="0" collapsed="false">
      <c r="B118" s="1087" t="n">
        <f aca="false">DATE(YEAR(B117),MONTH(B117)+1,DAY(B117))</f>
        <v>46328</v>
      </c>
      <c r="C118" s="1026" t="n">
        <f aca="false">IF(ISERROR(VLOOKUP($B118,$C$137:$D$184,2,FALSE()))=TRUE(),0,VLOOKUP($B118,$C$137:$D$184,2,FALSE()))</f>
        <v>0</v>
      </c>
      <c r="D118" s="1026" t="n">
        <f aca="false">IF(ISERROR(VLOOKUP($B118,$C$137:$F$184,4,FALSE()))=TRUE(),0,VLOOKUP($B118,$C$137:$F$184,4,FALSE()))</f>
        <v>0</v>
      </c>
      <c r="E118" s="12" t="n">
        <f aca="false">IF($B118=$E$20,$E$13,0)</f>
        <v>0</v>
      </c>
      <c r="F118" s="1066" t="n">
        <f aca="false">IF($B118=$F$20,$F$13,0)</f>
        <v>0</v>
      </c>
      <c r="G118" s="1067" t="n">
        <f aca="false">SUM(C118:F118)</f>
        <v>0</v>
      </c>
      <c r="H118" s="567" t="n">
        <f aca="false">IF($B118=$H$20,$H$13,0)</f>
        <v>0</v>
      </c>
      <c r="I118" s="12" t="n">
        <f aca="false">IF($B118=$I$20,$I$13,0)</f>
        <v>0</v>
      </c>
      <c r="J118" s="12" t="n">
        <f aca="false">IF($B118=$J$20,$J$13,0)</f>
        <v>0</v>
      </c>
      <c r="K118" s="973" t="n">
        <f aca="false">SUM(H118:J118)</f>
        <v>0</v>
      </c>
    </row>
    <row r="119" s="23" customFormat="true" ht="12.75" hidden="false" customHeight="false" outlineLevel="0" collapsed="false">
      <c r="B119" s="1094" t="n">
        <f aca="false">DATE(YEAR(B118),MONTH(B118)+1,DAY(B118))</f>
        <v>46358</v>
      </c>
      <c r="C119" s="1090" t="n">
        <f aca="false">IF(ISERROR(VLOOKUP($B119,$C$137:$D$184,2,FALSE()))=TRUE(),0,VLOOKUP($B119,$C$137:$D$184,2,FALSE()))</f>
        <v>0</v>
      </c>
      <c r="D119" s="1090" t="n">
        <f aca="false">IF(ISERROR(VLOOKUP($B119,$C$137:$F$184,4,FALSE()))=TRUE(),0,VLOOKUP($B119,$C$137:$F$184,4,FALSE()))</f>
        <v>0</v>
      </c>
      <c r="E119" s="1095" t="n">
        <f aca="false">IF($B119=$E$20,$E$13,0)</f>
        <v>0</v>
      </c>
      <c r="F119" s="706" t="n">
        <f aca="false">IF($B119=$F$20,$F$13,0)</f>
        <v>0</v>
      </c>
      <c r="G119" s="1096" t="n">
        <f aca="false">SUM(C119:F119)</f>
        <v>0</v>
      </c>
      <c r="H119" s="1097" t="n">
        <f aca="false">IF($B119=$H$20,$H$13,0)</f>
        <v>0</v>
      </c>
      <c r="I119" s="13" t="n">
        <f aca="false">IF($B119=$I$20,$I$13,0)</f>
        <v>0</v>
      </c>
      <c r="J119" s="13" t="n">
        <f aca="false">IF($B119=$J$20,$J$13,0)</f>
        <v>0</v>
      </c>
      <c r="K119" s="1099" t="n">
        <f aca="false">SUM(H119:J119)</f>
        <v>0</v>
      </c>
    </row>
    <row r="120" customFormat="false" ht="12.75" hidden="false" customHeight="false" outlineLevel="0" collapsed="false">
      <c r="B120" s="1087" t="n">
        <f aca="false">DATE(YEAR(B119),MONTH(B119)+1,DAY(B119))</f>
        <v>46389</v>
      </c>
      <c r="C120" s="1026" t="n">
        <f aca="false">IF(ISERROR(VLOOKUP($B120,$C$137:$D$184,2,FALSE()))=TRUE(),0,VLOOKUP($B120,$C$137:$D$184,2,FALSE()))</f>
        <v>0</v>
      </c>
      <c r="D120" s="1026" t="n">
        <f aca="false">IF(ISERROR(VLOOKUP($B120,$C$137:$F$184,4,FALSE()))=TRUE(),0,VLOOKUP($B120,$C$137:$F$184,4,FALSE()))</f>
        <v>0</v>
      </c>
      <c r="E120" s="12" t="n">
        <f aca="false">IF($B120=$E$20,$E$13,0)</f>
        <v>0</v>
      </c>
      <c r="F120" s="1066" t="n">
        <f aca="false">IF($B120=$F$20,$F$13,0)</f>
        <v>0</v>
      </c>
      <c r="G120" s="1100" t="n">
        <f aca="false">SUM(C120:F120)</f>
        <v>0</v>
      </c>
    </row>
    <row r="121" customFormat="false" ht="12.75" hidden="false" customHeight="false" outlineLevel="0" collapsed="false">
      <c r="B121" s="1087" t="n">
        <f aca="false">DATE(YEAR(B120),MONTH(B120)+1,DAY(B120))</f>
        <v>46420</v>
      </c>
      <c r="C121" s="1026" t="n">
        <f aca="false">IF(ISERROR(VLOOKUP($B121,$C$137:$D$184,2,FALSE()))=TRUE(),0,VLOOKUP($B121,$C$137:$D$184,2,FALSE()))</f>
        <v>0</v>
      </c>
      <c r="D121" s="1026" t="n">
        <f aca="false">IF(ISERROR(VLOOKUP($B121,$C$137:$F$184,4,FALSE()))=TRUE(),0,VLOOKUP($B121,$C$137:$F$184,4,FALSE()))</f>
        <v>0</v>
      </c>
      <c r="E121" s="12" t="n">
        <f aca="false">IF($B121=$E$20,$E$13,0)</f>
        <v>0</v>
      </c>
      <c r="F121" s="1066" t="n">
        <f aca="false">IF($B121=$F$20,$F$13,0)</f>
        <v>0</v>
      </c>
      <c r="G121" s="1067" t="n">
        <f aca="false">SUM(C121:F121)</f>
        <v>0</v>
      </c>
    </row>
    <row r="122" customFormat="false" ht="12.75" hidden="false" customHeight="false" outlineLevel="0" collapsed="false">
      <c r="B122" s="1087" t="n">
        <f aca="false">DATE(YEAR(B121),MONTH(B121)+1,DAY(B121))</f>
        <v>46448</v>
      </c>
      <c r="C122" s="1026" t="n">
        <f aca="false">IF(ISERROR(VLOOKUP($B122,$C$137:$D$184,2,FALSE()))=TRUE(),0,VLOOKUP($B122,$C$137:$D$184,2,FALSE()))</f>
        <v>0</v>
      </c>
      <c r="D122" s="1026" t="n">
        <f aca="false">IF(ISERROR(VLOOKUP($B122,$C$137:$F$184,4,FALSE()))=TRUE(),0,VLOOKUP($B122,$C$137:$F$184,4,FALSE()))</f>
        <v>0</v>
      </c>
      <c r="E122" s="12" t="n">
        <f aca="false">IF($B122=$E$20,$E$13,0)</f>
        <v>0</v>
      </c>
      <c r="F122" s="1066" t="n">
        <f aca="false">IF($B122=$F$20,$F$13,0)</f>
        <v>0</v>
      </c>
      <c r="G122" s="1067" t="n">
        <f aca="false">SUM(C122:F122)</f>
        <v>0</v>
      </c>
    </row>
    <row r="123" customFormat="false" ht="12.75" hidden="false" customHeight="false" outlineLevel="0" collapsed="false">
      <c r="B123" s="1087" t="n">
        <f aca="false">DATE(YEAR(B122),MONTH(B122)+1,DAY(B122))</f>
        <v>46479</v>
      </c>
      <c r="C123" s="1026" t="n">
        <f aca="false">IF(ISERROR(VLOOKUP($B123,$C$137:$D$184,2,FALSE()))=TRUE(),0,VLOOKUP($B123,$C$137:$D$184,2,FALSE()))</f>
        <v>0</v>
      </c>
      <c r="D123" s="1026" t="n">
        <f aca="false">IF(ISERROR(VLOOKUP($B123,$C$137:$F$184,4,FALSE()))=TRUE(),0,VLOOKUP($B123,$C$137:$F$184,4,FALSE()))</f>
        <v>0</v>
      </c>
      <c r="E123" s="12" t="n">
        <f aca="false">IF($B123=$E$20,$E$13,0)</f>
        <v>0</v>
      </c>
      <c r="F123" s="1066" t="n">
        <f aca="false">IF($B123=$F$20,$F$13,0)</f>
        <v>0</v>
      </c>
      <c r="G123" s="1067" t="n">
        <f aca="false">SUM(C123:F123)</f>
        <v>0</v>
      </c>
    </row>
    <row r="124" customFormat="false" ht="12.75" hidden="false" customHeight="false" outlineLevel="0" collapsed="false">
      <c r="B124" s="1087" t="n">
        <f aca="false">DATE(YEAR(B123),MONTH(B123)+1,DAY(B123))</f>
        <v>46509</v>
      </c>
      <c r="C124" s="1026" t="n">
        <f aca="false">IF(ISERROR(VLOOKUP($B124,$C$137:$D$184,2,FALSE()))=TRUE(),0,VLOOKUP($B124,$C$137:$D$184,2,FALSE()))</f>
        <v>0</v>
      </c>
      <c r="D124" s="1026" t="n">
        <f aca="false">IF(ISERROR(VLOOKUP($B124,$C$137:$F$184,4,FALSE()))=TRUE(),0,VLOOKUP($B124,$C$137:$F$184,4,FALSE()))</f>
        <v>0</v>
      </c>
      <c r="E124" s="12" t="n">
        <f aca="false">IF($B124=$E$20,$E$13,0)</f>
        <v>0</v>
      </c>
      <c r="F124" s="1066" t="n">
        <f aca="false">IF($B124=$F$20,$F$13,0)</f>
        <v>0</v>
      </c>
      <c r="G124" s="1067" t="n">
        <f aca="false">SUM(C124:F124)</f>
        <v>0</v>
      </c>
    </row>
    <row r="125" customFormat="false" ht="12.75" hidden="false" customHeight="false" outlineLevel="0" collapsed="false">
      <c r="B125" s="1087" t="n">
        <f aca="false">DATE(YEAR(B124),MONTH(B124)+1,DAY(B124))</f>
        <v>46540</v>
      </c>
      <c r="C125" s="1026" t="n">
        <f aca="false">IF(ISERROR(VLOOKUP($B125,$C$137:$D$184,2,FALSE()))=TRUE(),0,VLOOKUP($B125,$C$137:$D$184,2,FALSE()))</f>
        <v>0</v>
      </c>
      <c r="D125" s="1026" t="n">
        <f aca="false">IF(ISERROR(VLOOKUP($B125,$C$137:$F$184,4,FALSE()))=TRUE(),0,VLOOKUP($B125,$C$137:$F$184,4,FALSE()))</f>
        <v>0</v>
      </c>
      <c r="E125" s="12" t="n">
        <f aca="false">IF($B125=$E$20,$E$13,0)</f>
        <v>0</v>
      </c>
      <c r="F125" s="1066" t="n">
        <f aca="false">IF($B125=$F$20,$F$13,0)</f>
        <v>0</v>
      </c>
      <c r="G125" s="1067" t="n">
        <f aca="false">SUM(C125:F125)</f>
        <v>0</v>
      </c>
    </row>
    <row r="126" customFormat="false" ht="12.75" hidden="false" customHeight="false" outlineLevel="0" collapsed="false">
      <c r="B126" s="1087" t="n">
        <f aca="false">DATE(YEAR(B125),MONTH(B125)+1,DAY(B125))</f>
        <v>46570</v>
      </c>
      <c r="C126" s="1026" t="n">
        <f aca="false">IF(ISERROR(VLOOKUP($B126,$C$137:$D$184,2,FALSE()))=TRUE(),0,VLOOKUP($B126,$C$137:$D$184,2,FALSE()))</f>
        <v>0</v>
      </c>
      <c r="D126" s="1026" t="n">
        <f aca="false">IF(ISERROR(VLOOKUP($B126,$C$137:$F$184,4,FALSE()))=TRUE(),0,VLOOKUP($B126,$C$137:$F$184,4,FALSE()))</f>
        <v>0</v>
      </c>
      <c r="E126" s="12" t="n">
        <f aca="false">IF($B126=$E$20,$E$13,0)</f>
        <v>0</v>
      </c>
      <c r="F126" s="1066" t="n">
        <f aca="false">IF($B126=$F$20,$F$13,0)</f>
        <v>0</v>
      </c>
      <c r="G126" s="1067" t="n">
        <f aca="false">SUM(C126:F126)</f>
        <v>0</v>
      </c>
    </row>
    <row r="127" customFormat="false" ht="12.75" hidden="false" customHeight="false" outlineLevel="0" collapsed="false">
      <c r="B127" s="1087" t="n">
        <f aca="false">DATE(YEAR(B126),MONTH(B126)+1,DAY(B126))</f>
        <v>46601</v>
      </c>
      <c r="C127" s="1026" t="n">
        <f aca="false">IF(ISERROR(VLOOKUP($B127,$C$137:$D$184,2,FALSE()))=TRUE(),0,VLOOKUP($B127,$C$137:$D$184,2,FALSE()))</f>
        <v>0</v>
      </c>
      <c r="D127" s="1026" t="n">
        <f aca="false">IF(ISERROR(VLOOKUP($B127,$C$137:$F$184,4,FALSE()))=TRUE(),0,VLOOKUP($B127,$C$137:$F$184,4,FALSE()))</f>
        <v>0</v>
      </c>
      <c r="E127" s="12" t="n">
        <f aca="false">IF($B127=$E$20,$E$13,0)</f>
        <v>0</v>
      </c>
      <c r="F127" s="1066" t="n">
        <f aca="false">IF($B127=$F$20,$F$13,0)</f>
        <v>0</v>
      </c>
      <c r="G127" s="1067" t="n">
        <f aca="false">SUM(C127:F127)</f>
        <v>0</v>
      </c>
    </row>
    <row r="128" customFormat="false" ht="12.75" hidden="false" customHeight="false" outlineLevel="0" collapsed="false">
      <c r="B128" s="1087" t="n">
        <f aca="false">DATE(YEAR(B127),MONTH(B127)+1,DAY(B127))</f>
        <v>46632</v>
      </c>
      <c r="C128" s="1026" t="n">
        <f aca="false">IF(ISERROR(VLOOKUP($B128,$C$137:$D$184,2,FALSE()))=TRUE(),0,VLOOKUP($B128,$C$137:$D$184,2,FALSE()))</f>
        <v>0</v>
      </c>
      <c r="D128" s="1026" t="n">
        <f aca="false">IF(ISERROR(VLOOKUP($B128,$C$137:$F$184,4,FALSE()))=TRUE(),0,VLOOKUP($B128,$C$137:$F$184,4,FALSE()))</f>
        <v>0</v>
      </c>
      <c r="E128" s="12" t="n">
        <f aca="false">IF($B128=$E$20,$E$13,0)</f>
        <v>0</v>
      </c>
      <c r="F128" s="1066" t="n">
        <f aca="false">IF($B128=$F$20,$F$13,0)</f>
        <v>0</v>
      </c>
      <c r="G128" s="1067" t="n">
        <f aca="false">SUM(C128:F128)</f>
        <v>0</v>
      </c>
    </row>
    <row r="129" customFormat="false" ht="12.75" hidden="false" customHeight="false" outlineLevel="0" collapsed="false">
      <c r="B129" s="1087" t="n">
        <f aca="false">DATE(YEAR(B128),MONTH(B128)+1,DAY(B128))</f>
        <v>46662</v>
      </c>
      <c r="C129" s="1026" t="n">
        <f aca="false">IF(ISERROR(VLOOKUP($B129,$C$137:$D$184,2,FALSE()))=TRUE(),0,VLOOKUP($B129,$C$137:$D$184,2,FALSE()))</f>
        <v>0</v>
      </c>
      <c r="D129" s="1026" t="n">
        <f aca="false">IF(ISERROR(VLOOKUP($B129,$C$137:$F$184,4,FALSE()))=TRUE(),0,VLOOKUP($B129,$C$137:$F$184,4,FALSE()))</f>
        <v>0</v>
      </c>
      <c r="E129" s="12" t="n">
        <f aca="false">IF($B129=$E$20,$E$13,0)</f>
        <v>0</v>
      </c>
      <c r="F129" s="1066" t="n">
        <f aca="false">IF($B129=$F$20,$F$13,0)</f>
        <v>0</v>
      </c>
      <c r="G129" s="1067" t="n">
        <f aca="false">SUM(C129:F129)</f>
        <v>0</v>
      </c>
    </row>
    <row r="130" customFormat="false" ht="12.75" hidden="false" customHeight="false" outlineLevel="0" collapsed="false">
      <c r="B130" s="1087" t="n">
        <f aca="false">DATE(YEAR(B129),MONTH(B129)+1,DAY(B129))</f>
        <v>46693</v>
      </c>
      <c r="C130" s="1026" t="n">
        <f aca="false">IF(ISERROR(VLOOKUP($B130,$C$137:$D$184,2,FALSE()))=TRUE(),0,VLOOKUP($B130,$C$137:$D$184,2,FALSE()))</f>
        <v>0</v>
      </c>
      <c r="D130" s="1026" t="n">
        <f aca="false">IF(ISERROR(VLOOKUP($B130,$C$137:$F$184,4,FALSE()))=TRUE(),0,VLOOKUP($B130,$C$137:$F$184,4,FALSE()))</f>
        <v>0</v>
      </c>
      <c r="E130" s="12" t="n">
        <f aca="false">IF($B130=$E$20,$E$13,0)</f>
        <v>0</v>
      </c>
      <c r="F130" s="1066" t="n">
        <f aca="false">IF($B130=$F$20,$F$13,0)</f>
        <v>0</v>
      </c>
      <c r="G130" s="1067" t="n">
        <f aca="false">SUM(C130:F130)</f>
        <v>0</v>
      </c>
    </row>
    <row r="131" customFormat="false" ht="13.5" hidden="false" customHeight="false" outlineLevel="0" collapsed="false">
      <c r="B131" s="1089" t="n">
        <f aca="false">DATE(YEAR(B130),MONTH(B130)+1,DAY(B130))</f>
        <v>46723</v>
      </c>
      <c r="C131" s="1090" t="n">
        <f aca="false">IF(ISERROR(VLOOKUP($B131,$C$137:$D$184,2,FALSE()))=TRUE(),0,VLOOKUP($B131,$C$137:$D$184,2,FALSE()))</f>
        <v>0</v>
      </c>
      <c r="D131" s="1090" t="n">
        <f aca="false">IF(ISERROR(VLOOKUP($B131,$C$137:$F$184,4,FALSE()))=TRUE(),0,VLOOKUP($B131,$C$137:$F$184,4,FALSE()))</f>
        <v>0</v>
      </c>
      <c r="E131" s="1095" t="n">
        <f aca="false">IF($B131=$E$20,$E$13,0)</f>
        <v>0</v>
      </c>
      <c r="F131" s="160" t="n">
        <f aca="false">IF($B131=$F$20,$F$13,0)</f>
        <v>0</v>
      </c>
      <c r="G131" s="1092" t="n">
        <f aca="false">SUM(C131:F131)</f>
        <v>0</v>
      </c>
    </row>
    <row r="135" customFormat="false" ht="24" hidden="false" customHeight="true" outlineLevel="0" collapsed="false">
      <c r="B135" s="23" t="s">
        <v>681</v>
      </c>
      <c r="C135" s="1101" t="s">
        <v>682</v>
      </c>
      <c r="D135" s="1101"/>
      <c r="E135" s="1101" t="s">
        <v>289</v>
      </c>
      <c r="F135" s="1101"/>
    </row>
    <row r="136" customFormat="false" ht="12.75" hidden="false" customHeight="false" outlineLevel="0" collapsed="false">
      <c r="B136" s="1101" t="s">
        <v>648</v>
      </c>
      <c r="C136" s="1101" t="s">
        <v>649</v>
      </c>
      <c r="D136" s="1101" t="s">
        <v>683</v>
      </c>
      <c r="E136" s="1101" t="s">
        <v>649</v>
      </c>
      <c r="F136" s="1101" t="s">
        <v>683</v>
      </c>
    </row>
    <row r="137" customFormat="false" ht="12.75" hidden="false" customHeight="false" outlineLevel="0" collapsed="false">
      <c r="B137" s="12" t="n">
        <v>1</v>
      </c>
      <c r="C137" s="1025" t="n">
        <f aca="false">C19</f>
        <v>44957</v>
      </c>
      <c r="D137" s="1026" t="e">
        <f aca="false">IF(C137="0",0,$C$17)</f>
        <v>#DIV/0!</v>
      </c>
      <c r="E137" s="1025" t="n">
        <f aca="false">D19</f>
        <v>44957</v>
      </c>
      <c r="F137" s="1026" t="n">
        <f aca="false">IF(E137="0",0,$D$17)</f>
        <v>0</v>
      </c>
    </row>
    <row r="138" customFormat="false" ht="12.75" hidden="false" customHeight="false" outlineLevel="0" collapsed="false">
      <c r="B138" s="12" t="n">
        <f aca="false">B137+1</f>
        <v>2</v>
      </c>
      <c r="C138" s="1025" t="str">
        <f aca="false">IF(B138&lt;=$C$15,DATE(YEAR(C137),MONTH(C137)+12/$C$16,DAY(C137)),"0")</f>
        <v>0</v>
      </c>
      <c r="D138" s="1026" t="n">
        <f aca="false">IF(C138="0",0,$C$17)</f>
        <v>0</v>
      </c>
      <c r="E138" s="1025" t="n">
        <f aca="false">'Entrada Inver_Finan'!F12209</f>
        <v>0</v>
      </c>
      <c r="F138" s="1026" t="n">
        <f aca="false">IF(E138="0",0,$D$17)</f>
        <v>0</v>
      </c>
    </row>
    <row r="139" customFormat="false" ht="12.75" hidden="false" customHeight="false" outlineLevel="0" collapsed="false">
      <c r="B139" s="12" t="n">
        <f aca="false">B138+1</f>
        <v>3</v>
      </c>
      <c r="C139" s="1025" t="str">
        <f aca="false">IF(B139&lt;=$C$15,DATE(YEAR(C138),MONTH(C138)+12/$C$16,DAY(C138)),"0")</f>
        <v>0</v>
      </c>
      <c r="D139" s="1026" t="n">
        <f aca="false">IF(C139="0",0,$C$17)</f>
        <v>0</v>
      </c>
      <c r="E139" s="1025" t="str">
        <f aca="false">IF(B139&lt;=$D$15,DATE(YEAR(E138),MONTH(E138)+12/$D$16,DAY(E138)),"0")</f>
        <v>0</v>
      </c>
      <c r="F139" s="1026" t="n">
        <f aca="false">IF(E139="0",0,$D$17)</f>
        <v>0</v>
      </c>
    </row>
    <row r="140" customFormat="false" ht="12.75" hidden="false" customHeight="false" outlineLevel="0" collapsed="false">
      <c r="B140" s="12" t="n">
        <f aca="false">B139+1</f>
        <v>4</v>
      </c>
      <c r="C140" s="1025" t="str">
        <f aca="false">IF(B140&lt;=$C$15,DATE(YEAR(C139),MONTH(C139)+12/$C$16,DAY(C139)),"0")</f>
        <v>0</v>
      </c>
      <c r="D140" s="1026" t="n">
        <f aca="false">IF(C140="0",0,$C$17)</f>
        <v>0</v>
      </c>
      <c r="E140" s="1025" t="str">
        <f aca="false">IF(B140&lt;=$D$15,DATE(YEAR(E139),MONTH(E139)+12/$D$16,DAY(E139)),"0")</f>
        <v>0</v>
      </c>
      <c r="F140" s="1026" t="n">
        <f aca="false">IF(E140="0",0,$D$17)</f>
        <v>0</v>
      </c>
    </row>
    <row r="141" customFormat="false" ht="12.75" hidden="false" customHeight="false" outlineLevel="0" collapsed="false">
      <c r="B141" s="12" t="n">
        <f aca="false">B140+1</f>
        <v>5</v>
      </c>
      <c r="C141" s="1025" t="str">
        <f aca="false">IF(B141&lt;=$C$15,DATE(YEAR(C140),MONTH(C140)+12/$C$16,DAY(C140)),"0")</f>
        <v>0</v>
      </c>
      <c r="D141" s="1026" t="n">
        <f aca="false">IF(C141="0",0,$C$17)</f>
        <v>0</v>
      </c>
      <c r="E141" s="1025" t="str">
        <f aca="false">IF(B141&lt;=$D$15,DATE(YEAR(E140),MONTH(E140)+12/$D$16,DAY(E140)),"0")</f>
        <v>0</v>
      </c>
      <c r="F141" s="1026" t="n">
        <f aca="false">IF(E141="0",0,$D$17)</f>
        <v>0</v>
      </c>
    </row>
    <row r="142" customFormat="false" ht="12.75" hidden="false" customHeight="false" outlineLevel="0" collapsed="false">
      <c r="B142" s="12" t="n">
        <f aca="false">B141+1</f>
        <v>6</v>
      </c>
      <c r="C142" s="1025" t="str">
        <f aca="false">IF(B142&lt;=$C$15,DATE(YEAR(C141),MONTH(C141)+12/$C$16,DAY(C141)),"0")</f>
        <v>0</v>
      </c>
      <c r="D142" s="1026" t="n">
        <f aca="false">IF(C142="0",0,$C$17)</f>
        <v>0</v>
      </c>
      <c r="E142" s="1025" t="str">
        <f aca="false">IF(B142&lt;=$D$15,DATE(YEAR(E141),MONTH(E141)+12/$D$16,DAY(E141)),"0")</f>
        <v>0</v>
      </c>
      <c r="F142" s="1026" t="n">
        <f aca="false">IF(E142="0",0,$D$17)</f>
        <v>0</v>
      </c>
    </row>
    <row r="143" customFormat="false" ht="12.75" hidden="false" customHeight="false" outlineLevel="0" collapsed="false">
      <c r="B143" s="12" t="n">
        <f aca="false">B142+1</f>
        <v>7</v>
      </c>
      <c r="C143" s="1025" t="str">
        <f aca="false">IF(B143&lt;=$C$15,DATE(YEAR(C142),MONTH(C142)+12/$C$16,DAY(C142)),"0")</f>
        <v>0</v>
      </c>
      <c r="D143" s="1026" t="n">
        <f aca="false">IF(C143="0",0,$C$17)</f>
        <v>0</v>
      </c>
      <c r="E143" s="1025" t="str">
        <f aca="false">IF(B143&lt;=$D$15,DATE(YEAR(E142),MONTH(E142)+12/$D$16,DAY(E142)),"0")</f>
        <v>0</v>
      </c>
      <c r="F143" s="1026" t="n">
        <f aca="false">IF(E143="0",0,$D$17)</f>
        <v>0</v>
      </c>
    </row>
    <row r="144" customFormat="false" ht="12.75" hidden="false" customHeight="false" outlineLevel="0" collapsed="false">
      <c r="B144" s="12" t="n">
        <f aca="false">B143+1</f>
        <v>8</v>
      </c>
      <c r="C144" s="1025" t="str">
        <f aca="false">IF(B144&lt;=$C$15,DATE(YEAR(C143),MONTH(C143)+12/$C$16,DAY(C143)),"0")</f>
        <v>0</v>
      </c>
      <c r="D144" s="1026" t="n">
        <f aca="false">IF(C144="0",0,$C$17)</f>
        <v>0</v>
      </c>
      <c r="E144" s="1025" t="str">
        <f aca="false">IF(B144&lt;=$D$15,DATE(YEAR(E143),MONTH(E143)+12/$D$16,DAY(E143)),"0")</f>
        <v>0</v>
      </c>
      <c r="F144" s="1026" t="n">
        <f aca="false">IF(E144="0",0,$D$17)</f>
        <v>0</v>
      </c>
    </row>
    <row r="145" customFormat="false" ht="12.75" hidden="false" customHeight="false" outlineLevel="0" collapsed="false">
      <c r="B145" s="12" t="n">
        <f aca="false">B144+1</f>
        <v>9</v>
      </c>
      <c r="C145" s="1025" t="str">
        <f aca="false">IF(B145&lt;=$C$15,DATE(YEAR(C144),MONTH(C144)+12/$C$16,DAY(C144)),"0")</f>
        <v>0</v>
      </c>
      <c r="D145" s="1026" t="n">
        <f aca="false">IF(C145="0",0,$C$17)</f>
        <v>0</v>
      </c>
      <c r="E145" s="1025" t="str">
        <f aca="false">IF(B145&lt;=$D$15,DATE(YEAR(E144),MONTH(E144)+12/$D$16,DAY(E144)),"0")</f>
        <v>0</v>
      </c>
      <c r="F145" s="1026" t="n">
        <f aca="false">IF(E145="0",0,$D$17)</f>
        <v>0</v>
      </c>
    </row>
    <row r="146" customFormat="false" ht="12.75" hidden="false" customHeight="false" outlineLevel="0" collapsed="false">
      <c r="B146" s="12" t="n">
        <f aca="false">B145+1</f>
        <v>10</v>
      </c>
      <c r="C146" s="1025" t="str">
        <f aca="false">IF(B146&lt;=$C$15,DATE(YEAR(C145),MONTH(C145)+12/$C$16,DAY(C145)),"0")</f>
        <v>0</v>
      </c>
      <c r="D146" s="1026" t="n">
        <f aca="false">IF(C146="0",0,$C$17)</f>
        <v>0</v>
      </c>
      <c r="E146" s="1025" t="str">
        <f aca="false">IF(B146&lt;=$D$15,DATE(YEAR(E145),MONTH(E145)+12/$D$16,DAY(E145)),"0")</f>
        <v>0</v>
      </c>
      <c r="F146" s="1026" t="n">
        <f aca="false">IF(E146="0",0,$D$17)</f>
        <v>0</v>
      </c>
    </row>
    <row r="147" customFormat="false" ht="12.75" hidden="false" customHeight="false" outlineLevel="0" collapsed="false">
      <c r="B147" s="12" t="n">
        <f aca="false">B146+1</f>
        <v>11</v>
      </c>
      <c r="C147" s="1025" t="str">
        <f aca="false">IF(B147&lt;=$C$15,DATE(YEAR(C146),MONTH(C146)+12/$C$16,DAY(C146)),"0")</f>
        <v>0</v>
      </c>
      <c r="D147" s="1026" t="n">
        <f aca="false">IF(C147="0",0,$C$17)</f>
        <v>0</v>
      </c>
      <c r="E147" s="1025" t="str">
        <f aca="false">IF(B147&lt;=$D$15,DATE(YEAR(E146),MONTH(E146)+12/$D$16,DAY(E146)),"0")</f>
        <v>0</v>
      </c>
      <c r="F147" s="1026" t="n">
        <f aca="false">IF(E147="0",0,$D$17)</f>
        <v>0</v>
      </c>
    </row>
    <row r="148" customFormat="false" ht="12.75" hidden="false" customHeight="false" outlineLevel="0" collapsed="false">
      <c r="B148" s="12" t="n">
        <f aca="false">B147+1</f>
        <v>12</v>
      </c>
      <c r="C148" s="1025" t="str">
        <f aca="false">IF(B148&lt;=$C$15,DATE(YEAR(C147),MONTH(C147)+12/$C$16,DAY(C147)),"0")</f>
        <v>0</v>
      </c>
      <c r="D148" s="1026" t="n">
        <f aca="false">IF(C148="0",0,$C$17)</f>
        <v>0</v>
      </c>
      <c r="E148" s="1025" t="str">
        <f aca="false">IF(B148&lt;=$D$15,DATE(YEAR(E147),MONTH(E147)+12/$D$16,DAY(E147)),"0")</f>
        <v>0</v>
      </c>
      <c r="F148" s="1026" t="n">
        <f aca="false">IF(E148="0",0,$D$17)</f>
        <v>0</v>
      </c>
    </row>
    <row r="149" customFormat="false" ht="12.75" hidden="false" customHeight="false" outlineLevel="0" collapsed="false">
      <c r="B149" s="12" t="n">
        <f aca="false">B148+1</f>
        <v>13</v>
      </c>
      <c r="C149" s="1025" t="str">
        <f aca="false">IF(B149&lt;=$C$15,DATE(YEAR(C148),MONTH(C148)+12/$C$16,DAY(C148)),"0")</f>
        <v>0</v>
      </c>
      <c r="D149" s="1026" t="n">
        <f aca="false">IF(C149="0",0,$C$17)</f>
        <v>0</v>
      </c>
      <c r="E149" s="1025" t="str">
        <f aca="false">IF(B149&lt;=$D$15,DATE(YEAR(E148),MONTH(E148)+12/$D$16,DAY(E148)),"0")</f>
        <v>0</v>
      </c>
      <c r="F149" s="1026" t="n">
        <f aca="false">IF(E149="0",0,$D$17)</f>
        <v>0</v>
      </c>
    </row>
    <row r="150" customFormat="false" ht="12.75" hidden="false" customHeight="false" outlineLevel="0" collapsed="false">
      <c r="B150" s="12" t="n">
        <f aca="false">B149+1</f>
        <v>14</v>
      </c>
      <c r="C150" s="1025" t="str">
        <f aca="false">IF(B150&lt;=$C$15,DATE(YEAR(C149),MONTH(C149)+12/$C$16,DAY(C149)),"0")</f>
        <v>0</v>
      </c>
      <c r="D150" s="1026" t="n">
        <f aca="false">IF(C150="0",0,$C$17)</f>
        <v>0</v>
      </c>
      <c r="E150" s="1025" t="str">
        <f aca="false">IF(B150&lt;=$D$15,DATE(YEAR(E149),MONTH(E149)+12/$D$16,DAY(E149)),"0")</f>
        <v>0</v>
      </c>
      <c r="F150" s="1026" t="n">
        <f aca="false">IF(E150="0",0,$D$17)</f>
        <v>0</v>
      </c>
    </row>
    <row r="151" customFormat="false" ht="12.75" hidden="false" customHeight="false" outlineLevel="0" collapsed="false">
      <c r="B151" s="12" t="n">
        <f aca="false">B150+1</f>
        <v>15</v>
      </c>
      <c r="C151" s="1025" t="str">
        <f aca="false">IF(B151&lt;=$C$15,DATE(YEAR(C150),MONTH(C150)+12/$C$16,DAY(C150)),"0")</f>
        <v>0</v>
      </c>
      <c r="D151" s="1026" t="n">
        <f aca="false">IF(C151="0",0,$C$17)</f>
        <v>0</v>
      </c>
      <c r="E151" s="1025" t="str">
        <f aca="false">IF(B151&lt;=$D$15,DATE(YEAR(E150),MONTH(E150)+12/$D$16,DAY(E150)),"0")</f>
        <v>0</v>
      </c>
      <c r="F151" s="1026" t="n">
        <f aca="false">IF(E151="0",0,$D$17)</f>
        <v>0</v>
      </c>
    </row>
    <row r="152" customFormat="false" ht="12.75" hidden="false" customHeight="false" outlineLevel="0" collapsed="false">
      <c r="B152" s="12" t="n">
        <f aca="false">B151+1</f>
        <v>16</v>
      </c>
      <c r="C152" s="1025" t="str">
        <f aca="false">IF(B152&lt;=$C$15,DATE(YEAR(C151),MONTH(C151)+12/$C$16,DAY(C151)),"0")</f>
        <v>0</v>
      </c>
      <c r="D152" s="1026" t="n">
        <f aca="false">IF(C152="0",0,$C$17)</f>
        <v>0</v>
      </c>
      <c r="E152" s="1025" t="str">
        <f aca="false">IF(B152&lt;=$D$15,DATE(YEAR(E151),MONTH(E151)+12/$D$16,DAY(E151)),"0")</f>
        <v>0</v>
      </c>
      <c r="F152" s="1026" t="n">
        <f aca="false">IF(E152="0",0,$D$17)</f>
        <v>0</v>
      </c>
    </row>
    <row r="153" customFormat="false" ht="12.75" hidden="false" customHeight="false" outlineLevel="0" collapsed="false">
      <c r="B153" s="12" t="n">
        <f aca="false">B152+1</f>
        <v>17</v>
      </c>
      <c r="C153" s="1025" t="str">
        <f aca="false">IF(B153&lt;=$C$15,DATE(YEAR(C152),MONTH(C152)+12/$C$16,DAY(C152)),"0")</f>
        <v>0</v>
      </c>
      <c r="D153" s="1026" t="n">
        <f aca="false">IF(C153="0",0,$C$17)</f>
        <v>0</v>
      </c>
      <c r="E153" s="1025" t="str">
        <f aca="false">IF(B153&lt;=$D$15,DATE(YEAR(E152),MONTH(E152)+12/$D$16,DAY(E152)),"0")</f>
        <v>0</v>
      </c>
      <c r="F153" s="1026" t="n">
        <f aca="false">IF(E153="0",0,$D$17)</f>
        <v>0</v>
      </c>
    </row>
    <row r="154" customFormat="false" ht="12.75" hidden="false" customHeight="false" outlineLevel="0" collapsed="false">
      <c r="B154" s="12" t="n">
        <f aca="false">B153+1</f>
        <v>18</v>
      </c>
      <c r="C154" s="1025" t="str">
        <f aca="false">IF(B154&lt;=$C$15,DATE(YEAR(C153),MONTH(C153)+12/$C$16,DAY(C153)),"0")</f>
        <v>0</v>
      </c>
      <c r="D154" s="1026" t="n">
        <f aca="false">IF(C154="0",0,$C$17)</f>
        <v>0</v>
      </c>
      <c r="E154" s="1025" t="str">
        <f aca="false">IF(B154&lt;=$D$15,DATE(YEAR(E153),MONTH(E153)+12/$D$16,DAY(E153)),"0")</f>
        <v>0</v>
      </c>
      <c r="F154" s="1026" t="n">
        <f aca="false">IF(E154="0",0,$D$17)</f>
        <v>0</v>
      </c>
    </row>
    <row r="155" customFormat="false" ht="12.75" hidden="false" customHeight="false" outlineLevel="0" collapsed="false">
      <c r="B155" s="12" t="n">
        <f aca="false">B154+1</f>
        <v>19</v>
      </c>
      <c r="C155" s="1025" t="str">
        <f aca="false">IF(B155&lt;=$C$15,DATE(YEAR(C154),MONTH(C154)+12/$C$16,DAY(C154)),"0")</f>
        <v>0</v>
      </c>
      <c r="D155" s="1026" t="n">
        <f aca="false">IF(C155="0",0,$C$17)</f>
        <v>0</v>
      </c>
      <c r="E155" s="1025" t="str">
        <f aca="false">IF(B155&lt;=$D$15,DATE(YEAR(E154),MONTH(E154)+12/$D$16,DAY(E154)),"0")</f>
        <v>0</v>
      </c>
      <c r="F155" s="1026" t="n">
        <f aca="false">IF(E155="0",0,$D$17)</f>
        <v>0</v>
      </c>
    </row>
    <row r="156" customFormat="false" ht="12.75" hidden="false" customHeight="false" outlineLevel="0" collapsed="false">
      <c r="B156" s="12" t="n">
        <f aca="false">B155+1</f>
        <v>20</v>
      </c>
      <c r="C156" s="1025" t="str">
        <f aca="false">IF(B156&lt;=$C$15,DATE(YEAR(C155),MONTH(C155)+12/$C$16,DAY(C155)),"0")</f>
        <v>0</v>
      </c>
      <c r="D156" s="1026" t="n">
        <f aca="false">IF(C156="0",0,$C$17)</f>
        <v>0</v>
      </c>
      <c r="E156" s="1025" t="str">
        <f aca="false">IF(B156&lt;=$D$15,DATE(YEAR(E155),MONTH(E155)+12/$D$16,DAY(E155)),"0")</f>
        <v>0</v>
      </c>
      <c r="F156" s="1026" t="n">
        <f aca="false">IF(E156="0",0,$D$17)</f>
        <v>0</v>
      </c>
    </row>
    <row r="157" customFormat="false" ht="12.75" hidden="false" customHeight="false" outlineLevel="0" collapsed="false">
      <c r="B157" s="12" t="n">
        <f aca="false">B156+1</f>
        <v>21</v>
      </c>
      <c r="C157" s="1025" t="str">
        <f aca="false">IF(B157&lt;=$C$15,DATE(YEAR(C156),MONTH(C156)+12/$C$16,DAY(C156)),"0")</f>
        <v>0</v>
      </c>
      <c r="D157" s="1026" t="n">
        <f aca="false">IF(C157="0",0,$C$17)</f>
        <v>0</v>
      </c>
      <c r="E157" s="1025" t="str">
        <f aca="false">IF(B157&lt;=$D$15,DATE(YEAR(E156),MONTH(E156)+12/$D$16,DAY(E156)),"0")</f>
        <v>0</v>
      </c>
      <c r="F157" s="1026" t="n">
        <f aca="false">IF(E157="0",0,$D$17)</f>
        <v>0</v>
      </c>
    </row>
    <row r="158" customFormat="false" ht="12.75" hidden="false" customHeight="false" outlineLevel="0" collapsed="false">
      <c r="B158" s="12" t="n">
        <f aca="false">B157+1</f>
        <v>22</v>
      </c>
      <c r="C158" s="1025" t="str">
        <f aca="false">IF(B158&lt;=$C$15,DATE(YEAR(C157),MONTH(C157)+12/$C$16,DAY(C157)),"0")</f>
        <v>0</v>
      </c>
      <c r="D158" s="1026" t="n">
        <f aca="false">IF(C158="0",0,$C$17)</f>
        <v>0</v>
      </c>
      <c r="E158" s="1025" t="str">
        <f aca="false">IF(B158&lt;=$D$15,DATE(YEAR(E157),MONTH(E157)+12/$D$16,DAY(E157)),"0")</f>
        <v>0</v>
      </c>
      <c r="F158" s="1026" t="n">
        <f aca="false">IF(E158="0",0,$D$17)</f>
        <v>0</v>
      </c>
    </row>
    <row r="159" customFormat="false" ht="12.75" hidden="false" customHeight="false" outlineLevel="0" collapsed="false">
      <c r="B159" s="12" t="n">
        <f aca="false">B158+1</f>
        <v>23</v>
      </c>
      <c r="C159" s="1025" t="str">
        <f aca="false">IF(B159&lt;=$C$15,DATE(YEAR(C158),MONTH(C158)+12/$C$16,DAY(C158)),"0")</f>
        <v>0</v>
      </c>
      <c r="D159" s="1026" t="n">
        <f aca="false">IF(C159="0",0,$C$17)</f>
        <v>0</v>
      </c>
      <c r="E159" s="1025" t="str">
        <f aca="false">IF(B159&lt;=$D$15,DATE(YEAR(E158),MONTH(E158)+12/$D$16,DAY(E158)),"0")</f>
        <v>0</v>
      </c>
      <c r="F159" s="1026" t="n">
        <f aca="false">IF(E159="0",0,$D$17)</f>
        <v>0</v>
      </c>
    </row>
    <row r="160" customFormat="false" ht="12.75" hidden="false" customHeight="false" outlineLevel="0" collapsed="false">
      <c r="B160" s="12" t="n">
        <f aca="false">B159+1</f>
        <v>24</v>
      </c>
      <c r="C160" s="1025" t="str">
        <f aca="false">IF(B160&lt;=$C$15,DATE(YEAR(C159),MONTH(C159)+12/$C$16,DAY(C159)),"0")</f>
        <v>0</v>
      </c>
      <c r="D160" s="1026" t="n">
        <f aca="false">IF(C160="0",0,$C$17)</f>
        <v>0</v>
      </c>
      <c r="E160" s="1025" t="str">
        <f aca="false">IF(B160&lt;=$D$15,DATE(YEAR(E159),MONTH(E159)+12/$D$16,DAY(E159)),"0")</f>
        <v>0</v>
      </c>
      <c r="F160" s="1026" t="n">
        <f aca="false">IF(E160="0",0,$D$17)</f>
        <v>0</v>
      </c>
    </row>
    <row r="161" customFormat="false" ht="12.75" hidden="false" customHeight="false" outlineLevel="0" collapsed="false">
      <c r="B161" s="12" t="n">
        <f aca="false">B160+1</f>
        <v>25</v>
      </c>
      <c r="C161" s="1025" t="str">
        <f aca="false">IF(B161&lt;=$C$15,DATE(YEAR(C160),MONTH(C160)+12/$C$16,DAY(C160)),"0")</f>
        <v>0</v>
      </c>
      <c r="D161" s="1026" t="n">
        <f aca="false">IF(C161="0",0,$C$17)</f>
        <v>0</v>
      </c>
      <c r="E161" s="1025" t="str">
        <f aca="false">IF(B161&lt;=$D$15,DATE(YEAR(E160),MONTH(E160)+12/$D$16,DAY(E160)),"0")</f>
        <v>0</v>
      </c>
      <c r="F161" s="1026" t="n">
        <f aca="false">IF(E161="0",0,$D$17)</f>
        <v>0</v>
      </c>
    </row>
    <row r="162" customFormat="false" ht="12.75" hidden="false" customHeight="false" outlineLevel="0" collapsed="false">
      <c r="B162" s="12" t="n">
        <f aca="false">B161+1</f>
        <v>26</v>
      </c>
      <c r="C162" s="1025" t="str">
        <f aca="false">IF(B162&lt;=$C$15,DATE(YEAR(C161),MONTH(C161)+12/$C$16,DAY(C161)),"0")</f>
        <v>0</v>
      </c>
      <c r="D162" s="1026" t="n">
        <f aca="false">IF(C162="0",0,$C$17)</f>
        <v>0</v>
      </c>
      <c r="E162" s="1025" t="str">
        <f aca="false">IF(B162&lt;=$D$15,DATE(YEAR(E161),MONTH(E161)+12/$D$16,DAY(E161)),"0")</f>
        <v>0</v>
      </c>
      <c r="F162" s="1026" t="n">
        <f aca="false">IF(E162="0",0,$D$17)</f>
        <v>0</v>
      </c>
    </row>
    <row r="163" customFormat="false" ht="12.75" hidden="false" customHeight="false" outlineLevel="0" collapsed="false">
      <c r="B163" s="12" t="n">
        <f aca="false">B162+1</f>
        <v>27</v>
      </c>
      <c r="C163" s="1025" t="str">
        <f aca="false">IF(B163&lt;=$C$15,DATE(YEAR(C162),MONTH(C162)+12/$C$16,DAY(C162)),"0")</f>
        <v>0</v>
      </c>
      <c r="D163" s="1026" t="n">
        <f aca="false">IF(C163="0",0,$C$17)</f>
        <v>0</v>
      </c>
      <c r="E163" s="1025" t="str">
        <f aca="false">IF(B163&lt;=$D$15,DATE(YEAR(E162),MONTH(E162)+12/$D$16,DAY(E162)),"0")</f>
        <v>0</v>
      </c>
      <c r="F163" s="1026" t="n">
        <f aca="false">IF(E163="0",0,$D$17)</f>
        <v>0</v>
      </c>
    </row>
    <row r="164" customFormat="false" ht="12.75" hidden="false" customHeight="false" outlineLevel="0" collapsed="false">
      <c r="B164" s="12" t="n">
        <f aca="false">B163+1</f>
        <v>28</v>
      </c>
      <c r="C164" s="1025" t="str">
        <f aca="false">IF(B164&lt;=$C$15,DATE(YEAR(C163),MONTH(C163)+12/$C$16,DAY(C163)),"0")</f>
        <v>0</v>
      </c>
      <c r="D164" s="1026" t="n">
        <f aca="false">IF(C164="0",0,$C$17)</f>
        <v>0</v>
      </c>
      <c r="E164" s="1025" t="str">
        <f aca="false">IF(B164&lt;=$D$15,DATE(YEAR(E163),MONTH(E163)+12/$D$16,DAY(E163)),"0")</f>
        <v>0</v>
      </c>
      <c r="F164" s="1026" t="n">
        <f aca="false">IF(E164="0",0,$D$17)</f>
        <v>0</v>
      </c>
    </row>
    <row r="165" customFormat="false" ht="12.75" hidden="false" customHeight="false" outlineLevel="0" collapsed="false">
      <c r="B165" s="12" t="n">
        <f aca="false">B164+1</f>
        <v>29</v>
      </c>
      <c r="C165" s="1025" t="str">
        <f aca="false">IF(B165&lt;=$C$15,DATE(YEAR(C164),MONTH(C164)+12/$C$16,DAY(C164)),"0")</f>
        <v>0</v>
      </c>
      <c r="D165" s="1026" t="n">
        <f aca="false">IF(C165="0",0,$C$17)</f>
        <v>0</v>
      </c>
      <c r="E165" s="1025" t="str">
        <f aca="false">IF(B165&lt;=$D$15,DATE(YEAR(E164),MONTH(E164)+12/$D$16,DAY(E164)),"0")</f>
        <v>0</v>
      </c>
      <c r="F165" s="1026" t="n">
        <f aca="false">IF(E165="0",0,$D$17)</f>
        <v>0</v>
      </c>
    </row>
    <row r="166" customFormat="false" ht="12.75" hidden="false" customHeight="false" outlineLevel="0" collapsed="false">
      <c r="B166" s="12" t="n">
        <f aca="false">B165+1</f>
        <v>30</v>
      </c>
      <c r="C166" s="1025" t="str">
        <f aca="false">IF(B166&lt;=$C$15,DATE(YEAR(C165),MONTH(C165)+12/$C$16,DAY(C165)),"0")</f>
        <v>0</v>
      </c>
      <c r="D166" s="1026" t="n">
        <f aca="false">IF(C166="0",0,$C$17)</f>
        <v>0</v>
      </c>
      <c r="E166" s="1025" t="str">
        <f aca="false">IF(B166&lt;=$D$15,DATE(YEAR(E165),MONTH(E165)+12/$D$16,DAY(E165)),"0")</f>
        <v>0</v>
      </c>
      <c r="F166" s="1026" t="n">
        <f aca="false">IF(E166="0",0,$D$17)</f>
        <v>0</v>
      </c>
    </row>
    <row r="167" customFormat="false" ht="12.75" hidden="false" customHeight="false" outlineLevel="0" collapsed="false">
      <c r="B167" s="12" t="n">
        <f aca="false">B166+1</f>
        <v>31</v>
      </c>
      <c r="C167" s="1025" t="str">
        <f aca="false">IF(B167&lt;=$C$15,DATE(YEAR(C166),MONTH(C166)+12/$C$16,DAY(C166)),"0")</f>
        <v>0</v>
      </c>
      <c r="D167" s="1026" t="n">
        <f aca="false">IF(C167="0",0,$C$17)</f>
        <v>0</v>
      </c>
      <c r="E167" s="1025" t="str">
        <f aca="false">IF(B167&lt;=$D$15,DATE(YEAR(E166),MONTH(E166)+12/$D$16,DAY(E166)),"0")</f>
        <v>0</v>
      </c>
      <c r="F167" s="1026" t="n">
        <f aca="false">IF(E167="0",0,$D$17)</f>
        <v>0</v>
      </c>
    </row>
    <row r="168" customFormat="false" ht="12.75" hidden="false" customHeight="false" outlineLevel="0" collapsed="false">
      <c r="B168" s="12" t="n">
        <f aca="false">B167+1</f>
        <v>32</v>
      </c>
      <c r="C168" s="1025" t="str">
        <f aca="false">IF(B168&lt;=$C$15,DATE(YEAR(C167),MONTH(C167)+12/$C$16,DAY(C167)),"0")</f>
        <v>0</v>
      </c>
      <c r="D168" s="1026" t="n">
        <f aca="false">IF(C168="0",0,$C$17)</f>
        <v>0</v>
      </c>
      <c r="E168" s="1025" t="str">
        <f aca="false">IF(B168&lt;=$D$15,DATE(YEAR(E167),MONTH(E167)+12/$D$16,DAY(E167)),"0")</f>
        <v>0</v>
      </c>
      <c r="F168" s="1026" t="n">
        <f aca="false">IF(E168="0",0,$D$17)</f>
        <v>0</v>
      </c>
    </row>
    <row r="169" customFormat="false" ht="12.75" hidden="false" customHeight="false" outlineLevel="0" collapsed="false">
      <c r="B169" s="12" t="n">
        <f aca="false">B168+1</f>
        <v>33</v>
      </c>
      <c r="C169" s="1025" t="str">
        <f aca="false">IF(B169&lt;=$C$15,DATE(YEAR(C168),MONTH(C168)+12/$C$16,DAY(C168)),"0")</f>
        <v>0</v>
      </c>
      <c r="D169" s="1026" t="n">
        <f aca="false">IF(C169="0",0,$C$17)</f>
        <v>0</v>
      </c>
      <c r="E169" s="1025" t="str">
        <f aca="false">IF(B169&lt;=$D$15,DATE(YEAR(E168),MONTH(E168)+12/$D$16,DAY(E168)),"0")</f>
        <v>0</v>
      </c>
      <c r="F169" s="1026" t="n">
        <f aca="false">IF(E169="0",0,$D$17)</f>
        <v>0</v>
      </c>
    </row>
    <row r="170" customFormat="false" ht="12.75" hidden="false" customHeight="false" outlineLevel="0" collapsed="false">
      <c r="B170" s="12" t="n">
        <f aca="false">B169+1</f>
        <v>34</v>
      </c>
      <c r="C170" s="1025" t="str">
        <f aca="false">IF(B170&lt;=$C$15,DATE(YEAR(C169),MONTH(C169)+12/$C$16,DAY(C169)),"0")</f>
        <v>0</v>
      </c>
      <c r="D170" s="1026" t="n">
        <f aca="false">IF(C170="0",0,$C$17)</f>
        <v>0</v>
      </c>
      <c r="E170" s="1025" t="str">
        <f aca="false">IF(B170&lt;=$D$15,DATE(YEAR(E169),MONTH(E169)+12/$D$16,DAY(E169)),"0")</f>
        <v>0</v>
      </c>
      <c r="F170" s="1026" t="n">
        <f aca="false">IF(E170="0",0,$D$17)</f>
        <v>0</v>
      </c>
    </row>
    <row r="171" customFormat="false" ht="12.75" hidden="false" customHeight="false" outlineLevel="0" collapsed="false">
      <c r="B171" s="12" t="n">
        <f aca="false">B170+1</f>
        <v>35</v>
      </c>
      <c r="C171" s="1025" t="str">
        <f aca="false">IF(B171&lt;=$C$15,DATE(YEAR(C170),MONTH(C170)+12/$C$16,DAY(C170)),"0")</f>
        <v>0</v>
      </c>
      <c r="D171" s="1026" t="n">
        <f aca="false">IF(C171="0",0,$C$17)</f>
        <v>0</v>
      </c>
      <c r="E171" s="1025" t="str">
        <f aca="false">IF(B171&lt;=$D$15,DATE(YEAR(E170),MONTH(E170)+12/$D$16,DAY(E170)),"0")</f>
        <v>0</v>
      </c>
      <c r="F171" s="1026" t="n">
        <f aca="false">IF(E171="0",0,$D$17)</f>
        <v>0</v>
      </c>
    </row>
    <row r="172" customFormat="false" ht="12.75" hidden="false" customHeight="false" outlineLevel="0" collapsed="false">
      <c r="B172" s="12" t="n">
        <f aca="false">B171+1</f>
        <v>36</v>
      </c>
      <c r="C172" s="1025" t="str">
        <f aca="false">IF(B172&lt;=$C$15,DATE(YEAR(C171),MONTH(C171)+12/$C$16,DAY(C171)),"0")</f>
        <v>0</v>
      </c>
      <c r="D172" s="1026" t="n">
        <f aca="false">IF(C172="0",0,$C$17)</f>
        <v>0</v>
      </c>
      <c r="E172" s="1025" t="str">
        <f aca="false">IF(B172&lt;=$D$15,DATE(YEAR(E171),MONTH(E171)+12/$D$16,DAY(E171)),"0")</f>
        <v>0</v>
      </c>
      <c r="F172" s="1026" t="n">
        <f aca="false">IF(E172="0",0,$D$17)</f>
        <v>0</v>
      </c>
    </row>
    <row r="173" customFormat="false" ht="12.75" hidden="false" customHeight="false" outlineLevel="0" collapsed="false">
      <c r="B173" s="12" t="n">
        <f aca="false">B172+1</f>
        <v>37</v>
      </c>
      <c r="C173" s="1025" t="str">
        <f aca="false">IF(B173&lt;=$C$15,DATE(YEAR(C172),MONTH(C172)+12/$C$16,DAY(C172)),"0")</f>
        <v>0</v>
      </c>
      <c r="D173" s="1026" t="n">
        <f aca="false">IF(C173="0",0,$C$17)</f>
        <v>0</v>
      </c>
      <c r="E173" s="1025" t="str">
        <f aca="false">IF(B173&lt;=$D$15,DATE(YEAR(E172),MONTH(E172)+12/$D$16,DAY(E172)),"0")</f>
        <v>0</v>
      </c>
      <c r="F173" s="1026" t="n">
        <f aca="false">IF(E173="0",0,$D$17)</f>
        <v>0</v>
      </c>
    </row>
    <row r="174" customFormat="false" ht="12.75" hidden="false" customHeight="false" outlineLevel="0" collapsed="false">
      <c r="B174" s="12" t="n">
        <f aca="false">B173+1</f>
        <v>38</v>
      </c>
      <c r="C174" s="1025" t="str">
        <f aca="false">IF(B174&lt;=$C$15,DATE(YEAR(C173),MONTH(C173)+12/$C$16,DAY(C173)),"0")</f>
        <v>0</v>
      </c>
      <c r="D174" s="1026" t="n">
        <f aca="false">IF(C174="0",0,$C$17)</f>
        <v>0</v>
      </c>
      <c r="E174" s="1025" t="str">
        <f aca="false">IF(B174&lt;=$D$15,DATE(YEAR(E173),MONTH(E173)+12/$D$16,DAY(E173)),"0")</f>
        <v>0</v>
      </c>
      <c r="F174" s="1026" t="n">
        <f aca="false">IF(E174="0",0,$D$17)</f>
        <v>0</v>
      </c>
    </row>
    <row r="175" customFormat="false" ht="12.75" hidden="false" customHeight="false" outlineLevel="0" collapsed="false">
      <c r="B175" s="12" t="n">
        <f aca="false">B174+1</f>
        <v>39</v>
      </c>
      <c r="C175" s="1025" t="str">
        <f aca="false">IF(B175&lt;=$C$15,DATE(YEAR(C174),MONTH(C174)+12/$C$16,DAY(C174)),"0")</f>
        <v>0</v>
      </c>
      <c r="D175" s="1026" t="n">
        <f aca="false">IF(C175="0",0,$C$17)</f>
        <v>0</v>
      </c>
      <c r="E175" s="1025" t="str">
        <f aca="false">IF(B175&lt;=$D$15,DATE(YEAR(E174),MONTH(E174)+12/$D$16,DAY(E174)),"0")</f>
        <v>0</v>
      </c>
      <c r="F175" s="1026" t="n">
        <f aca="false">IF(E175="0",0,$D$17)</f>
        <v>0</v>
      </c>
    </row>
    <row r="176" customFormat="false" ht="12.75" hidden="false" customHeight="false" outlineLevel="0" collapsed="false">
      <c r="B176" s="12" t="n">
        <f aca="false">B175+1</f>
        <v>40</v>
      </c>
      <c r="C176" s="1025" t="str">
        <f aca="false">IF(B176&lt;=$C$15,DATE(YEAR(C175),MONTH(C175)+12/$C$16,DAY(C175)),"0")</f>
        <v>0</v>
      </c>
      <c r="D176" s="1026" t="n">
        <f aca="false">IF(C176="0",0,$C$17)</f>
        <v>0</v>
      </c>
      <c r="E176" s="1025" t="str">
        <f aca="false">IF(B176&lt;=$D$15,DATE(YEAR(E175),MONTH(E175)+12/$D$16,DAY(E175)),"0")</f>
        <v>0</v>
      </c>
      <c r="F176" s="1026" t="n">
        <f aca="false">IF(E176="0",0,$D$17)</f>
        <v>0</v>
      </c>
    </row>
    <row r="177" customFormat="false" ht="12.75" hidden="false" customHeight="false" outlineLevel="0" collapsed="false">
      <c r="B177" s="12" t="n">
        <f aca="false">B176+1</f>
        <v>41</v>
      </c>
      <c r="C177" s="1025" t="str">
        <f aca="false">IF(B177&lt;=$C$15,DATE(YEAR(C176),MONTH(C176)+12/$C$16,DAY(C176)),"0")</f>
        <v>0</v>
      </c>
      <c r="D177" s="1026" t="n">
        <f aca="false">IF(C177="0",0,$C$17)</f>
        <v>0</v>
      </c>
      <c r="E177" s="1025" t="str">
        <f aca="false">IF(B177&lt;=$D$15,DATE(YEAR(E176),MONTH(E176)+12/$D$16,DAY(E176)),"0")</f>
        <v>0</v>
      </c>
      <c r="F177" s="1026" t="n">
        <f aca="false">IF(E177="0",0,$D$17)</f>
        <v>0</v>
      </c>
    </row>
    <row r="178" customFormat="false" ht="12.75" hidden="false" customHeight="false" outlineLevel="0" collapsed="false">
      <c r="B178" s="12" t="n">
        <f aca="false">B177+1</f>
        <v>42</v>
      </c>
      <c r="C178" s="1025" t="str">
        <f aca="false">IF(B178&lt;=$C$15,DATE(YEAR(C177),MONTH(C177)+12/$C$16,DAY(C177)),"0")</f>
        <v>0</v>
      </c>
      <c r="D178" s="1026" t="n">
        <f aca="false">IF(C178="0",0,$C$17)</f>
        <v>0</v>
      </c>
      <c r="E178" s="1025" t="str">
        <f aca="false">IF(B178&lt;=$D$15,DATE(YEAR(E177),MONTH(E177)+12/$D$16,DAY(E177)),"0")</f>
        <v>0</v>
      </c>
      <c r="F178" s="1026" t="n">
        <f aca="false">IF(E178="0",0,$D$17)</f>
        <v>0</v>
      </c>
    </row>
    <row r="179" customFormat="false" ht="12.75" hidden="false" customHeight="false" outlineLevel="0" collapsed="false">
      <c r="B179" s="12" t="n">
        <f aca="false">B178+1</f>
        <v>43</v>
      </c>
      <c r="C179" s="1025" t="str">
        <f aca="false">IF(B179&lt;=$C$15,DATE(YEAR(C178),MONTH(C178)+12/$C$16,DAY(C178)),"0")</f>
        <v>0</v>
      </c>
      <c r="D179" s="1026" t="n">
        <f aca="false">IF(C179="0",0,$C$17)</f>
        <v>0</v>
      </c>
      <c r="E179" s="1025" t="str">
        <f aca="false">IF(B179&lt;=$D$15,DATE(YEAR(E178),MONTH(E178)+12/$D$16,DAY(E178)),"0")</f>
        <v>0</v>
      </c>
      <c r="F179" s="1026" t="n">
        <f aca="false">IF(E179="0",0,$D$17)</f>
        <v>0</v>
      </c>
    </row>
    <row r="180" customFormat="false" ht="12.75" hidden="false" customHeight="false" outlineLevel="0" collapsed="false">
      <c r="B180" s="12" t="n">
        <f aca="false">B179+1</f>
        <v>44</v>
      </c>
      <c r="C180" s="1025" t="str">
        <f aca="false">IF(B180&lt;=$C$15,DATE(YEAR(C179),MONTH(C179)+12/$C$16,DAY(C179)),"0")</f>
        <v>0</v>
      </c>
      <c r="D180" s="1026" t="n">
        <f aca="false">IF(C180="0",0,$C$17)</f>
        <v>0</v>
      </c>
      <c r="E180" s="1025" t="str">
        <f aca="false">IF(B180&lt;=$D$15,DATE(YEAR(E179),MONTH(E179)+12/$D$16,DAY(E179)),"0")</f>
        <v>0</v>
      </c>
      <c r="F180" s="1026" t="n">
        <f aca="false">IF(E180="0",0,$D$17)</f>
        <v>0</v>
      </c>
    </row>
    <row r="181" customFormat="false" ht="12.75" hidden="false" customHeight="false" outlineLevel="0" collapsed="false">
      <c r="B181" s="12" t="n">
        <f aca="false">B180+1</f>
        <v>45</v>
      </c>
      <c r="C181" s="1025" t="str">
        <f aca="false">IF(B181&lt;=$C$15,DATE(YEAR(C180),MONTH(C180)+12/$C$16,DAY(C180)),"0")</f>
        <v>0</v>
      </c>
      <c r="D181" s="1026" t="n">
        <f aca="false">IF(C181="0",0,$C$17)</f>
        <v>0</v>
      </c>
      <c r="E181" s="1025" t="str">
        <f aca="false">IF(B181&lt;=$D$15,DATE(YEAR(E180),MONTH(E180)+12/$D$16,DAY(E180)),"0")</f>
        <v>0</v>
      </c>
      <c r="F181" s="1026" t="n">
        <f aca="false">IF(E181="0",0,$D$17)</f>
        <v>0</v>
      </c>
    </row>
    <row r="182" customFormat="false" ht="12.75" hidden="false" customHeight="false" outlineLevel="0" collapsed="false">
      <c r="B182" s="12" t="n">
        <f aca="false">B181+1</f>
        <v>46</v>
      </c>
      <c r="C182" s="1025" t="str">
        <f aca="false">IF(B182&lt;=$C$15,DATE(YEAR(C181),MONTH(C181)+12/$C$16,DAY(C181)),"0")</f>
        <v>0</v>
      </c>
      <c r="D182" s="1026" t="n">
        <f aca="false">IF(C182="0",0,$C$17)</f>
        <v>0</v>
      </c>
      <c r="E182" s="1025" t="str">
        <f aca="false">IF(B182&lt;=$D$15,DATE(YEAR(E181),MONTH(E181)+12/$D$16,DAY(E181)),"0")</f>
        <v>0</v>
      </c>
      <c r="F182" s="1026" t="n">
        <f aca="false">IF(E182="0",0,$D$17)</f>
        <v>0</v>
      </c>
    </row>
    <row r="183" customFormat="false" ht="12.75" hidden="false" customHeight="false" outlineLevel="0" collapsed="false">
      <c r="B183" s="12" t="n">
        <f aca="false">B182+1</f>
        <v>47</v>
      </c>
      <c r="C183" s="1025" t="str">
        <f aca="false">IF(B183&lt;=$C$15,DATE(YEAR(C182),MONTH(C182)+12/$C$16,DAY(C182)),"0")</f>
        <v>0</v>
      </c>
      <c r="D183" s="1026" t="n">
        <f aca="false">IF(C183="0",0,$C$17)</f>
        <v>0</v>
      </c>
      <c r="E183" s="1025" t="str">
        <f aca="false">IF(B183&lt;=$D$15,DATE(YEAR(E182),MONTH(E182)+12/$D$16,DAY(E182)),"0")</f>
        <v>0</v>
      </c>
      <c r="F183" s="1026" t="n">
        <f aca="false">IF(E183="0",0,$D$17)</f>
        <v>0</v>
      </c>
    </row>
    <row r="184" customFormat="false" ht="12.75" hidden="false" customHeight="false" outlineLevel="0" collapsed="false">
      <c r="B184" s="12" t="n">
        <f aca="false">B183+1</f>
        <v>48</v>
      </c>
      <c r="C184" s="1025" t="str">
        <f aca="false">IF(B184&lt;=$C$15,DATE(YEAR(C183),MONTH(C183)+12/$C$16,DAY(C183)),"0")</f>
        <v>0</v>
      </c>
      <c r="D184" s="1026" t="n">
        <f aca="false">IF(C184="0",0,$C$17)</f>
        <v>0</v>
      </c>
      <c r="E184" s="1025" t="str">
        <f aca="false">IF(B184&lt;=$D$15,DATE(YEAR(E183),MONTH(E183)+12/$D$16,DAY(E183)),"0")</f>
        <v>0</v>
      </c>
      <c r="F184" s="1026" t="n">
        <f aca="false">IF(E184="0",0,$D$17)</f>
        <v>0</v>
      </c>
    </row>
  </sheetData>
  <sheetProtection sheet="true" password="cc4b"/>
  <mergeCells count="2">
    <mergeCell ref="C135:D135"/>
    <mergeCell ref="E135:F13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P2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ColWidth="11.4609375" defaultRowHeight="12.75" zeroHeight="false" outlineLevelRow="0" outlineLevelCol="0"/>
  <cols>
    <col collapsed="false" customWidth="false" hidden="false" outlineLevel="0" max="1" min="1" style="451" width="11.46"/>
    <col collapsed="false" customWidth="true" hidden="false" outlineLevel="0" max="2" min="2" style="451" width="50.57"/>
    <col collapsed="false" customWidth="true" hidden="false" outlineLevel="0" max="6" min="3" style="451" width="15.64"/>
    <col collapsed="false" customWidth="false" hidden="false" outlineLevel="0" max="16384" min="7" style="451" width="11.46"/>
  </cols>
  <sheetData>
    <row r="2" customFormat="false" ht="12.75" hidden="false" customHeight="false" outlineLevel="0" collapsed="false">
      <c r="C2" s="912"/>
      <c r="P2" s="16"/>
    </row>
    <row r="3" customFormat="false" ht="20.25" hidden="false" customHeight="false" outlineLevel="0" collapsed="false">
      <c r="B3" s="300" t="str">
        <f aca="false">'Datos generales'!C6</f>
        <v>La tienda S.L</v>
      </c>
      <c r="C3" s="300"/>
      <c r="D3" s="300"/>
      <c r="E3" s="300"/>
      <c r="F3" s="300"/>
      <c r="G3" s="300"/>
      <c r="P3" s="16"/>
    </row>
    <row r="4" customFormat="false" ht="12.75" hidden="false" customHeight="false" outlineLevel="0" collapsed="false">
      <c r="C4" s="912"/>
      <c r="P4" s="16"/>
    </row>
    <row r="5" customFormat="false" ht="25.5" hidden="false" customHeight="false" outlineLevel="0" collapsed="false">
      <c r="B5" s="51" t="s">
        <v>684</v>
      </c>
      <c r="C5" s="1102"/>
      <c r="D5" s="1103"/>
      <c r="E5" s="1103"/>
      <c r="F5" s="1104"/>
      <c r="G5" s="70"/>
    </row>
    <row r="6" customFormat="false" ht="25.5" hidden="false" customHeight="false" outlineLevel="0" collapsed="false">
      <c r="B6" s="51" t="s">
        <v>685</v>
      </c>
      <c r="C6" s="1102"/>
      <c r="D6" s="1104"/>
      <c r="E6" s="1103"/>
      <c r="F6" s="1104"/>
      <c r="G6" s="70"/>
    </row>
    <row r="7" customFormat="false" ht="12" hidden="false" customHeight="true" outlineLevel="0" collapsed="false">
      <c r="B7" s="51"/>
      <c r="C7" s="1102"/>
      <c r="D7" s="1104"/>
      <c r="E7" s="1103"/>
      <c r="F7" s="1104"/>
      <c r="G7" s="70"/>
    </row>
    <row r="8" customFormat="false" ht="29.25" hidden="false" customHeight="false" outlineLevel="0" collapsed="false">
      <c r="B8" s="1105" t="s">
        <v>177</v>
      </c>
      <c r="C8" s="1106" t="s">
        <v>686</v>
      </c>
      <c r="D8" s="1107" t="s">
        <v>3</v>
      </c>
      <c r="E8" s="1107" t="s">
        <v>687</v>
      </c>
      <c r="F8" s="1108" t="s">
        <v>5</v>
      </c>
      <c r="G8" s="1109"/>
    </row>
    <row r="9" customFormat="false" ht="23.25" hidden="false" customHeight="true" outlineLevel="0" collapsed="false">
      <c r="B9" s="1110" t="s">
        <v>688</v>
      </c>
      <c r="F9" s="1111"/>
      <c r="G9" s="70"/>
    </row>
    <row r="10" customFormat="false" ht="14.25" hidden="false" customHeight="false" outlineLevel="0" collapsed="false">
      <c r="B10" s="1112" t="s">
        <v>689</v>
      </c>
      <c r="C10" s="1113" t="n">
        <f aca="false">'PRESUPUESTO INICIAL INVER_FINAN'!F45</f>
        <v>260600</v>
      </c>
      <c r="D10" s="1113" t="n">
        <f aca="false">C10+'AMORTIZACION CONTABLE'!F25</f>
        <v>260600</v>
      </c>
      <c r="E10" s="1113" t="n">
        <f aca="false">D10-D11+'AMORTIZACION CONTABLE'!I25</f>
        <v>248750</v>
      </c>
      <c r="F10" s="1114" t="n">
        <f aca="false">E10-E11+'AMORTIZACION CONTABLE'!K25</f>
        <v>236900</v>
      </c>
      <c r="G10" s="70"/>
    </row>
    <row r="11" customFormat="false" ht="14.25" hidden="false" customHeight="false" outlineLevel="0" collapsed="false">
      <c r="B11" s="1115" t="s">
        <v>690</v>
      </c>
      <c r="C11" s="448"/>
      <c r="D11" s="448" t="n">
        <f aca="false">'AMORTIZACION CONTABLE'!H25</f>
        <v>11850</v>
      </c>
      <c r="E11" s="448" t="n">
        <f aca="false">'AMORTIZACION CONTABLE'!J25</f>
        <v>11850</v>
      </c>
      <c r="F11" s="636" t="n">
        <f aca="false">'AMORTIZACION CONTABLE'!L25</f>
        <v>11850</v>
      </c>
      <c r="G11" s="70"/>
    </row>
    <row r="12" customFormat="false" ht="14.25" hidden="false" customHeight="false" outlineLevel="0" collapsed="false">
      <c r="B12" s="1116" t="s">
        <v>691</v>
      </c>
      <c r="C12" s="1117" t="n">
        <f aca="false">'PRESUPUESTO INICIAL INVER_FINAN'!F31</f>
        <v>1050</v>
      </c>
      <c r="D12" s="1117" t="n">
        <f aca="false">C12+'AMORTIZACION CONTABLE'!F36</f>
        <v>1050</v>
      </c>
      <c r="E12" s="1117" t="n">
        <f aca="false">D12-D13+'AMORTIZACION CONTABLE'!I36</f>
        <v>733.333333333333</v>
      </c>
      <c r="F12" s="1118" t="n">
        <f aca="false">E12-E13+'AMORTIZACION CONTABLE'!K36</f>
        <v>416.666666666667</v>
      </c>
      <c r="G12" s="70"/>
    </row>
    <row r="13" customFormat="false" ht="14.25" hidden="false" customHeight="false" outlineLevel="0" collapsed="false">
      <c r="B13" s="1115" t="s">
        <v>692</v>
      </c>
      <c r="C13" s="448"/>
      <c r="D13" s="448" t="n">
        <f aca="false">'AMORTIZACION CONTABLE'!H36</f>
        <v>316.666666666667</v>
      </c>
      <c r="E13" s="448" t="n">
        <f aca="false">'AMORTIZACION CONTABLE'!J36</f>
        <v>316.666666666667</v>
      </c>
      <c r="F13" s="636" t="n">
        <f aca="false">'AMORTIZACION CONTABLE'!L36</f>
        <v>316.666666666667</v>
      </c>
      <c r="G13" s="70"/>
    </row>
    <row r="14" customFormat="false" ht="14.25" hidden="false" customHeight="false" outlineLevel="0" collapsed="false">
      <c r="B14" s="1116" t="s">
        <v>693</v>
      </c>
      <c r="C14" s="1117" t="n">
        <f aca="false">'PRESUPUESTO INICIAL INVER_FINAN'!F51</f>
        <v>0</v>
      </c>
      <c r="D14" s="1117" t="n">
        <f aca="false">C14+'Entrada Inver_Finan'!F61</f>
        <v>0</v>
      </c>
      <c r="E14" s="1117" t="n">
        <f aca="false">D14+'Entrada Inver_Finan'!G61</f>
        <v>0</v>
      </c>
      <c r="F14" s="1118" t="n">
        <f aca="false">E14+'Entrada Inver_Finan'!H61</f>
        <v>0</v>
      </c>
      <c r="G14" s="70"/>
    </row>
    <row r="15" s="27" customFormat="true" ht="18" hidden="false" customHeight="false" outlineLevel="0" collapsed="false">
      <c r="B15" s="1119" t="s">
        <v>210</v>
      </c>
      <c r="C15" s="1120" t="n">
        <f aca="false">C10-C11+C12-C13+C14</f>
        <v>261650</v>
      </c>
      <c r="D15" s="1120" t="n">
        <f aca="false">D10-D11+D12-D13+D14</f>
        <v>249483.333333333</v>
      </c>
      <c r="E15" s="1120" t="n">
        <f aca="false">E10-E11+E12-E13+E14</f>
        <v>237316.666666667</v>
      </c>
      <c r="F15" s="1121" t="n">
        <f aca="false">F10-F11+F12-F13+F14</f>
        <v>225150</v>
      </c>
      <c r="G15" s="1122"/>
    </row>
    <row r="16" s="27" customFormat="true" ht="24.75" hidden="false" customHeight="true" outlineLevel="0" collapsed="false">
      <c r="B16" s="1110" t="s">
        <v>694</v>
      </c>
      <c r="C16" s="1123"/>
      <c r="D16" s="1123"/>
      <c r="E16" s="1123"/>
      <c r="F16" s="1124"/>
      <c r="G16" s="1122"/>
    </row>
    <row r="17" customFormat="false" ht="14.25" hidden="false" customHeight="false" outlineLevel="0" collapsed="false">
      <c r="B17" s="1125" t="s">
        <v>695</v>
      </c>
      <c r="C17" s="1113" t="n">
        <f aca="false">'PRESUPUESTO INICIAL INVER_FINAN'!F81</f>
        <v>12823</v>
      </c>
      <c r="D17" s="1113" t="n">
        <f aca="false">C17</f>
        <v>12823</v>
      </c>
      <c r="E17" s="1126" t="n">
        <f aca="false">D17+D17*'Margen B'!S23</f>
        <v>12823</v>
      </c>
      <c r="F17" s="1127" t="n">
        <f aca="false">E17+E17*'Margen B'!V23</f>
        <v>12823</v>
      </c>
      <c r="G17" s="70"/>
    </row>
    <row r="18" customFormat="false" ht="14.25" hidden="false" customHeight="false" outlineLevel="0" collapsed="false">
      <c r="B18" s="1116" t="s">
        <v>696</v>
      </c>
      <c r="C18" s="1117" t="n">
        <f aca="false">'PRESUPUESTO INICIAL INVER_FINAN'!O89</f>
        <v>28666.3</v>
      </c>
      <c r="D18" s="1117" t="n">
        <f aca="false">'Politica Cobr. Pagos'!E25</f>
        <v>0</v>
      </c>
      <c r="E18" s="1128" t="n">
        <f aca="false">'Politica Cobr. Pagos'!F25</f>
        <v>0</v>
      </c>
      <c r="F18" s="1129" t="n">
        <f aca="false">'Politica Cobr. Pagos'!G25</f>
        <v>0</v>
      </c>
      <c r="G18" s="70"/>
    </row>
    <row r="19" customFormat="false" ht="14.25" hidden="false" customHeight="false" outlineLevel="0" collapsed="false">
      <c r="B19" s="1116" t="s">
        <v>697</v>
      </c>
      <c r="C19" s="1117" t="n">
        <f aca="false">'PRESUPUESTO INICIAL INVER_FINAN'!F118</f>
        <v>310.700000000012</v>
      </c>
      <c r="D19" s="1117" t="n">
        <f aca="false">TESORERIA!N72</f>
        <v>76969.574</v>
      </c>
      <c r="E19" s="1128" t="n">
        <f aca="false">TESORERIA!E35</f>
        <v>140455.317533333</v>
      </c>
      <c r="F19" s="1129" t="n">
        <f aca="false">TESORERIA!F35</f>
        <v>193229.921466667</v>
      </c>
      <c r="G19" s="70"/>
    </row>
    <row r="20" customFormat="false" ht="18" hidden="false" customHeight="false" outlineLevel="0" collapsed="false">
      <c r="B20" s="1119" t="s">
        <v>698</v>
      </c>
      <c r="C20" s="1120" t="n">
        <f aca="false">C17+C18+C19</f>
        <v>41800</v>
      </c>
      <c r="D20" s="1120" t="n">
        <f aca="false">D17+D18+D19</f>
        <v>89792.574</v>
      </c>
      <c r="E20" s="1120" t="n">
        <f aca="false">E17+E18+E19</f>
        <v>153278.317533333</v>
      </c>
      <c r="F20" s="1121" t="n">
        <f aca="false">F17+F18+F19</f>
        <v>206052.921466667</v>
      </c>
      <c r="G20" s="70"/>
    </row>
    <row r="21" customFormat="false" ht="10.5" hidden="false" customHeight="true" outlineLevel="0" collapsed="false">
      <c r="B21" s="1130"/>
      <c r="C21" s="1131"/>
      <c r="D21" s="1131"/>
      <c r="E21" s="1131"/>
      <c r="F21" s="1132"/>
      <c r="G21" s="70"/>
    </row>
    <row r="22" s="27" customFormat="true" ht="27" hidden="false" customHeight="true" outlineLevel="0" collapsed="false">
      <c r="B22" s="1133" t="s">
        <v>228</v>
      </c>
      <c r="C22" s="1134" t="n">
        <f aca="false">C15+C20</f>
        <v>303450</v>
      </c>
      <c r="D22" s="1134" t="n">
        <f aca="false">D15+D20</f>
        <v>339275.907333333</v>
      </c>
      <c r="E22" s="1134" t="n">
        <f aca="false">E15+E20</f>
        <v>390594.9842</v>
      </c>
      <c r="F22" s="1135" t="n">
        <f aca="false">F15+F20</f>
        <v>431202.921466667</v>
      </c>
      <c r="G22" s="1122"/>
    </row>
    <row r="23" customFormat="false" ht="15" hidden="false" customHeight="false" outlineLevel="0" collapsed="false">
      <c r="B23" s="70"/>
      <c r="C23" s="70"/>
      <c r="D23" s="223"/>
      <c r="E23" s="1103"/>
      <c r="F23" s="1104"/>
      <c r="G23" s="70"/>
    </row>
    <row r="24" customFormat="false" ht="14.25" hidden="false" customHeight="false" outlineLevel="0" collapsed="false">
      <c r="B24" s="70"/>
      <c r="C24" s="70"/>
      <c r="D24" s="223"/>
      <c r="E24" s="1103"/>
      <c r="F24" s="1104"/>
      <c r="G24" s="70"/>
    </row>
  </sheetData>
  <sheetProtection sheet="true" password="cc4b" objects="true" scenarios="true"/>
  <mergeCells count="1">
    <mergeCell ref="B3:G3"/>
  </mergeCells>
  <printOptions headings="false" gridLines="false" gridLinesSet="true" horizontalCentered="true" verticalCentered="true"/>
  <pageMargins left="0.7875" right="0.7875" top="0.984027777777778" bottom="0.98402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1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8.90234375" defaultRowHeight="19.5" zeroHeight="false" outlineLevelRow="0" outlineLevelCol="0"/>
  <cols>
    <col collapsed="false" customWidth="true" hidden="false" outlineLevel="0" max="1" min="1" style="0" width="11.46"/>
    <col collapsed="false" customWidth="true" hidden="false" outlineLevel="0" max="2" min="2" style="0" width="27.11"/>
    <col collapsed="false" customWidth="true" hidden="false" outlineLevel="0" max="17" min="3" style="0" width="13.62"/>
    <col collapsed="false" customWidth="true" hidden="false" outlineLevel="0" max="18" min="18" style="0" width="7.69"/>
    <col collapsed="false" customWidth="true" hidden="false" outlineLevel="0" max="256" min="19" style="0" width="11.46"/>
  </cols>
  <sheetData>
    <row r="1" s="298" customFormat="true" ht="12.75" hidden="false" customHeight="true" outlineLevel="0" collapsed="false"/>
    <row r="2" customFormat="false" ht="11.25" hidden="false" customHeight="true" outlineLevel="0" collapsed="false"/>
    <row r="4" customFormat="false" ht="19.5" hidden="false" customHeight="true" outlineLevel="0" collapsed="false">
      <c r="B4" s="300" t="str">
        <f aca="false">'Datos generales'!C6</f>
        <v>La tienda S.L</v>
      </c>
      <c r="C4" s="300"/>
      <c r="D4" s="300"/>
      <c r="E4" s="300"/>
      <c r="F4" s="300"/>
      <c r="G4" s="300"/>
    </row>
    <row r="6" customFormat="false" ht="19.5" hidden="false" customHeight="true" outlineLevel="0" collapsed="false">
      <c r="B6" s="1136" t="s">
        <v>699</v>
      </c>
    </row>
    <row r="7" customFormat="false" ht="19.5" hidden="false" customHeight="true" outlineLevel="0" collapsed="false">
      <c r="B7" s="1136"/>
    </row>
    <row r="8" customFormat="false" ht="19.5" hidden="false" customHeight="true" outlineLevel="0" collapsed="false">
      <c r="B8" s="51" t="s">
        <v>700</v>
      </c>
    </row>
    <row r="9" customFormat="false" ht="9" hidden="false" customHeight="true" outlineLevel="0" collapsed="false">
      <c r="B9" s="51"/>
    </row>
    <row r="10" customFormat="false" ht="19.5" hidden="false" customHeight="true" outlineLevel="0" collapsed="false">
      <c r="A10" s="35"/>
      <c r="B10" s="35"/>
      <c r="C10" s="1137" t="s">
        <v>701</v>
      </c>
      <c r="D10" s="1137"/>
      <c r="E10" s="1137" t="s">
        <v>381</v>
      </c>
      <c r="F10" s="1137"/>
      <c r="G10" s="1137" t="s">
        <v>702</v>
      </c>
      <c r="H10" s="1137"/>
      <c r="J10" s="1109"/>
      <c r="K10" s="1109"/>
      <c r="N10" s="35"/>
      <c r="O10" s="35"/>
      <c r="P10" s="35"/>
      <c r="Q10" s="35"/>
    </row>
    <row r="11" customFormat="false" ht="27.75" hidden="false" customHeight="true" outlineLevel="0" collapsed="false">
      <c r="A11" s="35"/>
      <c r="B11" s="1138" t="s">
        <v>703</v>
      </c>
      <c r="C11" s="1139" t="s">
        <v>704</v>
      </c>
      <c r="D11" s="1139"/>
      <c r="E11" s="1140" t="s">
        <v>704</v>
      </c>
      <c r="F11" s="1140"/>
      <c r="G11" s="1141" t="s">
        <v>704</v>
      </c>
      <c r="H11" s="1141"/>
    </row>
    <row r="12" customFormat="false" ht="19.5" hidden="false" customHeight="true" outlineLevel="0" collapsed="false">
      <c r="A12" s="35"/>
      <c r="B12" s="1142" t="str">
        <f aca="false">'Previsión de negocio'!B30</f>
        <v>Pienso para perro adulto 12 kg</v>
      </c>
      <c r="C12" s="1143" t="s">
        <v>156</v>
      </c>
      <c r="D12" s="1144" t="n">
        <f aca="false">P39</f>
        <v>660</v>
      </c>
      <c r="E12" s="1143" t="s">
        <v>156</v>
      </c>
      <c r="F12" s="1144" t="n">
        <f aca="false">P65</f>
        <v>936</v>
      </c>
      <c r="G12" s="1143" t="s">
        <v>156</v>
      </c>
      <c r="H12" s="1145" t="n">
        <f aca="false">P91</f>
        <v>1056</v>
      </c>
    </row>
    <row r="13" customFormat="false" ht="19.5" hidden="false" customHeight="true" outlineLevel="0" collapsed="false">
      <c r="A13" s="35"/>
      <c r="B13" s="1146"/>
      <c r="C13" s="1147" t="s">
        <v>551</v>
      </c>
      <c r="D13" s="1148" t="n">
        <f aca="false">P40</f>
        <v>39600</v>
      </c>
      <c r="E13" s="1147" t="s">
        <v>551</v>
      </c>
      <c r="F13" s="1148" t="n">
        <f aca="false">P66</f>
        <v>56160</v>
      </c>
      <c r="G13" s="1147" t="s">
        <v>551</v>
      </c>
      <c r="H13" s="1149" t="n">
        <f aca="false">P92</f>
        <v>63360</v>
      </c>
    </row>
    <row r="14" customFormat="false" ht="19.5" hidden="false" customHeight="true" outlineLevel="0" collapsed="false">
      <c r="A14" s="35"/>
      <c r="B14" s="1150" t="str">
        <f aca="false">'Previsión de negocio'!B36</f>
        <v>Pienso para gato adulto 10 kg</v>
      </c>
      <c r="C14" s="326" t="s">
        <v>156</v>
      </c>
      <c r="D14" s="1151" t="n">
        <f aca="false">P41</f>
        <v>540</v>
      </c>
      <c r="E14" s="326" t="s">
        <v>156</v>
      </c>
      <c r="F14" s="1151" t="n">
        <f aca="false">P67</f>
        <v>816</v>
      </c>
      <c r="G14" s="326" t="s">
        <v>156</v>
      </c>
      <c r="H14" s="1152" t="n">
        <f aca="false">P93</f>
        <v>936</v>
      </c>
    </row>
    <row r="15" customFormat="false" ht="19.5" hidden="false" customHeight="true" outlineLevel="0" collapsed="false">
      <c r="A15" s="35"/>
      <c r="B15" s="1146"/>
      <c r="C15" s="1147" t="s">
        <v>551</v>
      </c>
      <c r="D15" s="1148" t="n">
        <f aca="false">P42</f>
        <v>35100</v>
      </c>
      <c r="E15" s="1147" t="s">
        <v>551</v>
      </c>
      <c r="F15" s="1148" t="n">
        <f aca="false">P68</f>
        <v>53040</v>
      </c>
      <c r="G15" s="1147" t="s">
        <v>551</v>
      </c>
      <c r="H15" s="1149" t="n">
        <f aca="false">P94</f>
        <v>60840</v>
      </c>
    </row>
    <row r="16" customFormat="false" ht="19.5" hidden="false" customHeight="true" outlineLevel="0" collapsed="false">
      <c r="A16" s="35"/>
      <c r="B16" s="1150" t="str">
        <f aca="false">'Previsión de negocio'!B42</f>
        <v>Pienso para loros 12 kg</v>
      </c>
      <c r="C16" s="326" t="s">
        <v>156</v>
      </c>
      <c r="D16" s="1151" t="n">
        <f aca="false">P43</f>
        <v>396</v>
      </c>
      <c r="E16" s="326" t="s">
        <v>156</v>
      </c>
      <c r="F16" s="1151" t="n">
        <f aca="false">P69</f>
        <v>576</v>
      </c>
      <c r="G16" s="326" t="s">
        <v>156</v>
      </c>
      <c r="H16" s="1152" t="n">
        <f aca="false">P95</f>
        <v>696</v>
      </c>
    </row>
    <row r="17" customFormat="false" ht="19.5" hidden="false" customHeight="true" outlineLevel="0" collapsed="false">
      <c r="A17" s="35"/>
      <c r="B17" s="1146"/>
      <c r="C17" s="1147" t="s">
        <v>551</v>
      </c>
      <c r="D17" s="1148" t="n">
        <f aca="false">P44</f>
        <v>35640</v>
      </c>
      <c r="E17" s="1147" t="s">
        <v>551</v>
      </c>
      <c r="F17" s="1148" t="n">
        <f aca="false">P70</f>
        <v>51840</v>
      </c>
      <c r="G17" s="1147" t="s">
        <v>551</v>
      </c>
      <c r="H17" s="1149" t="n">
        <f aca="false">P96</f>
        <v>62640</v>
      </c>
    </row>
    <row r="18" customFormat="false" ht="19.5" hidden="false" customHeight="true" outlineLevel="0" collapsed="false">
      <c r="A18" s="35"/>
      <c r="B18" s="1150" t="str">
        <f aca="false">'Previsión de negocio'!B48</f>
        <v>Pienso para cobayas 3 kg</v>
      </c>
      <c r="C18" s="326" t="s">
        <v>156</v>
      </c>
      <c r="D18" s="1151" t="n">
        <f aca="false">P45</f>
        <v>996</v>
      </c>
      <c r="E18" s="326" t="s">
        <v>156</v>
      </c>
      <c r="F18" s="1151" t="n">
        <f aca="false">P71</f>
        <v>1176</v>
      </c>
      <c r="G18" s="326" t="s">
        <v>156</v>
      </c>
      <c r="H18" s="1152" t="n">
        <f aca="false">P97</f>
        <v>1296</v>
      </c>
    </row>
    <row r="19" customFormat="false" ht="19.5" hidden="false" customHeight="true" outlineLevel="0" collapsed="false">
      <c r="A19" s="35"/>
      <c r="B19" s="1146"/>
      <c r="C19" s="1147" t="s">
        <v>551</v>
      </c>
      <c r="D19" s="1148" t="n">
        <f aca="false">P46</f>
        <v>10956</v>
      </c>
      <c r="E19" s="1147" t="s">
        <v>551</v>
      </c>
      <c r="F19" s="1148" t="n">
        <f aca="false">P72</f>
        <v>12936</v>
      </c>
      <c r="G19" s="1147" t="s">
        <v>551</v>
      </c>
      <c r="H19" s="1149" t="n">
        <f aca="false">P98</f>
        <v>14256</v>
      </c>
    </row>
    <row r="20" customFormat="false" ht="19.5" hidden="false" customHeight="true" outlineLevel="0" collapsed="false">
      <c r="A20" s="35"/>
      <c r="B20" s="1150" t="str">
        <f aca="false">'Previsión de negocio'!B54</f>
        <v>Pienso para conejo adulto 1,75 kg</v>
      </c>
      <c r="C20" s="326" t="s">
        <v>156</v>
      </c>
      <c r="D20" s="1151" t="n">
        <f aca="false">P47</f>
        <v>456</v>
      </c>
      <c r="E20" s="326" t="s">
        <v>156</v>
      </c>
      <c r="F20" s="1151" t="n">
        <f aca="false">P73</f>
        <v>636</v>
      </c>
      <c r="G20" s="326" t="s">
        <v>156</v>
      </c>
      <c r="H20" s="1152" t="n">
        <f aca="false">P99</f>
        <v>756</v>
      </c>
    </row>
    <row r="21" customFormat="false" ht="19.5" hidden="false" customHeight="true" outlineLevel="0" collapsed="false">
      <c r="A21" s="35"/>
      <c r="B21" s="1146"/>
      <c r="C21" s="1147" t="s">
        <v>551</v>
      </c>
      <c r="D21" s="1148" t="n">
        <f aca="false">P48</f>
        <v>9120</v>
      </c>
      <c r="E21" s="1147" t="s">
        <v>551</v>
      </c>
      <c r="F21" s="1148" t="n">
        <f aca="false">P74</f>
        <v>12720</v>
      </c>
      <c r="G21" s="1147" t="s">
        <v>551</v>
      </c>
      <c r="H21" s="1149" t="n">
        <f aca="false">P100</f>
        <v>15120</v>
      </c>
    </row>
    <row r="22" customFormat="false" ht="19.5" hidden="false" customHeight="true" outlineLevel="0" collapsed="false">
      <c r="A22" s="35"/>
      <c r="B22" s="1150" t="str">
        <f aca="false">'Previsión de negocio'!B60</f>
        <v>Pienso para hamsters 1 kg</v>
      </c>
      <c r="C22" s="326" t="s">
        <v>156</v>
      </c>
      <c r="D22" s="1151" t="n">
        <f aca="false">P49</f>
        <v>636</v>
      </c>
      <c r="E22" s="326" t="s">
        <v>156</v>
      </c>
      <c r="F22" s="1151" t="n">
        <f aca="false">P75</f>
        <v>816</v>
      </c>
      <c r="G22" s="326" t="s">
        <v>156</v>
      </c>
      <c r="H22" s="1152" t="n">
        <f aca="false">P101</f>
        <v>936</v>
      </c>
    </row>
    <row r="23" customFormat="false" ht="19.5" hidden="false" customHeight="true" outlineLevel="0" collapsed="false">
      <c r="A23" s="35"/>
      <c r="B23" s="1146"/>
      <c r="C23" s="1147" t="s">
        <v>551</v>
      </c>
      <c r="D23" s="1148" t="n">
        <f aca="false">P50</f>
        <v>12720</v>
      </c>
      <c r="E23" s="1147" t="s">
        <v>551</v>
      </c>
      <c r="F23" s="1148" t="n">
        <f aca="false">P76</f>
        <v>16320</v>
      </c>
      <c r="G23" s="1147" t="s">
        <v>551</v>
      </c>
      <c r="H23" s="1149" t="n">
        <f aca="false">P102</f>
        <v>18720</v>
      </c>
    </row>
    <row r="24" customFormat="false" ht="19.5" hidden="false" customHeight="true" outlineLevel="0" collapsed="false">
      <c r="A24" s="35"/>
      <c r="B24" s="1150" t="str">
        <f aca="false">'Previsión de negocio'!B66</f>
        <v>Pienso natural para perro 3 kg</v>
      </c>
      <c r="C24" s="326" t="s">
        <v>156</v>
      </c>
      <c r="D24" s="1151" t="n">
        <f aca="false">P51</f>
        <v>996</v>
      </c>
      <c r="E24" s="326" t="s">
        <v>156</v>
      </c>
      <c r="F24" s="1151" t="n">
        <f aca="false">P77</f>
        <v>996</v>
      </c>
      <c r="G24" s="326" t="s">
        <v>156</v>
      </c>
      <c r="H24" s="1152" t="n">
        <f aca="false">P103</f>
        <v>1116</v>
      </c>
    </row>
    <row r="25" customFormat="false" ht="19.5" hidden="false" customHeight="true" outlineLevel="0" collapsed="false">
      <c r="A25" s="35"/>
      <c r="B25" s="1146"/>
      <c r="C25" s="1147" t="s">
        <v>551</v>
      </c>
      <c r="D25" s="1148" t="n">
        <f aca="false">P52</f>
        <v>12948</v>
      </c>
      <c r="E25" s="1147" t="s">
        <v>551</v>
      </c>
      <c r="F25" s="1148" t="n">
        <f aca="false">P78</f>
        <v>12948</v>
      </c>
      <c r="G25" s="1147" t="s">
        <v>551</v>
      </c>
      <c r="H25" s="1149" t="n">
        <f aca="false">P104</f>
        <v>14508</v>
      </c>
    </row>
    <row r="26" customFormat="false" ht="19.5" hidden="false" customHeight="true" outlineLevel="0" collapsed="false">
      <c r="A26" s="35"/>
      <c r="B26" s="1150" t="str">
        <f aca="false">'Previsión de negocio'!B72</f>
        <v>Pienso natural para cachorros 6 kg</v>
      </c>
      <c r="C26" s="326" t="s">
        <v>156</v>
      </c>
      <c r="D26" s="1151" t="n">
        <f aca="false">P53</f>
        <v>696</v>
      </c>
      <c r="E26" s="326" t="s">
        <v>156</v>
      </c>
      <c r="F26" s="1151" t="n">
        <f aca="false">P79</f>
        <v>876</v>
      </c>
      <c r="G26" s="326" t="s">
        <v>156</v>
      </c>
      <c r="H26" s="1152" t="n">
        <f aca="false">P105</f>
        <v>996</v>
      </c>
    </row>
    <row r="27" customFormat="false" ht="19.5" hidden="false" customHeight="true" outlineLevel="0" collapsed="false">
      <c r="A27" s="35"/>
      <c r="B27" s="1146"/>
      <c r="C27" s="1147" t="s">
        <v>551</v>
      </c>
      <c r="D27" s="1148" t="n">
        <f aca="false">P54</f>
        <v>27840</v>
      </c>
      <c r="E27" s="1147" t="s">
        <v>551</v>
      </c>
      <c r="F27" s="1148" t="n">
        <f aca="false">P80</f>
        <v>35040</v>
      </c>
      <c r="G27" s="1147" t="s">
        <v>551</v>
      </c>
      <c r="H27" s="1149" t="n">
        <f aca="false">P106</f>
        <v>39840</v>
      </c>
    </row>
    <row r="28" customFormat="false" ht="19.5" hidden="false" customHeight="true" outlineLevel="0" collapsed="false">
      <c r="A28" s="35"/>
      <c r="B28" s="1150" t="str">
        <f aca="false">'Previsión de negocio'!B78</f>
        <v>Menú natural semihúmedo perro</v>
      </c>
      <c r="C28" s="326" t="s">
        <v>156</v>
      </c>
      <c r="D28" s="1151" t="n">
        <f aca="false">P55</f>
        <v>1212</v>
      </c>
      <c r="E28" s="326" t="s">
        <v>156</v>
      </c>
      <c r="F28" s="1151" t="n">
        <f aca="false">P81</f>
        <v>1416</v>
      </c>
      <c r="G28" s="326" t="s">
        <v>156</v>
      </c>
      <c r="H28" s="1152" t="n">
        <f aca="false">P107</f>
        <v>1536</v>
      </c>
    </row>
    <row r="29" customFormat="false" ht="19.5" hidden="false" customHeight="true" outlineLevel="0" collapsed="false">
      <c r="A29" s="35"/>
      <c r="B29" s="1146"/>
      <c r="C29" s="1147" t="s">
        <v>551</v>
      </c>
      <c r="D29" s="1148" t="n">
        <f aca="false">P56</f>
        <v>15756</v>
      </c>
      <c r="E29" s="1147" t="s">
        <v>551</v>
      </c>
      <c r="F29" s="1148" t="n">
        <f aca="false">P82</f>
        <v>18408</v>
      </c>
      <c r="G29" s="1147" t="s">
        <v>551</v>
      </c>
      <c r="H29" s="1149" t="n">
        <f aca="false">P108</f>
        <v>19968</v>
      </c>
    </row>
    <row r="30" customFormat="false" ht="19.5" hidden="false" customHeight="true" outlineLevel="0" collapsed="false">
      <c r="A30" s="35"/>
      <c r="B30" s="1150" t="str">
        <f aca="false">'Previsión de negocio'!B84</f>
        <v>Comida húmeda para gatos 26 pouches</v>
      </c>
      <c r="C30" s="326" t="s">
        <v>156</v>
      </c>
      <c r="D30" s="1151" t="n">
        <f aca="false">P57</f>
        <v>696</v>
      </c>
      <c r="E30" s="326" t="s">
        <v>156</v>
      </c>
      <c r="F30" s="1151" t="n">
        <f aca="false">P83</f>
        <v>852</v>
      </c>
      <c r="G30" s="326" t="s">
        <v>156</v>
      </c>
      <c r="H30" s="1152" t="n">
        <f aca="false">P109</f>
        <v>936</v>
      </c>
    </row>
    <row r="31" customFormat="false" ht="19.5" hidden="false" customHeight="true" outlineLevel="0" collapsed="false">
      <c r="A31" s="35"/>
      <c r="B31" s="1146"/>
      <c r="C31" s="1147" t="s">
        <v>551</v>
      </c>
      <c r="D31" s="1148" t="n">
        <f aca="false">P58</f>
        <v>14616</v>
      </c>
      <c r="E31" s="1147" t="s">
        <v>551</v>
      </c>
      <c r="F31" s="1148" t="n">
        <f aca="false">P84</f>
        <v>17892</v>
      </c>
      <c r="G31" s="1147" t="s">
        <v>551</v>
      </c>
      <c r="H31" s="1149" t="n">
        <f aca="false">P110</f>
        <v>19656</v>
      </c>
    </row>
    <row r="32" customFormat="false" ht="19.5" hidden="false" customHeight="true" outlineLevel="0" collapsed="false">
      <c r="A32" s="35"/>
      <c r="B32" s="1153" t="s">
        <v>705</v>
      </c>
      <c r="C32" s="1154"/>
      <c r="D32" s="1155" t="n">
        <f aca="false">P59</f>
        <v>7284</v>
      </c>
      <c r="E32" s="1154"/>
      <c r="F32" s="1155" t="n">
        <f aca="false">P85</f>
        <v>9096</v>
      </c>
      <c r="G32" s="1154"/>
      <c r="H32" s="1156" t="n">
        <f aca="false">P111</f>
        <v>10260</v>
      </c>
    </row>
    <row r="33" customFormat="false" ht="19.5" hidden="false" customHeight="true" outlineLevel="0" collapsed="false">
      <c r="A33" s="35"/>
      <c r="B33" s="1157" t="s">
        <v>706</v>
      </c>
      <c r="C33" s="1158"/>
      <c r="D33" s="1159" t="n">
        <f aca="false">P60</f>
        <v>214296</v>
      </c>
      <c r="E33" s="1158"/>
      <c r="F33" s="1159" t="n">
        <f aca="false">P86</f>
        <v>287304</v>
      </c>
      <c r="G33" s="1158"/>
      <c r="H33" s="1160" t="n">
        <f aca="false">P112</f>
        <v>328908</v>
      </c>
    </row>
    <row r="34" customFormat="false" ht="19.5" hidden="false" customHeight="true" outlineLevel="0" collapsed="false">
      <c r="A34" s="35"/>
      <c r="B34" s="64"/>
      <c r="C34" s="64"/>
      <c r="D34" s="64"/>
      <c r="E34" s="64"/>
      <c r="F34" s="64"/>
      <c r="G34" s="64"/>
      <c r="H34" s="64"/>
      <c r="I34" s="64"/>
      <c r="J34" s="64"/>
      <c r="K34" s="64"/>
      <c r="L34" s="35"/>
      <c r="M34" s="35"/>
      <c r="N34" s="35"/>
      <c r="O34" s="35"/>
      <c r="P34" s="35"/>
      <c r="Q34" s="35"/>
      <c r="R34" s="425"/>
    </row>
    <row r="35" customFormat="false" ht="19.5" hidden="false" customHeight="true" outlineLevel="0" collapsed="false">
      <c r="A35" s="35"/>
      <c r="B35" s="35"/>
      <c r="C35" s="35"/>
      <c r="D35" s="35"/>
      <c r="E35" s="35"/>
      <c r="F35" s="35"/>
      <c r="G35" s="35"/>
      <c r="H35" s="35"/>
      <c r="I35" s="35"/>
      <c r="J35" s="35"/>
      <c r="K35" s="35"/>
      <c r="L35" s="35"/>
      <c r="M35" s="35"/>
      <c r="N35" s="35"/>
      <c r="O35" s="35"/>
      <c r="P35" s="35"/>
      <c r="Q35" s="35"/>
      <c r="R35" s="425"/>
    </row>
    <row r="36" customFormat="false" ht="19.5" hidden="false" customHeight="true" outlineLevel="0" collapsed="false">
      <c r="B36" s="51" t="s">
        <v>466</v>
      </c>
    </row>
    <row r="37" customFormat="false" ht="9.75" hidden="false" customHeight="true" outlineLevel="0" collapsed="false"/>
    <row r="38" customFormat="false" ht="30" hidden="false" customHeight="true" outlineLevel="0" collapsed="false">
      <c r="B38" s="1161" t="s">
        <v>707</v>
      </c>
      <c r="C38" s="1162"/>
      <c r="D38" s="1163" t="s">
        <v>124</v>
      </c>
      <c r="E38" s="1164" t="s">
        <v>125</v>
      </c>
      <c r="F38" s="1163" t="s">
        <v>126</v>
      </c>
      <c r="G38" s="1163" t="s">
        <v>127</v>
      </c>
      <c r="H38" s="1163" t="s">
        <v>128</v>
      </c>
      <c r="I38" s="1163" t="s">
        <v>129</v>
      </c>
      <c r="J38" s="1163" t="s">
        <v>130</v>
      </c>
      <c r="K38" s="1163" t="s">
        <v>131</v>
      </c>
      <c r="L38" s="1163" t="s">
        <v>132</v>
      </c>
      <c r="M38" s="1163" t="s">
        <v>133</v>
      </c>
      <c r="N38" s="1163" t="s">
        <v>134</v>
      </c>
      <c r="O38" s="1165" t="s">
        <v>135</v>
      </c>
      <c r="P38" s="1166" t="s">
        <v>136</v>
      </c>
    </row>
    <row r="39" customFormat="false" ht="19.5" hidden="false" customHeight="true" outlineLevel="0" collapsed="false">
      <c r="B39" s="507" t="str">
        <f aca="false">B12</f>
        <v>Pienso para perro adulto 12 kg</v>
      </c>
      <c r="C39" s="1167" t="str">
        <f aca="false">C12</f>
        <v>Unidades</v>
      </c>
      <c r="D39" s="1168" t="n">
        <f aca="false">IF('Datos generales'!$O$10&gt;'Datos generales'!E$1,0,'Previsión de negocio'!D31)</f>
        <v>55</v>
      </c>
      <c r="E39" s="1168" t="n">
        <f aca="false">IF('Datos generales'!$O$10&gt;'Datos generales'!F$1,0,'Previsión de negocio'!E31)</f>
        <v>55</v>
      </c>
      <c r="F39" s="1168" t="n">
        <f aca="false">IF('Datos generales'!$O$10&gt;'Datos generales'!G$1,0,'Previsión de negocio'!F31)</f>
        <v>55</v>
      </c>
      <c r="G39" s="1168" t="n">
        <f aca="false">IF('Datos generales'!$O$10&gt;'Datos generales'!H$1,0,'Previsión de negocio'!G31)</f>
        <v>55</v>
      </c>
      <c r="H39" s="1168" t="n">
        <f aca="false">IF('Datos generales'!$O$10&gt;'Datos generales'!I$1,0,'Previsión de negocio'!H31)</f>
        <v>55</v>
      </c>
      <c r="I39" s="1168" t="n">
        <f aca="false">IF('Datos generales'!$O$10&gt;'Datos generales'!J$1,0,'Previsión de negocio'!I31)</f>
        <v>55</v>
      </c>
      <c r="J39" s="1168" t="n">
        <f aca="false">IF('Datos generales'!$O$10&gt;'Datos generales'!K$1,0,'Previsión de negocio'!J31)</f>
        <v>55</v>
      </c>
      <c r="K39" s="1168" t="n">
        <f aca="false">IF('Datos generales'!$O$10&gt;'Datos generales'!L$1,0,'Previsión de negocio'!K31)</f>
        <v>55</v>
      </c>
      <c r="L39" s="1168" t="n">
        <f aca="false">IF('Datos generales'!$O$10&gt;'Datos generales'!M$1,0,'Previsión de negocio'!L31)</f>
        <v>55</v>
      </c>
      <c r="M39" s="1168" t="n">
        <f aca="false">IF('Datos generales'!$O$10&gt;'Datos generales'!N$1,0,'Previsión de negocio'!M31)</f>
        <v>55</v>
      </c>
      <c r="N39" s="1168" t="n">
        <f aca="false">IF('Datos generales'!$O$10&gt;'Datos generales'!O$1,0,'Previsión de negocio'!N31)</f>
        <v>55</v>
      </c>
      <c r="O39" s="1168" t="n">
        <f aca="false">IF('Datos generales'!$O$10&gt;'Datos generales'!P$1,0,'Previsión de negocio'!O31)</f>
        <v>55</v>
      </c>
      <c r="P39" s="1169" t="n">
        <f aca="false">SUM(D39:O39)</f>
        <v>660</v>
      </c>
    </row>
    <row r="40" customFormat="false" ht="19.5" hidden="false" customHeight="true" outlineLevel="0" collapsed="false">
      <c r="B40" s="1170"/>
      <c r="C40" s="1171" t="str">
        <f aca="false">C13</f>
        <v>Euros</v>
      </c>
      <c r="D40" s="1172" t="n">
        <f aca="false">IF('Datos generales'!$O$10&gt;'Datos generales'!E$1,0,'Previsión de negocio'!D33)</f>
        <v>3300</v>
      </c>
      <c r="E40" s="1172" t="n">
        <f aca="false">IF('Datos generales'!$O$10&gt;'Datos generales'!F$1,0,'Previsión de negocio'!E33)</f>
        <v>3300</v>
      </c>
      <c r="F40" s="1172" t="n">
        <f aca="false">IF('Datos generales'!$O$10&gt;'Datos generales'!G$1,0,'Previsión de negocio'!F33)</f>
        <v>3300</v>
      </c>
      <c r="G40" s="1172" t="n">
        <f aca="false">IF('Datos generales'!$O$10&gt;'Datos generales'!H$1,0,'Previsión de negocio'!G33)</f>
        <v>3300</v>
      </c>
      <c r="H40" s="1172" t="n">
        <f aca="false">IF('Datos generales'!$O$10&gt;'Datos generales'!I$1,0,'Previsión de negocio'!H33)</f>
        <v>3300</v>
      </c>
      <c r="I40" s="1172" t="n">
        <f aca="false">IF('Datos generales'!$O$10&gt;'Datos generales'!J$1,0,'Previsión de negocio'!I33)</f>
        <v>3300</v>
      </c>
      <c r="J40" s="1172" t="n">
        <f aca="false">IF('Datos generales'!$O$10&gt;'Datos generales'!K$1,0,'Previsión de negocio'!J33)</f>
        <v>3300</v>
      </c>
      <c r="K40" s="1172" t="n">
        <f aca="false">IF('Datos generales'!$O$10&gt;'Datos generales'!L$1,0,'Previsión de negocio'!K33)</f>
        <v>3300</v>
      </c>
      <c r="L40" s="1172" t="n">
        <f aca="false">IF('Datos generales'!$O$10&gt;'Datos generales'!M$1,0,'Previsión de negocio'!L33)</f>
        <v>3300</v>
      </c>
      <c r="M40" s="1172" t="n">
        <f aca="false">IF('Datos generales'!$O$10&gt;'Datos generales'!N$1,0,'Previsión de negocio'!M33)</f>
        <v>3300</v>
      </c>
      <c r="N40" s="1172" t="n">
        <f aca="false">IF('Datos generales'!$O$10&gt;'Datos generales'!O$1,0,'Previsión de negocio'!N33)</f>
        <v>3300</v>
      </c>
      <c r="O40" s="1172" t="n">
        <f aca="false">IF('Datos generales'!$O$10&gt;'Datos generales'!P$1,0,'Previsión de negocio'!O33)</f>
        <v>3300</v>
      </c>
      <c r="P40" s="1173" t="n">
        <f aca="false">SUM(D40:O40)</f>
        <v>39600</v>
      </c>
    </row>
    <row r="41" customFormat="false" ht="19.5" hidden="false" customHeight="true" outlineLevel="0" collapsed="false">
      <c r="B41" s="507" t="str">
        <f aca="false">B14</f>
        <v>Pienso para gato adulto 10 kg</v>
      </c>
      <c r="C41" s="1167" t="str">
        <f aca="false">C14</f>
        <v>Unidades</v>
      </c>
      <c r="D41" s="1168" t="n">
        <f aca="false">IF('Datos generales'!$O$10&gt;'Datos generales'!E$1,0,'Previsión de negocio'!D37)</f>
        <v>45</v>
      </c>
      <c r="E41" s="1168" t="n">
        <f aca="false">IF('Datos generales'!$O$10&gt;'Datos generales'!F$1,0,'Previsión de negocio'!E37)</f>
        <v>45</v>
      </c>
      <c r="F41" s="1168" t="n">
        <f aca="false">IF('Datos generales'!$O$10&gt;'Datos generales'!G$1,0,'Previsión de negocio'!F37)</f>
        <v>45</v>
      </c>
      <c r="G41" s="1168" t="n">
        <f aca="false">IF('Datos generales'!$O$10&gt;'Datos generales'!H$1,0,'Previsión de negocio'!G37)</f>
        <v>45</v>
      </c>
      <c r="H41" s="1168" t="n">
        <f aca="false">IF('Datos generales'!$O$10&gt;'Datos generales'!I$1,0,'Previsión de negocio'!H37)</f>
        <v>45</v>
      </c>
      <c r="I41" s="1168" t="n">
        <f aca="false">IF('Datos generales'!$O$10&gt;'Datos generales'!J$1,0,'Previsión de negocio'!I37)</f>
        <v>45</v>
      </c>
      <c r="J41" s="1168" t="n">
        <f aca="false">IF('Datos generales'!$O$10&gt;'Datos generales'!K$1,0,'Previsión de negocio'!J37)</f>
        <v>45</v>
      </c>
      <c r="K41" s="1168" t="n">
        <f aca="false">IF('Datos generales'!$O$10&gt;'Datos generales'!L$1,0,'Previsión de negocio'!K37)</f>
        <v>45</v>
      </c>
      <c r="L41" s="1168" t="n">
        <f aca="false">IF('Datos generales'!$O$10&gt;'Datos generales'!M$1,0,'Previsión de negocio'!L37)</f>
        <v>45</v>
      </c>
      <c r="M41" s="1168" t="n">
        <f aca="false">IF('Datos generales'!$O$10&gt;'Datos generales'!N$1,0,'Previsión de negocio'!M37)</f>
        <v>45</v>
      </c>
      <c r="N41" s="1168" t="n">
        <f aca="false">IF('Datos generales'!$O$10&gt;'Datos generales'!O$1,0,'Previsión de negocio'!N37)</f>
        <v>45</v>
      </c>
      <c r="O41" s="1168" t="n">
        <f aca="false">IF('Datos generales'!$O$10&gt;'Datos generales'!P$1,0,'Previsión de negocio'!O37)</f>
        <v>45</v>
      </c>
      <c r="P41" s="1169" t="n">
        <f aca="false">SUM(D41:O41)</f>
        <v>540</v>
      </c>
    </row>
    <row r="42" customFormat="false" ht="19.5" hidden="false" customHeight="true" outlineLevel="0" collapsed="false">
      <c r="B42" s="1170"/>
      <c r="C42" s="1171" t="str">
        <f aca="false">C15</f>
        <v>Euros</v>
      </c>
      <c r="D42" s="1172" t="n">
        <f aca="false">IF('Datos generales'!$O$10&gt;'Datos generales'!E$1,0,'Previsión de negocio'!D39)</f>
        <v>2925</v>
      </c>
      <c r="E42" s="1172" t="n">
        <f aca="false">IF('Datos generales'!$O$10&gt;'Datos generales'!F$1,0,'Previsión de negocio'!E39)</f>
        <v>2925</v>
      </c>
      <c r="F42" s="1172" t="n">
        <f aca="false">IF('Datos generales'!$O$10&gt;'Datos generales'!G$1,0,'Previsión de negocio'!F39)</f>
        <v>2925</v>
      </c>
      <c r="G42" s="1172" t="n">
        <f aca="false">IF('Datos generales'!$O$10&gt;'Datos generales'!H$1,0,'Previsión de negocio'!G39)</f>
        <v>2925</v>
      </c>
      <c r="H42" s="1172" t="n">
        <f aca="false">IF('Datos generales'!$O$10&gt;'Datos generales'!I$1,0,'Previsión de negocio'!H39)</f>
        <v>2925</v>
      </c>
      <c r="I42" s="1172" t="n">
        <f aca="false">IF('Datos generales'!$O$10&gt;'Datos generales'!J$1,0,'Previsión de negocio'!I39)</f>
        <v>2925</v>
      </c>
      <c r="J42" s="1172" t="n">
        <f aca="false">IF('Datos generales'!$O$10&gt;'Datos generales'!K$1,0,'Previsión de negocio'!J39)</f>
        <v>2925</v>
      </c>
      <c r="K42" s="1172" t="n">
        <f aca="false">IF('Datos generales'!$O$10&gt;'Datos generales'!L$1,0,'Previsión de negocio'!K39)</f>
        <v>2925</v>
      </c>
      <c r="L42" s="1172" t="n">
        <f aca="false">IF('Datos generales'!$O$10&gt;'Datos generales'!M$1,0,'Previsión de negocio'!L39)</f>
        <v>2925</v>
      </c>
      <c r="M42" s="1172" t="n">
        <f aca="false">IF('Datos generales'!$O$10&gt;'Datos generales'!N$1,0,'Previsión de negocio'!M39)</f>
        <v>2925</v>
      </c>
      <c r="N42" s="1172" t="n">
        <f aca="false">IF('Datos generales'!$O$10&gt;'Datos generales'!O$1,0,'Previsión de negocio'!N39)</f>
        <v>2925</v>
      </c>
      <c r="O42" s="1172" t="n">
        <f aca="false">IF('Datos generales'!$O$10&gt;'Datos generales'!P$1,0,'Previsión de negocio'!O39)</f>
        <v>2925</v>
      </c>
      <c r="P42" s="1173" t="n">
        <f aca="false">SUM(D42:O42)</f>
        <v>35100</v>
      </c>
    </row>
    <row r="43" customFormat="false" ht="19.5" hidden="false" customHeight="true" outlineLevel="0" collapsed="false">
      <c r="B43" s="507" t="str">
        <f aca="false">B16</f>
        <v>Pienso para loros 12 kg</v>
      </c>
      <c r="C43" s="1167" t="str">
        <f aca="false">C16</f>
        <v>Unidades</v>
      </c>
      <c r="D43" s="1168" t="n">
        <f aca="false">IF('Datos generales'!$O$10&gt;'Datos generales'!E$1,0,'Previsión de negocio'!D43)</f>
        <v>33</v>
      </c>
      <c r="E43" s="1168" t="n">
        <f aca="false">IF('Datos generales'!$O$10&gt;'Datos generales'!F$1,0,'Previsión de negocio'!E43)</f>
        <v>33</v>
      </c>
      <c r="F43" s="1168" t="n">
        <f aca="false">IF('Datos generales'!$O$10&gt;'Datos generales'!G$1,0,'Previsión de negocio'!F43)</f>
        <v>33</v>
      </c>
      <c r="G43" s="1168" t="n">
        <f aca="false">IF('Datos generales'!$O$10&gt;'Datos generales'!H$1,0,'Previsión de negocio'!G43)</f>
        <v>33</v>
      </c>
      <c r="H43" s="1168" t="n">
        <f aca="false">IF('Datos generales'!$O$10&gt;'Datos generales'!I$1,0,'Previsión de negocio'!H43)</f>
        <v>33</v>
      </c>
      <c r="I43" s="1168" t="n">
        <f aca="false">IF('Datos generales'!$O$10&gt;'Datos generales'!J$1,0,'Previsión de negocio'!I43)</f>
        <v>33</v>
      </c>
      <c r="J43" s="1168" t="n">
        <f aca="false">IF('Datos generales'!$O$10&gt;'Datos generales'!K$1,0,'Previsión de negocio'!J43)</f>
        <v>33</v>
      </c>
      <c r="K43" s="1168" t="n">
        <f aca="false">IF('Datos generales'!$O$10&gt;'Datos generales'!L$1,0,'Previsión de negocio'!K43)</f>
        <v>33</v>
      </c>
      <c r="L43" s="1168" t="n">
        <f aca="false">IF('Datos generales'!$O$10&gt;'Datos generales'!M$1,0,'Previsión de negocio'!L43)</f>
        <v>33</v>
      </c>
      <c r="M43" s="1168" t="n">
        <f aca="false">IF('Datos generales'!$O$10&gt;'Datos generales'!N$1,0,'Previsión de negocio'!M43)</f>
        <v>33</v>
      </c>
      <c r="N43" s="1168" t="n">
        <f aca="false">IF('Datos generales'!$O$10&gt;'Datos generales'!O$1,0,'Previsión de negocio'!N43)</f>
        <v>33</v>
      </c>
      <c r="O43" s="1168" t="n">
        <f aca="false">IF('Datos generales'!$O$10&gt;'Datos generales'!P$1,0,'Previsión de negocio'!O43)</f>
        <v>33</v>
      </c>
      <c r="P43" s="1169" t="n">
        <f aca="false">SUM(D43:O43)</f>
        <v>396</v>
      </c>
    </row>
    <row r="44" customFormat="false" ht="19.5" hidden="false" customHeight="true" outlineLevel="0" collapsed="false">
      <c r="B44" s="1170"/>
      <c r="C44" s="1171" t="str">
        <f aca="false">C17</f>
        <v>Euros</v>
      </c>
      <c r="D44" s="1172" t="n">
        <f aca="false">IF('Datos generales'!$O$10&gt;'Datos generales'!E$1,0,'Previsión de negocio'!D45)</f>
        <v>2970</v>
      </c>
      <c r="E44" s="1172" t="n">
        <f aca="false">IF('Datos generales'!$O$10&gt;'Datos generales'!F$1,0,'Previsión de negocio'!E45)</f>
        <v>2970</v>
      </c>
      <c r="F44" s="1172" t="n">
        <f aca="false">IF('Datos generales'!$O$10&gt;'Datos generales'!G$1,0,'Previsión de negocio'!F45)</f>
        <v>2970</v>
      </c>
      <c r="G44" s="1172" t="n">
        <f aca="false">IF('Datos generales'!$O$10&gt;'Datos generales'!H$1,0,'Previsión de negocio'!G45)</f>
        <v>2970</v>
      </c>
      <c r="H44" s="1172" t="n">
        <f aca="false">IF('Datos generales'!$O$10&gt;'Datos generales'!I$1,0,'Previsión de negocio'!H45)</f>
        <v>2970</v>
      </c>
      <c r="I44" s="1172" t="n">
        <f aca="false">IF('Datos generales'!$O$10&gt;'Datos generales'!J$1,0,'Previsión de negocio'!I45)</f>
        <v>2970</v>
      </c>
      <c r="J44" s="1172" t="n">
        <f aca="false">IF('Datos generales'!$O$10&gt;'Datos generales'!K$1,0,'Previsión de negocio'!J45)</f>
        <v>2970</v>
      </c>
      <c r="K44" s="1172" t="n">
        <f aca="false">IF('Datos generales'!$O$10&gt;'Datos generales'!L$1,0,'Previsión de negocio'!K45)</f>
        <v>2970</v>
      </c>
      <c r="L44" s="1172" t="n">
        <f aca="false">IF('Datos generales'!$O$10&gt;'Datos generales'!M$1,0,'Previsión de negocio'!L45)</f>
        <v>2970</v>
      </c>
      <c r="M44" s="1172" t="n">
        <f aca="false">IF('Datos generales'!$O$10&gt;'Datos generales'!N$1,0,'Previsión de negocio'!M45)</f>
        <v>2970</v>
      </c>
      <c r="N44" s="1172" t="n">
        <f aca="false">IF('Datos generales'!$O$10&gt;'Datos generales'!O$1,0,'Previsión de negocio'!N45)</f>
        <v>2970</v>
      </c>
      <c r="O44" s="1172" t="n">
        <f aca="false">IF('Datos generales'!$O$10&gt;'Datos generales'!P$1,0,'Previsión de negocio'!O45)</f>
        <v>2970</v>
      </c>
      <c r="P44" s="1173" t="n">
        <f aca="false">SUM(D44:O44)</f>
        <v>35640</v>
      </c>
    </row>
    <row r="45" customFormat="false" ht="19.5" hidden="false" customHeight="true" outlineLevel="0" collapsed="false">
      <c r="B45" s="507" t="str">
        <f aca="false">B18</f>
        <v>Pienso para cobayas 3 kg</v>
      </c>
      <c r="C45" s="1167" t="str">
        <f aca="false">C18</f>
        <v>Unidades</v>
      </c>
      <c r="D45" s="1168" t="n">
        <f aca="false">IF('Datos generales'!$O$10&gt;'Datos generales'!E$1,0,'Previsión de negocio'!D49)</f>
        <v>83</v>
      </c>
      <c r="E45" s="1168" t="n">
        <f aca="false">IF('Datos generales'!$O$10&gt;'Datos generales'!F$1,0,'Previsión de negocio'!E49)</f>
        <v>83</v>
      </c>
      <c r="F45" s="1168" t="n">
        <f aca="false">IF('Datos generales'!$O$10&gt;'Datos generales'!G$1,0,'Previsión de negocio'!F49)</f>
        <v>83</v>
      </c>
      <c r="G45" s="1168" t="n">
        <f aca="false">IF('Datos generales'!$O$10&gt;'Datos generales'!H$1,0,'Previsión de negocio'!G49)</f>
        <v>83</v>
      </c>
      <c r="H45" s="1168" t="n">
        <f aca="false">IF('Datos generales'!$O$10&gt;'Datos generales'!I$1,0,'Previsión de negocio'!H49)</f>
        <v>83</v>
      </c>
      <c r="I45" s="1168" t="n">
        <f aca="false">IF('Datos generales'!$O$10&gt;'Datos generales'!J$1,0,'Previsión de negocio'!I49)</f>
        <v>83</v>
      </c>
      <c r="J45" s="1168" t="n">
        <f aca="false">IF('Datos generales'!$O$10&gt;'Datos generales'!K$1,0,'Previsión de negocio'!J49)</f>
        <v>83</v>
      </c>
      <c r="K45" s="1168" t="n">
        <f aca="false">IF('Datos generales'!$O$10&gt;'Datos generales'!L$1,0,'Previsión de negocio'!K49)</f>
        <v>83</v>
      </c>
      <c r="L45" s="1168" t="n">
        <f aca="false">IF('Datos generales'!$O$10&gt;'Datos generales'!M$1,0,'Previsión de negocio'!L49)</f>
        <v>83</v>
      </c>
      <c r="M45" s="1168" t="n">
        <f aca="false">IF('Datos generales'!$O$10&gt;'Datos generales'!N$1,0,'Previsión de negocio'!M49)</f>
        <v>83</v>
      </c>
      <c r="N45" s="1168" t="n">
        <f aca="false">IF('Datos generales'!$O$10&gt;'Datos generales'!O$1,0,'Previsión de negocio'!N49)</f>
        <v>83</v>
      </c>
      <c r="O45" s="1168" t="n">
        <f aca="false">IF('Datos generales'!$O$10&gt;'Datos generales'!P$1,0,'Previsión de negocio'!O49)</f>
        <v>83</v>
      </c>
      <c r="P45" s="1169" t="n">
        <f aca="false">SUM(D45:O45)</f>
        <v>996</v>
      </c>
    </row>
    <row r="46" customFormat="false" ht="19.5" hidden="false" customHeight="true" outlineLevel="0" collapsed="false">
      <c r="B46" s="1170"/>
      <c r="C46" s="1171" t="str">
        <f aca="false">C19</f>
        <v>Euros</v>
      </c>
      <c r="D46" s="1172" t="n">
        <f aca="false">IF('Datos generales'!$O$10&gt;'Datos generales'!E$1,0,'Previsión de negocio'!D51)</f>
        <v>913</v>
      </c>
      <c r="E46" s="1172" t="n">
        <f aca="false">IF('Datos generales'!$O$10&gt;'Datos generales'!F$1,0,'Previsión de negocio'!E51)</f>
        <v>913</v>
      </c>
      <c r="F46" s="1172" t="n">
        <f aca="false">IF('Datos generales'!$O$10&gt;'Datos generales'!G$1,0,'Previsión de negocio'!F51)</f>
        <v>913</v>
      </c>
      <c r="G46" s="1172" t="n">
        <f aca="false">IF('Datos generales'!$O$10&gt;'Datos generales'!H$1,0,'Previsión de negocio'!G51)</f>
        <v>913</v>
      </c>
      <c r="H46" s="1172" t="n">
        <f aca="false">IF('Datos generales'!$O$10&gt;'Datos generales'!I$1,0,'Previsión de negocio'!H51)</f>
        <v>913</v>
      </c>
      <c r="I46" s="1172" t="n">
        <f aca="false">IF('Datos generales'!$O$10&gt;'Datos generales'!J$1,0,'Previsión de negocio'!I51)</f>
        <v>913</v>
      </c>
      <c r="J46" s="1172" t="n">
        <f aca="false">IF('Datos generales'!$O$10&gt;'Datos generales'!K$1,0,'Previsión de negocio'!J51)</f>
        <v>913</v>
      </c>
      <c r="K46" s="1172" t="n">
        <f aca="false">IF('Datos generales'!$O$10&gt;'Datos generales'!L$1,0,'Previsión de negocio'!K51)</f>
        <v>913</v>
      </c>
      <c r="L46" s="1172" t="n">
        <f aca="false">IF('Datos generales'!$O$10&gt;'Datos generales'!M$1,0,'Previsión de negocio'!L51)</f>
        <v>913</v>
      </c>
      <c r="M46" s="1172" t="n">
        <f aca="false">IF('Datos generales'!$O$10&gt;'Datos generales'!N$1,0,'Previsión de negocio'!M51)</f>
        <v>913</v>
      </c>
      <c r="N46" s="1172" t="n">
        <f aca="false">IF('Datos generales'!$O$10&gt;'Datos generales'!O$1,0,'Previsión de negocio'!N51)</f>
        <v>913</v>
      </c>
      <c r="O46" s="1172" t="n">
        <f aca="false">IF('Datos generales'!$O$10&gt;'Datos generales'!P$1,0,'Previsión de negocio'!O51)</f>
        <v>913</v>
      </c>
      <c r="P46" s="1173" t="n">
        <f aca="false">SUM(D46:O46)</f>
        <v>10956</v>
      </c>
    </row>
    <row r="47" customFormat="false" ht="19.5" hidden="false" customHeight="true" outlineLevel="0" collapsed="false">
      <c r="B47" s="507" t="str">
        <f aca="false">B20</f>
        <v>Pienso para conejo adulto 1,75 kg</v>
      </c>
      <c r="C47" s="1167" t="str">
        <f aca="false">C20</f>
        <v>Unidades</v>
      </c>
      <c r="D47" s="1168" t="n">
        <f aca="false">IF('Datos generales'!$O$10&gt;'Datos generales'!E$1,0,'Previsión de negocio'!D55)</f>
        <v>38</v>
      </c>
      <c r="E47" s="1168" t="n">
        <f aca="false">IF('Datos generales'!$O$10&gt;'Datos generales'!F$1,0,'Previsión de negocio'!E55)</f>
        <v>38</v>
      </c>
      <c r="F47" s="1168" t="n">
        <f aca="false">IF('Datos generales'!$O$10&gt;'Datos generales'!G$1,0,'Previsión de negocio'!F55)</f>
        <v>38</v>
      </c>
      <c r="G47" s="1168" t="n">
        <f aca="false">IF('Datos generales'!$O$10&gt;'Datos generales'!H$1,0,'Previsión de negocio'!G55)</f>
        <v>38</v>
      </c>
      <c r="H47" s="1168" t="n">
        <f aca="false">IF('Datos generales'!$O$10&gt;'Datos generales'!I$1,0,'Previsión de negocio'!H55)</f>
        <v>38</v>
      </c>
      <c r="I47" s="1168" t="n">
        <f aca="false">IF('Datos generales'!$O$10&gt;'Datos generales'!J$1,0,'Previsión de negocio'!I55)</f>
        <v>38</v>
      </c>
      <c r="J47" s="1168" t="n">
        <f aca="false">IF('Datos generales'!$O$10&gt;'Datos generales'!K$1,0,'Previsión de negocio'!J55)</f>
        <v>38</v>
      </c>
      <c r="K47" s="1168" t="n">
        <f aca="false">IF('Datos generales'!$O$10&gt;'Datos generales'!L$1,0,'Previsión de negocio'!K55)</f>
        <v>38</v>
      </c>
      <c r="L47" s="1168" t="n">
        <f aca="false">IF('Datos generales'!$O$10&gt;'Datos generales'!M$1,0,'Previsión de negocio'!L55)</f>
        <v>38</v>
      </c>
      <c r="M47" s="1168" t="n">
        <f aca="false">IF('Datos generales'!$O$10&gt;'Datos generales'!N$1,0,'Previsión de negocio'!M55)</f>
        <v>38</v>
      </c>
      <c r="N47" s="1168" t="n">
        <f aca="false">IF('Datos generales'!$O$10&gt;'Datos generales'!O$1,0,'Previsión de negocio'!N55)</f>
        <v>38</v>
      </c>
      <c r="O47" s="1168" t="n">
        <f aca="false">IF('Datos generales'!$O$10&gt;'Datos generales'!P$1,0,'Previsión de negocio'!O55)</f>
        <v>38</v>
      </c>
      <c r="P47" s="1169" t="n">
        <f aca="false">SUM(D47:O47)</f>
        <v>456</v>
      </c>
    </row>
    <row r="48" customFormat="false" ht="19.5" hidden="false" customHeight="true" outlineLevel="0" collapsed="false">
      <c r="B48" s="1170"/>
      <c r="C48" s="1171" t="str">
        <f aca="false">C21</f>
        <v>Euros</v>
      </c>
      <c r="D48" s="1172" t="n">
        <f aca="false">IF('Datos generales'!$O$10&gt;'Datos generales'!E$1,0,'Previsión de negocio'!D57)</f>
        <v>760</v>
      </c>
      <c r="E48" s="1172" t="n">
        <f aca="false">IF('Datos generales'!$O$10&gt;'Datos generales'!F$1,0,'Previsión de negocio'!E57)</f>
        <v>760</v>
      </c>
      <c r="F48" s="1172" t="n">
        <f aca="false">IF('Datos generales'!$O$10&gt;'Datos generales'!G$1,0,'Previsión de negocio'!F57)</f>
        <v>760</v>
      </c>
      <c r="G48" s="1172" t="n">
        <f aca="false">IF('Datos generales'!$O$10&gt;'Datos generales'!H$1,0,'Previsión de negocio'!G57)</f>
        <v>760</v>
      </c>
      <c r="H48" s="1172" t="n">
        <f aca="false">IF('Datos generales'!$O$10&gt;'Datos generales'!I$1,0,'Previsión de negocio'!H57)</f>
        <v>760</v>
      </c>
      <c r="I48" s="1172" t="n">
        <f aca="false">IF('Datos generales'!$O$10&gt;'Datos generales'!J$1,0,'Previsión de negocio'!I57)</f>
        <v>760</v>
      </c>
      <c r="J48" s="1172" t="n">
        <f aca="false">IF('Datos generales'!$O$10&gt;'Datos generales'!K$1,0,'Previsión de negocio'!J57)</f>
        <v>760</v>
      </c>
      <c r="K48" s="1172" t="n">
        <f aca="false">IF('Datos generales'!$O$10&gt;'Datos generales'!L$1,0,'Previsión de negocio'!K57)</f>
        <v>760</v>
      </c>
      <c r="L48" s="1172" t="n">
        <f aca="false">IF('Datos generales'!$O$10&gt;'Datos generales'!M$1,0,'Previsión de negocio'!L57)</f>
        <v>760</v>
      </c>
      <c r="M48" s="1172" t="n">
        <f aca="false">IF('Datos generales'!$O$10&gt;'Datos generales'!N$1,0,'Previsión de negocio'!M57)</f>
        <v>760</v>
      </c>
      <c r="N48" s="1172" t="n">
        <f aca="false">IF('Datos generales'!$O$10&gt;'Datos generales'!O$1,0,'Previsión de negocio'!N57)</f>
        <v>760</v>
      </c>
      <c r="O48" s="1172" t="n">
        <f aca="false">IF('Datos generales'!$O$10&gt;'Datos generales'!P$1,0,'Previsión de negocio'!O57)</f>
        <v>760</v>
      </c>
      <c r="P48" s="1173" t="n">
        <f aca="false">SUM(D48:O48)</f>
        <v>9120</v>
      </c>
    </row>
    <row r="49" customFormat="false" ht="19.5" hidden="false" customHeight="true" outlineLevel="0" collapsed="false">
      <c r="B49" s="507" t="str">
        <f aca="false">B22</f>
        <v>Pienso para hamsters 1 kg</v>
      </c>
      <c r="C49" s="1167" t="str">
        <f aca="false">C22</f>
        <v>Unidades</v>
      </c>
      <c r="D49" s="1168" t="n">
        <f aca="false">IF('Datos generales'!$O$10&gt;'Datos generales'!E$1,0,'Previsión de negocio'!D61)</f>
        <v>53</v>
      </c>
      <c r="E49" s="1168" t="n">
        <f aca="false">IF('Datos generales'!$O$10&gt;'Datos generales'!F$1,0,'Previsión de negocio'!E61)</f>
        <v>53</v>
      </c>
      <c r="F49" s="1168" t="n">
        <f aca="false">IF('Datos generales'!$O$10&gt;'Datos generales'!G$1,0,'Previsión de negocio'!F61)</f>
        <v>53</v>
      </c>
      <c r="G49" s="1168" t="n">
        <f aca="false">IF('Datos generales'!$O$10&gt;'Datos generales'!H$1,0,'Previsión de negocio'!G61)</f>
        <v>53</v>
      </c>
      <c r="H49" s="1168" t="n">
        <f aca="false">IF('Datos generales'!$O$10&gt;'Datos generales'!I$1,0,'Previsión de negocio'!H61)</f>
        <v>53</v>
      </c>
      <c r="I49" s="1168" t="n">
        <f aca="false">IF('Datos generales'!$O$10&gt;'Datos generales'!J$1,0,'Previsión de negocio'!I61)</f>
        <v>53</v>
      </c>
      <c r="J49" s="1168" t="n">
        <f aca="false">IF('Datos generales'!$O$10&gt;'Datos generales'!K$1,0,'Previsión de negocio'!J61)</f>
        <v>53</v>
      </c>
      <c r="K49" s="1168" t="n">
        <f aca="false">IF('Datos generales'!$O$10&gt;'Datos generales'!L$1,0,'Previsión de negocio'!K61)</f>
        <v>53</v>
      </c>
      <c r="L49" s="1168" t="n">
        <f aca="false">IF('Datos generales'!$O$10&gt;'Datos generales'!M$1,0,'Previsión de negocio'!L61)</f>
        <v>53</v>
      </c>
      <c r="M49" s="1168" t="n">
        <f aca="false">IF('Datos generales'!$O$10&gt;'Datos generales'!N$1,0,'Previsión de negocio'!M61)</f>
        <v>53</v>
      </c>
      <c r="N49" s="1168" t="n">
        <f aca="false">IF('Datos generales'!$O$10&gt;'Datos generales'!O$1,0,'Previsión de negocio'!N61)</f>
        <v>53</v>
      </c>
      <c r="O49" s="1168" t="n">
        <f aca="false">IF('Datos generales'!$O$10&gt;'Datos generales'!P$1,0,'Previsión de negocio'!O61)</f>
        <v>53</v>
      </c>
      <c r="P49" s="1169" t="n">
        <f aca="false">SUM(D49:O49)</f>
        <v>636</v>
      </c>
    </row>
    <row r="50" customFormat="false" ht="19.5" hidden="false" customHeight="true" outlineLevel="0" collapsed="false">
      <c r="B50" s="1170"/>
      <c r="C50" s="1171" t="str">
        <f aca="false">C23</f>
        <v>Euros</v>
      </c>
      <c r="D50" s="1172" t="n">
        <f aca="false">IF('Datos generales'!$O$10&gt;'Datos generales'!E$1,0,'Previsión de negocio'!D63)</f>
        <v>1060</v>
      </c>
      <c r="E50" s="1172" t="n">
        <f aca="false">IF('Datos generales'!$O$10&gt;'Datos generales'!F$1,0,'Previsión de negocio'!E63)</f>
        <v>1060</v>
      </c>
      <c r="F50" s="1172" t="n">
        <f aca="false">IF('Datos generales'!$O$10&gt;'Datos generales'!G$1,0,'Previsión de negocio'!F63)</f>
        <v>1060</v>
      </c>
      <c r="G50" s="1172" t="n">
        <f aca="false">IF('Datos generales'!$O$10&gt;'Datos generales'!H$1,0,'Previsión de negocio'!G63)</f>
        <v>1060</v>
      </c>
      <c r="H50" s="1172" t="n">
        <f aca="false">IF('Datos generales'!$O$10&gt;'Datos generales'!I$1,0,'Previsión de negocio'!H63)</f>
        <v>1060</v>
      </c>
      <c r="I50" s="1172" t="n">
        <f aca="false">IF('Datos generales'!$O$10&gt;'Datos generales'!J$1,0,'Previsión de negocio'!I63)</f>
        <v>1060</v>
      </c>
      <c r="J50" s="1172" t="n">
        <f aca="false">IF('Datos generales'!$O$10&gt;'Datos generales'!K$1,0,'Previsión de negocio'!J63)</f>
        <v>1060</v>
      </c>
      <c r="K50" s="1172" t="n">
        <f aca="false">IF('Datos generales'!$O$10&gt;'Datos generales'!L$1,0,'Previsión de negocio'!K63)</f>
        <v>1060</v>
      </c>
      <c r="L50" s="1172" t="n">
        <f aca="false">IF('Datos generales'!$O$10&gt;'Datos generales'!M$1,0,'Previsión de negocio'!L63)</f>
        <v>1060</v>
      </c>
      <c r="M50" s="1172" t="n">
        <f aca="false">IF('Datos generales'!$O$10&gt;'Datos generales'!N$1,0,'Previsión de negocio'!M63)</f>
        <v>1060</v>
      </c>
      <c r="N50" s="1172" t="n">
        <f aca="false">IF('Datos generales'!$O$10&gt;'Datos generales'!O$1,0,'Previsión de negocio'!N63)</f>
        <v>1060</v>
      </c>
      <c r="O50" s="1172" t="n">
        <f aca="false">IF('Datos generales'!$O$10&gt;'Datos generales'!P$1,0,'Previsión de negocio'!O63)</f>
        <v>1060</v>
      </c>
      <c r="P50" s="1173" t="n">
        <f aca="false">SUM(D50:O50)</f>
        <v>12720</v>
      </c>
    </row>
    <row r="51" customFormat="false" ht="19.5" hidden="false" customHeight="true" outlineLevel="0" collapsed="false">
      <c r="B51" s="507" t="str">
        <f aca="false">B24</f>
        <v>Pienso natural para perro 3 kg</v>
      </c>
      <c r="C51" s="1167" t="str">
        <f aca="false">C24</f>
        <v>Unidades</v>
      </c>
      <c r="D51" s="1168" t="n">
        <f aca="false">IF('Datos generales'!$O$10&gt;'Datos generales'!E$1,0,'Previsión de negocio'!D67)</f>
        <v>83</v>
      </c>
      <c r="E51" s="1168" t="n">
        <f aca="false">IF('Datos generales'!$O$10&gt;'Datos generales'!F$1,0,'Previsión de negocio'!E67)</f>
        <v>83</v>
      </c>
      <c r="F51" s="1168" t="n">
        <f aca="false">IF('Datos generales'!$O$10&gt;'Datos generales'!G$1,0,'Previsión de negocio'!F67)</f>
        <v>83</v>
      </c>
      <c r="G51" s="1168" t="n">
        <f aca="false">IF('Datos generales'!$O$10&gt;'Datos generales'!H$1,0,'Previsión de negocio'!G67)</f>
        <v>83</v>
      </c>
      <c r="H51" s="1168" t="n">
        <f aca="false">IF('Datos generales'!$O$10&gt;'Datos generales'!I$1,0,'Previsión de negocio'!H67)</f>
        <v>83</v>
      </c>
      <c r="I51" s="1168" t="n">
        <f aca="false">IF('Datos generales'!$O$10&gt;'Datos generales'!J$1,0,'Previsión de negocio'!I67)</f>
        <v>83</v>
      </c>
      <c r="J51" s="1168" t="n">
        <f aca="false">IF('Datos generales'!$O$10&gt;'Datos generales'!K$1,0,'Previsión de negocio'!J67)</f>
        <v>83</v>
      </c>
      <c r="K51" s="1168" t="n">
        <f aca="false">IF('Datos generales'!$O$10&gt;'Datos generales'!L$1,0,'Previsión de negocio'!K67)</f>
        <v>83</v>
      </c>
      <c r="L51" s="1168" t="n">
        <f aca="false">IF('Datos generales'!$O$10&gt;'Datos generales'!M$1,0,'Previsión de negocio'!L67)</f>
        <v>83</v>
      </c>
      <c r="M51" s="1168" t="n">
        <f aca="false">IF('Datos generales'!$O$10&gt;'Datos generales'!N$1,0,'Previsión de negocio'!M67)</f>
        <v>83</v>
      </c>
      <c r="N51" s="1168" t="n">
        <f aca="false">IF('Datos generales'!$O$10&gt;'Datos generales'!O$1,0,'Previsión de negocio'!N67)</f>
        <v>83</v>
      </c>
      <c r="O51" s="1168" t="n">
        <f aca="false">IF('Datos generales'!$O$10&gt;'Datos generales'!P$1,0,'Previsión de negocio'!O67)</f>
        <v>83</v>
      </c>
      <c r="P51" s="1169" t="n">
        <f aca="false">SUM(D51:O51)</f>
        <v>996</v>
      </c>
    </row>
    <row r="52" customFormat="false" ht="19.5" hidden="false" customHeight="true" outlineLevel="0" collapsed="false">
      <c r="B52" s="1170"/>
      <c r="C52" s="1171" t="str">
        <f aca="false">C25</f>
        <v>Euros</v>
      </c>
      <c r="D52" s="1172" t="n">
        <f aca="false">IF('Datos generales'!$O$10&gt;'Datos generales'!E$1,0,'Previsión de negocio'!D69)</f>
        <v>1079</v>
      </c>
      <c r="E52" s="1172" t="n">
        <f aca="false">IF('Datos generales'!$O$10&gt;'Datos generales'!F$1,0,'Previsión de negocio'!E69)</f>
        <v>1079</v>
      </c>
      <c r="F52" s="1172" t="n">
        <f aca="false">IF('Datos generales'!$O$10&gt;'Datos generales'!G$1,0,'Previsión de negocio'!F69)</f>
        <v>1079</v>
      </c>
      <c r="G52" s="1172" t="n">
        <f aca="false">IF('Datos generales'!$O$10&gt;'Datos generales'!H$1,0,'Previsión de negocio'!G69)</f>
        <v>1079</v>
      </c>
      <c r="H52" s="1172" t="n">
        <f aca="false">IF('Datos generales'!$O$10&gt;'Datos generales'!I$1,0,'Previsión de negocio'!H69)</f>
        <v>1079</v>
      </c>
      <c r="I52" s="1172" t="n">
        <f aca="false">IF('Datos generales'!$O$10&gt;'Datos generales'!J$1,0,'Previsión de negocio'!I69)</f>
        <v>1079</v>
      </c>
      <c r="J52" s="1172" t="n">
        <f aca="false">IF('Datos generales'!$O$10&gt;'Datos generales'!K$1,0,'Previsión de negocio'!J69)</f>
        <v>1079</v>
      </c>
      <c r="K52" s="1172" t="n">
        <f aca="false">IF('Datos generales'!$O$10&gt;'Datos generales'!L$1,0,'Previsión de negocio'!K69)</f>
        <v>1079</v>
      </c>
      <c r="L52" s="1172" t="n">
        <f aca="false">IF('Datos generales'!$O$10&gt;'Datos generales'!M$1,0,'Previsión de negocio'!L69)</f>
        <v>1079</v>
      </c>
      <c r="M52" s="1172" t="n">
        <f aca="false">IF('Datos generales'!$O$10&gt;'Datos generales'!N$1,0,'Previsión de negocio'!M69)</f>
        <v>1079</v>
      </c>
      <c r="N52" s="1172" t="n">
        <f aca="false">IF('Datos generales'!$O$10&gt;'Datos generales'!O$1,0,'Previsión de negocio'!N69)</f>
        <v>1079</v>
      </c>
      <c r="O52" s="1172" t="n">
        <f aca="false">IF('Datos generales'!$O$10&gt;'Datos generales'!P$1,0,'Previsión de negocio'!O69)</f>
        <v>1079</v>
      </c>
      <c r="P52" s="1173" t="n">
        <f aca="false">SUM(D52:O52)</f>
        <v>12948</v>
      </c>
    </row>
    <row r="53" customFormat="false" ht="19.5" hidden="false" customHeight="true" outlineLevel="0" collapsed="false">
      <c r="B53" s="507" t="str">
        <f aca="false">B26</f>
        <v>Pienso natural para cachorros 6 kg</v>
      </c>
      <c r="C53" s="1167" t="str">
        <f aca="false">C26</f>
        <v>Unidades</v>
      </c>
      <c r="D53" s="1168" t="n">
        <f aca="false">IF('Datos generales'!$O$10&gt;'Datos generales'!E$1,0,'Previsión de negocio'!D73)</f>
        <v>58</v>
      </c>
      <c r="E53" s="1168" t="n">
        <f aca="false">IF('Datos generales'!$O$10&gt;'Datos generales'!F$1,0,'Previsión de negocio'!E73)</f>
        <v>58</v>
      </c>
      <c r="F53" s="1168" t="n">
        <f aca="false">IF('Datos generales'!$O$10&gt;'Datos generales'!G$1,0,'Previsión de negocio'!F73)</f>
        <v>58</v>
      </c>
      <c r="G53" s="1168" t="n">
        <f aca="false">IF('Datos generales'!$O$10&gt;'Datos generales'!H$1,0,'Previsión de negocio'!G73)</f>
        <v>58</v>
      </c>
      <c r="H53" s="1168" t="n">
        <f aca="false">IF('Datos generales'!$O$10&gt;'Datos generales'!I$1,0,'Previsión de negocio'!H73)</f>
        <v>58</v>
      </c>
      <c r="I53" s="1168" t="n">
        <f aca="false">IF('Datos generales'!$O$10&gt;'Datos generales'!J$1,0,'Previsión de negocio'!I73)</f>
        <v>58</v>
      </c>
      <c r="J53" s="1168" t="n">
        <f aca="false">IF('Datos generales'!$O$10&gt;'Datos generales'!K$1,0,'Previsión de negocio'!J73)</f>
        <v>58</v>
      </c>
      <c r="K53" s="1168" t="n">
        <f aca="false">IF('Datos generales'!$O$10&gt;'Datos generales'!L$1,0,'Previsión de negocio'!K73)</f>
        <v>58</v>
      </c>
      <c r="L53" s="1168" t="n">
        <f aca="false">IF('Datos generales'!$O$10&gt;'Datos generales'!M$1,0,'Previsión de negocio'!L73)</f>
        <v>58</v>
      </c>
      <c r="M53" s="1168" t="n">
        <f aca="false">IF('Datos generales'!$O$10&gt;'Datos generales'!N$1,0,'Previsión de negocio'!M73)</f>
        <v>58</v>
      </c>
      <c r="N53" s="1168" t="n">
        <f aca="false">IF('Datos generales'!$O$10&gt;'Datos generales'!O$1,0,'Previsión de negocio'!N73)</f>
        <v>58</v>
      </c>
      <c r="O53" s="1168" t="n">
        <f aca="false">IF('Datos generales'!$O$10&gt;'Datos generales'!P$1,0,'Previsión de negocio'!O73)</f>
        <v>58</v>
      </c>
      <c r="P53" s="1169" t="n">
        <f aca="false">SUM(D53:O53)</f>
        <v>696</v>
      </c>
    </row>
    <row r="54" customFormat="false" ht="19.5" hidden="false" customHeight="true" outlineLevel="0" collapsed="false">
      <c r="B54" s="1170"/>
      <c r="C54" s="1171" t="str">
        <f aca="false">C27</f>
        <v>Euros</v>
      </c>
      <c r="D54" s="1172" t="n">
        <f aca="false">IF('Datos generales'!$O$10&gt;'Datos generales'!E$1,0,'Previsión de negocio'!D75)</f>
        <v>2320</v>
      </c>
      <c r="E54" s="1172" t="n">
        <f aca="false">IF('Datos generales'!$O$10&gt;'Datos generales'!F$1,0,'Previsión de negocio'!E75)</f>
        <v>2320</v>
      </c>
      <c r="F54" s="1172" t="n">
        <f aca="false">IF('Datos generales'!$O$10&gt;'Datos generales'!G$1,0,'Previsión de negocio'!F75)</f>
        <v>2320</v>
      </c>
      <c r="G54" s="1172" t="n">
        <f aca="false">IF('Datos generales'!$O$10&gt;'Datos generales'!H$1,0,'Previsión de negocio'!G75)</f>
        <v>2320</v>
      </c>
      <c r="H54" s="1172" t="n">
        <f aca="false">IF('Datos generales'!$O$10&gt;'Datos generales'!I$1,0,'Previsión de negocio'!H75)</f>
        <v>2320</v>
      </c>
      <c r="I54" s="1172" t="n">
        <f aca="false">IF('Datos generales'!$O$10&gt;'Datos generales'!J$1,0,'Previsión de negocio'!I75)</f>
        <v>2320</v>
      </c>
      <c r="J54" s="1172" t="n">
        <f aca="false">IF('Datos generales'!$O$10&gt;'Datos generales'!K$1,0,'Previsión de negocio'!J75)</f>
        <v>2320</v>
      </c>
      <c r="K54" s="1172" t="n">
        <f aca="false">IF('Datos generales'!$O$10&gt;'Datos generales'!L$1,0,'Previsión de negocio'!K75)</f>
        <v>2320</v>
      </c>
      <c r="L54" s="1172" t="n">
        <f aca="false">IF('Datos generales'!$O$10&gt;'Datos generales'!M$1,0,'Previsión de negocio'!L75)</f>
        <v>2320</v>
      </c>
      <c r="M54" s="1172" t="n">
        <f aca="false">IF('Datos generales'!$O$10&gt;'Datos generales'!N$1,0,'Previsión de negocio'!M75)</f>
        <v>2320</v>
      </c>
      <c r="N54" s="1172" t="n">
        <f aca="false">IF('Datos generales'!$O$10&gt;'Datos generales'!O$1,0,'Previsión de negocio'!N75)</f>
        <v>2320</v>
      </c>
      <c r="O54" s="1172" t="n">
        <f aca="false">IF('Datos generales'!$O$10&gt;'Datos generales'!P$1,0,'Previsión de negocio'!O75)</f>
        <v>2320</v>
      </c>
      <c r="P54" s="1173" t="n">
        <f aca="false">SUM(D54:O54)</f>
        <v>27840</v>
      </c>
    </row>
    <row r="55" customFormat="false" ht="19.5" hidden="false" customHeight="true" outlineLevel="0" collapsed="false">
      <c r="B55" s="507" t="str">
        <f aca="false">B28</f>
        <v>Menú natural semihúmedo perro</v>
      </c>
      <c r="C55" s="1167" t="str">
        <f aca="false">C28</f>
        <v>Unidades</v>
      </c>
      <c r="D55" s="1168" t="n">
        <f aca="false">IF('Datos generales'!$O$10&gt;'Datos generales'!E$1,0,'Previsión de negocio'!D79)</f>
        <v>101</v>
      </c>
      <c r="E55" s="1168" t="n">
        <f aca="false">IF('Datos generales'!$O$10&gt;'Datos generales'!F$1,0,'Previsión de negocio'!E79)</f>
        <v>101</v>
      </c>
      <c r="F55" s="1168" t="n">
        <f aca="false">IF('Datos generales'!$O$10&gt;'Datos generales'!G$1,0,'Previsión de negocio'!F79)</f>
        <v>101</v>
      </c>
      <c r="G55" s="1168" t="n">
        <f aca="false">IF('Datos generales'!$O$10&gt;'Datos generales'!H$1,0,'Previsión de negocio'!G79)</f>
        <v>101</v>
      </c>
      <c r="H55" s="1168" t="n">
        <f aca="false">IF('Datos generales'!$O$10&gt;'Datos generales'!I$1,0,'Previsión de negocio'!H79)</f>
        <v>101</v>
      </c>
      <c r="I55" s="1168" t="n">
        <f aca="false">IF('Datos generales'!$O$10&gt;'Datos generales'!J$1,0,'Previsión de negocio'!I79)</f>
        <v>101</v>
      </c>
      <c r="J55" s="1168" t="n">
        <f aca="false">IF('Datos generales'!$O$10&gt;'Datos generales'!K$1,0,'Previsión de negocio'!J79)</f>
        <v>101</v>
      </c>
      <c r="K55" s="1168" t="n">
        <f aca="false">IF('Datos generales'!$O$10&gt;'Datos generales'!L$1,0,'Previsión de negocio'!K79)</f>
        <v>101</v>
      </c>
      <c r="L55" s="1168" t="n">
        <f aca="false">IF('Datos generales'!$O$10&gt;'Datos generales'!M$1,0,'Previsión de negocio'!L79)</f>
        <v>101</v>
      </c>
      <c r="M55" s="1168" t="n">
        <f aca="false">IF('Datos generales'!$O$10&gt;'Datos generales'!N$1,0,'Previsión de negocio'!M79)</f>
        <v>101</v>
      </c>
      <c r="N55" s="1168" t="n">
        <f aca="false">IF('Datos generales'!$O$10&gt;'Datos generales'!O$1,0,'Previsión de negocio'!N79)</f>
        <v>101</v>
      </c>
      <c r="O55" s="1168" t="n">
        <f aca="false">IF('Datos generales'!$O$10&gt;'Datos generales'!P$1,0,'Previsión de negocio'!O79)</f>
        <v>101</v>
      </c>
      <c r="P55" s="1169" t="n">
        <f aca="false">SUM(D55:O55)</f>
        <v>1212</v>
      </c>
    </row>
    <row r="56" customFormat="false" ht="19.5" hidden="false" customHeight="true" outlineLevel="0" collapsed="false">
      <c r="B56" s="1170"/>
      <c r="C56" s="1171" t="str">
        <f aca="false">C29</f>
        <v>Euros</v>
      </c>
      <c r="D56" s="1172" t="n">
        <f aca="false">IF('Datos generales'!$O$10&gt;'Datos generales'!E$1,0,'Previsión de negocio'!D81)</f>
        <v>1313</v>
      </c>
      <c r="E56" s="1172" t="n">
        <f aca="false">IF('Datos generales'!$O$10&gt;'Datos generales'!F$1,0,'Previsión de negocio'!E81)</f>
        <v>1313</v>
      </c>
      <c r="F56" s="1172" t="n">
        <f aca="false">IF('Datos generales'!$O$10&gt;'Datos generales'!G$1,0,'Previsión de negocio'!F81)</f>
        <v>1313</v>
      </c>
      <c r="G56" s="1172" t="n">
        <f aca="false">IF('Datos generales'!$O$10&gt;'Datos generales'!H$1,0,'Previsión de negocio'!G81)</f>
        <v>1313</v>
      </c>
      <c r="H56" s="1172" t="n">
        <f aca="false">IF('Datos generales'!$O$10&gt;'Datos generales'!I$1,0,'Previsión de negocio'!H81)</f>
        <v>1313</v>
      </c>
      <c r="I56" s="1172" t="n">
        <f aca="false">IF('Datos generales'!$O$10&gt;'Datos generales'!J$1,0,'Previsión de negocio'!I81)</f>
        <v>1313</v>
      </c>
      <c r="J56" s="1172" t="n">
        <f aca="false">IF('Datos generales'!$O$10&gt;'Datos generales'!K$1,0,'Previsión de negocio'!J81)</f>
        <v>1313</v>
      </c>
      <c r="K56" s="1172" t="n">
        <f aca="false">IF('Datos generales'!$O$10&gt;'Datos generales'!L$1,0,'Previsión de negocio'!K81)</f>
        <v>1313</v>
      </c>
      <c r="L56" s="1172" t="n">
        <f aca="false">IF('Datos generales'!$O$10&gt;'Datos generales'!M$1,0,'Previsión de negocio'!L81)</f>
        <v>1313</v>
      </c>
      <c r="M56" s="1172" t="n">
        <f aca="false">IF('Datos generales'!$O$10&gt;'Datos generales'!N$1,0,'Previsión de negocio'!M81)</f>
        <v>1313</v>
      </c>
      <c r="N56" s="1172" t="n">
        <f aca="false">IF('Datos generales'!$O$10&gt;'Datos generales'!O$1,0,'Previsión de negocio'!N81)</f>
        <v>1313</v>
      </c>
      <c r="O56" s="1172" t="n">
        <f aca="false">IF('Datos generales'!$O$10&gt;'Datos generales'!P$1,0,'Previsión de negocio'!O81)</f>
        <v>1313</v>
      </c>
      <c r="P56" s="1173" t="n">
        <f aca="false">SUM(D56:O56)</f>
        <v>15756</v>
      </c>
    </row>
    <row r="57" customFormat="false" ht="19.5" hidden="false" customHeight="true" outlineLevel="0" collapsed="false">
      <c r="B57" s="507" t="str">
        <f aca="false">B30</f>
        <v>Comida húmeda para gatos 26 pouches</v>
      </c>
      <c r="C57" s="1167" t="str">
        <f aca="false">C30</f>
        <v>Unidades</v>
      </c>
      <c r="D57" s="1168" t="n">
        <f aca="false">IF('Datos generales'!$O$10&gt;'Datos generales'!E$1,0,'Previsión de negocio'!D85)</f>
        <v>58</v>
      </c>
      <c r="E57" s="1168" t="n">
        <f aca="false">IF('Datos generales'!$O$10&gt;'Datos generales'!F$1,0,'Previsión de negocio'!E85)</f>
        <v>58</v>
      </c>
      <c r="F57" s="1168" t="n">
        <f aca="false">IF('Datos generales'!$O$10&gt;'Datos generales'!G$1,0,'Previsión de negocio'!F85)</f>
        <v>58</v>
      </c>
      <c r="G57" s="1168" t="n">
        <f aca="false">IF('Datos generales'!$O$10&gt;'Datos generales'!H$1,0,'Previsión de negocio'!G85)</f>
        <v>58</v>
      </c>
      <c r="H57" s="1168" t="n">
        <f aca="false">IF('Datos generales'!$O$10&gt;'Datos generales'!I$1,0,'Previsión de negocio'!H85)</f>
        <v>58</v>
      </c>
      <c r="I57" s="1168" t="n">
        <f aca="false">IF('Datos generales'!$O$10&gt;'Datos generales'!J$1,0,'Previsión de negocio'!I85)</f>
        <v>58</v>
      </c>
      <c r="J57" s="1168" t="n">
        <f aca="false">IF('Datos generales'!$O$10&gt;'Datos generales'!K$1,0,'Previsión de negocio'!J85)</f>
        <v>58</v>
      </c>
      <c r="K57" s="1168" t="n">
        <f aca="false">IF('Datos generales'!$O$10&gt;'Datos generales'!L$1,0,'Previsión de negocio'!K85)</f>
        <v>58</v>
      </c>
      <c r="L57" s="1168" t="n">
        <f aca="false">IF('Datos generales'!$O$10&gt;'Datos generales'!M$1,0,'Previsión de negocio'!L85)</f>
        <v>58</v>
      </c>
      <c r="M57" s="1168" t="n">
        <f aca="false">IF('Datos generales'!$O$10&gt;'Datos generales'!N$1,0,'Previsión de negocio'!M85)</f>
        <v>58</v>
      </c>
      <c r="N57" s="1168" t="n">
        <f aca="false">IF('Datos generales'!$O$10&gt;'Datos generales'!O$1,0,'Previsión de negocio'!N85)</f>
        <v>58</v>
      </c>
      <c r="O57" s="1168" t="n">
        <f aca="false">IF('Datos generales'!$O$10&gt;'Datos generales'!P$1,0,'Previsión de negocio'!O85)</f>
        <v>58</v>
      </c>
      <c r="P57" s="1169" t="n">
        <f aca="false">SUM(D57:O57)</f>
        <v>696</v>
      </c>
    </row>
    <row r="58" customFormat="false" ht="19.5" hidden="false" customHeight="true" outlineLevel="0" collapsed="false">
      <c r="B58" s="1170"/>
      <c r="C58" s="1171" t="str">
        <f aca="false">C31</f>
        <v>Euros</v>
      </c>
      <c r="D58" s="1172" t="n">
        <f aca="false">IF('Datos generales'!$O$10&gt;'Datos generales'!E$1,0,'Previsión de negocio'!D87)</f>
        <v>1218</v>
      </c>
      <c r="E58" s="1172" t="n">
        <f aca="false">IF('Datos generales'!$O$10&gt;'Datos generales'!F$1,0,'Previsión de negocio'!E87)</f>
        <v>1218</v>
      </c>
      <c r="F58" s="1172" t="n">
        <f aca="false">IF('Datos generales'!$O$10&gt;'Datos generales'!G$1,0,'Previsión de negocio'!F87)</f>
        <v>1218</v>
      </c>
      <c r="G58" s="1172" t="n">
        <f aca="false">IF('Datos generales'!$O$10&gt;'Datos generales'!H$1,0,'Previsión de negocio'!G87)</f>
        <v>1218</v>
      </c>
      <c r="H58" s="1172" t="n">
        <f aca="false">IF('Datos generales'!$O$10&gt;'Datos generales'!I$1,0,'Previsión de negocio'!H87)</f>
        <v>1218</v>
      </c>
      <c r="I58" s="1172" t="n">
        <f aca="false">IF('Datos generales'!$O$10&gt;'Datos generales'!J$1,0,'Previsión de negocio'!I87)</f>
        <v>1218</v>
      </c>
      <c r="J58" s="1172" t="n">
        <f aca="false">IF('Datos generales'!$O$10&gt;'Datos generales'!K$1,0,'Previsión de negocio'!J87)</f>
        <v>1218</v>
      </c>
      <c r="K58" s="1172" t="n">
        <f aca="false">IF('Datos generales'!$O$10&gt;'Datos generales'!L$1,0,'Previsión de negocio'!K87)</f>
        <v>1218</v>
      </c>
      <c r="L58" s="1172" t="n">
        <f aca="false">IF('Datos generales'!$O$10&gt;'Datos generales'!M$1,0,'Previsión de negocio'!L87)</f>
        <v>1218</v>
      </c>
      <c r="M58" s="1172" t="n">
        <f aca="false">IF('Datos generales'!$O$10&gt;'Datos generales'!N$1,0,'Previsión de negocio'!M87)</f>
        <v>1218</v>
      </c>
      <c r="N58" s="1172" t="n">
        <f aca="false">IF('Datos generales'!$O$10&gt;'Datos generales'!O$1,0,'Previsión de negocio'!N87)</f>
        <v>1218</v>
      </c>
      <c r="O58" s="1172" t="n">
        <f aca="false">IF('Datos generales'!$O$10&gt;'Datos generales'!P$1,0,'Previsión de negocio'!O87)</f>
        <v>1218</v>
      </c>
      <c r="P58" s="1173" t="n">
        <f aca="false">SUM(D58:O58)</f>
        <v>14616</v>
      </c>
    </row>
    <row r="59" customFormat="false" ht="19.5" hidden="false" customHeight="true" outlineLevel="0" collapsed="false">
      <c r="B59" s="1153" t="str">
        <f aca="false">B32</f>
        <v>Total unidades:</v>
      </c>
      <c r="C59" s="1154"/>
      <c r="D59" s="1174" t="n">
        <f aca="false">+D39+D41+D43+D45+D47+D49+D51+D53+D55+D57</f>
        <v>607</v>
      </c>
      <c r="E59" s="1174" t="n">
        <f aca="false">+E39+E41+E43+E45+E47+E49+E51+E53+E55+E57</f>
        <v>607</v>
      </c>
      <c r="F59" s="1174" t="n">
        <f aca="false">+F39+F41+F43+F45+F47+F49+F51+F53+F55+F57</f>
        <v>607</v>
      </c>
      <c r="G59" s="1174" t="n">
        <f aca="false">+G39+G41+G43+G45+G47+G49+G51+G53+G55+G57</f>
        <v>607</v>
      </c>
      <c r="H59" s="1174" t="n">
        <f aca="false">+H39+H41+H43+H45+H47+H49+H51+H53+H55+H57</f>
        <v>607</v>
      </c>
      <c r="I59" s="1174" t="n">
        <f aca="false">+I39+I41+I43+I45+I47+I49+I51+I53+I55+I57</f>
        <v>607</v>
      </c>
      <c r="J59" s="1174" t="n">
        <f aca="false">+J39+J41+J43+J45+J47+J49+J51+J53+J55+J57</f>
        <v>607</v>
      </c>
      <c r="K59" s="1174" t="n">
        <f aca="false">+K39+K41+K43+K45+K47+K49+K51+K53+K55+K57</f>
        <v>607</v>
      </c>
      <c r="L59" s="1174" t="n">
        <f aca="false">+L39+L41+L43+L45+L47+L49+L51+L53+L55+L57</f>
        <v>607</v>
      </c>
      <c r="M59" s="1174" t="n">
        <f aca="false">+M39+M41+M43+M45+M47+M49+M51+M53+M55+M57</f>
        <v>607</v>
      </c>
      <c r="N59" s="1174" t="n">
        <f aca="false">+N39+N41+N43+N45+N47+N49+N51+N53+N55+N57</f>
        <v>607</v>
      </c>
      <c r="O59" s="1174" t="n">
        <f aca="false">+O39+O41+O43+O45+O47+O49+O51+O53+O55+O57</f>
        <v>607</v>
      </c>
      <c r="P59" s="1175" t="n">
        <f aca="false">SUM(D59:O59)</f>
        <v>7284</v>
      </c>
    </row>
    <row r="60" customFormat="false" ht="19.5" hidden="false" customHeight="true" outlineLevel="0" collapsed="false">
      <c r="B60" s="1157" t="str">
        <f aca="false">B33</f>
        <v>Total Euros:</v>
      </c>
      <c r="C60" s="1176"/>
      <c r="D60" s="1177" t="n">
        <f aca="false">+D40+D42+D44+D46+D48+D50+D52+D54+D56+D58</f>
        <v>17858</v>
      </c>
      <c r="E60" s="1177" t="n">
        <f aca="false">+E40+E42+E44+E46+E48+E50+E52+E54+E56+E58</f>
        <v>17858</v>
      </c>
      <c r="F60" s="1177" t="n">
        <f aca="false">+F40+F42+F44+F46+F48+F50+F52+F54+F56+F58</f>
        <v>17858</v>
      </c>
      <c r="G60" s="1177" t="n">
        <f aca="false">+G40+G42+G44+G46+G48+G50+G52+G54+G56+G58</f>
        <v>17858</v>
      </c>
      <c r="H60" s="1177" t="n">
        <f aca="false">+H40+H42+H44+H46+H48+H50+H52+H54+H56+H58</f>
        <v>17858</v>
      </c>
      <c r="I60" s="1177" t="n">
        <f aca="false">+I40+I42+I44+I46+I48+I50+I52+I54+I56+I58</f>
        <v>17858</v>
      </c>
      <c r="J60" s="1177" t="n">
        <f aca="false">+J40+J42+J44+J46+J48+J50+J52+J54+J56+J58</f>
        <v>17858</v>
      </c>
      <c r="K60" s="1177" t="n">
        <f aca="false">+K40+K42+K44+K46+K48+K50+K52+K54+K56+K58</f>
        <v>17858</v>
      </c>
      <c r="L60" s="1177" t="n">
        <f aca="false">+L40+L42+L44+L46+L48+L50+L52+L54+L56+L58</f>
        <v>17858</v>
      </c>
      <c r="M60" s="1177" t="n">
        <f aca="false">+M40+M42+M44+M46+M48+M50+M52+M54+M56+M58</f>
        <v>17858</v>
      </c>
      <c r="N60" s="1177" t="n">
        <f aca="false">+N40+N42+N44+N46+N48+N50+N52+N54+N56+N58</f>
        <v>17858</v>
      </c>
      <c r="O60" s="1177" t="n">
        <f aca="false">+O40+O42+O44+O46+O48+O50+O52+O54+O56+O58</f>
        <v>17858</v>
      </c>
      <c r="P60" s="1178" t="n">
        <f aca="false">SUM(D60:O60)</f>
        <v>214296</v>
      </c>
    </row>
    <row r="62" customFormat="false" ht="19.5" hidden="false" customHeight="true" outlineLevel="0" collapsed="false">
      <c r="B62" s="51" t="s">
        <v>475</v>
      </c>
    </row>
    <row r="64" customFormat="false" ht="29.25" hidden="false" customHeight="true" outlineLevel="0" collapsed="false">
      <c r="B64" s="1161" t="s">
        <v>707</v>
      </c>
      <c r="C64" s="1162"/>
      <c r="D64" s="1163" t="s">
        <v>124</v>
      </c>
      <c r="E64" s="1164" t="s">
        <v>125</v>
      </c>
      <c r="F64" s="1163" t="s">
        <v>126</v>
      </c>
      <c r="G64" s="1163" t="s">
        <v>127</v>
      </c>
      <c r="H64" s="1163" t="s">
        <v>128</v>
      </c>
      <c r="I64" s="1163" t="s">
        <v>129</v>
      </c>
      <c r="J64" s="1163" t="s">
        <v>130</v>
      </c>
      <c r="K64" s="1163" t="s">
        <v>131</v>
      </c>
      <c r="L64" s="1163" t="s">
        <v>132</v>
      </c>
      <c r="M64" s="1163" t="s">
        <v>133</v>
      </c>
      <c r="N64" s="1163" t="s">
        <v>134</v>
      </c>
      <c r="O64" s="1165" t="s">
        <v>135</v>
      </c>
      <c r="P64" s="1166" t="s">
        <v>136</v>
      </c>
    </row>
    <row r="65" customFormat="false" ht="19.5" hidden="false" customHeight="true" outlineLevel="0" collapsed="false">
      <c r="B65" s="507" t="str">
        <f aca="false">B39</f>
        <v>Pienso para perro adulto 12 kg</v>
      </c>
      <c r="C65" s="1167" t="str">
        <f aca="false">C39</f>
        <v>Unidades</v>
      </c>
      <c r="D65" s="1168" t="n">
        <f aca="false">'Previsión de negocio'!D94</f>
        <v>78</v>
      </c>
      <c r="E65" s="1168" t="n">
        <f aca="false">'Previsión de negocio'!E94</f>
        <v>78</v>
      </c>
      <c r="F65" s="1168" t="n">
        <f aca="false">'Previsión de negocio'!F94</f>
        <v>78</v>
      </c>
      <c r="G65" s="1168" t="n">
        <f aca="false">'Previsión de negocio'!G94</f>
        <v>78</v>
      </c>
      <c r="H65" s="1168" t="n">
        <f aca="false">'Previsión de negocio'!H94</f>
        <v>78</v>
      </c>
      <c r="I65" s="1168" t="n">
        <f aca="false">'Previsión de negocio'!I94</f>
        <v>78</v>
      </c>
      <c r="J65" s="1168" t="n">
        <f aca="false">'Previsión de negocio'!J94</f>
        <v>78</v>
      </c>
      <c r="K65" s="1168" t="n">
        <f aca="false">'Previsión de negocio'!K94</f>
        <v>78</v>
      </c>
      <c r="L65" s="1168" t="n">
        <f aca="false">'Previsión de negocio'!L94</f>
        <v>78</v>
      </c>
      <c r="M65" s="1168" t="n">
        <f aca="false">'Previsión de negocio'!M94</f>
        <v>78</v>
      </c>
      <c r="N65" s="1168" t="n">
        <f aca="false">'Previsión de negocio'!N94</f>
        <v>78</v>
      </c>
      <c r="O65" s="1168" t="n">
        <f aca="false">'Previsión de negocio'!O94</f>
        <v>78</v>
      </c>
      <c r="P65" s="1169" t="n">
        <f aca="false">SUM(D65:O65)</f>
        <v>936</v>
      </c>
    </row>
    <row r="66" customFormat="false" ht="19.5" hidden="false" customHeight="true" outlineLevel="0" collapsed="false">
      <c r="B66" s="1170"/>
      <c r="C66" s="1171" t="str">
        <f aca="false">C40</f>
        <v>Euros</v>
      </c>
      <c r="D66" s="1172" t="n">
        <f aca="false">'Previsión de negocio'!D96</f>
        <v>4680</v>
      </c>
      <c r="E66" s="1172" t="n">
        <f aca="false">'Previsión de negocio'!E96</f>
        <v>4680</v>
      </c>
      <c r="F66" s="1172" t="n">
        <f aca="false">'Previsión de negocio'!F96</f>
        <v>4680</v>
      </c>
      <c r="G66" s="1172" t="n">
        <f aca="false">'Previsión de negocio'!G96</f>
        <v>4680</v>
      </c>
      <c r="H66" s="1172" t="n">
        <f aca="false">'Previsión de negocio'!H96</f>
        <v>4680</v>
      </c>
      <c r="I66" s="1172" t="n">
        <f aca="false">'Previsión de negocio'!I96</f>
        <v>4680</v>
      </c>
      <c r="J66" s="1172" t="n">
        <f aca="false">'Previsión de negocio'!J96</f>
        <v>4680</v>
      </c>
      <c r="K66" s="1172" t="n">
        <f aca="false">'Previsión de negocio'!K96</f>
        <v>4680</v>
      </c>
      <c r="L66" s="1172" t="n">
        <f aca="false">'Previsión de negocio'!L96</f>
        <v>4680</v>
      </c>
      <c r="M66" s="1172" t="n">
        <f aca="false">'Previsión de negocio'!M96</f>
        <v>4680</v>
      </c>
      <c r="N66" s="1172" t="n">
        <f aca="false">'Previsión de negocio'!N96</f>
        <v>4680</v>
      </c>
      <c r="O66" s="1172" t="n">
        <f aca="false">'Previsión de negocio'!O96</f>
        <v>4680</v>
      </c>
      <c r="P66" s="1173" t="n">
        <f aca="false">SUM(D66:O66)</f>
        <v>56160</v>
      </c>
    </row>
    <row r="67" customFormat="false" ht="19.5" hidden="false" customHeight="true" outlineLevel="0" collapsed="false">
      <c r="B67" s="507" t="str">
        <f aca="false">B41</f>
        <v>Pienso para gato adulto 10 kg</v>
      </c>
      <c r="C67" s="1167" t="str">
        <f aca="false">C41</f>
        <v>Unidades</v>
      </c>
      <c r="D67" s="1168" t="n">
        <f aca="false">'Previsión de negocio'!D100</f>
        <v>68</v>
      </c>
      <c r="E67" s="1168" t="n">
        <f aca="false">'Previsión de negocio'!E100</f>
        <v>68</v>
      </c>
      <c r="F67" s="1168" t="n">
        <f aca="false">'Previsión de negocio'!F100</f>
        <v>68</v>
      </c>
      <c r="G67" s="1168" t="n">
        <f aca="false">'Previsión de negocio'!G100</f>
        <v>68</v>
      </c>
      <c r="H67" s="1168" t="n">
        <f aca="false">'Previsión de negocio'!H100</f>
        <v>68</v>
      </c>
      <c r="I67" s="1168" t="n">
        <f aca="false">'Previsión de negocio'!I100</f>
        <v>68</v>
      </c>
      <c r="J67" s="1168" t="n">
        <f aca="false">'Previsión de negocio'!J100</f>
        <v>68</v>
      </c>
      <c r="K67" s="1168" t="n">
        <f aca="false">'Previsión de negocio'!K100</f>
        <v>68</v>
      </c>
      <c r="L67" s="1168" t="n">
        <f aca="false">'Previsión de negocio'!L100</f>
        <v>68</v>
      </c>
      <c r="M67" s="1168" t="n">
        <f aca="false">'Previsión de negocio'!M100</f>
        <v>68</v>
      </c>
      <c r="N67" s="1168" t="n">
        <f aca="false">'Previsión de negocio'!N100</f>
        <v>68</v>
      </c>
      <c r="O67" s="1168" t="n">
        <f aca="false">'Previsión de negocio'!O100</f>
        <v>68</v>
      </c>
      <c r="P67" s="1169" t="n">
        <f aca="false">SUM(D67:O67)</f>
        <v>816</v>
      </c>
    </row>
    <row r="68" customFormat="false" ht="19.5" hidden="false" customHeight="true" outlineLevel="0" collapsed="false">
      <c r="B68" s="1170"/>
      <c r="C68" s="1171" t="str">
        <f aca="false">C42</f>
        <v>Euros</v>
      </c>
      <c r="D68" s="1172" t="n">
        <f aca="false">'Previsión de negocio'!D102</f>
        <v>4420</v>
      </c>
      <c r="E68" s="1172" t="n">
        <f aca="false">'Previsión de negocio'!E102</f>
        <v>4420</v>
      </c>
      <c r="F68" s="1172" t="n">
        <f aca="false">'Previsión de negocio'!F102</f>
        <v>4420</v>
      </c>
      <c r="G68" s="1172" t="n">
        <f aca="false">'Previsión de negocio'!G102</f>
        <v>4420</v>
      </c>
      <c r="H68" s="1172" t="n">
        <f aca="false">'Previsión de negocio'!H102</f>
        <v>4420</v>
      </c>
      <c r="I68" s="1172" t="n">
        <f aca="false">'Previsión de negocio'!I102</f>
        <v>4420</v>
      </c>
      <c r="J68" s="1172" t="n">
        <f aca="false">'Previsión de negocio'!J102</f>
        <v>4420</v>
      </c>
      <c r="K68" s="1172" t="n">
        <f aca="false">'Previsión de negocio'!K102</f>
        <v>4420</v>
      </c>
      <c r="L68" s="1172" t="n">
        <f aca="false">'Previsión de negocio'!L102</f>
        <v>4420</v>
      </c>
      <c r="M68" s="1172" t="n">
        <f aca="false">'Previsión de negocio'!M102</f>
        <v>4420</v>
      </c>
      <c r="N68" s="1172" t="n">
        <f aca="false">'Previsión de negocio'!N102</f>
        <v>4420</v>
      </c>
      <c r="O68" s="1172" t="n">
        <f aca="false">'Previsión de negocio'!O102</f>
        <v>4420</v>
      </c>
      <c r="P68" s="1173" t="n">
        <f aca="false">SUM(D68:O68)</f>
        <v>53040</v>
      </c>
    </row>
    <row r="69" customFormat="false" ht="19.5" hidden="false" customHeight="true" outlineLevel="0" collapsed="false">
      <c r="B69" s="507" t="str">
        <f aca="false">B43</f>
        <v>Pienso para loros 12 kg</v>
      </c>
      <c r="C69" s="1167" t="str">
        <f aca="false">C43</f>
        <v>Unidades</v>
      </c>
      <c r="D69" s="1168" t="n">
        <f aca="false">'Previsión de negocio'!D106</f>
        <v>48</v>
      </c>
      <c r="E69" s="1168" t="n">
        <f aca="false">'Previsión de negocio'!E106</f>
        <v>48</v>
      </c>
      <c r="F69" s="1168" t="n">
        <f aca="false">'Previsión de negocio'!F106</f>
        <v>48</v>
      </c>
      <c r="G69" s="1168" t="n">
        <f aca="false">'Previsión de negocio'!G106</f>
        <v>48</v>
      </c>
      <c r="H69" s="1168" t="n">
        <f aca="false">'Previsión de negocio'!H106</f>
        <v>48</v>
      </c>
      <c r="I69" s="1168" t="n">
        <f aca="false">'Previsión de negocio'!I106</f>
        <v>48</v>
      </c>
      <c r="J69" s="1168" t="n">
        <f aca="false">'Previsión de negocio'!J106</f>
        <v>48</v>
      </c>
      <c r="K69" s="1168" t="n">
        <f aca="false">'Previsión de negocio'!K106</f>
        <v>48</v>
      </c>
      <c r="L69" s="1168" t="n">
        <f aca="false">'Previsión de negocio'!L106</f>
        <v>48</v>
      </c>
      <c r="M69" s="1168" t="n">
        <f aca="false">'Previsión de negocio'!M106</f>
        <v>48</v>
      </c>
      <c r="N69" s="1168" t="n">
        <f aca="false">'Previsión de negocio'!N106</f>
        <v>48</v>
      </c>
      <c r="O69" s="1168" t="n">
        <f aca="false">'Previsión de negocio'!O106</f>
        <v>48</v>
      </c>
      <c r="P69" s="1169" t="n">
        <f aca="false">SUM(D69:O69)</f>
        <v>576</v>
      </c>
    </row>
    <row r="70" customFormat="false" ht="19.5" hidden="false" customHeight="true" outlineLevel="0" collapsed="false">
      <c r="B70" s="1170"/>
      <c r="C70" s="1171" t="str">
        <f aca="false">C44</f>
        <v>Euros</v>
      </c>
      <c r="D70" s="1172" t="n">
        <f aca="false">'Previsión de negocio'!D108</f>
        <v>4320</v>
      </c>
      <c r="E70" s="1172" t="n">
        <f aca="false">'Previsión de negocio'!E108</f>
        <v>4320</v>
      </c>
      <c r="F70" s="1172" t="n">
        <f aca="false">'Previsión de negocio'!F108</f>
        <v>4320</v>
      </c>
      <c r="G70" s="1172" t="n">
        <f aca="false">'Previsión de negocio'!G108</f>
        <v>4320</v>
      </c>
      <c r="H70" s="1172" t="n">
        <f aca="false">'Previsión de negocio'!H108</f>
        <v>4320</v>
      </c>
      <c r="I70" s="1172" t="n">
        <f aca="false">'Previsión de negocio'!I108</f>
        <v>4320</v>
      </c>
      <c r="J70" s="1172" t="n">
        <f aca="false">'Previsión de negocio'!J108</f>
        <v>4320</v>
      </c>
      <c r="K70" s="1172" t="n">
        <f aca="false">'Previsión de negocio'!K108</f>
        <v>4320</v>
      </c>
      <c r="L70" s="1172" t="n">
        <f aca="false">'Previsión de negocio'!L108</f>
        <v>4320</v>
      </c>
      <c r="M70" s="1172" t="n">
        <f aca="false">'Previsión de negocio'!M108</f>
        <v>4320</v>
      </c>
      <c r="N70" s="1172" t="n">
        <f aca="false">'Previsión de negocio'!N108</f>
        <v>4320</v>
      </c>
      <c r="O70" s="1172" t="n">
        <f aca="false">'Previsión de negocio'!O108</f>
        <v>4320</v>
      </c>
      <c r="P70" s="1173" t="n">
        <f aca="false">SUM(D70:O70)</f>
        <v>51840</v>
      </c>
    </row>
    <row r="71" customFormat="false" ht="19.5" hidden="false" customHeight="true" outlineLevel="0" collapsed="false">
      <c r="B71" s="507" t="str">
        <f aca="false">B45</f>
        <v>Pienso para cobayas 3 kg</v>
      </c>
      <c r="C71" s="1167" t="str">
        <f aca="false">C45</f>
        <v>Unidades</v>
      </c>
      <c r="D71" s="1168" t="n">
        <f aca="false">'Previsión de negocio'!D112</f>
        <v>98</v>
      </c>
      <c r="E71" s="1168" t="n">
        <f aca="false">'Previsión de negocio'!E112</f>
        <v>98</v>
      </c>
      <c r="F71" s="1168" t="n">
        <f aca="false">'Previsión de negocio'!F112</f>
        <v>98</v>
      </c>
      <c r="G71" s="1168" t="n">
        <f aca="false">'Previsión de negocio'!G112</f>
        <v>98</v>
      </c>
      <c r="H71" s="1168" t="n">
        <f aca="false">'Previsión de negocio'!H112</f>
        <v>98</v>
      </c>
      <c r="I71" s="1168" t="n">
        <f aca="false">'Previsión de negocio'!I112</f>
        <v>98</v>
      </c>
      <c r="J71" s="1168" t="n">
        <f aca="false">'Previsión de negocio'!J112</f>
        <v>98</v>
      </c>
      <c r="K71" s="1168" t="n">
        <f aca="false">'Previsión de negocio'!K112</f>
        <v>98</v>
      </c>
      <c r="L71" s="1168" t="n">
        <f aca="false">'Previsión de negocio'!L112</f>
        <v>98</v>
      </c>
      <c r="M71" s="1168" t="n">
        <f aca="false">'Previsión de negocio'!M112</f>
        <v>98</v>
      </c>
      <c r="N71" s="1168" t="n">
        <f aca="false">'Previsión de negocio'!N112</f>
        <v>98</v>
      </c>
      <c r="O71" s="1168" t="n">
        <f aca="false">'Previsión de negocio'!O112</f>
        <v>98</v>
      </c>
      <c r="P71" s="1169" t="n">
        <f aca="false">SUM(D71:O71)</f>
        <v>1176</v>
      </c>
    </row>
    <row r="72" customFormat="false" ht="19.5" hidden="false" customHeight="true" outlineLevel="0" collapsed="false">
      <c r="B72" s="1170"/>
      <c r="C72" s="1171" t="str">
        <f aca="false">C46</f>
        <v>Euros</v>
      </c>
      <c r="D72" s="1172" t="n">
        <f aca="false">'Previsión de negocio'!D114</f>
        <v>1078</v>
      </c>
      <c r="E72" s="1172" t="n">
        <f aca="false">'Previsión de negocio'!E114</f>
        <v>1078</v>
      </c>
      <c r="F72" s="1172" t="n">
        <f aca="false">'Previsión de negocio'!F114</f>
        <v>1078</v>
      </c>
      <c r="G72" s="1172" t="n">
        <f aca="false">'Previsión de negocio'!G114</f>
        <v>1078</v>
      </c>
      <c r="H72" s="1172" t="n">
        <f aca="false">'Previsión de negocio'!H114</f>
        <v>1078</v>
      </c>
      <c r="I72" s="1172" t="n">
        <f aca="false">'Previsión de negocio'!I114</f>
        <v>1078</v>
      </c>
      <c r="J72" s="1172" t="n">
        <f aca="false">'Previsión de negocio'!J114</f>
        <v>1078</v>
      </c>
      <c r="K72" s="1172" t="n">
        <f aca="false">'Previsión de negocio'!K114</f>
        <v>1078</v>
      </c>
      <c r="L72" s="1172" t="n">
        <f aca="false">'Previsión de negocio'!L114</f>
        <v>1078</v>
      </c>
      <c r="M72" s="1172" t="n">
        <f aca="false">'Previsión de negocio'!M114</f>
        <v>1078</v>
      </c>
      <c r="N72" s="1172" t="n">
        <f aca="false">'Previsión de negocio'!N114</f>
        <v>1078</v>
      </c>
      <c r="O72" s="1172" t="n">
        <f aca="false">'Previsión de negocio'!O114</f>
        <v>1078</v>
      </c>
      <c r="P72" s="1173" t="n">
        <f aca="false">SUM(D72:O72)</f>
        <v>12936</v>
      </c>
    </row>
    <row r="73" customFormat="false" ht="19.5" hidden="false" customHeight="true" outlineLevel="0" collapsed="false">
      <c r="B73" s="507" t="str">
        <f aca="false">B47</f>
        <v>Pienso para conejo adulto 1,75 kg</v>
      </c>
      <c r="C73" s="1167" t="str">
        <f aca="false">C47</f>
        <v>Unidades</v>
      </c>
      <c r="D73" s="1168" t="n">
        <f aca="false">'Previsión de negocio'!D118</f>
        <v>53</v>
      </c>
      <c r="E73" s="1168" t="n">
        <f aca="false">'Previsión de negocio'!E118</f>
        <v>53</v>
      </c>
      <c r="F73" s="1168" t="n">
        <f aca="false">'Previsión de negocio'!F118</f>
        <v>53</v>
      </c>
      <c r="G73" s="1168" t="n">
        <f aca="false">'Previsión de negocio'!G118</f>
        <v>53</v>
      </c>
      <c r="H73" s="1168" t="n">
        <f aca="false">'Previsión de negocio'!H118</f>
        <v>53</v>
      </c>
      <c r="I73" s="1168" t="n">
        <f aca="false">'Previsión de negocio'!I118</f>
        <v>53</v>
      </c>
      <c r="J73" s="1168" t="n">
        <f aca="false">'Previsión de negocio'!J118</f>
        <v>53</v>
      </c>
      <c r="K73" s="1168" t="n">
        <f aca="false">'Previsión de negocio'!K118</f>
        <v>53</v>
      </c>
      <c r="L73" s="1168" t="n">
        <f aca="false">'Previsión de negocio'!L118</f>
        <v>53</v>
      </c>
      <c r="M73" s="1168" t="n">
        <f aca="false">'Previsión de negocio'!M118</f>
        <v>53</v>
      </c>
      <c r="N73" s="1168" t="n">
        <f aca="false">'Previsión de negocio'!N118</f>
        <v>53</v>
      </c>
      <c r="O73" s="1168" t="n">
        <f aca="false">'Previsión de negocio'!O118</f>
        <v>53</v>
      </c>
      <c r="P73" s="1169" t="n">
        <f aca="false">SUM(D73:O73)</f>
        <v>636</v>
      </c>
    </row>
    <row r="74" customFormat="false" ht="19.5" hidden="false" customHeight="true" outlineLevel="0" collapsed="false">
      <c r="B74" s="1170"/>
      <c r="C74" s="1171" t="str">
        <f aca="false">C48</f>
        <v>Euros</v>
      </c>
      <c r="D74" s="1172" t="n">
        <f aca="false">'Previsión de negocio'!D120</f>
        <v>1060</v>
      </c>
      <c r="E74" s="1172" t="n">
        <f aca="false">'Previsión de negocio'!E120</f>
        <v>1060</v>
      </c>
      <c r="F74" s="1172" t="n">
        <f aca="false">'Previsión de negocio'!F120</f>
        <v>1060</v>
      </c>
      <c r="G74" s="1172" t="n">
        <f aca="false">'Previsión de negocio'!G120</f>
        <v>1060</v>
      </c>
      <c r="H74" s="1172" t="n">
        <f aca="false">'Previsión de negocio'!H120</f>
        <v>1060</v>
      </c>
      <c r="I74" s="1172" t="n">
        <f aca="false">'Previsión de negocio'!I120</f>
        <v>1060</v>
      </c>
      <c r="J74" s="1172" t="n">
        <f aca="false">'Previsión de negocio'!J120</f>
        <v>1060</v>
      </c>
      <c r="K74" s="1172" t="n">
        <f aca="false">'Previsión de negocio'!K120</f>
        <v>1060</v>
      </c>
      <c r="L74" s="1172" t="n">
        <f aca="false">'Previsión de negocio'!L120</f>
        <v>1060</v>
      </c>
      <c r="M74" s="1172" t="n">
        <f aca="false">'Previsión de negocio'!M120</f>
        <v>1060</v>
      </c>
      <c r="N74" s="1172" t="n">
        <f aca="false">'Previsión de negocio'!N120</f>
        <v>1060</v>
      </c>
      <c r="O74" s="1172" t="n">
        <f aca="false">'Previsión de negocio'!O120</f>
        <v>1060</v>
      </c>
      <c r="P74" s="1173" t="n">
        <f aca="false">SUM(D74:O74)</f>
        <v>12720</v>
      </c>
    </row>
    <row r="75" customFormat="false" ht="19.5" hidden="false" customHeight="true" outlineLevel="0" collapsed="false">
      <c r="B75" s="507" t="str">
        <f aca="false">B49</f>
        <v>Pienso para hamsters 1 kg</v>
      </c>
      <c r="C75" s="1167" t="str">
        <f aca="false">C49</f>
        <v>Unidades</v>
      </c>
      <c r="D75" s="1168" t="n">
        <f aca="false">'Previsión de negocio'!D124</f>
        <v>68</v>
      </c>
      <c r="E75" s="1168" t="n">
        <f aca="false">'Previsión de negocio'!E124</f>
        <v>68</v>
      </c>
      <c r="F75" s="1168" t="n">
        <f aca="false">'Previsión de negocio'!F124</f>
        <v>68</v>
      </c>
      <c r="G75" s="1168" t="n">
        <f aca="false">'Previsión de negocio'!G124</f>
        <v>68</v>
      </c>
      <c r="H75" s="1168" t="n">
        <f aca="false">'Previsión de negocio'!H124</f>
        <v>68</v>
      </c>
      <c r="I75" s="1168" t="n">
        <f aca="false">'Previsión de negocio'!I124</f>
        <v>68</v>
      </c>
      <c r="J75" s="1168" t="n">
        <f aca="false">'Previsión de negocio'!J124</f>
        <v>68</v>
      </c>
      <c r="K75" s="1168" t="n">
        <f aca="false">'Previsión de negocio'!K124</f>
        <v>68</v>
      </c>
      <c r="L75" s="1168" t="n">
        <f aca="false">'Previsión de negocio'!L124</f>
        <v>68</v>
      </c>
      <c r="M75" s="1168" t="n">
        <f aca="false">'Previsión de negocio'!M124</f>
        <v>68</v>
      </c>
      <c r="N75" s="1168" t="n">
        <f aca="false">'Previsión de negocio'!N124</f>
        <v>68</v>
      </c>
      <c r="O75" s="1168" t="n">
        <f aca="false">'Previsión de negocio'!O124</f>
        <v>68</v>
      </c>
      <c r="P75" s="1169" t="n">
        <f aca="false">SUM(D75:O75)</f>
        <v>816</v>
      </c>
    </row>
    <row r="76" customFormat="false" ht="19.5" hidden="false" customHeight="true" outlineLevel="0" collapsed="false">
      <c r="B76" s="1170"/>
      <c r="C76" s="1171" t="str">
        <f aca="false">C50</f>
        <v>Euros</v>
      </c>
      <c r="D76" s="1172" t="n">
        <f aca="false">'Previsión de negocio'!D126</f>
        <v>1360</v>
      </c>
      <c r="E76" s="1172" t="n">
        <f aca="false">'Previsión de negocio'!E126</f>
        <v>1360</v>
      </c>
      <c r="F76" s="1172" t="n">
        <f aca="false">'Previsión de negocio'!F126</f>
        <v>1360</v>
      </c>
      <c r="G76" s="1172" t="n">
        <f aca="false">'Previsión de negocio'!G126</f>
        <v>1360</v>
      </c>
      <c r="H76" s="1172" t="n">
        <f aca="false">'Previsión de negocio'!H126</f>
        <v>1360</v>
      </c>
      <c r="I76" s="1172" t="n">
        <f aca="false">'Previsión de negocio'!I126</f>
        <v>1360</v>
      </c>
      <c r="J76" s="1172" t="n">
        <f aca="false">'Previsión de negocio'!J126</f>
        <v>1360</v>
      </c>
      <c r="K76" s="1172" t="n">
        <f aca="false">'Previsión de negocio'!K126</f>
        <v>1360</v>
      </c>
      <c r="L76" s="1172" t="n">
        <f aca="false">'Previsión de negocio'!L126</f>
        <v>1360</v>
      </c>
      <c r="M76" s="1172" t="n">
        <f aca="false">'Previsión de negocio'!M126</f>
        <v>1360</v>
      </c>
      <c r="N76" s="1172" t="n">
        <f aca="false">'Previsión de negocio'!N126</f>
        <v>1360</v>
      </c>
      <c r="O76" s="1172" t="n">
        <f aca="false">'Previsión de negocio'!O126</f>
        <v>1360</v>
      </c>
      <c r="P76" s="1173" t="n">
        <f aca="false">SUM(D76:O76)</f>
        <v>16320</v>
      </c>
    </row>
    <row r="77" customFormat="false" ht="19.5" hidden="false" customHeight="true" outlineLevel="0" collapsed="false">
      <c r="B77" s="507" t="str">
        <f aca="false">B51</f>
        <v>Pienso natural para perro 3 kg</v>
      </c>
      <c r="C77" s="1167" t="str">
        <f aca="false">C51</f>
        <v>Unidades</v>
      </c>
      <c r="D77" s="1168" t="n">
        <f aca="false">'Previsión de negocio'!D130</f>
        <v>83</v>
      </c>
      <c r="E77" s="1168" t="n">
        <f aca="false">'Previsión de negocio'!E130</f>
        <v>83</v>
      </c>
      <c r="F77" s="1168" t="n">
        <f aca="false">'Previsión de negocio'!F130</f>
        <v>83</v>
      </c>
      <c r="G77" s="1168" t="n">
        <f aca="false">'Previsión de negocio'!G130</f>
        <v>83</v>
      </c>
      <c r="H77" s="1168" t="n">
        <f aca="false">'Previsión de negocio'!H130</f>
        <v>83</v>
      </c>
      <c r="I77" s="1168" t="n">
        <f aca="false">'Previsión de negocio'!I130</f>
        <v>83</v>
      </c>
      <c r="J77" s="1168" t="n">
        <f aca="false">'Previsión de negocio'!J130</f>
        <v>83</v>
      </c>
      <c r="K77" s="1168" t="n">
        <f aca="false">'Previsión de negocio'!K130</f>
        <v>83</v>
      </c>
      <c r="L77" s="1168" t="n">
        <f aca="false">'Previsión de negocio'!L130</f>
        <v>83</v>
      </c>
      <c r="M77" s="1168" t="n">
        <f aca="false">'Previsión de negocio'!M130</f>
        <v>83</v>
      </c>
      <c r="N77" s="1168" t="n">
        <f aca="false">'Previsión de negocio'!N130</f>
        <v>83</v>
      </c>
      <c r="O77" s="1168" t="n">
        <f aca="false">'Previsión de negocio'!O130</f>
        <v>83</v>
      </c>
      <c r="P77" s="1169" t="n">
        <f aca="false">SUM(D77:O77)</f>
        <v>996</v>
      </c>
    </row>
    <row r="78" customFormat="false" ht="19.5" hidden="false" customHeight="true" outlineLevel="0" collapsed="false">
      <c r="B78" s="1170"/>
      <c r="C78" s="1171" t="str">
        <f aca="false">C52</f>
        <v>Euros</v>
      </c>
      <c r="D78" s="1172" t="n">
        <f aca="false">'Previsión de negocio'!D132</f>
        <v>1079</v>
      </c>
      <c r="E78" s="1172" t="n">
        <f aca="false">'Previsión de negocio'!E132</f>
        <v>1079</v>
      </c>
      <c r="F78" s="1172" t="n">
        <f aca="false">'Previsión de negocio'!F132</f>
        <v>1079</v>
      </c>
      <c r="G78" s="1172" t="n">
        <f aca="false">'Previsión de negocio'!G132</f>
        <v>1079</v>
      </c>
      <c r="H78" s="1172" t="n">
        <f aca="false">'Previsión de negocio'!H132</f>
        <v>1079</v>
      </c>
      <c r="I78" s="1172" t="n">
        <f aca="false">'Previsión de negocio'!I132</f>
        <v>1079</v>
      </c>
      <c r="J78" s="1172" t="n">
        <f aca="false">'Previsión de negocio'!J132</f>
        <v>1079</v>
      </c>
      <c r="K78" s="1172" t="n">
        <f aca="false">'Previsión de negocio'!K132</f>
        <v>1079</v>
      </c>
      <c r="L78" s="1172" t="n">
        <f aca="false">'Previsión de negocio'!L132</f>
        <v>1079</v>
      </c>
      <c r="M78" s="1172" t="n">
        <f aca="false">'Previsión de negocio'!M132</f>
        <v>1079</v>
      </c>
      <c r="N78" s="1172" t="n">
        <f aca="false">'Previsión de negocio'!N132</f>
        <v>1079</v>
      </c>
      <c r="O78" s="1172" t="n">
        <f aca="false">'Previsión de negocio'!O132</f>
        <v>1079</v>
      </c>
      <c r="P78" s="1173" t="n">
        <f aca="false">SUM(D78:O78)</f>
        <v>12948</v>
      </c>
    </row>
    <row r="79" customFormat="false" ht="19.5" hidden="false" customHeight="true" outlineLevel="0" collapsed="false">
      <c r="B79" s="507" t="str">
        <f aca="false">B53</f>
        <v>Pienso natural para cachorros 6 kg</v>
      </c>
      <c r="C79" s="1167" t="str">
        <f aca="false">C53</f>
        <v>Unidades</v>
      </c>
      <c r="D79" s="1168" t="n">
        <f aca="false">'Previsión de negocio'!D136</f>
        <v>73</v>
      </c>
      <c r="E79" s="1168" t="n">
        <f aca="false">'Previsión de negocio'!E136</f>
        <v>73</v>
      </c>
      <c r="F79" s="1168" t="n">
        <f aca="false">'Previsión de negocio'!F136</f>
        <v>73</v>
      </c>
      <c r="G79" s="1168" t="n">
        <f aca="false">'Previsión de negocio'!G136</f>
        <v>73</v>
      </c>
      <c r="H79" s="1168" t="n">
        <f aca="false">'Previsión de negocio'!H136</f>
        <v>73</v>
      </c>
      <c r="I79" s="1168" t="n">
        <f aca="false">'Previsión de negocio'!I136</f>
        <v>73</v>
      </c>
      <c r="J79" s="1168" t="n">
        <f aca="false">'Previsión de negocio'!J136</f>
        <v>73</v>
      </c>
      <c r="K79" s="1168" t="n">
        <f aca="false">'Previsión de negocio'!K136</f>
        <v>73</v>
      </c>
      <c r="L79" s="1168" t="n">
        <f aca="false">'Previsión de negocio'!L136</f>
        <v>73</v>
      </c>
      <c r="M79" s="1168" t="n">
        <f aca="false">'Previsión de negocio'!M136</f>
        <v>73</v>
      </c>
      <c r="N79" s="1168" t="n">
        <f aca="false">'Previsión de negocio'!N136</f>
        <v>73</v>
      </c>
      <c r="O79" s="1168" t="n">
        <f aca="false">'Previsión de negocio'!O136</f>
        <v>73</v>
      </c>
      <c r="P79" s="1169" t="n">
        <f aca="false">SUM(D79:O79)</f>
        <v>876</v>
      </c>
    </row>
    <row r="80" customFormat="false" ht="19.5" hidden="false" customHeight="true" outlineLevel="0" collapsed="false">
      <c r="B80" s="1170"/>
      <c r="C80" s="1171" t="str">
        <f aca="false">C54</f>
        <v>Euros</v>
      </c>
      <c r="D80" s="1172" t="n">
        <f aca="false">'Previsión de negocio'!D138</f>
        <v>2920</v>
      </c>
      <c r="E80" s="1172" t="n">
        <f aca="false">'Previsión de negocio'!E138</f>
        <v>2920</v>
      </c>
      <c r="F80" s="1172" t="n">
        <f aca="false">'Previsión de negocio'!F138</f>
        <v>2920</v>
      </c>
      <c r="G80" s="1172" t="n">
        <f aca="false">'Previsión de negocio'!G138</f>
        <v>2920</v>
      </c>
      <c r="H80" s="1172" t="n">
        <f aca="false">'Previsión de negocio'!H138</f>
        <v>2920</v>
      </c>
      <c r="I80" s="1172" t="n">
        <f aca="false">'Previsión de negocio'!I138</f>
        <v>2920</v>
      </c>
      <c r="J80" s="1172" t="n">
        <f aca="false">'Previsión de negocio'!J138</f>
        <v>2920</v>
      </c>
      <c r="K80" s="1172" t="n">
        <f aca="false">'Previsión de negocio'!K138</f>
        <v>2920</v>
      </c>
      <c r="L80" s="1172" t="n">
        <f aca="false">'Previsión de negocio'!L138</f>
        <v>2920</v>
      </c>
      <c r="M80" s="1172" t="n">
        <f aca="false">'Previsión de negocio'!M138</f>
        <v>2920</v>
      </c>
      <c r="N80" s="1172" t="n">
        <f aca="false">'Previsión de negocio'!N138</f>
        <v>2920</v>
      </c>
      <c r="O80" s="1172" t="n">
        <f aca="false">'Previsión de negocio'!O138</f>
        <v>2920</v>
      </c>
      <c r="P80" s="1173" t="n">
        <f aca="false">SUM(D80:O80)</f>
        <v>35040</v>
      </c>
    </row>
    <row r="81" customFormat="false" ht="19.5" hidden="false" customHeight="true" outlineLevel="0" collapsed="false">
      <c r="B81" s="507" t="str">
        <f aca="false">B55</f>
        <v>Menú natural semihúmedo perro</v>
      </c>
      <c r="C81" s="1167" t="str">
        <f aca="false">C55</f>
        <v>Unidades</v>
      </c>
      <c r="D81" s="1168" t="n">
        <f aca="false">'Previsión de negocio'!D142</f>
        <v>118</v>
      </c>
      <c r="E81" s="1168" t="n">
        <f aca="false">'Previsión de negocio'!E142</f>
        <v>118</v>
      </c>
      <c r="F81" s="1168" t="n">
        <f aca="false">'Previsión de negocio'!F142</f>
        <v>118</v>
      </c>
      <c r="G81" s="1168" t="n">
        <f aca="false">'Previsión de negocio'!G142</f>
        <v>118</v>
      </c>
      <c r="H81" s="1168" t="n">
        <f aca="false">'Previsión de negocio'!H142</f>
        <v>118</v>
      </c>
      <c r="I81" s="1168" t="n">
        <f aca="false">'Previsión de negocio'!I142</f>
        <v>118</v>
      </c>
      <c r="J81" s="1168" t="n">
        <f aca="false">'Previsión de negocio'!J142</f>
        <v>118</v>
      </c>
      <c r="K81" s="1168" t="n">
        <f aca="false">'Previsión de negocio'!K142</f>
        <v>118</v>
      </c>
      <c r="L81" s="1168" t="n">
        <f aca="false">'Previsión de negocio'!L142</f>
        <v>118</v>
      </c>
      <c r="M81" s="1168" t="n">
        <f aca="false">'Previsión de negocio'!M142</f>
        <v>118</v>
      </c>
      <c r="N81" s="1168" t="n">
        <f aca="false">'Previsión de negocio'!N142</f>
        <v>118</v>
      </c>
      <c r="O81" s="1168" t="n">
        <f aca="false">'Previsión de negocio'!O142</f>
        <v>118</v>
      </c>
      <c r="P81" s="1169" t="n">
        <f aca="false">SUM(D81:O81)</f>
        <v>1416</v>
      </c>
    </row>
    <row r="82" customFormat="false" ht="19.5" hidden="false" customHeight="true" outlineLevel="0" collapsed="false">
      <c r="B82" s="1170"/>
      <c r="C82" s="1171" t="str">
        <f aca="false">C56</f>
        <v>Euros</v>
      </c>
      <c r="D82" s="1172" t="n">
        <f aca="false">'Previsión de negocio'!D144</f>
        <v>1534</v>
      </c>
      <c r="E82" s="1172" t="n">
        <f aca="false">'Previsión de negocio'!E144</f>
        <v>1534</v>
      </c>
      <c r="F82" s="1172" t="n">
        <f aca="false">'Previsión de negocio'!F144</f>
        <v>1534</v>
      </c>
      <c r="G82" s="1172" t="n">
        <f aca="false">'Previsión de negocio'!G144</f>
        <v>1534</v>
      </c>
      <c r="H82" s="1172" t="n">
        <f aca="false">'Previsión de negocio'!H144</f>
        <v>1534</v>
      </c>
      <c r="I82" s="1172" t="n">
        <f aca="false">'Previsión de negocio'!I144</f>
        <v>1534</v>
      </c>
      <c r="J82" s="1172" t="n">
        <f aca="false">'Previsión de negocio'!J144</f>
        <v>1534</v>
      </c>
      <c r="K82" s="1172" t="n">
        <f aca="false">'Previsión de negocio'!K144</f>
        <v>1534</v>
      </c>
      <c r="L82" s="1172" t="n">
        <f aca="false">'Previsión de negocio'!L144</f>
        <v>1534</v>
      </c>
      <c r="M82" s="1172" t="n">
        <f aca="false">'Previsión de negocio'!M144</f>
        <v>1534</v>
      </c>
      <c r="N82" s="1172" t="n">
        <f aca="false">'Previsión de negocio'!N144</f>
        <v>1534</v>
      </c>
      <c r="O82" s="1172" t="n">
        <f aca="false">'Previsión de negocio'!O144</f>
        <v>1534</v>
      </c>
      <c r="P82" s="1173" t="n">
        <f aca="false">SUM(D82:O82)</f>
        <v>18408</v>
      </c>
    </row>
    <row r="83" customFormat="false" ht="19.5" hidden="false" customHeight="true" outlineLevel="0" collapsed="false">
      <c r="B83" s="507" t="str">
        <f aca="false">B57</f>
        <v>Comida húmeda para gatos 26 pouches</v>
      </c>
      <c r="C83" s="1167" t="str">
        <f aca="false">C57</f>
        <v>Unidades</v>
      </c>
      <c r="D83" s="1168" t="n">
        <f aca="false">'Previsión de negocio'!D148</f>
        <v>71</v>
      </c>
      <c r="E83" s="1168" t="n">
        <f aca="false">'Previsión de negocio'!E148</f>
        <v>71</v>
      </c>
      <c r="F83" s="1168" t="n">
        <f aca="false">'Previsión de negocio'!F148</f>
        <v>71</v>
      </c>
      <c r="G83" s="1168" t="n">
        <f aca="false">'Previsión de negocio'!G148</f>
        <v>71</v>
      </c>
      <c r="H83" s="1168" t="n">
        <f aca="false">'Previsión de negocio'!H148</f>
        <v>71</v>
      </c>
      <c r="I83" s="1168" t="n">
        <f aca="false">'Previsión de negocio'!I148</f>
        <v>71</v>
      </c>
      <c r="J83" s="1168" t="n">
        <f aca="false">'Previsión de negocio'!J148</f>
        <v>71</v>
      </c>
      <c r="K83" s="1168" t="n">
        <f aca="false">'Previsión de negocio'!K148</f>
        <v>71</v>
      </c>
      <c r="L83" s="1168" t="n">
        <f aca="false">'Previsión de negocio'!L148</f>
        <v>71</v>
      </c>
      <c r="M83" s="1168" t="n">
        <f aca="false">'Previsión de negocio'!M148</f>
        <v>71</v>
      </c>
      <c r="N83" s="1168" t="n">
        <f aca="false">'Previsión de negocio'!N148</f>
        <v>71</v>
      </c>
      <c r="O83" s="1168" t="n">
        <f aca="false">'Previsión de negocio'!O148</f>
        <v>71</v>
      </c>
      <c r="P83" s="1169" t="n">
        <f aca="false">SUM(D83:O83)</f>
        <v>852</v>
      </c>
    </row>
    <row r="84" customFormat="false" ht="19.5" hidden="false" customHeight="true" outlineLevel="0" collapsed="false">
      <c r="B84" s="1170"/>
      <c r="C84" s="1171" t="str">
        <f aca="false">C58</f>
        <v>Euros</v>
      </c>
      <c r="D84" s="1172" t="n">
        <f aca="false">'Previsión de negocio'!D150</f>
        <v>1491</v>
      </c>
      <c r="E84" s="1172" t="n">
        <f aca="false">'Previsión de negocio'!E150</f>
        <v>1491</v>
      </c>
      <c r="F84" s="1172" t="n">
        <f aca="false">'Previsión de negocio'!F150</f>
        <v>1491</v>
      </c>
      <c r="G84" s="1172" t="n">
        <f aca="false">'Previsión de negocio'!G150</f>
        <v>1491</v>
      </c>
      <c r="H84" s="1172" t="n">
        <f aca="false">'Previsión de negocio'!H150</f>
        <v>1491</v>
      </c>
      <c r="I84" s="1172" t="n">
        <f aca="false">'Previsión de negocio'!I150</f>
        <v>1491</v>
      </c>
      <c r="J84" s="1172" t="n">
        <f aca="false">'Previsión de negocio'!J150</f>
        <v>1491</v>
      </c>
      <c r="K84" s="1172" t="n">
        <f aca="false">'Previsión de negocio'!K150</f>
        <v>1491</v>
      </c>
      <c r="L84" s="1172" t="n">
        <f aca="false">'Previsión de negocio'!L150</f>
        <v>1491</v>
      </c>
      <c r="M84" s="1172" t="n">
        <f aca="false">'Previsión de negocio'!M150</f>
        <v>1491</v>
      </c>
      <c r="N84" s="1172" t="n">
        <f aca="false">'Previsión de negocio'!N150</f>
        <v>1491</v>
      </c>
      <c r="O84" s="1172" t="n">
        <f aca="false">'Previsión de negocio'!O150</f>
        <v>1491</v>
      </c>
      <c r="P84" s="1173" t="n">
        <f aca="false">SUM(D84:O84)</f>
        <v>17892</v>
      </c>
    </row>
    <row r="85" customFormat="false" ht="19.5" hidden="false" customHeight="true" outlineLevel="0" collapsed="false">
      <c r="B85" s="1153" t="str">
        <f aca="false">B59</f>
        <v>Total unidades:</v>
      </c>
      <c r="C85" s="1154"/>
      <c r="D85" s="1174" t="n">
        <f aca="false">+D65+D67+D69+D71+D73+D75+D77+D79+D81+D83</f>
        <v>758</v>
      </c>
      <c r="E85" s="1174" t="n">
        <f aca="false">+E65+E67+E69+E71+E73+E75+E77+E79+E81+E83</f>
        <v>758</v>
      </c>
      <c r="F85" s="1174" t="n">
        <f aca="false">+F65+F67+F69+F71+F73+F75+F77+F79+F81+F83</f>
        <v>758</v>
      </c>
      <c r="G85" s="1174" t="n">
        <f aca="false">+G65+G67+G69+G71+G73+G75+G77+G79+G81+G83</f>
        <v>758</v>
      </c>
      <c r="H85" s="1174" t="n">
        <f aca="false">+H65+H67+H69+H71+H73+H75+H77+H79+H81+H83</f>
        <v>758</v>
      </c>
      <c r="I85" s="1174" t="n">
        <f aca="false">+I65+I67+I69+I71+I73+I75+I77+I79+I81+I83</f>
        <v>758</v>
      </c>
      <c r="J85" s="1174" t="n">
        <f aca="false">+J65+J67+J69+J71+J73+J75+J77+J79+J81+J83</f>
        <v>758</v>
      </c>
      <c r="K85" s="1174" t="n">
        <f aca="false">+K65+K67+K69+K71+K73+K75+K77+K79+K81+K83</f>
        <v>758</v>
      </c>
      <c r="L85" s="1174" t="n">
        <f aca="false">+L65+L67+L69+L71+L73+L75+L77+L79+L81+L83</f>
        <v>758</v>
      </c>
      <c r="M85" s="1174" t="n">
        <f aca="false">+M65+M67+M69+M71+M73+M75+M77+M79+M81+M83</f>
        <v>758</v>
      </c>
      <c r="N85" s="1174" t="n">
        <f aca="false">+N65+N67+N69+N71+N73+N75+N77+N79+N81+N83</f>
        <v>758</v>
      </c>
      <c r="O85" s="1174" t="n">
        <f aca="false">+O65+O67+O69+O71+O73+O75+O77+O79+O81+O83</f>
        <v>758</v>
      </c>
      <c r="P85" s="1175" t="n">
        <f aca="false">SUM(D85:O85)</f>
        <v>9096</v>
      </c>
    </row>
    <row r="86" customFormat="false" ht="19.5" hidden="false" customHeight="true" outlineLevel="0" collapsed="false">
      <c r="B86" s="1157" t="str">
        <f aca="false">B60</f>
        <v>Total Euros:</v>
      </c>
      <c r="C86" s="1176"/>
      <c r="D86" s="1177" t="n">
        <f aca="false">+D66+D68+D70+D72+D74+D76+D78+D80+D82+D84</f>
        <v>23942</v>
      </c>
      <c r="E86" s="1177" t="n">
        <f aca="false">+E66+E68+E70+E72+E74+E76+E78+E80+E82+E84</f>
        <v>23942</v>
      </c>
      <c r="F86" s="1177" t="n">
        <f aca="false">+F66+F68+F70+F72+F74+F76+F78+F80+F82+F84</f>
        <v>23942</v>
      </c>
      <c r="G86" s="1177" t="n">
        <f aca="false">+G66+G68+G70+G72+G74+G76+G78+G80+G82+G84</f>
        <v>23942</v>
      </c>
      <c r="H86" s="1177" t="n">
        <f aca="false">+H66+H68+H70+H72+H74+H76+H78+H80+H82+H84</f>
        <v>23942</v>
      </c>
      <c r="I86" s="1177" t="n">
        <f aca="false">+I66+I68+I70+I72+I74+I76+I78+I80+I82+I84</f>
        <v>23942</v>
      </c>
      <c r="J86" s="1177" t="n">
        <f aca="false">+J66+J68+J70+J72+J74+J76+J78+J80+J82+J84</f>
        <v>23942</v>
      </c>
      <c r="K86" s="1177" t="n">
        <f aca="false">+K66+K68+K70+K72+K74+K76+K78+K80+K82+K84</f>
        <v>23942</v>
      </c>
      <c r="L86" s="1177" t="n">
        <f aca="false">+L66+L68+L70+L72+L74+L76+L78+L80+L82+L84</f>
        <v>23942</v>
      </c>
      <c r="M86" s="1177" t="n">
        <f aca="false">+M66+M68+M70+M72+M74+M76+M78+M80+M82+M84</f>
        <v>23942</v>
      </c>
      <c r="N86" s="1177" t="n">
        <f aca="false">+N66+N68+N70+N72+N74+N76+N78+N80+N82+N84</f>
        <v>23942</v>
      </c>
      <c r="O86" s="1177" t="n">
        <f aca="false">+O66+O68+O70+O72+O74+O76+O78+O80+O82+O84</f>
        <v>23942</v>
      </c>
      <c r="P86" s="1178" t="n">
        <f aca="false">SUM(D86:O86)</f>
        <v>287304</v>
      </c>
    </row>
    <row r="88" customFormat="false" ht="19.5" hidden="false" customHeight="true" outlineLevel="0" collapsed="false">
      <c r="B88" s="51" t="s">
        <v>476</v>
      </c>
    </row>
    <row r="90" customFormat="false" ht="29.25" hidden="false" customHeight="true" outlineLevel="0" collapsed="false">
      <c r="B90" s="1161" t="s">
        <v>707</v>
      </c>
      <c r="C90" s="1162"/>
      <c r="D90" s="1163" t="s">
        <v>124</v>
      </c>
      <c r="E90" s="1164" t="s">
        <v>125</v>
      </c>
      <c r="F90" s="1163" t="s">
        <v>126</v>
      </c>
      <c r="G90" s="1163" t="s">
        <v>127</v>
      </c>
      <c r="H90" s="1163" t="s">
        <v>128</v>
      </c>
      <c r="I90" s="1163" t="s">
        <v>129</v>
      </c>
      <c r="J90" s="1163" t="s">
        <v>130</v>
      </c>
      <c r="K90" s="1163" t="s">
        <v>131</v>
      </c>
      <c r="L90" s="1163" t="s">
        <v>132</v>
      </c>
      <c r="M90" s="1163" t="s">
        <v>133</v>
      </c>
      <c r="N90" s="1163" t="s">
        <v>134</v>
      </c>
      <c r="O90" s="1179" t="s">
        <v>135</v>
      </c>
      <c r="P90" s="519" t="s">
        <v>136</v>
      </c>
    </row>
    <row r="91" customFormat="false" ht="19.5" hidden="false" customHeight="true" outlineLevel="0" collapsed="false">
      <c r="B91" s="507" t="str">
        <f aca="false">B65</f>
        <v>Pienso para perro adulto 12 kg</v>
      </c>
      <c r="C91" s="1167" t="str">
        <f aca="false">C65</f>
        <v>Unidades</v>
      </c>
      <c r="D91" s="1168" t="n">
        <f aca="false">'Previsión de negocio'!D157</f>
        <v>88</v>
      </c>
      <c r="E91" s="1168" t="n">
        <f aca="false">'Previsión de negocio'!E157</f>
        <v>88</v>
      </c>
      <c r="F91" s="1168" t="n">
        <f aca="false">'Previsión de negocio'!F157</f>
        <v>88</v>
      </c>
      <c r="G91" s="1168" t="n">
        <f aca="false">'Previsión de negocio'!G157</f>
        <v>88</v>
      </c>
      <c r="H91" s="1168" t="n">
        <f aca="false">'Previsión de negocio'!H157</f>
        <v>88</v>
      </c>
      <c r="I91" s="1168" t="n">
        <f aca="false">'Previsión de negocio'!I157</f>
        <v>88</v>
      </c>
      <c r="J91" s="1168" t="n">
        <f aca="false">'Previsión de negocio'!J157</f>
        <v>88</v>
      </c>
      <c r="K91" s="1168" t="n">
        <f aca="false">'Previsión de negocio'!K157</f>
        <v>88</v>
      </c>
      <c r="L91" s="1168" t="n">
        <f aca="false">'Previsión de negocio'!L157</f>
        <v>88</v>
      </c>
      <c r="M91" s="1168" t="n">
        <f aca="false">'Previsión de negocio'!M157</f>
        <v>88</v>
      </c>
      <c r="N91" s="1168" t="n">
        <f aca="false">'Previsión de negocio'!N157</f>
        <v>88</v>
      </c>
      <c r="O91" s="1180" t="n">
        <f aca="false">'Previsión de negocio'!O157</f>
        <v>88</v>
      </c>
      <c r="P91" s="1181" t="n">
        <f aca="false">SUM(D91:O91)</f>
        <v>1056</v>
      </c>
    </row>
    <row r="92" customFormat="false" ht="19.5" hidden="false" customHeight="true" outlineLevel="0" collapsed="false">
      <c r="B92" s="1170"/>
      <c r="C92" s="1171" t="str">
        <f aca="false">C66</f>
        <v>Euros</v>
      </c>
      <c r="D92" s="1172" t="n">
        <f aca="false">'Previsión de negocio'!D159</f>
        <v>5280</v>
      </c>
      <c r="E92" s="1172" t="n">
        <f aca="false">'Previsión de negocio'!E159</f>
        <v>5280</v>
      </c>
      <c r="F92" s="1172" t="n">
        <f aca="false">'Previsión de negocio'!F159</f>
        <v>5280</v>
      </c>
      <c r="G92" s="1172" t="n">
        <f aca="false">'Previsión de negocio'!G159</f>
        <v>5280</v>
      </c>
      <c r="H92" s="1172" t="n">
        <f aca="false">'Previsión de negocio'!H159</f>
        <v>5280</v>
      </c>
      <c r="I92" s="1172" t="n">
        <f aca="false">'Previsión de negocio'!I159</f>
        <v>5280</v>
      </c>
      <c r="J92" s="1172" t="n">
        <f aca="false">'Previsión de negocio'!J159</f>
        <v>5280</v>
      </c>
      <c r="K92" s="1172" t="n">
        <f aca="false">'Previsión de negocio'!K159</f>
        <v>5280</v>
      </c>
      <c r="L92" s="1172" t="n">
        <f aca="false">'Previsión de negocio'!L159</f>
        <v>5280</v>
      </c>
      <c r="M92" s="1172" t="n">
        <f aca="false">'Previsión de negocio'!M159</f>
        <v>5280</v>
      </c>
      <c r="N92" s="1172" t="n">
        <f aca="false">'Previsión de negocio'!N159</f>
        <v>5280</v>
      </c>
      <c r="O92" s="1182" t="n">
        <f aca="false">'Previsión de negocio'!O159</f>
        <v>5280</v>
      </c>
      <c r="P92" s="1149" t="n">
        <f aca="false">SUM(D92:O92)</f>
        <v>63360</v>
      </c>
    </row>
    <row r="93" customFormat="false" ht="19.5" hidden="false" customHeight="true" outlineLevel="0" collapsed="false">
      <c r="B93" s="507" t="str">
        <f aca="false">B67</f>
        <v>Pienso para gato adulto 10 kg</v>
      </c>
      <c r="C93" s="1167" t="str">
        <f aca="false">C67</f>
        <v>Unidades</v>
      </c>
      <c r="D93" s="1168" t="n">
        <f aca="false">'Previsión de negocio'!D163</f>
        <v>78</v>
      </c>
      <c r="E93" s="1168" t="n">
        <f aca="false">'Previsión de negocio'!E163</f>
        <v>78</v>
      </c>
      <c r="F93" s="1168" t="n">
        <f aca="false">'Previsión de negocio'!F163</f>
        <v>78</v>
      </c>
      <c r="G93" s="1168" t="n">
        <f aca="false">'Previsión de negocio'!G163</f>
        <v>78</v>
      </c>
      <c r="H93" s="1168" t="n">
        <f aca="false">'Previsión de negocio'!H163</f>
        <v>78</v>
      </c>
      <c r="I93" s="1168" t="n">
        <f aca="false">'Previsión de negocio'!I163</f>
        <v>78</v>
      </c>
      <c r="J93" s="1168" t="n">
        <f aca="false">'Previsión de negocio'!J163</f>
        <v>78</v>
      </c>
      <c r="K93" s="1168" t="n">
        <f aca="false">'Previsión de negocio'!K163</f>
        <v>78</v>
      </c>
      <c r="L93" s="1168" t="n">
        <f aca="false">'Previsión de negocio'!L163</f>
        <v>78</v>
      </c>
      <c r="M93" s="1168" t="n">
        <f aca="false">'Previsión de negocio'!M163</f>
        <v>78</v>
      </c>
      <c r="N93" s="1168" t="n">
        <f aca="false">'Previsión de negocio'!N163</f>
        <v>78</v>
      </c>
      <c r="O93" s="1180" t="n">
        <f aca="false">'Previsión de negocio'!O163</f>
        <v>78</v>
      </c>
      <c r="P93" s="1181" t="n">
        <f aca="false">SUM(D93:O93)</f>
        <v>936</v>
      </c>
    </row>
    <row r="94" customFormat="false" ht="19.5" hidden="false" customHeight="true" outlineLevel="0" collapsed="false">
      <c r="B94" s="1170"/>
      <c r="C94" s="1171" t="str">
        <f aca="false">C68</f>
        <v>Euros</v>
      </c>
      <c r="D94" s="1172" t="n">
        <f aca="false">'Previsión de negocio'!D165</f>
        <v>5070</v>
      </c>
      <c r="E94" s="1172" t="n">
        <f aca="false">'Previsión de negocio'!E165</f>
        <v>5070</v>
      </c>
      <c r="F94" s="1172" t="n">
        <f aca="false">'Previsión de negocio'!F165</f>
        <v>5070</v>
      </c>
      <c r="G94" s="1172" t="n">
        <f aca="false">'Previsión de negocio'!G165</f>
        <v>5070</v>
      </c>
      <c r="H94" s="1172" t="n">
        <f aca="false">'Previsión de negocio'!H165</f>
        <v>5070</v>
      </c>
      <c r="I94" s="1172" t="n">
        <f aca="false">'Previsión de negocio'!I165</f>
        <v>5070</v>
      </c>
      <c r="J94" s="1172" t="n">
        <f aca="false">'Previsión de negocio'!J165</f>
        <v>5070</v>
      </c>
      <c r="K94" s="1172" t="n">
        <f aca="false">'Previsión de negocio'!K165</f>
        <v>5070</v>
      </c>
      <c r="L94" s="1172" t="n">
        <f aca="false">'Previsión de negocio'!L165</f>
        <v>5070</v>
      </c>
      <c r="M94" s="1172" t="n">
        <f aca="false">'Previsión de negocio'!M165</f>
        <v>5070</v>
      </c>
      <c r="N94" s="1172" t="n">
        <f aca="false">'Previsión de negocio'!N165</f>
        <v>5070</v>
      </c>
      <c r="O94" s="1182" t="n">
        <f aca="false">'Previsión de negocio'!O165</f>
        <v>5070</v>
      </c>
      <c r="P94" s="1149" t="n">
        <f aca="false">SUM(D94:O94)</f>
        <v>60840</v>
      </c>
    </row>
    <row r="95" customFormat="false" ht="19.5" hidden="false" customHeight="true" outlineLevel="0" collapsed="false">
      <c r="B95" s="507" t="str">
        <f aca="false">B69</f>
        <v>Pienso para loros 12 kg</v>
      </c>
      <c r="C95" s="1167" t="str">
        <f aca="false">C69</f>
        <v>Unidades</v>
      </c>
      <c r="D95" s="1168" t="n">
        <f aca="false">'Previsión de negocio'!D169</f>
        <v>58</v>
      </c>
      <c r="E95" s="1168" t="n">
        <f aca="false">'Previsión de negocio'!E169</f>
        <v>58</v>
      </c>
      <c r="F95" s="1168" t="n">
        <f aca="false">'Previsión de negocio'!F169</f>
        <v>58</v>
      </c>
      <c r="G95" s="1168" t="n">
        <f aca="false">'Previsión de negocio'!G169</f>
        <v>58</v>
      </c>
      <c r="H95" s="1168" t="n">
        <f aca="false">'Previsión de negocio'!H169</f>
        <v>58</v>
      </c>
      <c r="I95" s="1168" t="n">
        <f aca="false">'Previsión de negocio'!I169</f>
        <v>58</v>
      </c>
      <c r="J95" s="1168" t="n">
        <f aca="false">'Previsión de negocio'!J169</f>
        <v>58</v>
      </c>
      <c r="K95" s="1168" t="n">
        <f aca="false">'Previsión de negocio'!K169</f>
        <v>58</v>
      </c>
      <c r="L95" s="1168" t="n">
        <f aca="false">'Previsión de negocio'!L169</f>
        <v>58</v>
      </c>
      <c r="M95" s="1168" t="n">
        <f aca="false">'Previsión de negocio'!M169</f>
        <v>58</v>
      </c>
      <c r="N95" s="1168" t="n">
        <f aca="false">'Previsión de negocio'!N169</f>
        <v>58</v>
      </c>
      <c r="O95" s="1180" t="n">
        <f aca="false">'Previsión de negocio'!O169</f>
        <v>58</v>
      </c>
      <c r="P95" s="1181" t="n">
        <f aca="false">SUM(D95:O95)</f>
        <v>696</v>
      </c>
    </row>
    <row r="96" customFormat="false" ht="19.5" hidden="false" customHeight="true" outlineLevel="0" collapsed="false">
      <c r="B96" s="1170"/>
      <c r="C96" s="1171" t="str">
        <f aca="false">C70</f>
        <v>Euros</v>
      </c>
      <c r="D96" s="1172" t="n">
        <f aca="false">'Previsión de negocio'!D171</f>
        <v>5220</v>
      </c>
      <c r="E96" s="1172" t="n">
        <f aca="false">'Previsión de negocio'!E171</f>
        <v>5220</v>
      </c>
      <c r="F96" s="1172" t="n">
        <f aca="false">'Previsión de negocio'!F171</f>
        <v>5220</v>
      </c>
      <c r="G96" s="1172" t="n">
        <f aca="false">'Previsión de negocio'!G171</f>
        <v>5220</v>
      </c>
      <c r="H96" s="1172" t="n">
        <f aca="false">'Previsión de negocio'!H171</f>
        <v>5220</v>
      </c>
      <c r="I96" s="1172" t="n">
        <f aca="false">'Previsión de negocio'!I171</f>
        <v>5220</v>
      </c>
      <c r="J96" s="1172" t="n">
        <f aca="false">'Previsión de negocio'!J171</f>
        <v>5220</v>
      </c>
      <c r="K96" s="1172" t="n">
        <f aca="false">'Previsión de negocio'!K171</f>
        <v>5220</v>
      </c>
      <c r="L96" s="1172" t="n">
        <f aca="false">'Previsión de negocio'!L171</f>
        <v>5220</v>
      </c>
      <c r="M96" s="1172" t="n">
        <f aca="false">'Previsión de negocio'!M171</f>
        <v>5220</v>
      </c>
      <c r="N96" s="1172" t="n">
        <f aca="false">'Previsión de negocio'!N171</f>
        <v>5220</v>
      </c>
      <c r="O96" s="1182" t="n">
        <f aca="false">'Previsión de negocio'!O171</f>
        <v>5220</v>
      </c>
      <c r="P96" s="1149" t="n">
        <f aca="false">SUM(D96:O96)</f>
        <v>62640</v>
      </c>
    </row>
    <row r="97" customFormat="false" ht="19.5" hidden="false" customHeight="true" outlineLevel="0" collapsed="false">
      <c r="B97" s="507" t="str">
        <f aca="false">B71</f>
        <v>Pienso para cobayas 3 kg</v>
      </c>
      <c r="C97" s="1167" t="str">
        <f aca="false">C71</f>
        <v>Unidades</v>
      </c>
      <c r="D97" s="1168" t="n">
        <f aca="false">'Previsión de negocio'!D175</f>
        <v>108</v>
      </c>
      <c r="E97" s="1168" t="n">
        <f aca="false">'Previsión de negocio'!E175</f>
        <v>108</v>
      </c>
      <c r="F97" s="1168" t="n">
        <f aca="false">'Previsión de negocio'!F175</f>
        <v>108</v>
      </c>
      <c r="G97" s="1168" t="n">
        <f aca="false">'Previsión de negocio'!G175</f>
        <v>108</v>
      </c>
      <c r="H97" s="1168" t="n">
        <f aca="false">'Previsión de negocio'!H175</f>
        <v>108</v>
      </c>
      <c r="I97" s="1168" t="n">
        <f aca="false">'Previsión de negocio'!I175</f>
        <v>108</v>
      </c>
      <c r="J97" s="1168" t="n">
        <f aca="false">'Previsión de negocio'!J175</f>
        <v>108</v>
      </c>
      <c r="K97" s="1168" t="n">
        <f aca="false">'Previsión de negocio'!K175</f>
        <v>108</v>
      </c>
      <c r="L97" s="1168" t="n">
        <f aca="false">'Previsión de negocio'!L175</f>
        <v>108</v>
      </c>
      <c r="M97" s="1168" t="n">
        <f aca="false">'Previsión de negocio'!M175</f>
        <v>108</v>
      </c>
      <c r="N97" s="1168" t="n">
        <f aca="false">'Previsión de negocio'!N175</f>
        <v>108</v>
      </c>
      <c r="O97" s="1180" t="n">
        <f aca="false">'Previsión de negocio'!O175</f>
        <v>108</v>
      </c>
      <c r="P97" s="1181" t="n">
        <f aca="false">SUM(D97:O97)</f>
        <v>1296</v>
      </c>
    </row>
    <row r="98" customFormat="false" ht="19.5" hidden="false" customHeight="true" outlineLevel="0" collapsed="false">
      <c r="B98" s="1170"/>
      <c r="C98" s="1171" t="str">
        <f aca="false">C72</f>
        <v>Euros</v>
      </c>
      <c r="D98" s="1172" t="n">
        <f aca="false">'Previsión de negocio'!D177</f>
        <v>1188</v>
      </c>
      <c r="E98" s="1172" t="n">
        <f aca="false">'Previsión de negocio'!E177</f>
        <v>1188</v>
      </c>
      <c r="F98" s="1172" t="n">
        <f aca="false">'Previsión de negocio'!F177</f>
        <v>1188</v>
      </c>
      <c r="G98" s="1172" t="n">
        <f aca="false">'Previsión de negocio'!G177</f>
        <v>1188</v>
      </c>
      <c r="H98" s="1172" t="n">
        <f aca="false">'Previsión de negocio'!H177</f>
        <v>1188</v>
      </c>
      <c r="I98" s="1172" t="n">
        <f aca="false">'Previsión de negocio'!I177</f>
        <v>1188</v>
      </c>
      <c r="J98" s="1172" t="n">
        <f aca="false">'Previsión de negocio'!J177</f>
        <v>1188</v>
      </c>
      <c r="K98" s="1172" t="n">
        <f aca="false">'Previsión de negocio'!K177</f>
        <v>1188</v>
      </c>
      <c r="L98" s="1172" t="n">
        <f aca="false">'Previsión de negocio'!L177</f>
        <v>1188</v>
      </c>
      <c r="M98" s="1172" t="n">
        <f aca="false">'Previsión de negocio'!M177</f>
        <v>1188</v>
      </c>
      <c r="N98" s="1172" t="n">
        <f aca="false">'Previsión de negocio'!N177</f>
        <v>1188</v>
      </c>
      <c r="O98" s="1182" t="n">
        <f aca="false">'Previsión de negocio'!O177</f>
        <v>1188</v>
      </c>
      <c r="P98" s="1149" t="n">
        <f aca="false">SUM(D98:O98)</f>
        <v>14256</v>
      </c>
    </row>
    <row r="99" customFormat="false" ht="19.5" hidden="false" customHeight="true" outlineLevel="0" collapsed="false">
      <c r="B99" s="507" t="str">
        <f aca="false">B73</f>
        <v>Pienso para conejo adulto 1,75 kg</v>
      </c>
      <c r="C99" s="1167" t="str">
        <f aca="false">C73</f>
        <v>Unidades</v>
      </c>
      <c r="D99" s="1168" t="n">
        <f aca="false">'Previsión de negocio'!D181</f>
        <v>63</v>
      </c>
      <c r="E99" s="1168" t="n">
        <f aca="false">'Previsión de negocio'!E181</f>
        <v>63</v>
      </c>
      <c r="F99" s="1168" t="n">
        <f aca="false">'Previsión de negocio'!F181</f>
        <v>63</v>
      </c>
      <c r="G99" s="1168" t="n">
        <f aca="false">'Previsión de negocio'!G181</f>
        <v>63</v>
      </c>
      <c r="H99" s="1168" t="n">
        <f aca="false">'Previsión de negocio'!H181</f>
        <v>63</v>
      </c>
      <c r="I99" s="1168" t="n">
        <f aca="false">'Previsión de negocio'!I181</f>
        <v>63</v>
      </c>
      <c r="J99" s="1168" t="n">
        <f aca="false">'Previsión de negocio'!J181</f>
        <v>63</v>
      </c>
      <c r="K99" s="1168" t="n">
        <f aca="false">'Previsión de negocio'!K181</f>
        <v>63</v>
      </c>
      <c r="L99" s="1168" t="n">
        <f aca="false">'Previsión de negocio'!L181</f>
        <v>63</v>
      </c>
      <c r="M99" s="1168" t="n">
        <f aca="false">'Previsión de negocio'!M181</f>
        <v>63</v>
      </c>
      <c r="N99" s="1168" t="n">
        <f aca="false">'Previsión de negocio'!N181</f>
        <v>63</v>
      </c>
      <c r="O99" s="1180" t="n">
        <f aca="false">'Previsión de negocio'!O181</f>
        <v>63</v>
      </c>
      <c r="P99" s="1181" t="n">
        <f aca="false">SUM(D99:O99)</f>
        <v>756</v>
      </c>
    </row>
    <row r="100" customFormat="false" ht="19.5" hidden="false" customHeight="true" outlineLevel="0" collapsed="false">
      <c r="B100" s="1170"/>
      <c r="C100" s="1171" t="str">
        <f aca="false">C74</f>
        <v>Euros</v>
      </c>
      <c r="D100" s="1172" t="n">
        <f aca="false">'Previsión de negocio'!D183</f>
        <v>1260</v>
      </c>
      <c r="E100" s="1172" t="n">
        <f aca="false">'Previsión de negocio'!E183</f>
        <v>1260</v>
      </c>
      <c r="F100" s="1172" t="n">
        <f aca="false">'Previsión de negocio'!F183</f>
        <v>1260</v>
      </c>
      <c r="G100" s="1172" t="n">
        <f aca="false">'Previsión de negocio'!G183</f>
        <v>1260</v>
      </c>
      <c r="H100" s="1172" t="n">
        <f aca="false">'Previsión de negocio'!H183</f>
        <v>1260</v>
      </c>
      <c r="I100" s="1172" t="n">
        <f aca="false">'Previsión de negocio'!I183</f>
        <v>1260</v>
      </c>
      <c r="J100" s="1172" t="n">
        <f aca="false">'Previsión de negocio'!J183</f>
        <v>1260</v>
      </c>
      <c r="K100" s="1172" t="n">
        <f aca="false">'Previsión de negocio'!K183</f>
        <v>1260</v>
      </c>
      <c r="L100" s="1172" t="n">
        <f aca="false">'Previsión de negocio'!L183</f>
        <v>1260</v>
      </c>
      <c r="M100" s="1172" t="n">
        <f aca="false">'Previsión de negocio'!M183</f>
        <v>1260</v>
      </c>
      <c r="N100" s="1172" t="n">
        <f aca="false">'Previsión de negocio'!N183</f>
        <v>1260</v>
      </c>
      <c r="O100" s="1182" t="n">
        <f aca="false">'Previsión de negocio'!O183</f>
        <v>1260</v>
      </c>
      <c r="P100" s="1149" t="n">
        <f aca="false">SUM(D100:O100)</f>
        <v>15120</v>
      </c>
    </row>
    <row r="101" customFormat="false" ht="19.5" hidden="false" customHeight="true" outlineLevel="0" collapsed="false">
      <c r="B101" s="507" t="str">
        <f aca="false">B75</f>
        <v>Pienso para hamsters 1 kg</v>
      </c>
      <c r="C101" s="1167" t="str">
        <f aca="false">C75</f>
        <v>Unidades</v>
      </c>
      <c r="D101" s="1168" t="n">
        <f aca="false">'Previsión de negocio'!D187</f>
        <v>78</v>
      </c>
      <c r="E101" s="1168" t="n">
        <f aca="false">'Previsión de negocio'!E187</f>
        <v>78</v>
      </c>
      <c r="F101" s="1168" t="n">
        <f aca="false">'Previsión de negocio'!F187</f>
        <v>78</v>
      </c>
      <c r="G101" s="1168" t="n">
        <f aca="false">'Previsión de negocio'!G187</f>
        <v>78</v>
      </c>
      <c r="H101" s="1168" t="n">
        <f aca="false">'Previsión de negocio'!H187</f>
        <v>78</v>
      </c>
      <c r="I101" s="1168" t="n">
        <f aca="false">'Previsión de negocio'!I187</f>
        <v>78</v>
      </c>
      <c r="J101" s="1168" t="n">
        <f aca="false">'Previsión de negocio'!J187</f>
        <v>78</v>
      </c>
      <c r="K101" s="1168" t="n">
        <f aca="false">'Previsión de negocio'!K187</f>
        <v>78</v>
      </c>
      <c r="L101" s="1168" t="n">
        <f aca="false">'Previsión de negocio'!L187</f>
        <v>78</v>
      </c>
      <c r="M101" s="1168" t="n">
        <f aca="false">'Previsión de negocio'!M187</f>
        <v>78</v>
      </c>
      <c r="N101" s="1168" t="n">
        <f aca="false">'Previsión de negocio'!N187</f>
        <v>78</v>
      </c>
      <c r="O101" s="1180" t="n">
        <f aca="false">'Previsión de negocio'!O187</f>
        <v>78</v>
      </c>
      <c r="P101" s="1181" t="n">
        <f aca="false">SUM(D101:O101)</f>
        <v>936</v>
      </c>
    </row>
    <row r="102" customFormat="false" ht="19.5" hidden="false" customHeight="true" outlineLevel="0" collapsed="false">
      <c r="B102" s="1170"/>
      <c r="C102" s="1171" t="str">
        <f aca="false">C76</f>
        <v>Euros</v>
      </c>
      <c r="D102" s="1172" t="n">
        <f aca="false">'Previsión de negocio'!D189</f>
        <v>1560</v>
      </c>
      <c r="E102" s="1172" t="n">
        <f aca="false">'Previsión de negocio'!E189</f>
        <v>1560</v>
      </c>
      <c r="F102" s="1172" t="n">
        <f aca="false">'Previsión de negocio'!F189</f>
        <v>1560</v>
      </c>
      <c r="G102" s="1172" t="n">
        <f aca="false">'Previsión de negocio'!G189</f>
        <v>1560</v>
      </c>
      <c r="H102" s="1172" t="n">
        <f aca="false">'Previsión de negocio'!H189</f>
        <v>1560</v>
      </c>
      <c r="I102" s="1172" t="n">
        <f aca="false">'Previsión de negocio'!I189</f>
        <v>1560</v>
      </c>
      <c r="J102" s="1172" t="n">
        <f aca="false">'Previsión de negocio'!J189</f>
        <v>1560</v>
      </c>
      <c r="K102" s="1172" t="n">
        <f aca="false">'Previsión de negocio'!K189</f>
        <v>1560</v>
      </c>
      <c r="L102" s="1172" t="n">
        <f aca="false">'Previsión de negocio'!L189</f>
        <v>1560</v>
      </c>
      <c r="M102" s="1172" t="n">
        <f aca="false">'Previsión de negocio'!M189</f>
        <v>1560</v>
      </c>
      <c r="N102" s="1172" t="n">
        <f aca="false">'Previsión de negocio'!N189</f>
        <v>1560</v>
      </c>
      <c r="O102" s="1182" t="n">
        <f aca="false">'Previsión de negocio'!O189</f>
        <v>1560</v>
      </c>
      <c r="P102" s="1149" t="n">
        <f aca="false">SUM(D102:O102)</f>
        <v>18720</v>
      </c>
    </row>
    <row r="103" customFormat="false" ht="19.5" hidden="false" customHeight="true" outlineLevel="0" collapsed="false">
      <c r="B103" s="507" t="str">
        <f aca="false">B77</f>
        <v>Pienso natural para perro 3 kg</v>
      </c>
      <c r="C103" s="1167" t="str">
        <f aca="false">C77</f>
        <v>Unidades</v>
      </c>
      <c r="D103" s="1168" t="n">
        <f aca="false">'Previsión de negocio'!D193</f>
        <v>93</v>
      </c>
      <c r="E103" s="1168" t="n">
        <f aca="false">'Previsión de negocio'!E193</f>
        <v>93</v>
      </c>
      <c r="F103" s="1168" t="n">
        <f aca="false">'Previsión de negocio'!F193</f>
        <v>93</v>
      </c>
      <c r="G103" s="1168" t="n">
        <f aca="false">'Previsión de negocio'!G193</f>
        <v>93</v>
      </c>
      <c r="H103" s="1168" t="n">
        <f aca="false">'Previsión de negocio'!H193</f>
        <v>93</v>
      </c>
      <c r="I103" s="1168" t="n">
        <f aca="false">'Previsión de negocio'!I193</f>
        <v>93</v>
      </c>
      <c r="J103" s="1168" t="n">
        <f aca="false">'Previsión de negocio'!J193</f>
        <v>93</v>
      </c>
      <c r="K103" s="1168" t="n">
        <f aca="false">'Previsión de negocio'!K193</f>
        <v>93</v>
      </c>
      <c r="L103" s="1168" t="n">
        <f aca="false">'Previsión de negocio'!L193</f>
        <v>93</v>
      </c>
      <c r="M103" s="1168" t="n">
        <f aca="false">'Previsión de negocio'!M193</f>
        <v>93</v>
      </c>
      <c r="N103" s="1168" t="n">
        <f aca="false">'Previsión de negocio'!N193</f>
        <v>93</v>
      </c>
      <c r="O103" s="1180" t="n">
        <f aca="false">'Previsión de negocio'!O193</f>
        <v>93</v>
      </c>
      <c r="P103" s="1181" t="n">
        <f aca="false">SUM(D103:O103)</f>
        <v>1116</v>
      </c>
    </row>
    <row r="104" customFormat="false" ht="19.5" hidden="false" customHeight="true" outlineLevel="0" collapsed="false">
      <c r="B104" s="1170"/>
      <c r="C104" s="1171" t="str">
        <f aca="false">C78</f>
        <v>Euros</v>
      </c>
      <c r="D104" s="1172" t="n">
        <f aca="false">'Previsión de negocio'!D195</f>
        <v>1209</v>
      </c>
      <c r="E104" s="1172" t="n">
        <f aca="false">'Previsión de negocio'!E195</f>
        <v>1209</v>
      </c>
      <c r="F104" s="1172" t="n">
        <f aca="false">'Previsión de negocio'!F195</f>
        <v>1209</v>
      </c>
      <c r="G104" s="1172" t="n">
        <f aca="false">'Previsión de negocio'!G195</f>
        <v>1209</v>
      </c>
      <c r="H104" s="1172" t="n">
        <f aca="false">'Previsión de negocio'!H195</f>
        <v>1209</v>
      </c>
      <c r="I104" s="1172" t="n">
        <f aca="false">'Previsión de negocio'!I195</f>
        <v>1209</v>
      </c>
      <c r="J104" s="1172" t="n">
        <f aca="false">'Previsión de negocio'!J195</f>
        <v>1209</v>
      </c>
      <c r="K104" s="1172" t="n">
        <f aca="false">'Previsión de negocio'!K195</f>
        <v>1209</v>
      </c>
      <c r="L104" s="1172" t="n">
        <f aca="false">'Previsión de negocio'!L195</f>
        <v>1209</v>
      </c>
      <c r="M104" s="1172" t="n">
        <f aca="false">'Previsión de negocio'!M195</f>
        <v>1209</v>
      </c>
      <c r="N104" s="1172" t="n">
        <f aca="false">'Previsión de negocio'!N195</f>
        <v>1209</v>
      </c>
      <c r="O104" s="1182" t="n">
        <f aca="false">'Previsión de negocio'!O195</f>
        <v>1209</v>
      </c>
      <c r="P104" s="1149" t="n">
        <f aca="false">SUM(D104:O104)</f>
        <v>14508</v>
      </c>
    </row>
    <row r="105" customFormat="false" ht="19.5" hidden="false" customHeight="true" outlineLevel="0" collapsed="false">
      <c r="B105" s="507" t="str">
        <f aca="false">B79</f>
        <v>Pienso natural para cachorros 6 kg</v>
      </c>
      <c r="C105" s="1167" t="str">
        <f aca="false">C79</f>
        <v>Unidades</v>
      </c>
      <c r="D105" s="1168" t="n">
        <f aca="false">'Previsión de negocio'!D199</f>
        <v>83</v>
      </c>
      <c r="E105" s="1168" t="n">
        <f aca="false">'Previsión de negocio'!E199</f>
        <v>83</v>
      </c>
      <c r="F105" s="1168" t="n">
        <f aca="false">'Previsión de negocio'!F199</f>
        <v>83</v>
      </c>
      <c r="G105" s="1168" t="n">
        <f aca="false">'Previsión de negocio'!G199</f>
        <v>83</v>
      </c>
      <c r="H105" s="1168" t="n">
        <f aca="false">'Previsión de negocio'!H199</f>
        <v>83</v>
      </c>
      <c r="I105" s="1168" t="n">
        <f aca="false">'Previsión de negocio'!I199</f>
        <v>83</v>
      </c>
      <c r="J105" s="1168" t="n">
        <f aca="false">'Previsión de negocio'!J199</f>
        <v>83</v>
      </c>
      <c r="K105" s="1168" t="n">
        <f aca="false">'Previsión de negocio'!K199</f>
        <v>83</v>
      </c>
      <c r="L105" s="1168" t="n">
        <f aca="false">'Previsión de negocio'!L199</f>
        <v>83</v>
      </c>
      <c r="M105" s="1168" t="n">
        <f aca="false">'Previsión de negocio'!M199</f>
        <v>83</v>
      </c>
      <c r="N105" s="1168" t="n">
        <f aca="false">'Previsión de negocio'!N199</f>
        <v>83</v>
      </c>
      <c r="O105" s="1180" t="n">
        <f aca="false">'Previsión de negocio'!O199</f>
        <v>83</v>
      </c>
      <c r="P105" s="1181" t="n">
        <f aca="false">SUM(D105:O105)</f>
        <v>996</v>
      </c>
    </row>
    <row r="106" customFormat="false" ht="19.5" hidden="false" customHeight="true" outlineLevel="0" collapsed="false">
      <c r="B106" s="1170"/>
      <c r="C106" s="1171" t="str">
        <f aca="false">C80</f>
        <v>Euros</v>
      </c>
      <c r="D106" s="1172" t="n">
        <f aca="false">'Previsión de negocio'!D201</f>
        <v>3320</v>
      </c>
      <c r="E106" s="1172" t="n">
        <f aca="false">'Previsión de negocio'!E201</f>
        <v>3320</v>
      </c>
      <c r="F106" s="1172" t="n">
        <f aca="false">'Previsión de negocio'!F201</f>
        <v>3320</v>
      </c>
      <c r="G106" s="1172" t="n">
        <f aca="false">'Previsión de negocio'!G201</f>
        <v>3320</v>
      </c>
      <c r="H106" s="1172" t="n">
        <f aca="false">'Previsión de negocio'!H201</f>
        <v>3320</v>
      </c>
      <c r="I106" s="1172" t="n">
        <f aca="false">'Previsión de negocio'!I201</f>
        <v>3320</v>
      </c>
      <c r="J106" s="1172" t="n">
        <f aca="false">'Previsión de negocio'!J201</f>
        <v>3320</v>
      </c>
      <c r="K106" s="1172" t="n">
        <f aca="false">'Previsión de negocio'!K201</f>
        <v>3320</v>
      </c>
      <c r="L106" s="1172" t="n">
        <f aca="false">'Previsión de negocio'!L201</f>
        <v>3320</v>
      </c>
      <c r="M106" s="1172" t="n">
        <f aca="false">'Previsión de negocio'!M201</f>
        <v>3320</v>
      </c>
      <c r="N106" s="1172" t="n">
        <f aca="false">'Previsión de negocio'!N201</f>
        <v>3320</v>
      </c>
      <c r="O106" s="1182" t="n">
        <f aca="false">'Previsión de negocio'!O201</f>
        <v>3320</v>
      </c>
      <c r="P106" s="1149" t="n">
        <f aca="false">SUM(D106:O106)</f>
        <v>39840</v>
      </c>
    </row>
    <row r="107" customFormat="false" ht="19.5" hidden="false" customHeight="true" outlineLevel="0" collapsed="false">
      <c r="B107" s="507" t="str">
        <f aca="false">B81</f>
        <v>Menú natural semihúmedo perro</v>
      </c>
      <c r="C107" s="1167" t="str">
        <f aca="false">C81</f>
        <v>Unidades</v>
      </c>
      <c r="D107" s="1168" t="n">
        <f aca="false">'Previsión de negocio'!D205</f>
        <v>128</v>
      </c>
      <c r="E107" s="1168" t="n">
        <f aca="false">'Previsión de negocio'!E205</f>
        <v>128</v>
      </c>
      <c r="F107" s="1168" t="n">
        <f aca="false">'Previsión de negocio'!F205</f>
        <v>128</v>
      </c>
      <c r="G107" s="1168" t="n">
        <f aca="false">'Previsión de negocio'!G205</f>
        <v>128</v>
      </c>
      <c r="H107" s="1168" t="n">
        <f aca="false">'Previsión de negocio'!H205</f>
        <v>128</v>
      </c>
      <c r="I107" s="1168" t="n">
        <f aca="false">'Previsión de negocio'!I205</f>
        <v>128</v>
      </c>
      <c r="J107" s="1168" t="n">
        <f aca="false">'Previsión de negocio'!J205</f>
        <v>128</v>
      </c>
      <c r="K107" s="1168" t="n">
        <f aca="false">'Previsión de negocio'!K205</f>
        <v>128</v>
      </c>
      <c r="L107" s="1168" t="n">
        <f aca="false">'Previsión de negocio'!L205</f>
        <v>128</v>
      </c>
      <c r="M107" s="1168" t="n">
        <f aca="false">'Previsión de negocio'!M205</f>
        <v>128</v>
      </c>
      <c r="N107" s="1168" t="n">
        <f aca="false">'Previsión de negocio'!N205</f>
        <v>128</v>
      </c>
      <c r="O107" s="1180" t="n">
        <f aca="false">'Previsión de negocio'!O205</f>
        <v>128</v>
      </c>
      <c r="P107" s="1181" t="n">
        <f aca="false">SUM(D107:O107)</f>
        <v>1536</v>
      </c>
    </row>
    <row r="108" customFormat="false" ht="19.5" hidden="false" customHeight="true" outlineLevel="0" collapsed="false">
      <c r="B108" s="1170"/>
      <c r="C108" s="1171" t="str">
        <f aca="false">C82</f>
        <v>Euros</v>
      </c>
      <c r="D108" s="1172" t="n">
        <f aca="false">'Previsión de negocio'!D207</f>
        <v>1664</v>
      </c>
      <c r="E108" s="1172" t="n">
        <f aca="false">'Previsión de negocio'!E207</f>
        <v>1664</v>
      </c>
      <c r="F108" s="1172" t="n">
        <f aca="false">'Previsión de negocio'!F207</f>
        <v>1664</v>
      </c>
      <c r="G108" s="1172" t="n">
        <f aca="false">'Previsión de negocio'!G207</f>
        <v>1664</v>
      </c>
      <c r="H108" s="1172" t="n">
        <f aca="false">'Previsión de negocio'!H207</f>
        <v>1664</v>
      </c>
      <c r="I108" s="1172" t="n">
        <f aca="false">'Previsión de negocio'!I207</f>
        <v>1664</v>
      </c>
      <c r="J108" s="1172" t="n">
        <f aca="false">'Previsión de negocio'!J207</f>
        <v>1664</v>
      </c>
      <c r="K108" s="1172" t="n">
        <f aca="false">'Previsión de negocio'!K207</f>
        <v>1664</v>
      </c>
      <c r="L108" s="1172" t="n">
        <f aca="false">'Previsión de negocio'!L207</f>
        <v>1664</v>
      </c>
      <c r="M108" s="1172" t="n">
        <f aca="false">'Previsión de negocio'!M207</f>
        <v>1664</v>
      </c>
      <c r="N108" s="1172" t="n">
        <f aca="false">'Previsión de negocio'!N207</f>
        <v>1664</v>
      </c>
      <c r="O108" s="1182" t="n">
        <f aca="false">'Previsión de negocio'!O207</f>
        <v>1664</v>
      </c>
      <c r="P108" s="1149" t="n">
        <f aca="false">SUM(D108:O108)</f>
        <v>19968</v>
      </c>
    </row>
    <row r="109" customFormat="false" ht="19.5" hidden="false" customHeight="true" outlineLevel="0" collapsed="false">
      <c r="B109" s="507" t="str">
        <f aca="false">B83</f>
        <v>Comida húmeda para gatos 26 pouches</v>
      </c>
      <c r="C109" s="1167" t="str">
        <f aca="false">C83</f>
        <v>Unidades</v>
      </c>
      <c r="D109" s="1168" t="n">
        <f aca="false">'Previsión de negocio'!D211</f>
        <v>78</v>
      </c>
      <c r="E109" s="1168" t="n">
        <f aca="false">'Previsión de negocio'!E211</f>
        <v>78</v>
      </c>
      <c r="F109" s="1168" t="n">
        <f aca="false">'Previsión de negocio'!F211</f>
        <v>78</v>
      </c>
      <c r="G109" s="1168" t="n">
        <f aca="false">'Previsión de negocio'!G211</f>
        <v>78</v>
      </c>
      <c r="H109" s="1168" t="n">
        <f aca="false">'Previsión de negocio'!H211</f>
        <v>78</v>
      </c>
      <c r="I109" s="1168" t="n">
        <f aca="false">'Previsión de negocio'!I211</f>
        <v>78</v>
      </c>
      <c r="J109" s="1168" t="n">
        <f aca="false">'Previsión de negocio'!J211</f>
        <v>78</v>
      </c>
      <c r="K109" s="1168" t="n">
        <f aca="false">'Previsión de negocio'!K211</f>
        <v>78</v>
      </c>
      <c r="L109" s="1168" t="n">
        <f aca="false">'Previsión de negocio'!L211</f>
        <v>78</v>
      </c>
      <c r="M109" s="1168" t="n">
        <f aca="false">'Previsión de negocio'!M211</f>
        <v>78</v>
      </c>
      <c r="N109" s="1168" t="n">
        <f aca="false">'Previsión de negocio'!N211</f>
        <v>78</v>
      </c>
      <c r="O109" s="1180" t="n">
        <f aca="false">'Previsión de negocio'!O211</f>
        <v>78</v>
      </c>
      <c r="P109" s="1181" t="n">
        <f aca="false">SUM(D109:O109)</f>
        <v>936</v>
      </c>
    </row>
    <row r="110" customFormat="false" ht="19.5" hidden="false" customHeight="true" outlineLevel="0" collapsed="false">
      <c r="B110" s="1170"/>
      <c r="C110" s="1171" t="str">
        <f aca="false">C84</f>
        <v>Euros</v>
      </c>
      <c r="D110" s="1172" t="n">
        <f aca="false">'Previsión de negocio'!D213</f>
        <v>1638</v>
      </c>
      <c r="E110" s="1172" t="n">
        <f aca="false">'Previsión de negocio'!E213</f>
        <v>1638</v>
      </c>
      <c r="F110" s="1172" t="n">
        <f aca="false">'Previsión de negocio'!F213</f>
        <v>1638</v>
      </c>
      <c r="G110" s="1172" t="n">
        <f aca="false">'Previsión de negocio'!G213</f>
        <v>1638</v>
      </c>
      <c r="H110" s="1172" t="n">
        <f aca="false">'Previsión de negocio'!H213</f>
        <v>1638</v>
      </c>
      <c r="I110" s="1172" t="n">
        <f aca="false">'Previsión de negocio'!I213</f>
        <v>1638</v>
      </c>
      <c r="J110" s="1172" t="n">
        <f aca="false">'Previsión de negocio'!J213</f>
        <v>1638</v>
      </c>
      <c r="K110" s="1172" t="n">
        <f aca="false">'Previsión de negocio'!K213</f>
        <v>1638</v>
      </c>
      <c r="L110" s="1172" t="n">
        <f aca="false">'Previsión de negocio'!L213</f>
        <v>1638</v>
      </c>
      <c r="M110" s="1172" t="n">
        <f aca="false">'Previsión de negocio'!M213</f>
        <v>1638</v>
      </c>
      <c r="N110" s="1172" t="n">
        <f aca="false">'Previsión de negocio'!N213</f>
        <v>1638</v>
      </c>
      <c r="O110" s="1182" t="n">
        <f aca="false">'Previsión de negocio'!O213</f>
        <v>1638</v>
      </c>
      <c r="P110" s="1149" t="n">
        <f aca="false">SUM(D110:O110)</f>
        <v>19656</v>
      </c>
    </row>
    <row r="111" customFormat="false" ht="19.5" hidden="false" customHeight="true" outlineLevel="0" collapsed="false">
      <c r="B111" s="1153" t="str">
        <f aca="false">B85</f>
        <v>Total unidades:</v>
      </c>
      <c r="C111" s="1154"/>
      <c r="D111" s="1174" t="n">
        <f aca="false">+D91+D93+D95+D97+D99+D101+D103+D105+D107+D109</f>
        <v>855</v>
      </c>
      <c r="E111" s="1174" t="n">
        <f aca="false">+E91+E93+E95+E97+E99+E101+E103+E105+E107+E109</f>
        <v>855</v>
      </c>
      <c r="F111" s="1174" t="n">
        <f aca="false">+F91+F93+F95+F97+F99+F101+F103+F105+F107+F109</f>
        <v>855</v>
      </c>
      <c r="G111" s="1174" t="n">
        <f aca="false">+G91+G93+G95+G97+G99+G101+G103+G105+G107+G109</f>
        <v>855</v>
      </c>
      <c r="H111" s="1174" t="n">
        <f aca="false">+H91+H93+H95+H97+H99+H101+H103+H105+H107+H109</f>
        <v>855</v>
      </c>
      <c r="I111" s="1174" t="n">
        <f aca="false">+I91+I93+I95+I97+I99+I101+I103+I105+I107+I109</f>
        <v>855</v>
      </c>
      <c r="J111" s="1174" t="n">
        <f aca="false">+J91+J93+J95+J97+J99+J101+J103+J105+J107+J109</f>
        <v>855</v>
      </c>
      <c r="K111" s="1174" t="n">
        <f aca="false">+K91+K93+K95+K97+K99+K101+K103+K105+K107+K109</f>
        <v>855</v>
      </c>
      <c r="L111" s="1174" t="n">
        <f aca="false">+L91+L93+L95+L97+L99+L101+L103+L105+L107+L109</f>
        <v>855</v>
      </c>
      <c r="M111" s="1174" t="n">
        <f aca="false">+M91+M93+M95+M97+M99+M101+M103+M105+M107+M109</f>
        <v>855</v>
      </c>
      <c r="N111" s="1174" t="n">
        <f aca="false">+N91+N93+N95+N97+N99+N101+N103+N105+N107+N109</f>
        <v>855</v>
      </c>
      <c r="O111" s="1183" t="n">
        <f aca="false">+O91+O93+O95+O97+O99+O101+O103+O105+O107+O109</f>
        <v>855</v>
      </c>
      <c r="P111" s="1156" t="n">
        <f aca="false">SUM(D111:O111)</f>
        <v>10260</v>
      </c>
    </row>
    <row r="112" customFormat="false" ht="19.5" hidden="false" customHeight="true" outlineLevel="0" collapsed="false">
      <c r="B112" s="1157" t="str">
        <f aca="false">B86</f>
        <v>Total Euros:</v>
      </c>
      <c r="C112" s="1176"/>
      <c r="D112" s="1177" t="n">
        <f aca="false">+D92+D94+D96+D98+D100+D102+D104+D106+D108+D110</f>
        <v>27409</v>
      </c>
      <c r="E112" s="1177" t="n">
        <f aca="false">+E92+E94+E96+E98+E100+E102+E104+E106+E108+E110</f>
        <v>27409</v>
      </c>
      <c r="F112" s="1177" t="n">
        <f aca="false">+F92+F94+F96+F98+F100+F102+F104+F106+F108+F110</f>
        <v>27409</v>
      </c>
      <c r="G112" s="1177" t="n">
        <f aca="false">+G92+G94+G96+G98+G100+G102+G104+G106+G108+G110</f>
        <v>27409</v>
      </c>
      <c r="H112" s="1177" t="n">
        <f aca="false">+H92+H94+H96+H98+H100+H102+H104+H106+H108+H110</f>
        <v>27409</v>
      </c>
      <c r="I112" s="1177" t="n">
        <f aca="false">+I92+I94+I96+I98+I100+I102+I104+I106+I108+I110</f>
        <v>27409</v>
      </c>
      <c r="J112" s="1177" t="n">
        <f aca="false">+J92+J94+J96+J98+J100+J102+J104+J106+J108+J110</f>
        <v>27409</v>
      </c>
      <c r="K112" s="1177" t="n">
        <f aca="false">+K92+K94+K96+K98+K100+K102+K104+K106+K108+K110</f>
        <v>27409</v>
      </c>
      <c r="L112" s="1177" t="n">
        <f aca="false">+L92+L94+L96+L98+L100+L102+L104+L106+L108+L110</f>
        <v>27409</v>
      </c>
      <c r="M112" s="1177" t="n">
        <f aca="false">+M92+M94+M96+M98+M100+M102+M104+M106+M108+M110</f>
        <v>27409</v>
      </c>
      <c r="N112" s="1177" t="n">
        <f aca="false">+N92+N94+N96+N98+N100+N102+N104+N106+N108+N110</f>
        <v>27409</v>
      </c>
      <c r="O112" s="1184" t="n">
        <f aca="false">+O92+O94+O96+O98+O100+O102+O104+O106+O108+O110</f>
        <v>27409</v>
      </c>
      <c r="P112" s="1185" t="n">
        <f aca="false">SUM(D112:O112)</f>
        <v>328908</v>
      </c>
    </row>
    <row r="113" customFormat="false" ht="19.5" hidden="false" customHeight="true" outlineLevel="0" collapsed="false">
      <c r="B113" s="104"/>
      <c r="C113" s="104"/>
      <c r="D113" s="104"/>
      <c r="E113" s="104"/>
      <c r="F113" s="104"/>
      <c r="G113" s="104"/>
      <c r="H113" s="104"/>
      <c r="I113" s="104"/>
      <c r="J113" s="104"/>
      <c r="K113" s="104"/>
      <c r="L113" s="104"/>
      <c r="M113" s="104"/>
      <c r="N113" s="104"/>
      <c r="O113" s="104"/>
      <c r="P113" s="104"/>
    </row>
  </sheetData>
  <sheetProtection sheet="true" password="cc4b"/>
  <mergeCells count="7">
    <mergeCell ref="B4:G4"/>
    <mergeCell ref="C10:D10"/>
    <mergeCell ref="E10:F10"/>
    <mergeCell ref="G10:H10"/>
    <mergeCell ref="C11:D11"/>
    <mergeCell ref="E11:F11"/>
    <mergeCell ref="G11:H1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262"/>
  <sheetViews>
    <sheetView showFormulas="false" showGridLines="false" showRowColHeaders="true" showZeros="true" rightToLeft="false" tabSelected="false" showOutlineSymbols="true" defaultGridColor="true" view="normal" topLeftCell="A189" colorId="64" zoomScale="100" zoomScaleNormal="100" zoomScalePageLayoutView="100" workbookViewId="0">
      <selection pane="topLeft" activeCell="T220" activeCellId="0" sqref="T220"/>
    </sheetView>
  </sheetViews>
  <sheetFormatPr defaultColWidth="11.4609375" defaultRowHeight="12.75" zeroHeight="false" outlineLevelRow="0" outlineLevelCol="0"/>
  <cols>
    <col collapsed="false" customWidth="false" hidden="false" outlineLevel="0" max="1" min="1" style="451" width="11.46"/>
    <col collapsed="false" customWidth="true" hidden="false" outlineLevel="0" max="2" min="2" style="451" width="35.6"/>
    <col collapsed="false" customWidth="true" hidden="false" outlineLevel="0" max="3" min="3" style="451" width="11.86"/>
    <col collapsed="false" customWidth="true" hidden="false" outlineLevel="0" max="5" min="4" style="451" width="13.35"/>
    <col collapsed="false" customWidth="true" hidden="false" outlineLevel="0" max="6" min="6" style="451" width="13.88"/>
    <col collapsed="false" customWidth="true" hidden="false" outlineLevel="0" max="10" min="7" style="451" width="13.62"/>
    <col collapsed="false" customWidth="false" hidden="false" outlineLevel="0" max="11" min="11" style="451" width="11.46"/>
    <col collapsed="false" customWidth="true" hidden="false" outlineLevel="0" max="12" min="12" style="451" width="10.38"/>
    <col collapsed="false" customWidth="true" hidden="false" outlineLevel="0" max="13" min="13" style="451" width="10.65"/>
    <col collapsed="false" customWidth="true" hidden="false" outlineLevel="0" max="14" min="14" style="451" width="10.92"/>
    <col collapsed="false" customWidth="true" hidden="false" outlineLevel="0" max="15" min="15" style="451" width="10.65"/>
    <col collapsed="false" customWidth="true" hidden="false" outlineLevel="0" max="16" min="16" style="451" width="12.14"/>
    <col collapsed="false" customWidth="true" hidden="false" outlineLevel="0" max="17" min="17" style="451" width="11.59"/>
    <col collapsed="false" customWidth="false" hidden="false" outlineLevel="0" max="18" min="18" style="451" width="11.46"/>
    <col collapsed="false" customWidth="true" hidden="false" outlineLevel="0" max="20" min="19" style="451" width="12.27"/>
    <col collapsed="false" customWidth="true" hidden="false" outlineLevel="0" max="21" min="21" style="451" width="10.92"/>
    <col collapsed="false" customWidth="false" hidden="false" outlineLevel="0" max="16384" min="22" style="451" width="11.46"/>
  </cols>
  <sheetData>
    <row r="1" s="1186" customFormat="true" ht="13.5" hidden="true" customHeight="false" outlineLevel="0" collapsed="false">
      <c r="A1" s="298"/>
      <c r="B1" s="298"/>
      <c r="C1" s="298" t="n">
        <f aca="false">MONTH('Datos generales'!N10)</f>
        <v>1</v>
      </c>
      <c r="D1" s="665" t="n">
        <v>0</v>
      </c>
      <c r="E1" s="665" t="n">
        <v>1</v>
      </c>
      <c r="F1" s="665" t="n">
        <v>2</v>
      </c>
      <c r="G1" s="665" t="n">
        <v>3</v>
      </c>
      <c r="H1" s="665" t="n">
        <v>4</v>
      </c>
      <c r="I1" s="665" t="n">
        <v>5</v>
      </c>
      <c r="J1" s="665" t="n">
        <v>6</v>
      </c>
      <c r="K1" s="665" t="n">
        <v>7</v>
      </c>
      <c r="L1" s="665" t="n">
        <v>8</v>
      </c>
      <c r="M1" s="665" t="n">
        <v>9</v>
      </c>
      <c r="N1" s="665" t="n">
        <v>10</v>
      </c>
      <c r="O1" s="665" t="n">
        <v>11</v>
      </c>
      <c r="P1" s="665" t="n">
        <v>12</v>
      </c>
      <c r="Q1" s="298"/>
      <c r="R1" s="298"/>
    </row>
    <row r="4" customFormat="false" ht="40.5" hidden="false" customHeight="true" outlineLevel="0" collapsed="false">
      <c r="B4" s="1187" t="s">
        <v>708</v>
      </c>
      <c r="C4" s="1187"/>
      <c r="D4" s="1187"/>
      <c r="E4" s="1187"/>
      <c r="F4" s="1187"/>
      <c r="G4" s="1187"/>
      <c r="H4" s="1187"/>
    </row>
    <row r="6" customFormat="false" ht="20.25" hidden="false" customHeight="false" outlineLevel="0" collapsed="false">
      <c r="B6" s="300" t="str">
        <f aca="false">'Datos generales'!C6</f>
        <v>La tienda S.L</v>
      </c>
      <c r="C6" s="300"/>
      <c r="D6" s="300"/>
      <c r="E6" s="300"/>
      <c r="F6" s="300"/>
      <c r="G6" s="300"/>
    </row>
    <row r="8" customFormat="false" ht="14.25" hidden="false" customHeight="false" outlineLevel="0" collapsed="false">
      <c r="A8" s="35"/>
      <c r="B8" s="51" t="s">
        <v>709</v>
      </c>
      <c r="C8" s="52"/>
      <c r="D8" s="35"/>
      <c r="E8" s="35"/>
      <c r="F8" s="52"/>
      <c r="H8" s="35"/>
      <c r="AB8" s="999"/>
    </row>
    <row r="10" customFormat="false" ht="14.25" hidden="false" customHeight="false" outlineLevel="0" collapsed="false">
      <c r="B10" s="51" t="s">
        <v>710</v>
      </c>
    </row>
    <row r="11" customFormat="false" ht="15" hidden="false" customHeight="false" outlineLevel="0" collapsed="false">
      <c r="C11" s="1188" t="s">
        <v>95</v>
      </c>
      <c r="D11" s="1188"/>
      <c r="E11" s="1188"/>
      <c r="G11" s="51" t="s">
        <v>96</v>
      </c>
      <c r="I11" s="51" t="s">
        <v>97</v>
      </c>
      <c r="Q11" s="1109"/>
      <c r="R11" s="1109"/>
      <c r="S11" s="1109"/>
      <c r="T11" s="1189"/>
      <c r="U11" s="1189"/>
      <c r="V11" s="1189"/>
    </row>
    <row r="12" customFormat="false" ht="64.5" hidden="false" customHeight="true" outlineLevel="0" collapsed="false">
      <c r="B12" s="1190" t="s">
        <v>711</v>
      </c>
      <c r="C12" s="1191" t="s">
        <v>712</v>
      </c>
      <c r="D12" s="1192" t="s">
        <v>713</v>
      </c>
      <c r="E12" s="1193" t="s">
        <v>714</v>
      </c>
      <c r="F12" s="1191" t="s">
        <v>712</v>
      </c>
      <c r="G12" s="1192" t="s">
        <v>713</v>
      </c>
      <c r="H12" s="1193" t="s">
        <v>714</v>
      </c>
      <c r="I12" s="1191" t="s">
        <v>712</v>
      </c>
      <c r="J12" s="1192" t="s">
        <v>713</v>
      </c>
      <c r="K12" s="1193" t="s">
        <v>714</v>
      </c>
      <c r="Q12" s="23"/>
      <c r="R12" s="267"/>
      <c r="S12" s="23"/>
      <c r="T12" s="23"/>
      <c r="U12" s="267"/>
      <c r="V12" s="23"/>
    </row>
    <row r="13" customFormat="false" ht="12.75" hidden="false" customHeight="false" outlineLevel="0" collapsed="false">
      <c r="B13" s="1083" t="str">
        <f aca="false">'Previsión de negocio'!B30</f>
        <v>Pienso para perro adulto 12 kg</v>
      </c>
      <c r="C13" s="1194" t="n">
        <f aca="false">P92</f>
        <v>29700</v>
      </c>
      <c r="D13" s="1195" t="n">
        <f aca="false">P106</f>
        <v>0</v>
      </c>
      <c r="E13" s="1196" t="n">
        <f aca="false">C13+D13</f>
        <v>29700</v>
      </c>
      <c r="F13" s="1194" t="n">
        <f aca="false">P150</f>
        <v>42120</v>
      </c>
      <c r="G13" s="1195" t="n">
        <f aca="false">P164</f>
        <v>0</v>
      </c>
      <c r="H13" s="1197" t="n">
        <f aca="false">G13+F13</f>
        <v>42120</v>
      </c>
      <c r="I13" s="1194" t="n">
        <f aca="false">P208</f>
        <v>47520</v>
      </c>
      <c r="J13" s="1195" t="n">
        <f aca="false">P222</f>
        <v>0</v>
      </c>
      <c r="K13" s="1197" t="n">
        <f aca="false">J13+I13</f>
        <v>47520</v>
      </c>
      <c r="S13" s="1198"/>
      <c r="V13" s="1198"/>
    </row>
    <row r="14" customFormat="false" ht="12.75" hidden="false" customHeight="false" outlineLevel="0" collapsed="false">
      <c r="B14" s="1199" t="str">
        <f aca="false">'Previsión de negocio'!B36</f>
        <v>Pienso para gato adulto 10 kg</v>
      </c>
      <c r="C14" s="1194" t="n">
        <f aca="false">P93</f>
        <v>24300</v>
      </c>
      <c r="D14" s="1195" t="n">
        <f aca="false">P107</f>
        <v>0</v>
      </c>
      <c r="E14" s="1196" t="n">
        <f aca="false">C14+D14</f>
        <v>24300</v>
      </c>
      <c r="F14" s="1194" t="n">
        <f aca="false">P151</f>
        <v>40800</v>
      </c>
      <c r="G14" s="1195" t="n">
        <f aca="false">P165</f>
        <v>0</v>
      </c>
      <c r="H14" s="1196" t="n">
        <f aca="false">G14+F14</f>
        <v>40800</v>
      </c>
      <c r="I14" s="1194" t="n">
        <f aca="false">P209</f>
        <v>46800</v>
      </c>
      <c r="J14" s="1195" t="n">
        <f aca="false">P223</f>
        <v>0</v>
      </c>
      <c r="K14" s="1196" t="n">
        <f aca="false">J14+I14</f>
        <v>46800</v>
      </c>
      <c r="S14" s="1198"/>
      <c r="V14" s="1198"/>
    </row>
    <row r="15" customFormat="false" ht="12.75" hidden="false" customHeight="false" outlineLevel="0" collapsed="false">
      <c r="B15" s="1199" t="str">
        <f aca="false">'Previsión de negocio'!B42</f>
        <v>Pienso para loros 12 kg</v>
      </c>
      <c r="C15" s="1194" t="n">
        <f aca="false">P94</f>
        <v>25740</v>
      </c>
      <c r="D15" s="1195" t="n">
        <f aca="false">P108</f>
        <v>0</v>
      </c>
      <c r="E15" s="1196" t="n">
        <f aca="false">C15+D15</f>
        <v>25740</v>
      </c>
      <c r="F15" s="1194" t="n">
        <f aca="false">P152</f>
        <v>37440</v>
      </c>
      <c r="G15" s="1195" t="n">
        <f aca="false">P166</f>
        <v>0</v>
      </c>
      <c r="H15" s="1196" t="n">
        <f aca="false">G15+F15</f>
        <v>37440</v>
      </c>
      <c r="I15" s="1194" t="n">
        <f aca="false">P210</f>
        <v>45240</v>
      </c>
      <c r="J15" s="1195" t="n">
        <f aca="false">P224</f>
        <v>0</v>
      </c>
      <c r="K15" s="1196" t="n">
        <f aca="false">J15+I15</f>
        <v>45240</v>
      </c>
      <c r="S15" s="1198"/>
      <c r="V15" s="1198"/>
    </row>
    <row r="16" customFormat="false" ht="12.75" hidden="false" customHeight="false" outlineLevel="0" collapsed="false">
      <c r="B16" s="1199" t="str">
        <f aca="false">'Previsión de negocio'!B48</f>
        <v>Pienso para cobayas 3 kg</v>
      </c>
      <c r="C16" s="1194" t="n">
        <f aca="false">P95</f>
        <v>7968</v>
      </c>
      <c r="D16" s="1195" t="n">
        <f aca="false">P109</f>
        <v>0</v>
      </c>
      <c r="E16" s="1196" t="n">
        <f aca="false">C16+D16</f>
        <v>7968</v>
      </c>
      <c r="F16" s="1194" t="n">
        <f aca="false">P153</f>
        <v>9408</v>
      </c>
      <c r="G16" s="1195" t="n">
        <f aca="false">P167</f>
        <v>0</v>
      </c>
      <c r="H16" s="1196" t="n">
        <f aca="false">G16+F16</f>
        <v>9408</v>
      </c>
      <c r="I16" s="1194" t="n">
        <f aca="false">P211</f>
        <v>10368</v>
      </c>
      <c r="J16" s="1195" t="n">
        <f aca="false">P225</f>
        <v>0</v>
      </c>
      <c r="K16" s="1196" t="n">
        <f aca="false">J16+I16</f>
        <v>10368</v>
      </c>
      <c r="S16" s="1198"/>
      <c r="V16" s="1198"/>
    </row>
    <row r="17" customFormat="false" ht="12.75" hidden="false" customHeight="false" outlineLevel="0" collapsed="false">
      <c r="B17" s="1199" t="str">
        <f aca="false">'Previsión de negocio'!B54</f>
        <v>Pienso para conejo adulto 1,75 kg</v>
      </c>
      <c r="C17" s="1194" t="n">
        <f aca="false">P96</f>
        <v>6384</v>
      </c>
      <c r="D17" s="1195" t="n">
        <f aca="false">P110</f>
        <v>0</v>
      </c>
      <c r="E17" s="1196" t="n">
        <f aca="false">C17+D17</f>
        <v>6384</v>
      </c>
      <c r="F17" s="1194" t="n">
        <f aca="false">P154</f>
        <v>8904</v>
      </c>
      <c r="G17" s="1195" t="n">
        <f aca="false">P168</f>
        <v>0</v>
      </c>
      <c r="H17" s="1196" t="n">
        <f aca="false">G17+F17</f>
        <v>8904</v>
      </c>
      <c r="I17" s="1194" t="n">
        <f aca="false">P212</f>
        <v>10584</v>
      </c>
      <c r="J17" s="1195" t="n">
        <f aca="false">P226</f>
        <v>0</v>
      </c>
      <c r="K17" s="1196" t="n">
        <f aca="false">J17+I17</f>
        <v>10584</v>
      </c>
      <c r="S17" s="1198"/>
      <c r="V17" s="1198"/>
    </row>
    <row r="18" customFormat="false" ht="12.75" hidden="false" customHeight="false" outlineLevel="0" collapsed="false">
      <c r="B18" s="1199" t="str">
        <f aca="false">'Previsión de negocio'!B60</f>
        <v>Pienso para hamsters 1 kg</v>
      </c>
      <c r="C18" s="1194" t="n">
        <f aca="false">P97</f>
        <v>8904</v>
      </c>
      <c r="D18" s="1195" t="n">
        <f aca="false">P111</f>
        <v>0</v>
      </c>
      <c r="E18" s="1196" t="n">
        <f aca="false">C18+D18</f>
        <v>8904</v>
      </c>
      <c r="F18" s="1194" t="n">
        <f aca="false">P155</f>
        <v>11424</v>
      </c>
      <c r="G18" s="1195" t="n">
        <f aca="false">P169</f>
        <v>0</v>
      </c>
      <c r="H18" s="1196" t="n">
        <f aca="false">G18+F18</f>
        <v>11424</v>
      </c>
      <c r="I18" s="1194" t="n">
        <f aca="false">P213</f>
        <v>13104</v>
      </c>
      <c r="J18" s="1195" t="n">
        <f aca="false">P227</f>
        <v>0</v>
      </c>
      <c r="K18" s="1196" t="n">
        <f aca="false">J18+I18</f>
        <v>13104</v>
      </c>
      <c r="S18" s="1198"/>
      <c r="V18" s="1198"/>
    </row>
    <row r="19" customFormat="false" ht="12.75" hidden="false" customHeight="false" outlineLevel="0" collapsed="false">
      <c r="B19" s="1199" t="str">
        <f aca="false">'Previsión de negocio'!B66</f>
        <v>Pienso natural para perro 3 kg</v>
      </c>
      <c r="C19" s="1194" t="n">
        <f aca="false">P98</f>
        <v>8964</v>
      </c>
      <c r="D19" s="1195" t="n">
        <f aca="false">P112</f>
        <v>0</v>
      </c>
      <c r="E19" s="1196" t="n">
        <f aca="false">C19+D19</f>
        <v>8964</v>
      </c>
      <c r="F19" s="1194" t="n">
        <f aca="false">P156</f>
        <v>8964</v>
      </c>
      <c r="G19" s="1195" t="n">
        <f aca="false">P170</f>
        <v>0</v>
      </c>
      <c r="H19" s="1196" t="n">
        <f aca="false">G19+F19</f>
        <v>8964</v>
      </c>
      <c r="I19" s="1194" t="n">
        <f aca="false">P214</f>
        <v>10044</v>
      </c>
      <c r="J19" s="1195" t="n">
        <f aca="false">P228</f>
        <v>0</v>
      </c>
      <c r="K19" s="1196" t="n">
        <f aca="false">J19+I19</f>
        <v>10044</v>
      </c>
      <c r="S19" s="1198"/>
      <c r="V19" s="1198"/>
    </row>
    <row r="20" customFormat="false" ht="12.75" hidden="false" customHeight="false" outlineLevel="0" collapsed="false">
      <c r="B20" s="1199" t="str">
        <f aca="false">'Previsión de negocio'!B72</f>
        <v>Pienso natural para cachorros 6 kg</v>
      </c>
      <c r="C20" s="1194" t="n">
        <f aca="false">P99</f>
        <v>19488</v>
      </c>
      <c r="D20" s="1195" t="n">
        <f aca="false">P113</f>
        <v>0</v>
      </c>
      <c r="E20" s="1196" t="n">
        <f aca="false">C20+D20</f>
        <v>19488</v>
      </c>
      <c r="F20" s="1194" t="n">
        <f aca="false">P157</f>
        <v>24528</v>
      </c>
      <c r="G20" s="1195" t="n">
        <f aca="false">P171</f>
        <v>0</v>
      </c>
      <c r="H20" s="1196" t="n">
        <f aca="false">G20+F20</f>
        <v>24528</v>
      </c>
      <c r="I20" s="1194" t="n">
        <f aca="false">P215</f>
        <v>27888</v>
      </c>
      <c r="J20" s="1195" t="n">
        <f aca="false">P229</f>
        <v>0</v>
      </c>
      <c r="K20" s="1196" t="n">
        <f aca="false">J20+I20</f>
        <v>27888</v>
      </c>
      <c r="S20" s="1198"/>
      <c r="V20" s="1198"/>
    </row>
    <row r="21" customFormat="false" ht="12.75" hidden="false" customHeight="false" outlineLevel="0" collapsed="false">
      <c r="B21" s="1199" t="str">
        <f aca="false">'Previsión de negocio'!B78</f>
        <v>Menú natural semihúmedo perro</v>
      </c>
      <c r="C21" s="1194" t="n">
        <f aca="false">P100</f>
        <v>10908</v>
      </c>
      <c r="D21" s="1195" t="n">
        <f aca="false">P114</f>
        <v>0</v>
      </c>
      <c r="E21" s="1196" t="n">
        <f aca="false">C21+D21</f>
        <v>10908</v>
      </c>
      <c r="F21" s="1194" t="n">
        <f aca="false">P158</f>
        <v>12744</v>
      </c>
      <c r="G21" s="1195" t="n">
        <f aca="false">P172</f>
        <v>0</v>
      </c>
      <c r="H21" s="1196" t="n">
        <f aca="false">G21+F21</f>
        <v>12744</v>
      </c>
      <c r="I21" s="1194" t="n">
        <f aca="false">P216</f>
        <v>13824</v>
      </c>
      <c r="J21" s="1195" t="n">
        <f aca="false">P230</f>
        <v>0</v>
      </c>
      <c r="K21" s="1196" t="n">
        <f aca="false">J21+I21</f>
        <v>13824</v>
      </c>
      <c r="S21" s="1198"/>
      <c r="V21" s="1198"/>
    </row>
    <row r="22" customFormat="false" ht="12.75" hidden="false" customHeight="false" outlineLevel="0" collapsed="false">
      <c r="B22" s="1199" t="str">
        <f aca="false">'Previsión de negocio'!B84</f>
        <v>Comida húmeda para gatos 26 pouches</v>
      </c>
      <c r="C22" s="1194" t="n">
        <f aca="false">P101</f>
        <v>10440</v>
      </c>
      <c r="D22" s="1195" t="n">
        <f aca="false">P115</f>
        <v>0</v>
      </c>
      <c r="E22" s="1196" t="n">
        <f aca="false">C22+D22</f>
        <v>10440</v>
      </c>
      <c r="F22" s="1194" t="n">
        <f aca="false">P159</f>
        <v>12780</v>
      </c>
      <c r="G22" s="1195" t="n">
        <f aca="false">P173</f>
        <v>0</v>
      </c>
      <c r="H22" s="1196" t="n">
        <f aca="false">G22+F22</f>
        <v>12780</v>
      </c>
      <c r="I22" s="1194" t="n">
        <f aca="false">P217</f>
        <v>14040</v>
      </c>
      <c r="J22" s="1195" t="n">
        <f aca="false">P231</f>
        <v>0</v>
      </c>
      <c r="K22" s="1196" t="n">
        <f aca="false">J22+I22</f>
        <v>14040</v>
      </c>
      <c r="S22" s="1198"/>
      <c r="V22" s="1198"/>
    </row>
    <row r="23" s="23" customFormat="true" ht="12.75" hidden="false" customHeight="false" outlineLevel="0" collapsed="false">
      <c r="B23" s="1200" t="s">
        <v>136</v>
      </c>
      <c r="C23" s="1201" t="n">
        <f aca="false">P102</f>
        <v>152796</v>
      </c>
      <c r="D23" s="1202" t="n">
        <f aca="false">P116</f>
        <v>0</v>
      </c>
      <c r="E23" s="1196" t="n">
        <f aca="false">SUM(E13:E22)</f>
        <v>152796</v>
      </c>
      <c r="F23" s="1201" t="n">
        <f aca="false">P160</f>
        <v>209112</v>
      </c>
      <c r="G23" s="1202" t="n">
        <f aca="false">P174</f>
        <v>0</v>
      </c>
      <c r="H23" s="1203" t="n">
        <f aca="false">SUM(H13:H22)</f>
        <v>209112</v>
      </c>
      <c r="I23" s="1201" t="n">
        <f aca="false">P218</f>
        <v>239412</v>
      </c>
      <c r="J23" s="1202" t="n">
        <f aca="false">P232</f>
        <v>0</v>
      </c>
      <c r="K23" s="1203" t="n">
        <f aca="false">SUM(K13:K22)</f>
        <v>239412</v>
      </c>
      <c r="Q23" s="451"/>
      <c r="S23" s="1204"/>
      <c r="V23" s="1204"/>
    </row>
    <row r="24" s="23" customFormat="true" ht="12.75" hidden="false" customHeight="false" outlineLevel="0" collapsed="false">
      <c r="B24" s="1205" t="s">
        <v>715</v>
      </c>
      <c r="C24" s="1194" t="n">
        <f aca="false">P103</f>
        <v>0</v>
      </c>
      <c r="D24" s="1195" t="n">
        <f aca="false">P117</f>
        <v>0</v>
      </c>
      <c r="E24" s="1196" t="n">
        <f aca="false">C24+D24</f>
        <v>0</v>
      </c>
      <c r="F24" s="1194" t="n">
        <f aca="false">P161</f>
        <v>0</v>
      </c>
      <c r="G24" s="1195" t="n">
        <f aca="false">P175</f>
        <v>0</v>
      </c>
      <c r="H24" s="1196" t="n">
        <f aca="false">G24+F24</f>
        <v>0</v>
      </c>
      <c r="I24" s="1194" t="n">
        <f aca="false">P219</f>
        <v>0</v>
      </c>
      <c r="J24" s="1195" t="n">
        <f aca="false">P233</f>
        <v>0</v>
      </c>
      <c r="K24" s="1196" t="n">
        <f aca="false">J24+I24</f>
        <v>0</v>
      </c>
      <c r="Q24" s="451"/>
      <c r="S24" s="1204"/>
      <c r="V24" s="1204"/>
    </row>
    <row r="25" s="23" customFormat="true" ht="13.5" hidden="false" customHeight="false" outlineLevel="0" collapsed="false">
      <c r="B25" s="1206" t="s">
        <v>716</v>
      </c>
      <c r="C25" s="1207" t="n">
        <f aca="false">P104</f>
        <v>152796</v>
      </c>
      <c r="D25" s="1208" t="n">
        <f aca="false">P118</f>
        <v>0</v>
      </c>
      <c r="E25" s="1209" t="n">
        <f aca="false">SUM(E23:E24)</f>
        <v>152796</v>
      </c>
      <c r="F25" s="1207" t="n">
        <f aca="false">P162</f>
        <v>209112</v>
      </c>
      <c r="G25" s="1208" t="n">
        <f aca="false">P176</f>
        <v>0</v>
      </c>
      <c r="H25" s="1209" t="n">
        <f aca="false">SUM(H23:H24)</f>
        <v>209112</v>
      </c>
      <c r="I25" s="1207" t="n">
        <f aca="false">P220</f>
        <v>239412</v>
      </c>
      <c r="J25" s="1208" t="n">
        <f aca="false">P234</f>
        <v>0</v>
      </c>
      <c r="K25" s="1209" t="n">
        <f aca="false">SUM(K23:K24)</f>
        <v>239412</v>
      </c>
      <c r="Q25" s="451"/>
      <c r="S25" s="1204"/>
      <c r="V25" s="1204"/>
    </row>
    <row r="26" s="23" customFormat="true" ht="9" hidden="false" customHeight="true" outlineLevel="0" collapsed="false">
      <c r="C26" s="267"/>
      <c r="E26" s="267"/>
      <c r="G26" s="1210"/>
      <c r="H26" s="1211"/>
      <c r="J26" s="267"/>
      <c r="K26" s="1211"/>
      <c r="Q26" s="451"/>
      <c r="S26" s="1204"/>
      <c r="V26" s="1204"/>
    </row>
    <row r="27" s="23" customFormat="true" ht="36.75" hidden="false" customHeight="true" outlineLevel="0" collapsed="false">
      <c r="B27" s="1212" t="s">
        <v>143</v>
      </c>
      <c r="C27" s="1213"/>
      <c r="D27" s="1213" t="s">
        <v>717</v>
      </c>
      <c r="E27" s="1214" t="s">
        <v>718</v>
      </c>
      <c r="F27" s="1213"/>
      <c r="G27" s="1213" t="s">
        <v>717</v>
      </c>
      <c r="H27" s="1214" t="s">
        <v>718</v>
      </c>
      <c r="I27" s="1213"/>
      <c r="J27" s="1213" t="s">
        <v>717</v>
      </c>
      <c r="K27" s="1215" t="s">
        <v>718</v>
      </c>
      <c r="Q27" s="451"/>
      <c r="S27" s="1204"/>
      <c r="V27" s="1204"/>
    </row>
    <row r="28" customFormat="false" ht="20.25" hidden="false" customHeight="true" outlineLevel="0" collapsed="false">
      <c r="B28" s="1216" t="str">
        <f aca="false">'Previsión de negocio'!C222</f>
        <v>Transporte</v>
      </c>
      <c r="C28" s="1217"/>
      <c r="D28" s="1217" t="n">
        <f aca="false">'Previsión de negocio'!D222</f>
        <v>0.05</v>
      </c>
      <c r="E28" s="563" t="n">
        <f aca="false">P120</f>
        <v>10714.8</v>
      </c>
      <c r="F28" s="1217"/>
      <c r="G28" s="1217" t="n">
        <f aca="false">C178</f>
        <v>0.05</v>
      </c>
      <c r="H28" s="1218" t="n">
        <f aca="false">P178</f>
        <v>14365.2</v>
      </c>
      <c r="I28" s="1217"/>
      <c r="J28" s="1204" t="n">
        <f aca="false">C236</f>
        <v>0.05</v>
      </c>
      <c r="K28" s="1219" t="n">
        <f aca="false">P236</f>
        <v>16445.4</v>
      </c>
      <c r="S28" s="1198"/>
      <c r="V28" s="1198"/>
    </row>
    <row r="29" customFormat="false" ht="12.75" hidden="false" customHeight="false" outlineLevel="0" collapsed="false">
      <c r="B29" s="1220" t="str">
        <f aca="false">'Previsión de negocio'!C223</f>
        <v>Comisiones</v>
      </c>
      <c r="C29" s="1217"/>
      <c r="D29" s="1221" t="n">
        <f aca="false">'Previsión de negocio'!D223</f>
        <v>0</v>
      </c>
      <c r="E29" s="526" t="n">
        <f aca="false">P121</f>
        <v>0</v>
      </c>
      <c r="F29" s="1217"/>
      <c r="G29" s="1221" t="n">
        <f aca="false">C179</f>
        <v>0</v>
      </c>
      <c r="H29" s="1195" t="n">
        <f aca="false">P179</f>
        <v>0</v>
      </c>
      <c r="I29" s="1217"/>
      <c r="J29" s="1221" t="n">
        <f aca="false">C237</f>
        <v>0</v>
      </c>
      <c r="K29" s="1222" t="n">
        <f aca="false">P237</f>
        <v>0</v>
      </c>
      <c r="S29" s="1198"/>
      <c r="V29" s="1198"/>
    </row>
    <row r="30" customFormat="false" ht="12.75" hidden="false" customHeight="false" outlineLevel="0" collapsed="false">
      <c r="B30" s="1220" t="str">
        <f aca="false">'Previsión de negocio'!C224</f>
        <v>Embalajes</v>
      </c>
      <c r="C30" s="1217"/>
      <c r="D30" s="1221" t="n">
        <f aca="false">'Previsión de negocio'!D224</f>
        <v>0</v>
      </c>
      <c r="E30" s="526" t="n">
        <f aca="false">P122</f>
        <v>0</v>
      </c>
      <c r="F30" s="1217"/>
      <c r="G30" s="1221" t="n">
        <f aca="false">C180</f>
        <v>0</v>
      </c>
      <c r="H30" s="1195" t="n">
        <f aca="false">P180</f>
        <v>0</v>
      </c>
      <c r="I30" s="1217"/>
      <c r="J30" s="1221" t="n">
        <f aca="false">C238</f>
        <v>0</v>
      </c>
      <c r="K30" s="1222" t="n">
        <f aca="false">P238</f>
        <v>0</v>
      </c>
      <c r="S30" s="1198"/>
      <c r="V30" s="1198"/>
    </row>
    <row r="31" customFormat="false" ht="12.75" hidden="false" customHeight="false" outlineLevel="0" collapsed="false">
      <c r="B31" s="1220" t="str">
        <f aca="false">'Previsión de negocio'!C225</f>
        <v>Otros costes variables</v>
      </c>
      <c r="C31" s="1217"/>
      <c r="D31" s="1221" t="n">
        <f aca="false">'Previsión de negocio'!D225</f>
        <v>0</v>
      </c>
      <c r="E31" s="526" t="n">
        <f aca="false">P123</f>
        <v>0</v>
      </c>
      <c r="F31" s="1217"/>
      <c r="G31" s="1221" t="n">
        <f aca="false">C181</f>
        <v>0</v>
      </c>
      <c r="H31" s="1195" t="n">
        <f aca="false">P181</f>
        <v>0</v>
      </c>
      <c r="I31" s="1217"/>
      <c r="J31" s="1221" t="n">
        <f aca="false">C239</f>
        <v>0</v>
      </c>
      <c r="K31" s="1222" t="n">
        <f aca="false">P239</f>
        <v>0</v>
      </c>
      <c r="S31" s="1198"/>
      <c r="V31" s="1198"/>
    </row>
    <row r="32" customFormat="false" ht="12.75" hidden="false" customHeight="false" outlineLevel="0" collapsed="false">
      <c r="B32" s="1220" t="n">
        <f aca="false">'Previsión de negocio'!C226</f>
        <v>0</v>
      </c>
      <c r="C32" s="1217"/>
      <c r="D32" s="1221" t="n">
        <f aca="false">'Previsión de negocio'!D226</f>
        <v>0</v>
      </c>
      <c r="E32" s="526" t="n">
        <f aca="false">P124</f>
        <v>0</v>
      </c>
      <c r="F32" s="1217"/>
      <c r="G32" s="1221" t="n">
        <f aca="false">C182</f>
        <v>0</v>
      </c>
      <c r="H32" s="1195" t="n">
        <f aca="false">P182</f>
        <v>0</v>
      </c>
      <c r="I32" s="1217"/>
      <c r="J32" s="1221" t="n">
        <f aca="false">C240</f>
        <v>0</v>
      </c>
      <c r="K32" s="1222" t="n">
        <f aca="false">P240</f>
        <v>0</v>
      </c>
      <c r="S32" s="1198"/>
      <c r="V32" s="1198"/>
    </row>
    <row r="33" customFormat="false" ht="12.75" hidden="false" customHeight="false" outlineLevel="0" collapsed="false">
      <c r="B33" s="1220" t="n">
        <f aca="false">'Previsión de negocio'!C227</f>
        <v>0</v>
      </c>
      <c r="C33" s="1217"/>
      <c r="D33" s="1221" t="n">
        <f aca="false">'Previsión de negocio'!D227</f>
        <v>0</v>
      </c>
      <c r="E33" s="526" t="n">
        <f aca="false">P125</f>
        <v>0</v>
      </c>
      <c r="F33" s="1217"/>
      <c r="G33" s="1221" t="n">
        <f aca="false">C183</f>
        <v>0</v>
      </c>
      <c r="H33" s="1195" t="n">
        <f aca="false">P183</f>
        <v>0</v>
      </c>
      <c r="I33" s="1217"/>
      <c r="J33" s="1221" t="n">
        <f aca="false">C241</f>
        <v>0</v>
      </c>
      <c r="K33" s="1222" t="n">
        <f aca="false">P241</f>
        <v>0</v>
      </c>
      <c r="S33" s="1198"/>
      <c r="V33" s="1198"/>
    </row>
    <row r="34" customFormat="false" ht="12.75" hidden="false" customHeight="false" outlineLevel="0" collapsed="false">
      <c r="B34" s="1223" t="s">
        <v>136</v>
      </c>
      <c r="C34" s="1217"/>
      <c r="D34" s="1224"/>
      <c r="E34" s="583" t="n">
        <f aca="false">P126</f>
        <v>10714.8</v>
      </c>
      <c r="F34" s="1217"/>
      <c r="G34" s="1225"/>
      <c r="H34" s="1202" t="n">
        <f aca="false">P184</f>
        <v>14365.2</v>
      </c>
      <c r="I34" s="1217"/>
      <c r="J34" s="1221"/>
      <c r="K34" s="1226" t="n">
        <f aca="false">P242</f>
        <v>16445.4</v>
      </c>
    </row>
    <row r="35" customFormat="false" ht="12.75" hidden="false" customHeight="false" outlineLevel="0" collapsed="false">
      <c r="B35" s="683" t="s">
        <v>715</v>
      </c>
      <c r="C35" s="1217"/>
      <c r="D35" s="1224"/>
      <c r="E35" s="526" t="n">
        <f aca="false">P127</f>
        <v>0</v>
      </c>
      <c r="F35" s="1217"/>
      <c r="G35" s="1221"/>
      <c r="H35" s="1195" t="n">
        <f aca="false">P185</f>
        <v>0</v>
      </c>
      <c r="J35" s="1221"/>
      <c r="K35" s="1222" t="n">
        <f aca="false">P243</f>
        <v>0</v>
      </c>
    </row>
    <row r="36" customFormat="false" ht="12.75" hidden="false" customHeight="false" outlineLevel="0" collapsed="false">
      <c r="B36" s="1227" t="s">
        <v>719</v>
      </c>
      <c r="C36" s="1228"/>
      <c r="D36" s="1229" t="n">
        <f aca="false">SUM(D28:D35)</f>
        <v>0.05</v>
      </c>
      <c r="E36" s="362" t="n">
        <f aca="false">P128</f>
        <v>10714.8</v>
      </c>
      <c r="F36" s="1228"/>
      <c r="G36" s="1229" t="n">
        <f aca="false">SUM(G28:G35)</f>
        <v>0.05</v>
      </c>
      <c r="H36" s="1230" t="n">
        <f aca="false">P186</f>
        <v>14365.2</v>
      </c>
      <c r="I36" s="1228"/>
      <c r="J36" s="1228" t="n">
        <f aca="false">SUM(J28:J35)</f>
        <v>0.05</v>
      </c>
      <c r="K36" s="1231" t="n">
        <f aca="false">P244</f>
        <v>16445.4</v>
      </c>
    </row>
    <row r="37" customFormat="false" ht="6" hidden="false" customHeight="true" outlineLevel="0" collapsed="false">
      <c r="B37" s="1232"/>
      <c r="D37" s="1233"/>
      <c r="E37" s="1234"/>
      <c r="G37" s="1235"/>
      <c r="H37" s="1236"/>
      <c r="J37" s="1235"/>
      <c r="K37" s="1236"/>
    </row>
    <row r="38" s="23" customFormat="true" ht="15" hidden="false" customHeight="false" outlineLevel="0" collapsed="false">
      <c r="B38" s="1237" t="s">
        <v>720</v>
      </c>
      <c r="C38" s="1238"/>
      <c r="D38" s="1238"/>
      <c r="E38" s="366" t="n">
        <f aca="false">P130</f>
        <v>163510.8</v>
      </c>
      <c r="F38" s="1238"/>
      <c r="G38" s="1238"/>
      <c r="H38" s="1239" t="n">
        <f aca="false">P188</f>
        <v>223477.2</v>
      </c>
      <c r="I38" s="1238"/>
      <c r="J38" s="1238"/>
      <c r="K38" s="1240" t="n">
        <f aca="false">P246</f>
        <v>255857.4</v>
      </c>
    </row>
    <row r="41" customFormat="false" ht="14.25" hidden="false" customHeight="false" outlineLevel="0" collapsed="false">
      <c r="B41" s="51" t="s">
        <v>721</v>
      </c>
    </row>
    <row r="42" customFormat="false" ht="15" hidden="false" customHeight="false" outlineLevel="0" collapsed="false">
      <c r="B42" s="51" t="s">
        <v>95</v>
      </c>
      <c r="L42" s="70"/>
      <c r="S42" s="70"/>
    </row>
    <row r="43" customFormat="false" ht="13.5" hidden="false" customHeight="false" outlineLevel="0" collapsed="false">
      <c r="B43" s="1241"/>
      <c r="C43" s="1242"/>
      <c r="D43" s="1242" t="s">
        <v>722</v>
      </c>
      <c r="E43" s="1242"/>
      <c r="F43" s="1242" t="s">
        <v>722</v>
      </c>
      <c r="G43" s="1242"/>
      <c r="H43" s="1243" t="s">
        <v>723</v>
      </c>
      <c r="Q43" s="23"/>
      <c r="R43" s="23"/>
      <c r="S43" s="23"/>
      <c r="T43" s="23"/>
      <c r="U43" s="23"/>
      <c r="V43" s="23"/>
      <c r="W43" s="23"/>
    </row>
    <row r="44" customFormat="false" ht="12.75" hidden="false" customHeight="false" outlineLevel="0" collapsed="false">
      <c r="B44" s="1244" t="s">
        <v>711</v>
      </c>
      <c r="C44" s="1245" t="s">
        <v>707</v>
      </c>
      <c r="D44" s="1245" t="s">
        <v>724</v>
      </c>
      <c r="E44" s="1246" t="s">
        <v>725</v>
      </c>
      <c r="F44" s="1245" t="s">
        <v>726</v>
      </c>
      <c r="G44" s="1245" t="s">
        <v>727</v>
      </c>
      <c r="H44" s="1247" t="s">
        <v>728</v>
      </c>
      <c r="Q44" s="23"/>
      <c r="R44" s="23"/>
      <c r="S44" s="23"/>
      <c r="T44" s="23"/>
      <c r="U44" s="23"/>
      <c r="V44" s="23"/>
      <c r="W44" s="23"/>
    </row>
    <row r="45" customFormat="false" ht="12.75" hidden="false" customHeight="false" outlineLevel="0" collapsed="false">
      <c r="B45" s="1248" t="str">
        <f aca="false">B13</f>
        <v>Pienso para perro adulto 12 kg</v>
      </c>
      <c r="C45" s="526" t="n">
        <f aca="false">'Presupuesto de ventas'!D13</f>
        <v>39600</v>
      </c>
      <c r="D45" s="1249" t="n">
        <f aca="false">IF(ISERROR(C45/C$55)=TRUE(),0,C45/C$55)</f>
        <v>0.184791130025759</v>
      </c>
      <c r="E45" s="526" t="n">
        <f aca="false">+E13+$D$36*C45</f>
        <v>31680</v>
      </c>
      <c r="F45" s="1249" t="n">
        <f aca="false">IF(ISERROR(E45/E$55)=TRUE(),0,E45/E$55)</f>
        <v>0.225249245969617</v>
      </c>
      <c r="G45" s="526" t="n">
        <f aca="false">+C45-E45</f>
        <v>7920</v>
      </c>
      <c r="H45" s="1250" t="n">
        <f aca="false">IF(ISERROR(G45/G$55)=TRUE(),0,G45/G$55)</f>
        <v>0.155950946338697</v>
      </c>
    </row>
    <row r="46" customFormat="false" ht="12.75" hidden="false" customHeight="false" outlineLevel="0" collapsed="false">
      <c r="B46" s="450" t="str">
        <f aca="false">B14</f>
        <v>Pienso para gato adulto 10 kg</v>
      </c>
      <c r="C46" s="526" t="n">
        <f aca="false">'Presupuesto de ventas'!D15</f>
        <v>35100</v>
      </c>
      <c r="D46" s="1249" t="n">
        <f aca="false">IF(ISERROR(C46/C$55)=TRUE(),0,C46/C$55)</f>
        <v>0.163792137977377</v>
      </c>
      <c r="E46" s="526" t="n">
        <f aca="false">+E14+$D$36*C46</f>
        <v>26055</v>
      </c>
      <c r="F46" s="1249" t="n">
        <f aca="false">IF(ISERROR(E46/E$55)=TRUE(),0,E46/E$55)</f>
        <v>0.185254706557398</v>
      </c>
      <c r="G46" s="526" t="n">
        <f aca="false">+C46-E46</f>
        <v>9045</v>
      </c>
      <c r="H46" s="1250" t="n">
        <f aca="false">IF(ISERROR(G46/G$55)=TRUE(),0,G46/G$55)</f>
        <v>0.178103069398171</v>
      </c>
    </row>
    <row r="47" customFormat="false" ht="12.75" hidden="false" customHeight="false" outlineLevel="0" collapsed="false">
      <c r="B47" s="450" t="str">
        <f aca="false">B15</f>
        <v>Pienso para loros 12 kg</v>
      </c>
      <c r="C47" s="526" t="n">
        <f aca="false">'Presupuesto de ventas'!D17</f>
        <v>35640</v>
      </c>
      <c r="D47" s="1249" t="n">
        <f aca="false">IF(ISERROR(C47/C$55)=TRUE(),0,C47/C$55)</f>
        <v>0.166312017023183</v>
      </c>
      <c r="E47" s="526" t="n">
        <f aca="false">+E15+$D$36*C47</f>
        <v>27522</v>
      </c>
      <c r="F47" s="1249" t="n">
        <f aca="false">IF(ISERROR(E47/E$55)=TRUE(),0,E47/E$55)</f>
        <v>0.195685282436105</v>
      </c>
      <c r="G47" s="526" t="n">
        <f aca="false">+C47-E47</f>
        <v>8118</v>
      </c>
      <c r="H47" s="1250" t="n">
        <f aca="false">IF(ISERROR(G47/G$55)=TRUE(),0,G47/G$55)</f>
        <v>0.159849719997165</v>
      </c>
    </row>
    <row r="48" customFormat="false" ht="12.75" hidden="false" customHeight="false" outlineLevel="0" collapsed="false">
      <c r="B48" s="450" t="str">
        <f aca="false">B16</f>
        <v>Pienso para cobayas 3 kg</v>
      </c>
      <c r="C48" s="526" t="n">
        <f aca="false">'Presupuesto de ventas'!D19</f>
        <v>10956</v>
      </c>
      <c r="D48" s="1249" t="n">
        <f aca="false">IF(ISERROR(C48/C$55)=TRUE(),0,C48/C$55)</f>
        <v>0.0511255459737933</v>
      </c>
      <c r="E48" s="526" t="n">
        <f aca="false">+E16+$D$36*C48</f>
        <v>8515.8</v>
      </c>
      <c r="F48" s="1249" t="n">
        <f aca="false">IF(ISERROR(E48/E$55)=TRUE(),0,E48/E$55)</f>
        <v>0.0605485331069465</v>
      </c>
      <c r="G48" s="526" t="n">
        <f aca="false">+C48-E48</f>
        <v>2440.2</v>
      </c>
      <c r="H48" s="1250" t="n">
        <f aca="false">IF(ISERROR(G48/G$55)=TRUE(),0,G48/G$55)</f>
        <v>0.0480494317242031</v>
      </c>
    </row>
    <row r="49" customFormat="false" ht="12.75" hidden="false" customHeight="false" outlineLevel="0" collapsed="false">
      <c r="B49" s="450" t="str">
        <f aca="false">B17</f>
        <v>Pienso para conejo adulto 1,75 kg</v>
      </c>
      <c r="C49" s="526" t="n">
        <f aca="false">'Presupuesto de ventas'!D21</f>
        <v>9120</v>
      </c>
      <c r="D49" s="1249" t="n">
        <f aca="false">IF(ISERROR(C49/C$55)=TRUE(),0,C49/C$55)</f>
        <v>0.0425579572180535</v>
      </c>
      <c r="E49" s="526" t="n">
        <f aca="false">+E17+$D$36*C49</f>
        <v>6840</v>
      </c>
      <c r="F49" s="1249" t="n">
        <f aca="false">IF(ISERROR(E49/E$55)=TRUE(),0,E49/E$55)</f>
        <v>0.0486333599252582</v>
      </c>
      <c r="G49" s="526" t="n">
        <f aca="false">+C49-E49</f>
        <v>2280</v>
      </c>
      <c r="H49" s="1250" t="n">
        <f aca="false">IF(ISERROR(G49/G$55)=TRUE(),0,G49/G$55)</f>
        <v>0.044894969400534</v>
      </c>
    </row>
    <row r="50" customFormat="false" ht="12.75" hidden="false" customHeight="false" outlineLevel="0" collapsed="false">
      <c r="B50" s="450" t="str">
        <f aca="false">B18</f>
        <v>Pienso para hamsters 1 kg</v>
      </c>
      <c r="C50" s="526" t="n">
        <f aca="false">'Presupuesto de ventas'!D23</f>
        <v>12720</v>
      </c>
      <c r="D50" s="1249" t="n">
        <f aca="false">IF(ISERROR(C50/C$55)=TRUE(),0,C50/C$55)</f>
        <v>0.0593571508567589</v>
      </c>
      <c r="E50" s="526" t="n">
        <f aca="false">+E18+$D$36*C50</f>
        <v>9540</v>
      </c>
      <c r="F50" s="1249" t="n">
        <f aca="false">IF(ISERROR(E50/E$55)=TRUE(),0,E50/E$55)</f>
        <v>0.0678307388431233</v>
      </c>
      <c r="G50" s="526" t="n">
        <f aca="false">+C50-E50</f>
        <v>3180</v>
      </c>
      <c r="H50" s="1250" t="n">
        <f aca="false">IF(ISERROR(G50/G$55)=TRUE(),0,G50/G$55)</f>
        <v>0.0626166678481132</v>
      </c>
    </row>
    <row r="51" customFormat="false" ht="12.75" hidden="false" customHeight="false" outlineLevel="0" collapsed="false">
      <c r="B51" s="450" t="str">
        <f aca="false">B19</f>
        <v>Pienso natural para perro 3 kg</v>
      </c>
      <c r="C51" s="526" t="n">
        <f aca="false">'Presupuesto de ventas'!D25</f>
        <v>12948</v>
      </c>
      <c r="D51" s="1249" t="n">
        <f aca="false">IF(ISERROR(C51/C$55)=TRUE(),0,C51/C$55)</f>
        <v>0.0604210997872102</v>
      </c>
      <c r="E51" s="526" t="n">
        <f aca="false">+E19+$D$36*C51</f>
        <v>9611.4</v>
      </c>
      <c r="F51" s="1249" t="n">
        <f aca="false">IF(ISERROR(E51/E$55)=TRUE(),0,E51/E$55)</f>
        <v>0.0683384028633957</v>
      </c>
      <c r="G51" s="526" t="n">
        <f aca="false">+C51-E51</f>
        <v>3336.6</v>
      </c>
      <c r="H51" s="1250" t="n">
        <f aca="false">IF(ISERROR(G51/G$55)=TRUE(),0,G51/G$55)</f>
        <v>0.065700243377992</v>
      </c>
    </row>
    <row r="52" customFormat="false" ht="12.75" hidden="false" customHeight="false" outlineLevel="0" collapsed="false">
      <c r="B52" s="450" t="str">
        <f aca="false">B20</f>
        <v>Pienso natural para cachorros 6 kg</v>
      </c>
      <c r="C52" s="526" t="n">
        <f aca="false">'Presupuesto de ventas'!D27</f>
        <v>27840</v>
      </c>
      <c r="D52" s="1249" t="n">
        <f aca="false">IF(ISERROR(C52/C$55)=TRUE(),0,C52/C$55)</f>
        <v>0.129913764139321</v>
      </c>
      <c r="E52" s="526" t="n">
        <f aca="false">+E20+$D$36*C52</f>
        <v>20880</v>
      </c>
      <c r="F52" s="1249" t="n">
        <f aca="false">IF(ISERROR(E52/E$55)=TRUE(),0,E52/E$55)</f>
        <v>0.148459730298157</v>
      </c>
      <c r="G52" s="526" t="n">
        <f aca="false">+C52-E52</f>
        <v>6960</v>
      </c>
      <c r="H52" s="1250" t="n">
        <f aca="false">IF(ISERROR(G52/G$55)=TRUE(),0,G52/G$55)</f>
        <v>0.137047801327946</v>
      </c>
    </row>
    <row r="53" customFormat="false" ht="12.75" hidden="false" customHeight="false" outlineLevel="0" collapsed="false">
      <c r="B53" s="450" t="str">
        <f aca="false">B21</f>
        <v>Menú natural semihúmedo perro</v>
      </c>
      <c r="C53" s="526" t="n">
        <f aca="false">'Presupuesto de ventas'!D29</f>
        <v>15756</v>
      </c>
      <c r="D53" s="1249" t="n">
        <f aca="false">IF(ISERROR(C53/C$55)=TRUE(),0,C53/C$55)</f>
        <v>0.0735244708254004</v>
      </c>
      <c r="E53" s="526" t="n">
        <f aca="false">+E21+$D$36*C53</f>
        <v>11695.8</v>
      </c>
      <c r="F53" s="1249" t="n">
        <f aca="false">IF(ISERROR(E53/E$55)=TRUE(),0,E53/E$55)</f>
        <v>0.0831587793879876</v>
      </c>
      <c r="G53" s="526" t="n">
        <f aca="false">+C53-E53</f>
        <v>4060.2</v>
      </c>
      <c r="H53" s="1250" t="n">
        <f aca="false">IF(ISERROR(G53/G$55)=TRUE(),0,G53/G$55)</f>
        <v>0.0799484889298457</v>
      </c>
    </row>
    <row r="54" customFormat="false" ht="12.75" hidden="false" customHeight="false" outlineLevel="0" collapsed="false">
      <c r="B54" s="658" t="str">
        <f aca="false">B22</f>
        <v>Comida húmeda para gatos 26 pouches</v>
      </c>
      <c r="C54" s="526" t="n">
        <f aca="false">'Presupuesto de ventas'!D31</f>
        <v>14616</v>
      </c>
      <c r="D54" s="1249" t="n">
        <f aca="false">IF(ISERROR(C54/C$55)=TRUE(),0,C54/C$55)</f>
        <v>0.0682047261731437</v>
      </c>
      <c r="E54" s="526" t="n">
        <f aca="false">+E22+$D$36*C54</f>
        <v>11170.8</v>
      </c>
      <c r="F54" s="1249" t="n">
        <f aca="false">IF(ISERROR(E54/E$55)=TRUE(),0,E54/E$55)</f>
        <v>0.0794259557095138</v>
      </c>
      <c r="G54" s="526" t="n">
        <f aca="false">+C54-E54</f>
        <v>3445.2</v>
      </c>
      <c r="H54" s="1250" t="n">
        <f aca="false">IF(ISERROR(G54/G$55)=TRUE(),0,G54/G$55)</f>
        <v>0.0678386616573333</v>
      </c>
    </row>
    <row r="55" customFormat="false" ht="13.5" hidden="false" customHeight="false" outlineLevel="0" collapsed="false">
      <c r="B55" s="1251" t="s">
        <v>136</v>
      </c>
      <c r="C55" s="1252" t="n">
        <f aca="false">SUM(C45:C54)</f>
        <v>214296</v>
      </c>
      <c r="D55" s="1253" t="n">
        <f aca="false">SUM(D45:D54)</f>
        <v>1</v>
      </c>
      <c r="E55" s="1252" t="n">
        <f aca="false">SUM(E45:E52)</f>
        <v>140644.2</v>
      </c>
      <c r="F55" s="1253" t="n">
        <f aca="false">SUM(F44:F52)</f>
        <v>1</v>
      </c>
      <c r="G55" s="1252" t="n">
        <f aca="false">SUM(G45:G54)</f>
        <v>50785.2</v>
      </c>
      <c r="H55" s="1254" t="n">
        <f aca="false">SUM(H45:H54)</f>
        <v>1</v>
      </c>
    </row>
    <row r="56" customFormat="false" ht="7.5" hidden="false" customHeight="true" outlineLevel="0" collapsed="false"/>
    <row r="57" customFormat="false" ht="15" hidden="false" customHeight="false" outlineLevel="0" collapsed="false">
      <c r="B57" s="51" t="s">
        <v>96</v>
      </c>
    </row>
    <row r="58" customFormat="false" ht="13.5" hidden="false" customHeight="false" outlineLevel="0" collapsed="false">
      <c r="B58" s="1241"/>
      <c r="C58" s="1242"/>
      <c r="D58" s="1242" t="s">
        <v>722</v>
      </c>
      <c r="E58" s="1242"/>
      <c r="F58" s="1242" t="s">
        <v>722</v>
      </c>
      <c r="G58" s="1242"/>
      <c r="H58" s="1243" t="s">
        <v>723</v>
      </c>
    </row>
    <row r="59" customFormat="false" ht="12.75" hidden="false" customHeight="false" outlineLevel="0" collapsed="false">
      <c r="B59" s="1244" t="s">
        <v>711</v>
      </c>
      <c r="C59" s="1245" t="s">
        <v>707</v>
      </c>
      <c r="D59" s="1245" t="s">
        <v>724</v>
      </c>
      <c r="E59" s="1246" t="s">
        <v>725</v>
      </c>
      <c r="F59" s="1245" t="s">
        <v>726</v>
      </c>
      <c r="G59" s="1245" t="s">
        <v>727</v>
      </c>
      <c r="H59" s="1247" t="s">
        <v>728</v>
      </c>
    </row>
    <row r="60" customFormat="false" ht="12.75" hidden="false" customHeight="false" outlineLevel="0" collapsed="false">
      <c r="B60" s="1248" t="str">
        <f aca="false">B13</f>
        <v>Pienso para perro adulto 12 kg</v>
      </c>
      <c r="C60" s="526" t="n">
        <f aca="false">'Presupuesto de ventas'!F13</f>
        <v>56160</v>
      </c>
      <c r="D60" s="1249" t="n">
        <f aca="false">IF(ISERROR(C60/C$70)=TRUE(),0,C60/C$70)</f>
        <v>0.195472391613065</v>
      </c>
      <c r="E60" s="526" t="n">
        <f aca="false">+H13+$G$36*C60</f>
        <v>44928</v>
      </c>
      <c r="F60" s="1249" t="n">
        <f aca="false">IF(ISERROR(E60/E$70)=TRUE(),0,E60/E$70)</f>
        <v>0.229062977023344</v>
      </c>
      <c r="G60" s="526" t="n">
        <f aca="false">+C60-E60</f>
        <v>11232</v>
      </c>
      <c r="H60" s="1250" t="n">
        <f aca="false">IF(ISERROR(G60/G$70)=TRUE(),0,G60/G$70)</f>
        <v>0.17597623568783</v>
      </c>
    </row>
    <row r="61" customFormat="false" ht="12.75" hidden="false" customHeight="false" outlineLevel="0" collapsed="false">
      <c r="B61" s="450" t="str">
        <f aca="false">B14</f>
        <v>Pienso para gato adulto 10 kg</v>
      </c>
      <c r="C61" s="526" t="n">
        <f aca="false">'Presupuesto de ventas'!F15</f>
        <v>53040</v>
      </c>
      <c r="D61" s="1249" t="n">
        <f aca="false">IF(ISERROR(C61/C$70)=TRUE(),0,C61/C$70)</f>
        <v>0.184612814301228</v>
      </c>
      <c r="E61" s="526" t="n">
        <f aca="false">+H14+$G$36*C61</f>
        <v>43452</v>
      </c>
      <c r="F61" s="1249" t="n">
        <f aca="false">IF(ISERROR(E61/E$70)=TRUE(),0,E61/E$70)</f>
        <v>0.22153767088716</v>
      </c>
      <c r="G61" s="526" t="n">
        <f aca="false">+C61-E61</f>
        <v>9588</v>
      </c>
      <c r="H61" s="1250" t="n">
        <f aca="false">IF(ISERROR(G61/G$70)=TRUE(),0,G61/G$70)</f>
        <v>0.150219030250616</v>
      </c>
    </row>
    <row r="62" customFormat="false" ht="12.75" hidden="false" customHeight="false" outlineLevel="0" collapsed="false">
      <c r="B62" s="450" t="str">
        <f aca="false">B15</f>
        <v>Pienso para loros 12 kg</v>
      </c>
      <c r="C62" s="526" t="n">
        <f aca="false">'Presupuesto de ventas'!F17</f>
        <v>51840</v>
      </c>
      <c r="D62" s="1249" t="n">
        <f aca="false">IF(ISERROR(C62/C$70)=TRUE(),0,C62/C$70)</f>
        <v>0.180436053796675</v>
      </c>
      <c r="E62" s="526" t="n">
        <f aca="false">+H15+$G$36*C62</f>
        <v>40032</v>
      </c>
      <c r="F62" s="1249" t="n">
        <f aca="false">IF(ISERROR(E62/E$70)=TRUE(),0,E62/E$70)</f>
        <v>0.204100985937467</v>
      </c>
      <c r="G62" s="526" t="n">
        <f aca="false">+C62-E62</f>
        <v>11808</v>
      </c>
      <c r="H62" s="1250" t="n">
        <f aca="false">IF(ISERROR(G62/G$70)=TRUE(),0,G62/G$70)</f>
        <v>0.185000658030796</v>
      </c>
    </row>
    <row r="63" customFormat="false" ht="12.75" hidden="false" customHeight="false" outlineLevel="0" collapsed="false">
      <c r="B63" s="450" t="str">
        <f aca="false">B16</f>
        <v>Pienso para cobayas 3 kg</v>
      </c>
      <c r="C63" s="526" t="n">
        <f aca="false">'Presupuesto de ventas'!F19</f>
        <v>12936</v>
      </c>
      <c r="D63" s="1249" t="n">
        <f aca="false">IF(ISERROR(C63/C$70)=TRUE(),0,C63/C$70)</f>
        <v>0.0450254782390778</v>
      </c>
      <c r="E63" s="526" t="n">
        <f aca="false">+H16+$G$36*C63</f>
        <v>10054.8</v>
      </c>
      <c r="F63" s="1249" t="n">
        <f aca="false">IF(ISERROR(E63/E$70)=TRUE(),0,E63/E$70)</f>
        <v>0.0512638537520993</v>
      </c>
      <c r="G63" s="526" t="n">
        <f aca="false">+C63-E63</f>
        <v>2881.2</v>
      </c>
      <c r="H63" s="1250" t="n">
        <f aca="false">IF(ISERROR(G63/G$70)=TRUE(),0,G63/G$70)</f>
        <v>0.0451409125947094</v>
      </c>
    </row>
    <row r="64" customFormat="false" ht="12.75" hidden="false" customHeight="false" outlineLevel="0" collapsed="false">
      <c r="B64" s="450" t="str">
        <f aca="false">B17</f>
        <v>Pienso para conejo adulto 1,75 kg</v>
      </c>
      <c r="C64" s="526" t="n">
        <f aca="false">'Presupuesto de ventas'!F21</f>
        <v>12720</v>
      </c>
      <c r="D64" s="1249" t="n">
        <f aca="false">IF(ISERROR(C64/C$70)=TRUE(),0,C64/C$70)</f>
        <v>0.0442736613482583</v>
      </c>
      <c r="E64" s="526" t="n">
        <f aca="false">+H17+$G$36*C64</f>
        <v>9540</v>
      </c>
      <c r="F64" s="1249" t="n">
        <f aca="false">IF(ISERROR(E64/E$70)=TRUE(),0,E64/E$70)</f>
        <v>0.0486391738070401</v>
      </c>
      <c r="G64" s="526" t="n">
        <f aca="false">+C64-E64</f>
        <v>3180</v>
      </c>
      <c r="H64" s="1250" t="n">
        <f aca="false">IF(ISERROR(G64/G$70)=TRUE(),0,G64/G$70)</f>
        <v>0.0498223316851229</v>
      </c>
    </row>
    <row r="65" customFormat="false" ht="12.75" hidden="false" customHeight="false" outlineLevel="0" collapsed="false">
      <c r="B65" s="450" t="str">
        <f aca="false">B18</f>
        <v>Pienso para hamsters 1 kg</v>
      </c>
      <c r="C65" s="526" t="n">
        <f aca="false">'Presupuesto de ventas'!F23</f>
        <v>16320</v>
      </c>
      <c r="D65" s="1249" t="n">
        <f aca="false">IF(ISERROR(C65/C$70)=TRUE(),0,C65/C$70)</f>
        <v>0.0568039428619163</v>
      </c>
      <c r="E65" s="526" t="n">
        <f aca="false">+H18+$G$36*C65</f>
        <v>12240</v>
      </c>
      <c r="F65" s="1249" t="n">
        <f aca="false">IF(ISERROR(E65/E$70)=TRUE(),0,E65/E$70)</f>
        <v>0.062404977714693</v>
      </c>
      <c r="G65" s="526" t="n">
        <f aca="false">+C65-E65</f>
        <v>4080</v>
      </c>
      <c r="H65" s="1250" t="n">
        <f aca="false">IF(ISERROR(G65/G$70)=TRUE(),0,G65/G$70)</f>
        <v>0.0639229915960067</v>
      </c>
    </row>
    <row r="66" customFormat="false" ht="12.75" hidden="false" customHeight="false" outlineLevel="0" collapsed="false">
      <c r="B66" s="450" t="str">
        <f aca="false">B19</f>
        <v>Pienso natural para perro 3 kg</v>
      </c>
      <c r="C66" s="526" t="n">
        <f aca="false">'Presupuesto de ventas'!F25</f>
        <v>12948</v>
      </c>
      <c r="D66" s="1249" t="n">
        <f aca="false">IF(ISERROR(C66/C$70)=TRUE(),0,C66/C$70)</f>
        <v>0.0450672458441233</v>
      </c>
      <c r="E66" s="526" t="n">
        <f aca="false">+H19+$G$36*C66</f>
        <v>9611.4</v>
      </c>
      <c r="F66" s="1249" t="n">
        <f aca="false">IF(ISERROR(E66/E$70)=TRUE(),0,E66/E$70)</f>
        <v>0.0490032028437092</v>
      </c>
      <c r="G66" s="526" t="n">
        <f aca="false">+C66-E66</f>
        <v>3336.6</v>
      </c>
      <c r="H66" s="1250" t="n">
        <f aca="false">IF(ISERROR(G66/G$70)=TRUE(),0,G66/G$70)</f>
        <v>0.0522758465096167</v>
      </c>
    </row>
    <row r="67" customFormat="false" ht="12.75" hidden="false" customHeight="false" outlineLevel="0" collapsed="false">
      <c r="B67" s="450" t="str">
        <f aca="false">B20</f>
        <v>Pienso natural para cachorros 6 kg</v>
      </c>
      <c r="C67" s="526" t="n">
        <f aca="false">'Presupuesto de ventas'!F27</f>
        <v>35040</v>
      </c>
      <c r="D67" s="1249" t="n">
        <f aca="false">IF(ISERROR(C67/C$70)=TRUE(),0,C67/C$70)</f>
        <v>0.121961406732938</v>
      </c>
      <c r="E67" s="526" t="n">
        <f aca="false">+H20+$G$36*C67</f>
        <v>26280</v>
      </c>
      <c r="F67" s="1249" t="n">
        <f aca="false">IF(ISERROR(E67/E$70)=TRUE(),0,E67/E$70)</f>
        <v>0.133987158034488</v>
      </c>
      <c r="G67" s="526" t="n">
        <f aca="false">+C67-E67</f>
        <v>8760</v>
      </c>
      <c r="H67" s="1250" t="n">
        <f aca="false">IF(ISERROR(G67/G$70)=TRUE(),0,G67/G$70)</f>
        <v>0.137246423132603</v>
      </c>
    </row>
    <row r="68" customFormat="false" ht="12.75" hidden="false" customHeight="false" outlineLevel="0" collapsed="false">
      <c r="B68" s="450" t="str">
        <f aca="false">B21</f>
        <v>Menú natural semihúmedo perro</v>
      </c>
      <c r="C68" s="526" t="n">
        <f aca="false">'Presupuesto de ventas'!F29</f>
        <v>18408</v>
      </c>
      <c r="D68" s="1249" t="n">
        <f aca="false">IF(ISERROR(C68/C$70)=TRUE(),0,C68/C$70)</f>
        <v>0.064071506139838</v>
      </c>
      <c r="E68" s="526" t="n">
        <f aca="false">+H21+$G$36*C68</f>
        <v>13664.4</v>
      </c>
      <c r="F68" s="1249" t="n">
        <f aca="false">IF(ISERROR(E68/E$70)=TRUE(),0,E68/E$70)</f>
        <v>0.0696672040428637</v>
      </c>
      <c r="G68" s="526" t="n">
        <f aca="false">+C68-E68</f>
        <v>4743.6</v>
      </c>
      <c r="H68" s="1250" t="n">
        <f aca="false">IF(ISERROR(G68/G$70)=TRUE(),0,G68/G$70)</f>
        <v>0.0743198781702984</v>
      </c>
    </row>
    <row r="69" customFormat="false" ht="12.75" hidden="false" customHeight="false" outlineLevel="0" collapsed="false">
      <c r="B69" s="658" t="str">
        <f aca="false">B22</f>
        <v>Comida húmeda para gatos 26 pouches</v>
      </c>
      <c r="C69" s="526" t="n">
        <f aca="false">'Presupuesto de ventas'!F31</f>
        <v>17892</v>
      </c>
      <c r="D69" s="1249" t="n">
        <f aca="false">IF(ISERROR(C69/C$70)=TRUE(),0,C69/C$70)</f>
        <v>0.0622754991228803</v>
      </c>
      <c r="E69" s="526" t="n">
        <f aca="false">+H22+$G$36*C69</f>
        <v>13674.6</v>
      </c>
      <c r="F69" s="1249" t="n">
        <f aca="false">IF(ISERROR(E69/E$70)=TRUE(),0,E69/E$70)</f>
        <v>0.0697192081909592</v>
      </c>
      <c r="G69" s="526" t="n">
        <f aca="false">+C69-E69</f>
        <v>4217.4</v>
      </c>
      <c r="H69" s="1250" t="n">
        <f aca="false">IF(ISERROR(G69/G$70)=TRUE(),0,G69/G$70)</f>
        <v>0.0660756923424016</v>
      </c>
    </row>
    <row r="70" customFormat="false" ht="13.5" hidden="false" customHeight="false" outlineLevel="0" collapsed="false">
      <c r="B70" s="1251" t="s">
        <v>136</v>
      </c>
      <c r="C70" s="1252" t="n">
        <f aca="false">SUM(C60:C69)</f>
        <v>287304</v>
      </c>
      <c r="D70" s="1253" t="n">
        <f aca="false">SUM(D60:D69)</f>
        <v>1</v>
      </c>
      <c r="E70" s="1252" t="n">
        <f aca="false">SUM(E60:E67)</f>
        <v>196138.2</v>
      </c>
      <c r="F70" s="1253" t="n">
        <f aca="false">SUM(F59:F67)</f>
        <v>1</v>
      </c>
      <c r="G70" s="1252" t="n">
        <f aca="false">SUM(G60:G69)</f>
        <v>63826.8</v>
      </c>
      <c r="H70" s="1254" t="n">
        <f aca="false">SUM(H60:H69)</f>
        <v>1</v>
      </c>
    </row>
    <row r="71" customFormat="false" ht="5.25" hidden="false" customHeight="true" outlineLevel="0" collapsed="false"/>
    <row r="72" customFormat="false" ht="15" hidden="false" customHeight="false" outlineLevel="0" collapsed="false">
      <c r="B72" s="51" t="s">
        <v>97</v>
      </c>
    </row>
    <row r="73" customFormat="false" ht="13.5" hidden="false" customHeight="false" outlineLevel="0" collapsed="false">
      <c r="B73" s="1241"/>
      <c r="C73" s="1242"/>
      <c r="D73" s="1242" t="s">
        <v>722</v>
      </c>
      <c r="E73" s="1242"/>
      <c r="F73" s="1242" t="s">
        <v>722</v>
      </c>
      <c r="G73" s="1242"/>
      <c r="H73" s="1243" t="s">
        <v>723</v>
      </c>
    </row>
    <row r="74" customFormat="false" ht="12.75" hidden="false" customHeight="false" outlineLevel="0" collapsed="false">
      <c r="B74" s="1244" t="s">
        <v>711</v>
      </c>
      <c r="C74" s="1245" t="s">
        <v>707</v>
      </c>
      <c r="D74" s="1245" t="s">
        <v>724</v>
      </c>
      <c r="E74" s="1246" t="s">
        <v>725</v>
      </c>
      <c r="F74" s="1245" t="s">
        <v>726</v>
      </c>
      <c r="G74" s="1245" t="s">
        <v>727</v>
      </c>
      <c r="H74" s="1247" t="s">
        <v>728</v>
      </c>
      <c r="L74" s="1255"/>
    </row>
    <row r="75" customFormat="false" ht="12.75" hidden="false" customHeight="false" outlineLevel="0" collapsed="false">
      <c r="B75" s="1248" t="str">
        <f aca="false">B13</f>
        <v>Pienso para perro adulto 12 kg</v>
      </c>
      <c r="C75" s="526" t="n">
        <f aca="false">'Presupuesto de ventas'!H13</f>
        <v>63360</v>
      </c>
      <c r="D75" s="1249" t="n">
        <f aca="false">IF(ISERROR(C75/C$85)=TRUE(),0,C75/C$85)</f>
        <v>0.192637454850597</v>
      </c>
      <c r="E75" s="526" t="n">
        <f aca="false">K13+$J$36*C75</f>
        <v>50688</v>
      </c>
      <c r="F75" s="1249" t="n">
        <f aca="false">IF(ISERROR(E75/E$85)=TRUE(),0,E75/E$85)</f>
        <v>0.224271079171832</v>
      </c>
      <c r="G75" s="526" t="n">
        <f aca="false">+C75-E75</f>
        <v>12672</v>
      </c>
      <c r="H75" s="1250" t="n">
        <f aca="false">IF(ISERROR(G75/G$85)=TRUE(),0,G75/G$85)</f>
        <v>0.173468801077609</v>
      </c>
      <c r="I75" s="1256"/>
      <c r="J75" s="1255"/>
      <c r="K75" s="1255"/>
      <c r="L75" s="1255"/>
    </row>
    <row r="76" customFormat="false" ht="12.75" hidden="false" customHeight="false" outlineLevel="0" collapsed="false">
      <c r="B76" s="450" t="str">
        <f aca="false">B14</f>
        <v>Pienso para gato adulto 10 kg</v>
      </c>
      <c r="C76" s="526" t="n">
        <f aca="false">'Presupuesto de ventas'!H15</f>
        <v>60840</v>
      </c>
      <c r="D76" s="1249" t="n">
        <f aca="false">IF(ISERROR(C76/C$85)=TRUE(),0,C76/C$85)</f>
        <v>0.184975737896311</v>
      </c>
      <c r="E76" s="526" t="n">
        <f aca="false">K14+$J$36*C76</f>
        <v>49842</v>
      </c>
      <c r="F76" s="1249" t="n">
        <f aca="false">IF(ISERROR(E76/E$85)=TRUE(),0,E76/E$85)</f>
        <v>0.220527918404405</v>
      </c>
      <c r="G76" s="526" t="n">
        <f aca="false">+C76-E76</f>
        <v>10998</v>
      </c>
      <c r="H76" s="1250" t="n">
        <f aca="false">IF(ISERROR(G76/G$85)=TRUE(),0,G76/G$85)</f>
        <v>0.150553178207982</v>
      </c>
      <c r="I76" s="1256"/>
      <c r="J76" s="1255"/>
      <c r="K76" s="1255"/>
      <c r="L76" s="1255"/>
    </row>
    <row r="77" customFormat="false" ht="12.75" hidden="false" customHeight="false" outlineLevel="0" collapsed="false">
      <c r="B77" s="450" t="str">
        <f aca="false">B15</f>
        <v>Pienso para loros 12 kg</v>
      </c>
      <c r="C77" s="526" t="n">
        <f aca="false">'Presupuesto de ventas'!H17</f>
        <v>62640</v>
      </c>
      <c r="D77" s="1249" t="n">
        <f aca="false">IF(ISERROR(C77/C$85)=TRUE(),0,C77/C$85)</f>
        <v>0.190448392863658</v>
      </c>
      <c r="E77" s="526" t="n">
        <f aca="false">K15+$J$36*C77</f>
        <v>48372</v>
      </c>
      <c r="F77" s="1249" t="n">
        <f aca="false">IF(ISERROR(E77/E$85)=TRUE(),0,E77/E$85)</f>
        <v>0.214023844730506</v>
      </c>
      <c r="G77" s="526" t="n">
        <f aca="false">+C77-E77</f>
        <v>14268</v>
      </c>
      <c r="H77" s="1250" t="n">
        <f aca="false">IF(ISERROR(G77/G$85)=TRUE(),0,G77/G$85)</f>
        <v>0.195316670910301</v>
      </c>
      <c r="I77" s="1256"/>
      <c r="J77" s="1255"/>
      <c r="K77" s="1255"/>
      <c r="L77" s="1255"/>
    </row>
    <row r="78" customFormat="false" ht="12.75" hidden="false" customHeight="false" outlineLevel="0" collapsed="false">
      <c r="B78" s="450" t="str">
        <f aca="false">B16</f>
        <v>Pienso para cobayas 3 kg</v>
      </c>
      <c r="C78" s="526" t="n">
        <f aca="false">'Presupuesto de ventas'!H19</f>
        <v>14256</v>
      </c>
      <c r="D78" s="1249" t="n">
        <f aca="false">IF(ISERROR(C78/C$85)=TRUE(),0,C78/C$85)</f>
        <v>0.0433434273413842</v>
      </c>
      <c r="E78" s="526" t="n">
        <f aca="false">K16+$J$36*C78</f>
        <v>11080.8</v>
      </c>
      <c r="F78" s="1249" t="n">
        <f aca="false">IF(ISERROR(E78/E$85)=TRUE(),0,E78/E$85)</f>
        <v>0.049027441881456</v>
      </c>
      <c r="G78" s="526" t="n">
        <f aca="false">+C78-E78</f>
        <v>3175.2</v>
      </c>
      <c r="H78" s="1250" t="n">
        <f aca="false">IF(ISERROR(G78/G$85)=TRUE(),0,G78/G$85)</f>
        <v>0.0434657620881964</v>
      </c>
      <c r="I78" s="1256"/>
      <c r="J78" s="1255"/>
      <c r="K78" s="1255"/>
      <c r="L78" s="1255"/>
    </row>
    <row r="79" customFormat="false" ht="12.75" hidden="false" customHeight="false" outlineLevel="0" collapsed="false">
      <c r="B79" s="450" t="str">
        <f aca="false">B17</f>
        <v>Pienso para conejo adulto 1,75 kg</v>
      </c>
      <c r="C79" s="526" t="n">
        <f aca="false">'Presupuesto de ventas'!H21</f>
        <v>15120</v>
      </c>
      <c r="D79" s="1249" t="n">
        <f aca="false">IF(ISERROR(C79/C$85)=TRUE(),0,C79/C$85)</f>
        <v>0.0459703017257105</v>
      </c>
      <c r="E79" s="526" t="n">
        <f aca="false">K17+$J$36*C79</f>
        <v>11340</v>
      </c>
      <c r="F79" s="1249" t="n">
        <f aca="false">IF(ISERROR(E79/E$85)=TRUE(),0,E79/E$85)</f>
        <v>0.050174282627221</v>
      </c>
      <c r="G79" s="526" t="n">
        <f aca="false">+C79-E79</f>
        <v>3780</v>
      </c>
      <c r="H79" s="1250" t="n">
        <f aca="false">IF(ISERROR(G79/G$85)=TRUE(),0,G79/G$85)</f>
        <v>0.0517449548669005</v>
      </c>
      <c r="I79" s="1256"/>
      <c r="J79" s="1255"/>
      <c r="K79" s="1255"/>
      <c r="L79" s="1255"/>
    </row>
    <row r="80" customFormat="false" ht="12.75" hidden="false" customHeight="false" outlineLevel="0" collapsed="false">
      <c r="B80" s="450" t="str">
        <f aca="false">B18</f>
        <v>Pienso para hamsters 1 kg</v>
      </c>
      <c r="C80" s="526" t="n">
        <f aca="false">'Presupuesto de ventas'!H23</f>
        <v>18720</v>
      </c>
      <c r="D80" s="1249" t="n">
        <f aca="false">IF(ISERROR(C80/C$85)=TRUE(),0,C80/C$85)</f>
        <v>0.0569156116604035</v>
      </c>
      <c r="E80" s="526" t="n">
        <f aca="false">K18+$J$36*C80</f>
        <v>14040</v>
      </c>
      <c r="F80" s="1249" t="n">
        <f aca="false">IF(ISERROR(E80/E$85)=TRUE(),0,E80/E$85)</f>
        <v>0.062120540395607</v>
      </c>
      <c r="G80" s="526" t="n">
        <f aca="false">+C80-E80</f>
        <v>4680</v>
      </c>
      <c r="H80" s="1250" t="n">
        <f aca="false">IF(ISERROR(G80/G$85)=TRUE(),0,G80/G$85)</f>
        <v>0.0640651822161625</v>
      </c>
      <c r="I80" s="1256"/>
      <c r="J80" s="1255"/>
      <c r="K80" s="1255"/>
      <c r="L80" s="1255"/>
    </row>
    <row r="81" customFormat="false" ht="12.75" hidden="false" customHeight="false" outlineLevel="0" collapsed="false">
      <c r="B81" s="450" t="str">
        <f aca="false">B19</f>
        <v>Pienso natural para perro 3 kg</v>
      </c>
      <c r="C81" s="526" t="n">
        <f aca="false">'Presupuesto de ventas'!H25</f>
        <v>14508</v>
      </c>
      <c r="D81" s="1249" t="n">
        <f aca="false">IF(ISERROR(C81/C$85)=TRUE(),0,C81/C$85)</f>
        <v>0.0441095990368127</v>
      </c>
      <c r="E81" s="526" t="n">
        <f aca="false">K19+$J$36*C81</f>
        <v>10769.4</v>
      </c>
      <c r="F81" s="1249" t="n">
        <f aca="false">IF(ISERROR(E81/E$85)=TRUE(),0,E81/E$85)</f>
        <v>0.0476496401521688</v>
      </c>
      <c r="G81" s="526" t="n">
        <f aca="false">+C81-E81</f>
        <v>3738.6</v>
      </c>
      <c r="H81" s="1250" t="n">
        <f aca="false">IF(ISERROR(G81/G$85)=TRUE(),0,G81/G$85)</f>
        <v>0.0511782244088344</v>
      </c>
      <c r="I81" s="1256"/>
      <c r="J81" s="1255"/>
      <c r="K81" s="1255"/>
      <c r="L81" s="1255"/>
    </row>
    <row r="82" customFormat="false" ht="12.75" hidden="false" customHeight="false" outlineLevel="0" collapsed="false">
      <c r="B82" s="450" t="str">
        <f aca="false">B20</f>
        <v>Pienso natural para cachorros 6 kg</v>
      </c>
      <c r="C82" s="526" t="n">
        <f aca="false">'Presupuesto de ventas'!H27</f>
        <v>39840</v>
      </c>
      <c r="D82" s="1249" t="n">
        <f aca="false">IF(ISERROR(C82/C$85)=TRUE(),0,C82/C$85)</f>
        <v>0.121128096610602</v>
      </c>
      <c r="E82" s="526" t="n">
        <f aca="false">K20+$J$36*C82</f>
        <v>29880</v>
      </c>
      <c r="F82" s="1249" t="n">
        <f aca="false">IF(ISERROR(E82/E$85)=TRUE(),0,E82/E$85)</f>
        <v>0.132205252636805</v>
      </c>
      <c r="G82" s="526" t="n">
        <f aca="false">+C82-E82</f>
        <v>9960</v>
      </c>
      <c r="H82" s="1250" t="n">
        <f aca="false">IF(ISERROR(G82/G$85)=TRUE(),0,G82/G$85)</f>
        <v>0.136343849331833</v>
      </c>
      <c r="I82" s="1256"/>
      <c r="J82" s="1255"/>
      <c r="K82" s="1255"/>
      <c r="L82" s="1255"/>
    </row>
    <row r="83" customFormat="false" ht="12.75" hidden="false" customHeight="false" outlineLevel="0" collapsed="false">
      <c r="B83" s="450" t="str">
        <f aca="false">B21</f>
        <v>Menú natural semihúmedo perro</v>
      </c>
      <c r="C83" s="526" t="n">
        <f aca="false">'Presupuesto de ventas'!H29</f>
        <v>19968</v>
      </c>
      <c r="D83" s="1249" t="n">
        <f aca="false">IF(ISERROR(C83/C$85)=TRUE(),0,C83/C$85)</f>
        <v>0.0607099857710971</v>
      </c>
      <c r="E83" s="526" t="n">
        <f aca="false">K21+$J$36*C83</f>
        <v>14822.4</v>
      </c>
      <c r="F83" s="1249" t="n">
        <f aca="false">IF(ISERROR(E83/E$85)=TRUE(),0,E83/E$85)</f>
        <v>0.0655823004244904</v>
      </c>
      <c r="G83" s="526" t="n">
        <f aca="false">+C83-E83</f>
        <v>5145.6</v>
      </c>
      <c r="H83" s="1250" t="n">
        <f aca="false">IF(ISERROR(G83/G$85)=TRUE(),0,G83/G$85)</f>
        <v>0.0704388464981807</v>
      </c>
      <c r="I83" s="1256"/>
      <c r="J83" s="1255"/>
      <c r="K83" s="1255"/>
      <c r="L83" s="1255"/>
    </row>
    <row r="84" customFormat="false" ht="12.75" hidden="false" customHeight="false" outlineLevel="0" collapsed="false">
      <c r="B84" s="658" t="str">
        <f aca="false">B22</f>
        <v>Comida húmeda para gatos 26 pouches</v>
      </c>
      <c r="C84" s="526" t="n">
        <f aca="false">'Presupuesto de ventas'!H31</f>
        <v>19656</v>
      </c>
      <c r="D84" s="1249" t="n">
        <f aca="false">IF(ISERROR(C84/C$85)=TRUE(),0,C84/C$85)</f>
        <v>0.0597613922434237</v>
      </c>
      <c r="E84" s="526" t="n">
        <f aca="false">K22+$J$36*C84</f>
        <v>15022.8</v>
      </c>
      <c r="F84" s="1249" t="n">
        <f aca="false">IF(ISERROR(E84/E$85)=TRUE(),0,E84/E$85)</f>
        <v>0.0664689782232995</v>
      </c>
      <c r="G84" s="526" t="n">
        <f aca="false">+C84-E84</f>
        <v>4633.2</v>
      </c>
      <c r="H84" s="1250" t="n">
        <f aca="false">IF(ISERROR(G84/G$85)=TRUE(),0,G84/G$85)</f>
        <v>0.0634245303940009</v>
      </c>
      <c r="I84" s="1256"/>
      <c r="J84" s="1255"/>
      <c r="K84" s="1255"/>
      <c r="L84" s="1255"/>
    </row>
    <row r="85" customFormat="false" ht="13.5" hidden="false" customHeight="false" outlineLevel="0" collapsed="false">
      <c r="B85" s="1251" t="s">
        <v>136</v>
      </c>
      <c r="C85" s="1252" t="n">
        <f aca="false">SUM(C75:C84)</f>
        <v>328908</v>
      </c>
      <c r="D85" s="1253" t="n">
        <f aca="false">SUM(D75:D84)</f>
        <v>1</v>
      </c>
      <c r="E85" s="1252" t="n">
        <f aca="false">SUM(E75:E82)</f>
        <v>226012.2</v>
      </c>
      <c r="F85" s="1253" t="n">
        <f aca="false">SUM(F74:F82)</f>
        <v>1</v>
      </c>
      <c r="G85" s="1252" t="n">
        <f aca="false">SUM(G75:G84)</f>
        <v>73050.6</v>
      </c>
      <c r="H85" s="1254" t="n">
        <f aca="false">SUM(H75:H84)</f>
        <v>1</v>
      </c>
    </row>
    <row r="86" customFormat="false" ht="13.5" hidden="false" customHeight="false" outlineLevel="0" collapsed="false"/>
    <row r="88" customFormat="false" ht="14.25" hidden="false" customHeight="false" outlineLevel="0" collapsed="false">
      <c r="B88" s="51" t="s">
        <v>729</v>
      </c>
      <c r="D88" s="51" t="s">
        <v>466</v>
      </c>
    </row>
    <row r="89" customFormat="false" ht="6.75" hidden="false" customHeight="true" outlineLevel="0" collapsed="false"/>
    <row r="90" customFormat="false" ht="24" hidden="false" customHeight="true" outlineLevel="0" collapsed="false">
      <c r="B90" s="990" t="s">
        <v>711</v>
      </c>
      <c r="C90" s="1257"/>
      <c r="D90" s="1258" t="s">
        <v>303</v>
      </c>
      <c r="E90" s="1259" t="s">
        <v>304</v>
      </c>
      <c r="F90" s="1259" t="s">
        <v>305</v>
      </c>
      <c r="G90" s="1259" t="s">
        <v>127</v>
      </c>
      <c r="H90" s="1259" t="s">
        <v>128</v>
      </c>
      <c r="I90" s="1259" t="s">
        <v>129</v>
      </c>
      <c r="J90" s="1259" t="s">
        <v>130</v>
      </c>
      <c r="K90" s="1259" t="s">
        <v>306</v>
      </c>
      <c r="L90" s="1259" t="s">
        <v>307</v>
      </c>
      <c r="M90" s="1259" t="s">
        <v>308</v>
      </c>
      <c r="N90" s="1259" t="s">
        <v>309</v>
      </c>
      <c r="O90" s="1260" t="s">
        <v>310</v>
      </c>
      <c r="P90" s="1261" t="s">
        <v>718</v>
      </c>
    </row>
    <row r="91" customFormat="false" ht="15" hidden="false" customHeight="true" outlineLevel="0" collapsed="false">
      <c r="B91" s="1262" t="s">
        <v>730</v>
      </c>
      <c r="C91" s="1262"/>
      <c r="D91" s="1263"/>
      <c r="E91" s="1264"/>
      <c r="F91" s="1264"/>
      <c r="G91" s="1264"/>
      <c r="H91" s="1264"/>
      <c r="I91" s="1264"/>
      <c r="J91" s="1264"/>
      <c r="K91" s="1264"/>
      <c r="L91" s="1264"/>
      <c r="M91" s="1264"/>
      <c r="N91" s="1264"/>
      <c r="O91" s="1264"/>
      <c r="P91" s="1265"/>
    </row>
    <row r="92" customFormat="false" ht="12.75" hidden="false" customHeight="false" outlineLevel="0" collapsed="false">
      <c r="B92" s="1266" t="str">
        <f aca="false">B13</f>
        <v>Pienso para perro adulto 12 kg</v>
      </c>
      <c r="C92" s="1267"/>
      <c r="D92" s="1218" t="n">
        <f aca="false">IF($C$1&gt;E$1,0,'Previsión de negocio'!D31*'Previsión de negocio'!D34)</f>
        <v>2475</v>
      </c>
      <c r="E92" s="1218" t="n">
        <f aca="false">IF($C$1&gt;F$1,0,'Previsión de negocio'!E31*'Previsión de negocio'!E34)</f>
        <v>2475</v>
      </c>
      <c r="F92" s="1218" t="n">
        <f aca="false">IF($C$1&gt;G$1,0,'Previsión de negocio'!F31*'Previsión de negocio'!F34)</f>
        <v>2475</v>
      </c>
      <c r="G92" s="1218" t="n">
        <f aca="false">IF($C$1&gt;H$1,0,'Previsión de negocio'!G31*'Previsión de negocio'!G34)</f>
        <v>2475</v>
      </c>
      <c r="H92" s="1218" t="n">
        <f aca="false">IF($C$1&gt;I$1,0,'Previsión de negocio'!H31*'Previsión de negocio'!H34)</f>
        <v>2475</v>
      </c>
      <c r="I92" s="1218" t="n">
        <f aca="false">IF($C$1&gt;J$1,0,'Previsión de negocio'!I31*'Previsión de negocio'!I34)</f>
        <v>2475</v>
      </c>
      <c r="J92" s="1218" t="n">
        <f aca="false">IF($C$1&gt;K$1,0,'Previsión de negocio'!J31*'Previsión de negocio'!J34)</f>
        <v>2475</v>
      </c>
      <c r="K92" s="1218" t="n">
        <f aca="false">IF($C$1&gt;L$1,0,'Previsión de negocio'!K31*'Previsión de negocio'!K34)</f>
        <v>2475</v>
      </c>
      <c r="L92" s="1218" t="n">
        <f aca="false">IF($C$1&gt;M$1,0,'Previsión de negocio'!L31*'Previsión de negocio'!L34)</f>
        <v>2475</v>
      </c>
      <c r="M92" s="1218" t="n">
        <f aca="false">IF($C$1&gt;N$1,0,'Previsión de negocio'!M31*'Previsión de negocio'!M34)</f>
        <v>2475</v>
      </c>
      <c r="N92" s="1218" t="n">
        <f aca="false">IF($C$1&gt;O$1,0,'Previsión de negocio'!N31*'Previsión de negocio'!N34)</f>
        <v>2475</v>
      </c>
      <c r="O92" s="1218" t="n">
        <f aca="false">IF($C$1&gt;P$1,0,'Previsión de negocio'!O31*'Previsión de negocio'!O34)</f>
        <v>2475</v>
      </c>
      <c r="P92" s="1268" t="n">
        <f aca="false">SUM(D92:O92)</f>
        <v>29700</v>
      </c>
    </row>
    <row r="93" customFormat="false" ht="12.75" hidden="false" customHeight="false" outlineLevel="0" collapsed="false">
      <c r="B93" s="1266" t="str">
        <f aca="false">B14</f>
        <v>Pienso para gato adulto 10 kg</v>
      </c>
      <c r="C93" s="1269"/>
      <c r="D93" s="1218" t="n">
        <f aca="false">IF($C$1&gt;E$1,0,'Previsión de negocio'!D37*'Previsión de negocio'!D40)</f>
        <v>2025</v>
      </c>
      <c r="E93" s="1218" t="n">
        <f aca="false">IF($C$1&gt;F$1,0,'Previsión de negocio'!E37*'Previsión de negocio'!E40)</f>
        <v>2025</v>
      </c>
      <c r="F93" s="1218" t="n">
        <f aca="false">IF($C$1&gt;G$1,0,'Previsión de negocio'!F37*'Previsión de negocio'!F40)</f>
        <v>2025</v>
      </c>
      <c r="G93" s="1218" t="n">
        <f aca="false">IF($C$1&gt;H$1,0,'Previsión de negocio'!G37*'Previsión de negocio'!G40)</f>
        <v>2025</v>
      </c>
      <c r="H93" s="1218" t="n">
        <f aca="false">IF($C$1&gt;I$1,0,'Previsión de negocio'!H37*'Previsión de negocio'!H40)</f>
        <v>2025</v>
      </c>
      <c r="I93" s="1218" t="n">
        <f aca="false">IF($C$1&gt;J$1,0,'Previsión de negocio'!I37*'Previsión de negocio'!I40)</f>
        <v>2025</v>
      </c>
      <c r="J93" s="1218" t="n">
        <f aca="false">IF($C$1&gt;K$1,0,'Previsión de negocio'!J37*'Previsión de negocio'!J40)</f>
        <v>2025</v>
      </c>
      <c r="K93" s="1218" t="n">
        <f aca="false">IF($C$1&gt;L$1,0,'Previsión de negocio'!K37*'Previsión de negocio'!K40)</f>
        <v>2025</v>
      </c>
      <c r="L93" s="1218" t="n">
        <f aca="false">IF($C$1&gt;M$1,0,'Previsión de negocio'!L37*'Previsión de negocio'!L40)</f>
        <v>2025</v>
      </c>
      <c r="M93" s="1218" t="n">
        <f aca="false">IF($C$1&gt;N$1,0,'Previsión de negocio'!M37*'Previsión de negocio'!M40)</f>
        <v>2025</v>
      </c>
      <c r="N93" s="1218" t="n">
        <f aca="false">IF($C$1&gt;O$1,0,'Previsión de negocio'!N37*'Previsión de negocio'!N40)</f>
        <v>2025</v>
      </c>
      <c r="O93" s="1218" t="n">
        <f aca="false">IF($C$1&gt;P$1,0,'Previsión de negocio'!O37*'Previsión de negocio'!O40)</f>
        <v>2025</v>
      </c>
      <c r="P93" s="1270" t="n">
        <f aca="false">SUM(D93:O93)</f>
        <v>24300</v>
      </c>
    </row>
    <row r="94" customFormat="false" ht="12.75" hidden="false" customHeight="false" outlineLevel="0" collapsed="false">
      <c r="B94" s="1266" t="str">
        <f aca="false">B15</f>
        <v>Pienso para loros 12 kg</v>
      </c>
      <c r="C94" s="1269"/>
      <c r="D94" s="1218" t="n">
        <f aca="false">IF($C$1&gt;E$1,0,'Previsión de negocio'!D43*'Previsión de negocio'!D46)</f>
        <v>2145</v>
      </c>
      <c r="E94" s="1218" t="n">
        <f aca="false">IF($C$1&gt;F$1,0,'Previsión de negocio'!E43*'Previsión de negocio'!E46)</f>
        <v>2145</v>
      </c>
      <c r="F94" s="1218" t="n">
        <f aca="false">IF($C$1&gt;G$1,0,'Previsión de negocio'!F43*'Previsión de negocio'!F46)</f>
        <v>2145</v>
      </c>
      <c r="G94" s="1218" t="n">
        <f aca="false">IF($C$1&gt;H$1,0,'Previsión de negocio'!G43*'Previsión de negocio'!G46)</f>
        <v>2145</v>
      </c>
      <c r="H94" s="1218" t="n">
        <f aca="false">IF($C$1&gt;I$1,0,'Previsión de negocio'!H43*'Previsión de negocio'!H46)</f>
        <v>2145</v>
      </c>
      <c r="I94" s="1218" t="n">
        <f aca="false">IF($C$1&gt;J$1,0,'Previsión de negocio'!I43*'Previsión de negocio'!I46)</f>
        <v>2145</v>
      </c>
      <c r="J94" s="1218" t="n">
        <f aca="false">IF($C$1&gt;K$1,0,'Previsión de negocio'!J43*'Previsión de negocio'!J46)</f>
        <v>2145</v>
      </c>
      <c r="K94" s="1218" t="n">
        <f aca="false">IF($C$1&gt;L$1,0,'Previsión de negocio'!K43*'Previsión de negocio'!K46)</f>
        <v>2145</v>
      </c>
      <c r="L94" s="1218" t="n">
        <f aca="false">IF($C$1&gt;M$1,0,'Previsión de negocio'!L43*'Previsión de negocio'!L46)</f>
        <v>2145</v>
      </c>
      <c r="M94" s="1218" t="n">
        <f aca="false">IF($C$1&gt;N$1,0,'Previsión de negocio'!M43*'Previsión de negocio'!M46)</f>
        <v>2145</v>
      </c>
      <c r="N94" s="1218" t="n">
        <f aca="false">IF($C$1&gt;O$1,0,'Previsión de negocio'!N43*'Previsión de negocio'!N46)</f>
        <v>2145</v>
      </c>
      <c r="O94" s="1218" t="n">
        <f aca="false">IF($C$1&gt;P$1,0,'Previsión de negocio'!O43*'Previsión de negocio'!O46)</f>
        <v>2145</v>
      </c>
      <c r="P94" s="1270" t="n">
        <f aca="false">SUM(D94:O94)</f>
        <v>25740</v>
      </c>
    </row>
    <row r="95" customFormat="false" ht="12.75" hidden="false" customHeight="false" outlineLevel="0" collapsed="false">
      <c r="B95" s="1266" t="str">
        <f aca="false">B16</f>
        <v>Pienso para cobayas 3 kg</v>
      </c>
      <c r="C95" s="1269"/>
      <c r="D95" s="1218" t="n">
        <f aca="false">IF($C$1&gt;E$1,0,'Previsión de negocio'!D49*'Previsión de negocio'!D52)</f>
        <v>664</v>
      </c>
      <c r="E95" s="1218" t="n">
        <f aca="false">IF($C$1&gt;F$1,0,'Previsión de negocio'!E49*'Previsión de negocio'!E52)</f>
        <v>664</v>
      </c>
      <c r="F95" s="1218" t="n">
        <f aca="false">IF($C$1&gt;G$1,0,'Previsión de negocio'!F49*'Previsión de negocio'!F52)</f>
        <v>664</v>
      </c>
      <c r="G95" s="1218" t="n">
        <f aca="false">IF($C$1&gt;H$1,0,'Previsión de negocio'!G49*'Previsión de negocio'!G52)</f>
        <v>664</v>
      </c>
      <c r="H95" s="1218" t="n">
        <f aca="false">IF($C$1&gt;I$1,0,'Previsión de negocio'!H49*'Previsión de negocio'!H52)</f>
        <v>664</v>
      </c>
      <c r="I95" s="1218" t="n">
        <f aca="false">IF($C$1&gt;J$1,0,'Previsión de negocio'!I49*'Previsión de negocio'!I52)</f>
        <v>664</v>
      </c>
      <c r="J95" s="1218" t="n">
        <f aca="false">IF($C$1&gt;K$1,0,'Previsión de negocio'!J49*'Previsión de negocio'!J52)</f>
        <v>664</v>
      </c>
      <c r="K95" s="1218" t="n">
        <f aca="false">IF($C$1&gt;L$1,0,'Previsión de negocio'!K49*'Previsión de negocio'!K52)</f>
        <v>664</v>
      </c>
      <c r="L95" s="1218" t="n">
        <f aca="false">IF($C$1&gt;M$1,0,'Previsión de negocio'!L49*'Previsión de negocio'!L52)</f>
        <v>664</v>
      </c>
      <c r="M95" s="1218" t="n">
        <f aca="false">IF($C$1&gt;N$1,0,'Previsión de negocio'!M49*'Previsión de negocio'!M52)</f>
        <v>664</v>
      </c>
      <c r="N95" s="1218" t="n">
        <f aca="false">IF($C$1&gt;O$1,0,'Previsión de negocio'!N49*'Previsión de negocio'!N52)</f>
        <v>664</v>
      </c>
      <c r="O95" s="1218" t="n">
        <f aca="false">IF($C$1&gt;P$1,0,'Previsión de negocio'!O49*'Previsión de negocio'!O52)</f>
        <v>664</v>
      </c>
      <c r="P95" s="1270" t="n">
        <f aca="false">SUM(D95:O95)</f>
        <v>7968</v>
      </c>
    </row>
    <row r="96" customFormat="false" ht="12.75" hidden="false" customHeight="false" outlineLevel="0" collapsed="false">
      <c r="B96" s="1266" t="str">
        <f aca="false">B17</f>
        <v>Pienso para conejo adulto 1,75 kg</v>
      </c>
      <c r="C96" s="1269"/>
      <c r="D96" s="1218" t="n">
        <f aca="false">IF($C$1&gt;E$1,0,'Previsión de negocio'!D55*'Previsión de negocio'!D58)</f>
        <v>532</v>
      </c>
      <c r="E96" s="1218" t="n">
        <f aca="false">IF($C$1&gt;F$1,0,'Previsión de negocio'!E55*'Previsión de negocio'!E58)</f>
        <v>532</v>
      </c>
      <c r="F96" s="1218" t="n">
        <f aca="false">IF($C$1&gt;G$1,0,'Previsión de negocio'!F55*'Previsión de negocio'!F58)</f>
        <v>532</v>
      </c>
      <c r="G96" s="1218" t="n">
        <f aca="false">IF($C$1&gt;H$1,0,'Previsión de negocio'!G55*'Previsión de negocio'!G58)</f>
        <v>532</v>
      </c>
      <c r="H96" s="1218" t="n">
        <f aca="false">IF($C$1&gt;I$1,0,'Previsión de negocio'!H55*'Previsión de negocio'!H58)</f>
        <v>532</v>
      </c>
      <c r="I96" s="1218" t="n">
        <f aca="false">IF($C$1&gt;J$1,0,'Previsión de negocio'!I55*'Previsión de negocio'!I58)</f>
        <v>532</v>
      </c>
      <c r="J96" s="1218" t="n">
        <f aca="false">IF($C$1&gt;K$1,0,'Previsión de negocio'!J55*'Previsión de negocio'!J58)</f>
        <v>532</v>
      </c>
      <c r="K96" s="1218" t="n">
        <f aca="false">IF($C$1&gt;L$1,0,'Previsión de negocio'!K55*'Previsión de negocio'!K58)</f>
        <v>532</v>
      </c>
      <c r="L96" s="1218" t="n">
        <f aca="false">IF($C$1&gt;M$1,0,'Previsión de negocio'!L55*'Previsión de negocio'!L58)</f>
        <v>532</v>
      </c>
      <c r="M96" s="1218" t="n">
        <f aca="false">IF($C$1&gt;N$1,0,'Previsión de negocio'!M55*'Previsión de negocio'!M58)</f>
        <v>532</v>
      </c>
      <c r="N96" s="1218" t="n">
        <f aca="false">IF($C$1&gt;O$1,0,'Previsión de negocio'!N55*'Previsión de negocio'!N58)</f>
        <v>532</v>
      </c>
      <c r="O96" s="1218" t="n">
        <f aca="false">IF($C$1&gt;P$1,0,'Previsión de negocio'!O55*'Previsión de negocio'!O58)</f>
        <v>532</v>
      </c>
      <c r="P96" s="1270" t="n">
        <f aca="false">SUM(D96:O96)</f>
        <v>6384</v>
      </c>
    </row>
    <row r="97" customFormat="false" ht="12.75" hidden="false" customHeight="false" outlineLevel="0" collapsed="false">
      <c r="B97" s="1266" t="str">
        <f aca="false">B18</f>
        <v>Pienso para hamsters 1 kg</v>
      </c>
      <c r="C97" s="1269"/>
      <c r="D97" s="1218" t="n">
        <f aca="false">IF($C$1&gt;E$1,0,'Previsión de negocio'!D61*'Previsión de negocio'!D64)</f>
        <v>742</v>
      </c>
      <c r="E97" s="1218" t="n">
        <f aca="false">IF($C$1&gt;F$1,0,'Previsión de negocio'!E61*'Previsión de negocio'!E64)</f>
        <v>742</v>
      </c>
      <c r="F97" s="1218" t="n">
        <f aca="false">IF($C$1&gt;G$1,0,'Previsión de negocio'!F61*'Previsión de negocio'!F64)</f>
        <v>742</v>
      </c>
      <c r="G97" s="1218" t="n">
        <f aca="false">IF($C$1&gt;H$1,0,'Previsión de negocio'!G61*'Previsión de negocio'!G64)</f>
        <v>742</v>
      </c>
      <c r="H97" s="1218" t="n">
        <f aca="false">IF($C$1&gt;I$1,0,'Previsión de negocio'!H61*'Previsión de negocio'!H64)</f>
        <v>742</v>
      </c>
      <c r="I97" s="1218" t="n">
        <f aca="false">IF($C$1&gt;J$1,0,'Previsión de negocio'!I61*'Previsión de negocio'!I64)</f>
        <v>742</v>
      </c>
      <c r="J97" s="1218" t="n">
        <f aca="false">IF($C$1&gt;K$1,0,'Previsión de negocio'!J61*'Previsión de negocio'!J64)</f>
        <v>742</v>
      </c>
      <c r="K97" s="1218" t="n">
        <f aca="false">IF($C$1&gt;L$1,0,'Previsión de negocio'!K61*'Previsión de negocio'!K64)</f>
        <v>742</v>
      </c>
      <c r="L97" s="1218" t="n">
        <f aca="false">IF($C$1&gt;M$1,0,'Previsión de negocio'!L61*'Previsión de negocio'!L64)</f>
        <v>742</v>
      </c>
      <c r="M97" s="1218" t="n">
        <f aca="false">IF($C$1&gt;N$1,0,'Previsión de negocio'!M61*'Previsión de negocio'!M64)</f>
        <v>742</v>
      </c>
      <c r="N97" s="1218" t="n">
        <f aca="false">IF($C$1&gt;O$1,0,'Previsión de negocio'!N61*'Previsión de negocio'!N64)</f>
        <v>742</v>
      </c>
      <c r="O97" s="1218" t="n">
        <f aca="false">IF($C$1&gt;P$1,0,'Previsión de negocio'!O61*'Previsión de negocio'!O64)</f>
        <v>742</v>
      </c>
      <c r="P97" s="1270" t="n">
        <f aca="false">SUM(D97:O97)</f>
        <v>8904</v>
      </c>
    </row>
    <row r="98" customFormat="false" ht="12.75" hidden="false" customHeight="false" outlineLevel="0" collapsed="false">
      <c r="B98" s="1266" t="str">
        <f aca="false">B19</f>
        <v>Pienso natural para perro 3 kg</v>
      </c>
      <c r="C98" s="1269"/>
      <c r="D98" s="1218" t="n">
        <f aca="false">IF($C$1&gt;E$1,0,'Previsión de negocio'!D67*'Previsión de negocio'!D70)</f>
        <v>747</v>
      </c>
      <c r="E98" s="1218" t="n">
        <f aca="false">IF($C$1&gt;F$1,0,'Previsión de negocio'!E67*'Previsión de negocio'!E70)</f>
        <v>747</v>
      </c>
      <c r="F98" s="1218" t="n">
        <f aca="false">IF($C$1&gt;G$1,0,'Previsión de negocio'!F67*'Previsión de negocio'!F70)</f>
        <v>747</v>
      </c>
      <c r="G98" s="1218" t="n">
        <f aca="false">IF($C$1&gt;H$1,0,'Previsión de negocio'!G67*'Previsión de negocio'!G70)</f>
        <v>747</v>
      </c>
      <c r="H98" s="1218" t="n">
        <f aca="false">IF($C$1&gt;I$1,0,'Previsión de negocio'!H67*'Previsión de negocio'!H70)</f>
        <v>747</v>
      </c>
      <c r="I98" s="1218" t="n">
        <f aca="false">IF($C$1&gt;J$1,0,'Previsión de negocio'!I67*'Previsión de negocio'!I70)</f>
        <v>747</v>
      </c>
      <c r="J98" s="1218" t="n">
        <f aca="false">IF($C$1&gt;K$1,0,'Previsión de negocio'!J67*'Previsión de negocio'!J70)</f>
        <v>747</v>
      </c>
      <c r="K98" s="1218" t="n">
        <f aca="false">IF($C$1&gt;L$1,0,'Previsión de negocio'!K67*'Previsión de negocio'!K70)</f>
        <v>747</v>
      </c>
      <c r="L98" s="1218" t="n">
        <f aca="false">IF($C$1&gt;M$1,0,'Previsión de negocio'!L67*'Previsión de negocio'!L70)</f>
        <v>747</v>
      </c>
      <c r="M98" s="1218" t="n">
        <f aca="false">IF($C$1&gt;N$1,0,'Previsión de negocio'!M67*'Previsión de negocio'!M70)</f>
        <v>747</v>
      </c>
      <c r="N98" s="1218" t="n">
        <f aca="false">IF($C$1&gt;O$1,0,'Previsión de negocio'!N67*'Previsión de negocio'!N70)</f>
        <v>747</v>
      </c>
      <c r="O98" s="1218" t="n">
        <f aca="false">IF($C$1&gt;P$1,0,'Previsión de negocio'!O67*'Previsión de negocio'!O70)</f>
        <v>747</v>
      </c>
      <c r="P98" s="1270" t="n">
        <f aca="false">SUM(D98:O98)</f>
        <v>8964</v>
      </c>
    </row>
    <row r="99" customFormat="false" ht="12.75" hidden="false" customHeight="false" outlineLevel="0" collapsed="false">
      <c r="B99" s="1266" t="str">
        <f aca="false">B20</f>
        <v>Pienso natural para cachorros 6 kg</v>
      </c>
      <c r="C99" s="1269"/>
      <c r="D99" s="1218" t="n">
        <f aca="false">IF($C$1&gt;E$1,0,'Previsión de negocio'!D73*'Previsión de negocio'!D76)</f>
        <v>1624</v>
      </c>
      <c r="E99" s="1218" t="n">
        <f aca="false">IF($C$1&gt;F$1,0,'Previsión de negocio'!E73*'Previsión de negocio'!E76)</f>
        <v>1624</v>
      </c>
      <c r="F99" s="1218" t="n">
        <f aca="false">IF($C$1&gt;G$1,0,'Previsión de negocio'!F73*'Previsión de negocio'!F76)</f>
        <v>1624</v>
      </c>
      <c r="G99" s="1218" t="n">
        <f aca="false">IF($C$1&gt;H$1,0,'Previsión de negocio'!G73*'Previsión de negocio'!G76)</f>
        <v>1624</v>
      </c>
      <c r="H99" s="1218" t="n">
        <f aca="false">IF($C$1&gt;I$1,0,'Previsión de negocio'!H73*'Previsión de negocio'!H76)</f>
        <v>1624</v>
      </c>
      <c r="I99" s="1218" t="n">
        <f aca="false">IF($C$1&gt;J$1,0,'Previsión de negocio'!I73*'Previsión de negocio'!I76)</f>
        <v>1624</v>
      </c>
      <c r="J99" s="1218" t="n">
        <f aca="false">IF($C$1&gt;K$1,0,'Previsión de negocio'!J73*'Previsión de negocio'!J76)</f>
        <v>1624</v>
      </c>
      <c r="K99" s="1218" t="n">
        <f aca="false">IF($C$1&gt;L$1,0,'Previsión de negocio'!K73*'Previsión de negocio'!K76)</f>
        <v>1624</v>
      </c>
      <c r="L99" s="1218" t="n">
        <f aca="false">IF($C$1&gt;M$1,0,'Previsión de negocio'!L73*'Previsión de negocio'!L76)</f>
        <v>1624</v>
      </c>
      <c r="M99" s="1218" t="n">
        <f aca="false">IF($C$1&gt;N$1,0,'Previsión de negocio'!M73*'Previsión de negocio'!M76)</f>
        <v>1624</v>
      </c>
      <c r="N99" s="1218" t="n">
        <f aca="false">IF($C$1&gt;O$1,0,'Previsión de negocio'!N73*'Previsión de negocio'!N76)</f>
        <v>1624</v>
      </c>
      <c r="O99" s="1218" t="n">
        <f aca="false">IF($C$1&gt;P$1,0,'Previsión de negocio'!O73*'Previsión de negocio'!O76)</f>
        <v>1624</v>
      </c>
      <c r="P99" s="1270" t="n">
        <f aca="false">SUM(D99:O99)</f>
        <v>19488</v>
      </c>
    </row>
    <row r="100" customFormat="false" ht="12.75" hidden="false" customHeight="false" outlineLevel="0" collapsed="false">
      <c r="B100" s="1266" t="str">
        <f aca="false">B21</f>
        <v>Menú natural semihúmedo perro</v>
      </c>
      <c r="C100" s="1269"/>
      <c r="D100" s="1218" t="n">
        <f aca="false">IF($C$1&gt;E$1,0,'Previsión de negocio'!D79*'Previsión de negocio'!D82)</f>
        <v>909</v>
      </c>
      <c r="E100" s="1218" t="n">
        <f aca="false">IF($C$1&gt;F$1,0,'Previsión de negocio'!E79*'Previsión de negocio'!E82)</f>
        <v>909</v>
      </c>
      <c r="F100" s="1218" t="n">
        <f aca="false">IF($C$1&gt;G$1,0,'Previsión de negocio'!F79*'Previsión de negocio'!F82)</f>
        <v>909</v>
      </c>
      <c r="G100" s="1218" t="n">
        <f aca="false">IF($C$1&gt;H$1,0,'Previsión de negocio'!G79*'Previsión de negocio'!G82)</f>
        <v>909</v>
      </c>
      <c r="H100" s="1218" t="n">
        <f aca="false">IF($C$1&gt;I$1,0,'Previsión de negocio'!H79*'Previsión de negocio'!H82)</f>
        <v>909</v>
      </c>
      <c r="I100" s="1218" t="n">
        <f aca="false">IF($C$1&gt;J$1,0,'Previsión de negocio'!I79*'Previsión de negocio'!I82)</f>
        <v>909</v>
      </c>
      <c r="J100" s="1218" t="n">
        <f aca="false">IF($C$1&gt;K$1,0,'Previsión de negocio'!J79*'Previsión de negocio'!J82)</f>
        <v>909</v>
      </c>
      <c r="K100" s="1218" t="n">
        <f aca="false">IF($C$1&gt;L$1,0,'Previsión de negocio'!K79*'Previsión de negocio'!K82)</f>
        <v>909</v>
      </c>
      <c r="L100" s="1218" t="n">
        <f aca="false">IF($C$1&gt;M$1,0,'Previsión de negocio'!L79*'Previsión de negocio'!L82)</f>
        <v>909</v>
      </c>
      <c r="M100" s="1218" t="n">
        <f aca="false">IF($C$1&gt;N$1,0,'Previsión de negocio'!M79*'Previsión de negocio'!M82)</f>
        <v>909</v>
      </c>
      <c r="N100" s="1218" t="n">
        <f aca="false">IF($C$1&gt;O$1,0,'Previsión de negocio'!N79*'Previsión de negocio'!N82)</f>
        <v>909</v>
      </c>
      <c r="O100" s="1218" t="n">
        <f aca="false">IF($C$1&gt;P$1,0,'Previsión de negocio'!O79*'Previsión de negocio'!O82)</f>
        <v>909</v>
      </c>
      <c r="P100" s="1270" t="n">
        <f aca="false">SUM(D100:O100)</f>
        <v>10908</v>
      </c>
    </row>
    <row r="101" customFormat="false" ht="12.75" hidden="false" customHeight="false" outlineLevel="0" collapsed="false">
      <c r="B101" s="1266" t="str">
        <f aca="false">B22</f>
        <v>Comida húmeda para gatos 26 pouches</v>
      </c>
      <c r="C101" s="1269"/>
      <c r="D101" s="1218" t="n">
        <f aca="false">IF($C$1&gt;E$1,0,'Previsión de negocio'!D85*'Previsión de negocio'!D88)</f>
        <v>870</v>
      </c>
      <c r="E101" s="1218" t="n">
        <f aca="false">IF($C$1&gt;F$1,0,'Previsión de negocio'!E85*'Previsión de negocio'!E88)</f>
        <v>870</v>
      </c>
      <c r="F101" s="1218" t="n">
        <f aca="false">IF($C$1&gt;G$1,0,'Previsión de negocio'!F85*'Previsión de negocio'!F88)</f>
        <v>870</v>
      </c>
      <c r="G101" s="1218" t="n">
        <f aca="false">IF($C$1&gt;H$1,0,'Previsión de negocio'!G85*'Previsión de negocio'!G88)</f>
        <v>870</v>
      </c>
      <c r="H101" s="1218" t="n">
        <f aca="false">IF($C$1&gt;I$1,0,'Previsión de negocio'!H85*'Previsión de negocio'!H88)</f>
        <v>870</v>
      </c>
      <c r="I101" s="1218" t="n">
        <f aca="false">IF($C$1&gt;J$1,0,'Previsión de negocio'!I85*'Previsión de negocio'!I88)</f>
        <v>870</v>
      </c>
      <c r="J101" s="1218" t="n">
        <f aca="false">IF($C$1&gt;K$1,0,'Previsión de negocio'!J85*'Previsión de negocio'!J88)</f>
        <v>870</v>
      </c>
      <c r="K101" s="1218" t="n">
        <f aca="false">IF($C$1&gt;L$1,0,'Previsión de negocio'!K85*'Previsión de negocio'!K88)</f>
        <v>870</v>
      </c>
      <c r="L101" s="1218" t="n">
        <f aca="false">IF($C$1&gt;M$1,0,'Previsión de negocio'!L85*'Previsión de negocio'!L88)</f>
        <v>870</v>
      </c>
      <c r="M101" s="1218" t="n">
        <f aca="false">IF($C$1&gt;N$1,0,'Previsión de negocio'!M85*'Previsión de negocio'!M88)</f>
        <v>870</v>
      </c>
      <c r="N101" s="1218" t="n">
        <f aca="false">IF($C$1&gt;O$1,0,'Previsión de negocio'!N85*'Previsión de negocio'!N88)</f>
        <v>870</v>
      </c>
      <c r="O101" s="1218" t="n">
        <f aca="false">IF($C$1&gt;P$1,0,'Previsión de negocio'!O85*'Previsión de negocio'!O88)</f>
        <v>870</v>
      </c>
      <c r="P101" s="1270" t="n">
        <f aca="false">SUM(D101:O101)</f>
        <v>10440</v>
      </c>
    </row>
    <row r="102" s="23" customFormat="true" ht="12.75" hidden="false" customHeight="false" outlineLevel="0" collapsed="false">
      <c r="B102" s="1271" t="str">
        <f aca="false">B23</f>
        <v>Total</v>
      </c>
      <c r="C102" s="1272"/>
      <c r="D102" s="1082" t="n">
        <f aca="false">SUM(D92:D101)</f>
        <v>12733</v>
      </c>
      <c r="E102" s="583" t="n">
        <f aca="false">SUM(E92:E101)</f>
        <v>12733</v>
      </c>
      <c r="F102" s="583" t="n">
        <f aca="false">SUM(F92:F101)</f>
        <v>12733</v>
      </c>
      <c r="G102" s="583" t="n">
        <f aca="false">SUM(G92:G101)</f>
        <v>12733</v>
      </c>
      <c r="H102" s="583" t="n">
        <f aca="false">SUM(H92:H101)</f>
        <v>12733</v>
      </c>
      <c r="I102" s="583" t="n">
        <f aca="false">SUM(I92:I101)</f>
        <v>12733</v>
      </c>
      <c r="J102" s="583" t="n">
        <f aca="false">SUM(J92:J101)</f>
        <v>12733</v>
      </c>
      <c r="K102" s="583" t="n">
        <f aca="false">SUM(K92:K101)</f>
        <v>12733</v>
      </c>
      <c r="L102" s="583" t="n">
        <f aca="false">SUM(L92:L101)</f>
        <v>12733</v>
      </c>
      <c r="M102" s="583" t="n">
        <f aca="false">SUM(M92:M101)</f>
        <v>12733</v>
      </c>
      <c r="N102" s="583" t="n">
        <f aca="false">SUM(N92:N101)</f>
        <v>12733</v>
      </c>
      <c r="O102" s="584" t="n">
        <f aca="false">SUM(O92:O101)</f>
        <v>12733</v>
      </c>
      <c r="P102" s="1270" t="n">
        <f aca="false">SUM(D102:O102)</f>
        <v>152796</v>
      </c>
    </row>
    <row r="103" customFormat="false" ht="12.75" hidden="false" customHeight="false" outlineLevel="0" collapsed="false">
      <c r="B103" s="1273" t="str">
        <f aca="false">B24</f>
        <v>IVA</v>
      </c>
      <c r="C103" s="1274"/>
      <c r="D103" s="1275" t="n">
        <f aca="false">IF('Datos generales'!$D$22&lt;=0,'Datos generales'!$D$16*D102,0)</f>
        <v>0</v>
      </c>
      <c r="E103" s="526" t="n">
        <f aca="false">IF('Datos generales'!$D$22&lt;=0,'Datos generales'!$D$16*E102,0)</f>
        <v>0</v>
      </c>
      <c r="F103" s="526" t="n">
        <f aca="false">IF('Datos generales'!$D$22&lt;=0,'Datos generales'!$D$16*F102,0)</f>
        <v>0</v>
      </c>
      <c r="G103" s="526" t="n">
        <f aca="false">IF('Datos generales'!$D$22&lt;=0,'Datos generales'!$D$16*G102,0)</f>
        <v>0</v>
      </c>
      <c r="H103" s="526" t="n">
        <f aca="false">IF('Datos generales'!$D$22&lt;=0,'Datos generales'!$D$16*H102,0)</f>
        <v>0</v>
      </c>
      <c r="I103" s="526" t="n">
        <f aca="false">IF('Datos generales'!$D$22&lt;=0,'Datos generales'!$D$16*I102,0)</f>
        <v>0</v>
      </c>
      <c r="J103" s="526" t="n">
        <f aca="false">IF('Datos generales'!$D$22&lt;=0,'Datos generales'!$D$16*J102,0)</f>
        <v>0</v>
      </c>
      <c r="K103" s="526" t="n">
        <f aca="false">IF('Datos generales'!$D$22&lt;=0,'Datos generales'!$D$16*K102,0)</f>
        <v>0</v>
      </c>
      <c r="L103" s="526" t="n">
        <f aca="false">IF('Datos generales'!$D$22&lt;=0,'Datos generales'!$D$16*L102,0)</f>
        <v>0</v>
      </c>
      <c r="M103" s="526" t="n">
        <f aca="false">IF('Datos generales'!$D$22&lt;=0,'Datos generales'!$D$16*M102,0)</f>
        <v>0</v>
      </c>
      <c r="N103" s="526" t="n">
        <f aca="false">IF('Datos generales'!$D$22&lt;=0,'Datos generales'!$D$16*N102,0)</f>
        <v>0</v>
      </c>
      <c r="O103" s="1076" t="n">
        <f aca="false">IF('Datos generales'!$D$22&lt;=0,'Datos generales'!$D$16*O102,0)</f>
        <v>0</v>
      </c>
      <c r="P103" s="1270" t="n">
        <f aca="false">SUM(D103:O103)</f>
        <v>0</v>
      </c>
    </row>
    <row r="104" customFormat="false" ht="12.75" hidden="false" customHeight="false" outlineLevel="0" collapsed="false">
      <c r="B104" s="1276" t="s">
        <v>731</v>
      </c>
      <c r="C104" s="362"/>
      <c r="D104" s="982" t="n">
        <f aca="false">D102+D103</f>
        <v>12733</v>
      </c>
      <c r="E104" s="362" t="n">
        <f aca="false">E102+E103</f>
        <v>12733</v>
      </c>
      <c r="F104" s="362" t="n">
        <f aca="false">F102+F103</f>
        <v>12733</v>
      </c>
      <c r="G104" s="362" t="n">
        <f aca="false">G102+G103</f>
        <v>12733</v>
      </c>
      <c r="H104" s="362" t="n">
        <f aca="false">H102+H103</f>
        <v>12733</v>
      </c>
      <c r="I104" s="362" t="n">
        <f aca="false">I102+I103</f>
        <v>12733</v>
      </c>
      <c r="J104" s="362" t="n">
        <f aca="false">J102+J103</f>
        <v>12733</v>
      </c>
      <c r="K104" s="362" t="n">
        <f aca="false">K102+K103</f>
        <v>12733</v>
      </c>
      <c r="L104" s="362" t="n">
        <f aca="false">L102+L103</f>
        <v>12733</v>
      </c>
      <c r="M104" s="362" t="n">
        <f aca="false">M102+M103</f>
        <v>12733</v>
      </c>
      <c r="N104" s="362" t="n">
        <f aca="false">N102+N103</f>
        <v>12733</v>
      </c>
      <c r="O104" s="580" t="n">
        <f aca="false">O102+O103</f>
        <v>12733</v>
      </c>
      <c r="P104" s="980" t="n">
        <f aca="false">SUM(D104:O104)</f>
        <v>152796</v>
      </c>
    </row>
    <row r="105" customFormat="false" ht="25.5" hidden="false" customHeight="true" outlineLevel="0" collapsed="false">
      <c r="B105" s="1277" t="s">
        <v>732</v>
      </c>
      <c r="C105" s="1277"/>
      <c r="D105" s="1278"/>
      <c r="E105" s="267"/>
      <c r="F105" s="267"/>
      <c r="G105" s="267"/>
      <c r="H105" s="267"/>
      <c r="I105" s="267"/>
      <c r="J105" s="267"/>
      <c r="K105" s="267"/>
      <c r="L105" s="267"/>
      <c r="M105" s="267"/>
      <c r="N105" s="267"/>
      <c r="O105" s="1279"/>
      <c r="P105" s="1280"/>
    </row>
    <row r="106" customFormat="false" ht="12.75" hidden="false" customHeight="false" outlineLevel="0" collapsed="false">
      <c r="B106" s="1266" t="str">
        <f aca="false">B13</f>
        <v>Pienso para perro adulto 12 kg</v>
      </c>
      <c r="C106" s="1279"/>
      <c r="D106" s="1218" t="n">
        <f aca="false">IF($C$1&gt;E1,0,'Previsión de negocio'!D35)</f>
        <v>0</v>
      </c>
      <c r="E106" s="1218" t="n">
        <f aca="false">IF($C$1&gt;F1,0,'Previsión de negocio'!E35)</f>
        <v>0</v>
      </c>
      <c r="F106" s="1218" t="n">
        <f aca="false">IF($C$1&gt;G1,0,'Previsión de negocio'!F35)</f>
        <v>0</v>
      </c>
      <c r="G106" s="1218" t="n">
        <f aca="false">IF($C$1&gt;H1,0,'Previsión de negocio'!G35)</f>
        <v>0</v>
      </c>
      <c r="H106" s="1218" t="n">
        <f aca="false">IF($C$1&gt;I1,0,'Previsión de negocio'!H35)</f>
        <v>0</v>
      </c>
      <c r="I106" s="1218" t="n">
        <f aca="false">IF($C$1&gt;J1,0,'Previsión de negocio'!I35)</f>
        <v>0</v>
      </c>
      <c r="J106" s="1218" t="n">
        <f aca="false">IF($C$1&gt;K1,0,'Previsión de negocio'!J35)</f>
        <v>0</v>
      </c>
      <c r="K106" s="1218" t="n">
        <f aca="false">IF($C$1&gt;L1,0,'Previsión de negocio'!K35)</f>
        <v>0</v>
      </c>
      <c r="L106" s="1218" t="n">
        <f aca="false">IF($C$1&gt;M1,0,'Previsión de negocio'!L35)</f>
        <v>0</v>
      </c>
      <c r="M106" s="1218" t="n">
        <f aca="false">IF($C$1&gt;N1,0,'Previsión de negocio'!M35)</f>
        <v>0</v>
      </c>
      <c r="N106" s="1218" t="n">
        <f aca="false">IF($C$1&gt;O1,0,'Previsión de negocio'!N35)</f>
        <v>0</v>
      </c>
      <c r="O106" s="1218" t="n">
        <f aca="false">IF($C$1&gt;P1,0,'Previsión de negocio'!O35)</f>
        <v>0</v>
      </c>
      <c r="P106" s="1268" t="n">
        <f aca="false">SUM(D106:O106)</f>
        <v>0</v>
      </c>
    </row>
    <row r="107" customFormat="false" ht="12.75" hidden="false" customHeight="false" outlineLevel="0" collapsed="false">
      <c r="B107" s="1266" t="str">
        <f aca="false">B14</f>
        <v>Pienso para gato adulto 10 kg</v>
      </c>
      <c r="C107" s="1279"/>
      <c r="D107" s="1218" t="n">
        <f aca="false">IF($C$1&gt;E1,0,'Previsión de negocio'!D41)</f>
        <v>0</v>
      </c>
      <c r="E107" s="1218" t="n">
        <f aca="false">IF($C$1&gt;F1,0,'Previsión de negocio'!E41)</f>
        <v>0</v>
      </c>
      <c r="F107" s="1218" t="n">
        <f aca="false">IF($C$1&gt;G1,0,'Previsión de negocio'!F41)</f>
        <v>0</v>
      </c>
      <c r="G107" s="1218" t="n">
        <f aca="false">IF($C$1&gt;H1,0,'Previsión de negocio'!G41)</f>
        <v>0</v>
      </c>
      <c r="H107" s="1218" t="n">
        <f aca="false">IF($C$1&gt;I1,0,'Previsión de negocio'!H41)</f>
        <v>0</v>
      </c>
      <c r="I107" s="1218" t="n">
        <f aca="false">IF($C$1&gt;J1,0,'Previsión de negocio'!I41)</f>
        <v>0</v>
      </c>
      <c r="J107" s="1218" t="n">
        <f aca="false">IF($C$1&gt;K1,0,'Previsión de negocio'!J41)</f>
        <v>0</v>
      </c>
      <c r="K107" s="1218" t="n">
        <f aca="false">IF($C$1&gt;L1,0,'Previsión de negocio'!K41)</f>
        <v>0</v>
      </c>
      <c r="L107" s="1218" t="n">
        <f aca="false">IF($C$1&gt;M1,0,'Previsión de negocio'!L41)</f>
        <v>0</v>
      </c>
      <c r="M107" s="1218" t="n">
        <f aca="false">IF($C$1&gt;N1,0,'Previsión de negocio'!M41)</f>
        <v>0</v>
      </c>
      <c r="N107" s="1218" t="n">
        <f aca="false">IF($C$1&gt;O1,0,'Previsión de negocio'!N41)</f>
        <v>0</v>
      </c>
      <c r="O107" s="1218" t="n">
        <f aca="false">IF($C$1&gt;P1,0,'Previsión de negocio'!O41)</f>
        <v>0</v>
      </c>
      <c r="P107" s="1268" t="n">
        <f aca="false">SUM(D107:O107)</f>
        <v>0</v>
      </c>
    </row>
    <row r="108" customFormat="false" ht="12.75" hidden="false" customHeight="false" outlineLevel="0" collapsed="false">
      <c r="B108" s="1266" t="str">
        <f aca="false">B15</f>
        <v>Pienso para loros 12 kg</v>
      </c>
      <c r="C108" s="1279"/>
      <c r="D108" s="1218" t="n">
        <f aca="false">IF($C$1&gt;E1,0,'Previsión de negocio'!D47)</f>
        <v>0</v>
      </c>
      <c r="E108" s="1218" t="n">
        <f aca="false">IF($C$1&gt;F1,0,'Previsión de negocio'!E47)</f>
        <v>0</v>
      </c>
      <c r="F108" s="1218" t="n">
        <f aca="false">IF($C$1&gt;G1,0,'Previsión de negocio'!F47)</f>
        <v>0</v>
      </c>
      <c r="G108" s="1218" t="n">
        <f aca="false">IF($C$1&gt;H1,0,'Previsión de negocio'!G47)</f>
        <v>0</v>
      </c>
      <c r="H108" s="1218" t="n">
        <f aca="false">IF($C$1&gt;I1,0,'Previsión de negocio'!H47)</f>
        <v>0</v>
      </c>
      <c r="I108" s="1218" t="n">
        <f aca="false">IF($C$1&gt;J1,0,'Previsión de negocio'!I47)</f>
        <v>0</v>
      </c>
      <c r="J108" s="1218" t="n">
        <f aca="false">IF($C$1&gt;K1,0,'Previsión de negocio'!J47)</f>
        <v>0</v>
      </c>
      <c r="K108" s="1218" t="n">
        <f aca="false">IF($C$1&gt;L1,0,'Previsión de negocio'!K47)</f>
        <v>0</v>
      </c>
      <c r="L108" s="1218" t="n">
        <f aca="false">IF($C$1&gt;M1,0,'Previsión de negocio'!L47)</f>
        <v>0</v>
      </c>
      <c r="M108" s="1218" t="n">
        <f aca="false">IF($C$1&gt;N1,0,'Previsión de negocio'!M47)</f>
        <v>0</v>
      </c>
      <c r="N108" s="1218" t="n">
        <f aca="false">IF($C$1&gt;O1,0,'Previsión de negocio'!N47)</f>
        <v>0</v>
      </c>
      <c r="O108" s="1218" t="n">
        <f aca="false">IF($C$1&gt;P1,0,'Previsión de negocio'!O47)</f>
        <v>0</v>
      </c>
      <c r="P108" s="1268" t="n">
        <f aca="false">SUM(D108:O108)</f>
        <v>0</v>
      </c>
    </row>
    <row r="109" customFormat="false" ht="12.75" hidden="false" customHeight="false" outlineLevel="0" collapsed="false">
      <c r="B109" s="1266" t="str">
        <f aca="false">B16</f>
        <v>Pienso para cobayas 3 kg</v>
      </c>
      <c r="C109" s="1279"/>
      <c r="D109" s="1218" t="n">
        <f aca="false">IF($C$1&gt;E1,0,'Previsión de negocio'!D53)</f>
        <v>0</v>
      </c>
      <c r="E109" s="1218" t="n">
        <f aca="false">IF($C$1&gt;F1,0,'Previsión de negocio'!E53)</f>
        <v>0</v>
      </c>
      <c r="F109" s="1218" t="n">
        <f aca="false">IF($C$1&gt;G1,0,'Previsión de negocio'!F53)</f>
        <v>0</v>
      </c>
      <c r="G109" s="1218" t="n">
        <f aca="false">IF($C$1&gt;H1,0,'Previsión de negocio'!G53)</f>
        <v>0</v>
      </c>
      <c r="H109" s="1218" t="n">
        <f aca="false">IF($C$1&gt;I1,0,'Previsión de negocio'!H53)</f>
        <v>0</v>
      </c>
      <c r="I109" s="1218" t="n">
        <f aca="false">IF($C$1&gt;J1,0,'Previsión de negocio'!I53)</f>
        <v>0</v>
      </c>
      <c r="J109" s="1218" t="n">
        <f aca="false">IF($C$1&gt;K1,0,'Previsión de negocio'!J53)</f>
        <v>0</v>
      </c>
      <c r="K109" s="1218" t="n">
        <f aca="false">IF($C$1&gt;L1,0,'Previsión de negocio'!K53)</f>
        <v>0</v>
      </c>
      <c r="L109" s="1218" t="n">
        <f aca="false">IF($C$1&gt;M1,0,'Previsión de negocio'!L53)</f>
        <v>0</v>
      </c>
      <c r="M109" s="1218" t="n">
        <f aca="false">IF($C$1&gt;N1,0,'Previsión de negocio'!M53)</f>
        <v>0</v>
      </c>
      <c r="N109" s="1218" t="n">
        <f aca="false">IF($C$1&gt;O1,0,'Previsión de negocio'!N53)</f>
        <v>0</v>
      </c>
      <c r="O109" s="1218" t="n">
        <f aca="false">IF($C$1&gt;P1,0,'Previsión de negocio'!O53)</f>
        <v>0</v>
      </c>
      <c r="P109" s="1268" t="n">
        <f aca="false">SUM(D109:O109)</f>
        <v>0</v>
      </c>
    </row>
    <row r="110" customFormat="false" ht="12.75" hidden="false" customHeight="false" outlineLevel="0" collapsed="false">
      <c r="B110" s="1266" t="str">
        <f aca="false">B17</f>
        <v>Pienso para conejo adulto 1,75 kg</v>
      </c>
      <c r="C110" s="1279"/>
      <c r="D110" s="1218" t="n">
        <f aca="false">IF($C$1&gt;E1,0,'Previsión de negocio'!D59)</f>
        <v>0</v>
      </c>
      <c r="E110" s="1218" t="n">
        <f aca="false">IF($C$1&gt;F1,0,'Previsión de negocio'!E59)</f>
        <v>0</v>
      </c>
      <c r="F110" s="1218" t="n">
        <f aca="false">IF($C$1&gt;G1,0,'Previsión de negocio'!F59)</f>
        <v>0</v>
      </c>
      <c r="G110" s="1218" t="n">
        <f aca="false">IF($C$1&gt;H1,0,'Previsión de negocio'!G59)</f>
        <v>0</v>
      </c>
      <c r="H110" s="1218" t="n">
        <f aca="false">IF($C$1&gt;I1,0,'Previsión de negocio'!H59)</f>
        <v>0</v>
      </c>
      <c r="I110" s="1218" t="n">
        <f aca="false">IF($C$1&gt;J1,0,'Previsión de negocio'!I59)</f>
        <v>0</v>
      </c>
      <c r="J110" s="1218" t="n">
        <f aca="false">IF($C$1&gt;K1,0,'Previsión de negocio'!J59)</f>
        <v>0</v>
      </c>
      <c r="K110" s="1218" t="n">
        <f aca="false">IF($C$1&gt;L1,0,'Previsión de negocio'!K59)</f>
        <v>0</v>
      </c>
      <c r="L110" s="1218" t="n">
        <f aca="false">IF($C$1&gt;M1,0,'Previsión de negocio'!L59)</f>
        <v>0</v>
      </c>
      <c r="M110" s="1218" t="n">
        <f aca="false">IF($C$1&gt;N1,0,'Previsión de negocio'!M59)</f>
        <v>0</v>
      </c>
      <c r="N110" s="1218" t="n">
        <f aca="false">IF($C$1&gt;O1,0,'Previsión de negocio'!N59)</f>
        <v>0</v>
      </c>
      <c r="O110" s="1218" t="n">
        <f aca="false">IF($C$1&gt;P1,0,'Previsión de negocio'!O59)</f>
        <v>0</v>
      </c>
      <c r="P110" s="1268" t="n">
        <f aca="false">SUM(D110:O110)</f>
        <v>0</v>
      </c>
    </row>
    <row r="111" customFormat="false" ht="12.75" hidden="false" customHeight="false" outlineLevel="0" collapsed="false">
      <c r="B111" s="1266" t="str">
        <f aca="false">B18</f>
        <v>Pienso para hamsters 1 kg</v>
      </c>
      <c r="C111" s="1279"/>
      <c r="D111" s="1218" t="n">
        <f aca="false">IF($C$1&gt;E1,0,'Previsión de negocio'!D65)</f>
        <v>0</v>
      </c>
      <c r="E111" s="1218" t="n">
        <f aca="false">IF($C$1&gt;F1,0,'Previsión de negocio'!E65)</f>
        <v>0</v>
      </c>
      <c r="F111" s="1218" t="n">
        <f aca="false">IF($C$1&gt;G1,0,'Previsión de negocio'!F65)</f>
        <v>0</v>
      </c>
      <c r="G111" s="1218" t="n">
        <f aca="false">IF($C$1&gt;H1,0,'Previsión de negocio'!G65)</f>
        <v>0</v>
      </c>
      <c r="H111" s="1218" t="n">
        <f aca="false">IF($C$1&gt;I1,0,'Previsión de negocio'!H65)</f>
        <v>0</v>
      </c>
      <c r="I111" s="1218" t="n">
        <f aca="false">IF($C$1&gt;J1,0,'Previsión de negocio'!I65)</f>
        <v>0</v>
      </c>
      <c r="J111" s="1218" t="n">
        <f aca="false">IF($C$1&gt;K1,0,'Previsión de negocio'!J65)</f>
        <v>0</v>
      </c>
      <c r="K111" s="1218" t="n">
        <f aca="false">IF($C$1&gt;L1,0,'Previsión de negocio'!K65)</f>
        <v>0</v>
      </c>
      <c r="L111" s="1218" t="n">
        <f aca="false">IF($C$1&gt;M1,0,'Previsión de negocio'!L65)</f>
        <v>0</v>
      </c>
      <c r="M111" s="1218" t="n">
        <f aca="false">IF($C$1&gt;N1,0,'Previsión de negocio'!M65)</f>
        <v>0</v>
      </c>
      <c r="N111" s="1218" t="n">
        <f aca="false">IF($C$1&gt;O1,0,'Previsión de negocio'!N65)</f>
        <v>0</v>
      </c>
      <c r="O111" s="1218" t="n">
        <f aca="false">IF($C$1&gt;P1,0,'Previsión de negocio'!O65)</f>
        <v>0</v>
      </c>
      <c r="P111" s="1268" t="n">
        <f aca="false">SUM(D111:O111)</f>
        <v>0</v>
      </c>
    </row>
    <row r="112" customFormat="false" ht="12.75" hidden="false" customHeight="false" outlineLevel="0" collapsed="false">
      <c r="B112" s="1266" t="str">
        <f aca="false">B19</f>
        <v>Pienso natural para perro 3 kg</v>
      </c>
      <c r="C112" s="1279"/>
      <c r="D112" s="1218" t="n">
        <f aca="false">IF($C$1&gt;E1,0,'Previsión de negocio'!D71)</f>
        <v>0</v>
      </c>
      <c r="E112" s="1218" t="n">
        <f aca="false">IF($C$1&gt;F1,0,'Previsión de negocio'!E71)</f>
        <v>0</v>
      </c>
      <c r="F112" s="1218" t="n">
        <f aca="false">IF($C$1&gt;G1,0,'Previsión de negocio'!F71)</f>
        <v>0</v>
      </c>
      <c r="G112" s="1218" t="n">
        <f aca="false">IF($C$1&gt;H1,0,'Previsión de negocio'!G71)</f>
        <v>0</v>
      </c>
      <c r="H112" s="1218" t="n">
        <f aca="false">IF($C$1&gt;I1,0,'Previsión de negocio'!H71)</f>
        <v>0</v>
      </c>
      <c r="I112" s="1218" t="n">
        <f aca="false">IF($C$1&gt;J1,0,'Previsión de negocio'!I71)</f>
        <v>0</v>
      </c>
      <c r="J112" s="1218" t="n">
        <f aca="false">IF($C$1&gt;K1,0,'Previsión de negocio'!J71)</f>
        <v>0</v>
      </c>
      <c r="K112" s="1218" t="n">
        <f aca="false">IF($C$1&gt;L1,0,'Previsión de negocio'!K71)</f>
        <v>0</v>
      </c>
      <c r="L112" s="1218" t="n">
        <f aca="false">IF($C$1&gt;M1,0,'Previsión de negocio'!L71)</f>
        <v>0</v>
      </c>
      <c r="M112" s="1218" t="n">
        <f aca="false">IF($C$1&gt;N1,0,'Previsión de negocio'!M71)</f>
        <v>0</v>
      </c>
      <c r="N112" s="1218" t="n">
        <f aca="false">IF($C$1&gt;O1,0,'Previsión de negocio'!N71)</f>
        <v>0</v>
      </c>
      <c r="O112" s="1218" t="n">
        <f aca="false">IF($C$1&gt;P1,0,'Previsión de negocio'!O71)</f>
        <v>0</v>
      </c>
      <c r="P112" s="1268" t="n">
        <f aca="false">SUM(D112:O112)</f>
        <v>0</v>
      </c>
    </row>
    <row r="113" customFormat="false" ht="12.75" hidden="false" customHeight="false" outlineLevel="0" collapsed="false">
      <c r="B113" s="1266" t="str">
        <f aca="false">B20</f>
        <v>Pienso natural para cachorros 6 kg</v>
      </c>
      <c r="C113" s="1279"/>
      <c r="D113" s="1218" t="n">
        <f aca="false">IF($C$1&gt;E1,0,'Previsión de negocio'!D77)</f>
        <v>0</v>
      </c>
      <c r="E113" s="1218" t="n">
        <f aca="false">IF($C$1&gt;F1,0,'Previsión de negocio'!E77)</f>
        <v>0</v>
      </c>
      <c r="F113" s="1218" t="n">
        <f aca="false">IF($C$1&gt;G1,0,'Previsión de negocio'!F77)</f>
        <v>0</v>
      </c>
      <c r="G113" s="1218" t="n">
        <f aca="false">IF($C$1&gt;H1,0,'Previsión de negocio'!G77)</f>
        <v>0</v>
      </c>
      <c r="H113" s="1218" t="n">
        <f aca="false">IF($C$1&gt;I1,0,'Previsión de negocio'!H77)</f>
        <v>0</v>
      </c>
      <c r="I113" s="1218" t="n">
        <f aca="false">IF($C$1&gt;J1,0,'Previsión de negocio'!I77)</f>
        <v>0</v>
      </c>
      <c r="J113" s="1218" t="n">
        <f aca="false">IF($C$1&gt;K1,0,'Previsión de negocio'!J77)</f>
        <v>0</v>
      </c>
      <c r="K113" s="1218" t="n">
        <f aca="false">IF($C$1&gt;L1,0,'Previsión de negocio'!K77)</f>
        <v>0</v>
      </c>
      <c r="L113" s="1218" t="n">
        <f aca="false">IF($C$1&gt;M1,0,'Previsión de negocio'!L77)</f>
        <v>0</v>
      </c>
      <c r="M113" s="1218" t="n">
        <f aca="false">IF($C$1&gt;N1,0,'Previsión de negocio'!M77)</f>
        <v>0</v>
      </c>
      <c r="N113" s="1218" t="n">
        <f aca="false">IF($C$1&gt;O1,0,'Previsión de negocio'!N77)</f>
        <v>0</v>
      </c>
      <c r="O113" s="1218" t="n">
        <f aca="false">IF($C$1&gt;P1,0,'Previsión de negocio'!O77)</f>
        <v>0</v>
      </c>
      <c r="P113" s="1268" t="n">
        <f aca="false">SUM(D113:O113)</f>
        <v>0</v>
      </c>
    </row>
    <row r="114" customFormat="false" ht="12.75" hidden="false" customHeight="false" outlineLevel="0" collapsed="false">
      <c r="B114" s="1266" t="str">
        <f aca="false">B21</f>
        <v>Menú natural semihúmedo perro</v>
      </c>
      <c r="C114" s="1279"/>
      <c r="D114" s="1218" t="n">
        <f aca="false">IF($C$1&gt;E1,0,'Previsión de negocio'!D83)</f>
        <v>0</v>
      </c>
      <c r="E114" s="1218" t="n">
        <f aca="false">IF($C$1&gt;F1,0,'Previsión de negocio'!E83)</f>
        <v>0</v>
      </c>
      <c r="F114" s="1218" t="n">
        <f aca="false">IF($C$1&gt;G1,0,'Previsión de negocio'!F83)</f>
        <v>0</v>
      </c>
      <c r="G114" s="1218" t="n">
        <f aca="false">IF($C$1&gt;H1,0,'Previsión de negocio'!G83)</f>
        <v>0</v>
      </c>
      <c r="H114" s="1218" t="n">
        <f aca="false">IF($C$1&gt;I1,0,'Previsión de negocio'!H83)</f>
        <v>0</v>
      </c>
      <c r="I114" s="1218" t="n">
        <f aca="false">IF($C$1&gt;J1,0,'Previsión de negocio'!I83)</f>
        <v>0</v>
      </c>
      <c r="J114" s="1218" t="n">
        <f aca="false">IF($C$1&gt;K1,0,'Previsión de negocio'!J83)</f>
        <v>0</v>
      </c>
      <c r="K114" s="1218" t="n">
        <f aca="false">IF($C$1&gt;L1,0,'Previsión de negocio'!K83)</f>
        <v>0</v>
      </c>
      <c r="L114" s="1218" t="n">
        <f aca="false">IF($C$1&gt;M1,0,'Previsión de negocio'!L83)</f>
        <v>0</v>
      </c>
      <c r="M114" s="1218" t="n">
        <f aca="false">IF($C$1&gt;N1,0,'Previsión de negocio'!M83)</f>
        <v>0</v>
      </c>
      <c r="N114" s="1218" t="n">
        <f aca="false">IF($C$1&gt;O1,0,'Previsión de negocio'!N83)</f>
        <v>0</v>
      </c>
      <c r="O114" s="1218" t="n">
        <f aca="false">IF($C$1&gt;P1,0,'Previsión de negocio'!O83)</f>
        <v>0</v>
      </c>
      <c r="P114" s="1268" t="n">
        <f aca="false">SUM(D114:O114)</f>
        <v>0</v>
      </c>
    </row>
    <row r="115" customFormat="false" ht="12.75" hidden="false" customHeight="false" outlineLevel="0" collapsed="false">
      <c r="B115" s="1266" t="str">
        <f aca="false">B22</f>
        <v>Comida húmeda para gatos 26 pouches</v>
      </c>
      <c r="C115" s="1279"/>
      <c r="D115" s="1218" t="n">
        <f aca="false">IF($C$1&gt;E1,0,'Previsión de negocio'!D89)</f>
        <v>0</v>
      </c>
      <c r="E115" s="1218" t="n">
        <f aca="false">IF($C$1&gt;F1,0,'Previsión de negocio'!E89)</f>
        <v>0</v>
      </c>
      <c r="F115" s="1218" t="n">
        <f aca="false">IF($C$1&gt;G1,0,'Previsión de negocio'!F89)</f>
        <v>0</v>
      </c>
      <c r="G115" s="1218" t="n">
        <f aca="false">IF($C$1&gt;H1,0,'Previsión de negocio'!G89)</f>
        <v>0</v>
      </c>
      <c r="H115" s="1218" t="n">
        <f aca="false">IF($C$1&gt;I1,0,'Previsión de negocio'!H89)</f>
        <v>0</v>
      </c>
      <c r="I115" s="1218" t="n">
        <f aca="false">IF($C$1&gt;J1,0,'Previsión de negocio'!I89)</f>
        <v>0</v>
      </c>
      <c r="J115" s="1218" t="n">
        <f aca="false">IF($C$1&gt;K1,0,'Previsión de negocio'!J89)</f>
        <v>0</v>
      </c>
      <c r="K115" s="1218" t="n">
        <f aca="false">IF($C$1&gt;L1,0,'Previsión de negocio'!K89)</f>
        <v>0</v>
      </c>
      <c r="L115" s="1218" t="n">
        <f aca="false">IF($C$1&gt;M1,0,'Previsión de negocio'!L89)</f>
        <v>0</v>
      </c>
      <c r="M115" s="1218" t="n">
        <f aca="false">IF($C$1&gt;N1,0,'Previsión de negocio'!M89)</f>
        <v>0</v>
      </c>
      <c r="N115" s="1218" t="n">
        <f aca="false">IF($C$1&gt;O1,0,'Previsión de negocio'!N89)</f>
        <v>0</v>
      </c>
      <c r="O115" s="1218" t="n">
        <f aca="false">IF($C$1&gt;P1,0,'Previsión de negocio'!O89)</f>
        <v>0</v>
      </c>
      <c r="P115" s="1268" t="n">
        <f aca="false">SUM(D115:O115)</f>
        <v>0</v>
      </c>
    </row>
    <row r="116" customFormat="false" ht="12.75" hidden="false" customHeight="false" outlineLevel="0" collapsed="false">
      <c r="B116" s="1271" t="str">
        <f aca="false">B23</f>
        <v>Total</v>
      </c>
      <c r="C116" s="267"/>
      <c r="D116" s="1082" t="n">
        <f aca="false">SUM(D106:D115)</f>
        <v>0</v>
      </c>
      <c r="E116" s="583" t="n">
        <f aca="false">SUM(E106:E115)</f>
        <v>0</v>
      </c>
      <c r="F116" s="583" t="n">
        <f aca="false">SUM(F106:F115)</f>
        <v>0</v>
      </c>
      <c r="G116" s="583" t="n">
        <f aca="false">SUM(G106:G115)</f>
        <v>0</v>
      </c>
      <c r="H116" s="583" t="n">
        <f aca="false">SUM(H106:H115)</f>
        <v>0</v>
      </c>
      <c r="I116" s="583" t="n">
        <f aca="false">SUM(I106:I115)</f>
        <v>0</v>
      </c>
      <c r="J116" s="583" t="n">
        <f aca="false">SUM(J106:J115)</f>
        <v>0</v>
      </c>
      <c r="K116" s="583" t="n">
        <f aca="false">SUM(K106:K115)</f>
        <v>0</v>
      </c>
      <c r="L116" s="583" t="n">
        <f aca="false">SUM(L106:L115)</f>
        <v>0</v>
      </c>
      <c r="M116" s="583" t="n">
        <f aca="false">SUM(M106:M115)</f>
        <v>0</v>
      </c>
      <c r="N116" s="583" t="n">
        <f aca="false">SUM(N106:N115)</f>
        <v>0</v>
      </c>
      <c r="O116" s="584" t="n">
        <f aca="false">SUM(O106:O115)</f>
        <v>0</v>
      </c>
      <c r="P116" s="1270" t="n">
        <f aca="false">SUM(D116:O116)</f>
        <v>0</v>
      </c>
      <c r="Q116" s="23"/>
    </row>
    <row r="117" customFormat="false" ht="12.75" hidden="false" customHeight="false" outlineLevel="0" collapsed="false">
      <c r="B117" s="1266" t="str">
        <f aca="false">B24</f>
        <v>IVA</v>
      </c>
      <c r="C117" s="267"/>
      <c r="D117" s="1275" t="n">
        <f aca="false">IF('Datos generales'!$D$22&lt;=0,'Datos generales'!$D$19*D116,0)</f>
        <v>0</v>
      </c>
      <c r="E117" s="1275" t="n">
        <f aca="false">IF('Datos generales'!$D$22&lt;=0,'Datos generales'!$D$19*E116,0)</f>
        <v>0</v>
      </c>
      <c r="F117" s="1275" t="n">
        <f aca="false">IF('Datos generales'!$D$22&lt;=0,'Datos generales'!$D$19*F116,0)</f>
        <v>0</v>
      </c>
      <c r="G117" s="1275" t="n">
        <f aca="false">IF('Datos generales'!$D$22&lt;=0,'Datos generales'!$D$19*G116,0)</f>
        <v>0</v>
      </c>
      <c r="H117" s="1275" t="n">
        <f aca="false">IF('Datos generales'!$D$22&lt;=0,'Datos generales'!$D$19*H116,0)</f>
        <v>0</v>
      </c>
      <c r="I117" s="1275" t="n">
        <f aca="false">IF('Datos generales'!$D$22&lt;=0,'Datos generales'!$D$19*I116,0)</f>
        <v>0</v>
      </c>
      <c r="J117" s="1275" t="n">
        <f aca="false">IF('Datos generales'!$D$22&lt;=0,'Datos generales'!$D$19*J116,0)</f>
        <v>0</v>
      </c>
      <c r="K117" s="1275" t="n">
        <f aca="false">IF('Datos generales'!$D$22&lt;=0,'Datos generales'!$D$19*K116,0)</f>
        <v>0</v>
      </c>
      <c r="L117" s="1275" t="n">
        <f aca="false">IF('Datos generales'!$D$22&lt;=0,'Datos generales'!$D$19*L116,0)</f>
        <v>0</v>
      </c>
      <c r="M117" s="1275" t="n">
        <f aca="false">IF('Datos generales'!$D$22&lt;=0,'Datos generales'!$D$19*M116,0)</f>
        <v>0</v>
      </c>
      <c r="N117" s="1275" t="n">
        <f aca="false">IF('Datos generales'!$D$22&lt;=0,'Datos generales'!$D$19*N116,0)</f>
        <v>0</v>
      </c>
      <c r="O117" s="1275" t="n">
        <f aca="false">IF('Datos generales'!$D$22&lt;=0,'Datos generales'!$D$19*O116,0)</f>
        <v>0</v>
      </c>
      <c r="P117" s="1270" t="n">
        <f aca="false">SUM(D117:O117)</f>
        <v>0</v>
      </c>
    </row>
    <row r="118" customFormat="false" ht="25.5" hidden="false" customHeight="true" outlineLevel="0" collapsed="false">
      <c r="B118" s="1281" t="s">
        <v>733</v>
      </c>
      <c r="C118" s="1281"/>
      <c r="D118" s="982" t="n">
        <f aca="false">D116+D117</f>
        <v>0</v>
      </c>
      <c r="E118" s="362" t="n">
        <f aca="false">E116+E117</f>
        <v>0</v>
      </c>
      <c r="F118" s="362" t="n">
        <f aca="false">F116+F117</f>
        <v>0</v>
      </c>
      <c r="G118" s="362" t="n">
        <f aca="false">G116+G117</f>
        <v>0</v>
      </c>
      <c r="H118" s="362" t="n">
        <f aca="false">H116+H117</f>
        <v>0</v>
      </c>
      <c r="I118" s="362" t="n">
        <f aca="false">I116+I117</f>
        <v>0</v>
      </c>
      <c r="J118" s="362" t="n">
        <f aca="false">J116+J117</f>
        <v>0</v>
      </c>
      <c r="K118" s="362" t="n">
        <f aca="false">K116+K117</f>
        <v>0</v>
      </c>
      <c r="L118" s="362" t="n">
        <f aca="false">L116+L117</f>
        <v>0</v>
      </c>
      <c r="M118" s="362" t="n">
        <f aca="false">M116+M117</f>
        <v>0</v>
      </c>
      <c r="N118" s="362" t="n">
        <f aca="false">N116+N117</f>
        <v>0</v>
      </c>
      <c r="O118" s="580" t="n">
        <f aca="false">O116+O117</f>
        <v>0</v>
      </c>
      <c r="P118" s="980" t="n">
        <f aca="false">SUM(D118:O118)</f>
        <v>0</v>
      </c>
    </row>
    <row r="119" customFormat="false" ht="25.5" hidden="false" customHeight="true" outlineLevel="0" collapsed="false">
      <c r="B119" s="1282" t="s">
        <v>143</v>
      </c>
      <c r="C119" s="1282"/>
      <c r="D119" s="267"/>
      <c r="E119" s="267"/>
      <c r="F119" s="267"/>
      <c r="G119" s="267"/>
      <c r="H119" s="267"/>
      <c r="I119" s="267"/>
      <c r="J119" s="267"/>
      <c r="K119" s="267"/>
      <c r="L119" s="267"/>
      <c r="M119" s="267"/>
      <c r="N119" s="267"/>
      <c r="O119" s="1279"/>
      <c r="P119" s="1280"/>
    </row>
    <row r="120" customFormat="false" ht="15" hidden="false" customHeight="true" outlineLevel="0" collapsed="false">
      <c r="B120" s="1283" t="str">
        <f aca="false">B28</f>
        <v>Transporte</v>
      </c>
      <c r="C120" s="1284" t="n">
        <f aca="false">'Previsión de negocio'!D222</f>
        <v>0.05</v>
      </c>
      <c r="D120" s="1285" t="n">
        <f aca="false">'Presupuesto de ventas'!D$60*$C120</f>
        <v>892.9</v>
      </c>
      <c r="E120" s="563" t="n">
        <f aca="false">'Presupuesto de ventas'!E$60*$C120</f>
        <v>892.9</v>
      </c>
      <c r="F120" s="563" t="n">
        <f aca="false">'Presupuesto de ventas'!F$60*$C120</f>
        <v>892.9</v>
      </c>
      <c r="G120" s="563" t="n">
        <f aca="false">'Presupuesto de ventas'!G$60*$C120</f>
        <v>892.9</v>
      </c>
      <c r="H120" s="563" t="n">
        <f aca="false">'Presupuesto de ventas'!H$60*$C120</f>
        <v>892.9</v>
      </c>
      <c r="I120" s="563" t="n">
        <f aca="false">'Presupuesto de ventas'!I$60*$C120</f>
        <v>892.9</v>
      </c>
      <c r="J120" s="563" t="n">
        <f aca="false">'Presupuesto de ventas'!J$60*$C120</f>
        <v>892.9</v>
      </c>
      <c r="K120" s="563" t="n">
        <f aca="false">'Presupuesto de ventas'!K$60*$C120</f>
        <v>892.9</v>
      </c>
      <c r="L120" s="563" t="n">
        <f aca="false">'Presupuesto de ventas'!L$60*$C120</f>
        <v>892.9</v>
      </c>
      <c r="M120" s="563" t="n">
        <f aca="false">'Presupuesto de ventas'!M$60*$C120</f>
        <v>892.9</v>
      </c>
      <c r="N120" s="563" t="n">
        <f aca="false">'Presupuesto de ventas'!N$60*$C120</f>
        <v>892.9</v>
      </c>
      <c r="O120" s="1274" t="n">
        <f aca="false">'Presupuesto de ventas'!O$60*$C120</f>
        <v>892.9</v>
      </c>
      <c r="P120" s="1268" t="n">
        <f aca="false">SUM(D120:O120)</f>
        <v>10714.8</v>
      </c>
    </row>
    <row r="121" customFormat="false" ht="12.75" hidden="false" customHeight="false" outlineLevel="0" collapsed="false">
      <c r="B121" s="1283" t="str">
        <f aca="false">B29</f>
        <v>Comisiones</v>
      </c>
      <c r="C121" s="1284" t="n">
        <f aca="false">'Previsión de negocio'!D223</f>
        <v>0</v>
      </c>
      <c r="D121" s="1275" t="n">
        <f aca="false">'Presupuesto de ventas'!D$60*$C121</f>
        <v>0</v>
      </c>
      <c r="E121" s="526" t="n">
        <f aca="false">'Presupuesto de ventas'!E$60*$C121</f>
        <v>0</v>
      </c>
      <c r="F121" s="526" t="n">
        <f aca="false">'Presupuesto de ventas'!F$60*$C121</f>
        <v>0</v>
      </c>
      <c r="G121" s="526" t="n">
        <f aca="false">'Presupuesto de ventas'!G$60*$C121</f>
        <v>0</v>
      </c>
      <c r="H121" s="526" t="n">
        <f aca="false">'Presupuesto de ventas'!H$60*$C121</f>
        <v>0</v>
      </c>
      <c r="I121" s="526" t="n">
        <f aca="false">'Presupuesto de ventas'!I$60*$C121</f>
        <v>0</v>
      </c>
      <c r="J121" s="526" t="n">
        <f aca="false">'Presupuesto de ventas'!J$60*$C121</f>
        <v>0</v>
      </c>
      <c r="K121" s="526" t="n">
        <f aca="false">'Presupuesto de ventas'!K$60*$C121</f>
        <v>0</v>
      </c>
      <c r="L121" s="526" t="n">
        <f aca="false">'Presupuesto de ventas'!L$60*$C121</f>
        <v>0</v>
      </c>
      <c r="M121" s="526" t="n">
        <f aca="false">'Presupuesto de ventas'!M$60*$C121</f>
        <v>0</v>
      </c>
      <c r="N121" s="526" t="n">
        <f aca="false">'Presupuesto de ventas'!N$60*$C121</f>
        <v>0</v>
      </c>
      <c r="O121" s="1076" t="n">
        <f aca="false">'Presupuesto de ventas'!O$60*$C121</f>
        <v>0</v>
      </c>
      <c r="P121" s="1270" t="n">
        <f aca="false">SUM(D121:O121)</f>
        <v>0</v>
      </c>
    </row>
    <row r="122" customFormat="false" ht="12.75" hidden="false" customHeight="false" outlineLevel="0" collapsed="false">
      <c r="B122" s="1283" t="str">
        <f aca="false">B30</f>
        <v>Embalajes</v>
      </c>
      <c r="C122" s="1284" t="n">
        <f aca="false">'Previsión de negocio'!D224</f>
        <v>0</v>
      </c>
      <c r="D122" s="1275" t="n">
        <f aca="false">'Presupuesto de ventas'!D$60*$C122</f>
        <v>0</v>
      </c>
      <c r="E122" s="526" t="n">
        <f aca="false">'Presupuesto de ventas'!E$60*$C122</f>
        <v>0</v>
      </c>
      <c r="F122" s="526" t="n">
        <f aca="false">'Presupuesto de ventas'!F$60*$C122</f>
        <v>0</v>
      </c>
      <c r="G122" s="526" t="n">
        <f aca="false">'Presupuesto de ventas'!G$60*$C122</f>
        <v>0</v>
      </c>
      <c r="H122" s="526" t="n">
        <f aca="false">'Presupuesto de ventas'!H$60*$C122</f>
        <v>0</v>
      </c>
      <c r="I122" s="526" t="n">
        <f aca="false">'Presupuesto de ventas'!I$60*$C122</f>
        <v>0</v>
      </c>
      <c r="J122" s="526" t="n">
        <f aca="false">'Presupuesto de ventas'!J$60*$C122</f>
        <v>0</v>
      </c>
      <c r="K122" s="526" t="n">
        <f aca="false">'Presupuesto de ventas'!K$60*$C122</f>
        <v>0</v>
      </c>
      <c r="L122" s="526" t="n">
        <f aca="false">'Presupuesto de ventas'!L$60*$C122</f>
        <v>0</v>
      </c>
      <c r="M122" s="526" t="n">
        <f aca="false">'Presupuesto de ventas'!M$60*$C122</f>
        <v>0</v>
      </c>
      <c r="N122" s="526" t="n">
        <f aca="false">'Presupuesto de ventas'!N$60*$C122</f>
        <v>0</v>
      </c>
      <c r="O122" s="1076" t="n">
        <f aca="false">'Presupuesto de ventas'!O$60*$C122</f>
        <v>0</v>
      </c>
      <c r="P122" s="1270" t="n">
        <f aca="false">SUM(D122:O122)</f>
        <v>0</v>
      </c>
    </row>
    <row r="123" customFormat="false" ht="12.75" hidden="false" customHeight="false" outlineLevel="0" collapsed="false">
      <c r="B123" s="1283" t="str">
        <f aca="false">B31</f>
        <v>Otros costes variables</v>
      </c>
      <c r="C123" s="1284" t="n">
        <f aca="false">'Previsión de negocio'!D225</f>
        <v>0</v>
      </c>
      <c r="D123" s="1275" t="n">
        <f aca="false">'Presupuesto de ventas'!D$60*$C123</f>
        <v>0</v>
      </c>
      <c r="E123" s="526" t="n">
        <f aca="false">'Presupuesto de ventas'!E$60*$C123</f>
        <v>0</v>
      </c>
      <c r="F123" s="526" t="n">
        <f aca="false">'Presupuesto de ventas'!F$60*$C123</f>
        <v>0</v>
      </c>
      <c r="G123" s="526" t="n">
        <f aca="false">'Presupuesto de ventas'!G$60*$C123</f>
        <v>0</v>
      </c>
      <c r="H123" s="526" t="n">
        <f aca="false">'Presupuesto de ventas'!H$60*$C123</f>
        <v>0</v>
      </c>
      <c r="I123" s="526" t="n">
        <f aca="false">'Presupuesto de ventas'!I$60*$C123</f>
        <v>0</v>
      </c>
      <c r="J123" s="526" t="n">
        <f aca="false">'Presupuesto de ventas'!J$60*$C123</f>
        <v>0</v>
      </c>
      <c r="K123" s="526" t="n">
        <f aca="false">'Presupuesto de ventas'!K$60*$C123</f>
        <v>0</v>
      </c>
      <c r="L123" s="526" t="n">
        <f aca="false">'Presupuesto de ventas'!L$60*$C123</f>
        <v>0</v>
      </c>
      <c r="M123" s="526" t="n">
        <f aca="false">'Presupuesto de ventas'!M$60*$C123</f>
        <v>0</v>
      </c>
      <c r="N123" s="526" t="n">
        <f aca="false">'Presupuesto de ventas'!N$60*$C123</f>
        <v>0</v>
      </c>
      <c r="O123" s="1076" t="n">
        <f aca="false">'Presupuesto de ventas'!O$60*$C123</f>
        <v>0</v>
      </c>
      <c r="P123" s="1270" t="n">
        <f aca="false">SUM(D123:O123)</f>
        <v>0</v>
      </c>
    </row>
    <row r="124" customFormat="false" ht="12.75" hidden="false" customHeight="false" outlineLevel="0" collapsed="false">
      <c r="B124" s="1283" t="n">
        <f aca="false">B32</f>
        <v>0</v>
      </c>
      <c r="C124" s="1284" t="n">
        <f aca="false">'Previsión de negocio'!D226</f>
        <v>0</v>
      </c>
      <c r="D124" s="1275" t="n">
        <f aca="false">'Presupuesto de ventas'!D$60*$C124</f>
        <v>0</v>
      </c>
      <c r="E124" s="526" t="n">
        <f aca="false">'Presupuesto de ventas'!E$60*$C124</f>
        <v>0</v>
      </c>
      <c r="F124" s="526" t="n">
        <f aca="false">'Presupuesto de ventas'!F$60*$C124</f>
        <v>0</v>
      </c>
      <c r="G124" s="526" t="n">
        <f aca="false">'Presupuesto de ventas'!G$60*$C124</f>
        <v>0</v>
      </c>
      <c r="H124" s="526" t="n">
        <f aca="false">'Presupuesto de ventas'!H$60*$C124</f>
        <v>0</v>
      </c>
      <c r="I124" s="526" t="n">
        <f aca="false">'Presupuesto de ventas'!I$60*$C124</f>
        <v>0</v>
      </c>
      <c r="J124" s="526" t="n">
        <f aca="false">'Presupuesto de ventas'!J$60*$C124</f>
        <v>0</v>
      </c>
      <c r="K124" s="526" t="n">
        <f aca="false">'Presupuesto de ventas'!K$60*$C124</f>
        <v>0</v>
      </c>
      <c r="L124" s="526" t="n">
        <f aca="false">'Presupuesto de ventas'!L$60*$C124</f>
        <v>0</v>
      </c>
      <c r="M124" s="526" t="n">
        <f aca="false">'Presupuesto de ventas'!M$60*$C124</f>
        <v>0</v>
      </c>
      <c r="N124" s="526" t="n">
        <f aca="false">'Presupuesto de ventas'!N$60*$C124</f>
        <v>0</v>
      </c>
      <c r="O124" s="1076" t="n">
        <f aca="false">'Presupuesto de ventas'!O$60*$C124</f>
        <v>0</v>
      </c>
      <c r="P124" s="1270" t="n">
        <f aca="false">SUM(D124:O124)</f>
        <v>0</v>
      </c>
    </row>
    <row r="125" customFormat="false" ht="12.75" hidden="false" customHeight="false" outlineLevel="0" collapsed="false">
      <c r="B125" s="1283" t="n">
        <f aca="false">B33</f>
        <v>0</v>
      </c>
      <c r="C125" s="1284" t="n">
        <f aca="false">'Previsión de negocio'!D227</f>
        <v>0</v>
      </c>
      <c r="D125" s="1275" t="n">
        <f aca="false">'Presupuesto de ventas'!D$60*$C125</f>
        <v>0</v>
      </c>
      <c r="E125" s="526" t="n">
        <f aca="false">'Presupuesto de ventas'!E$60*$C125</f>
        <v>0</v>
      </c>
      <c r="F125" s="526" t="n">
        <f aca="false">'Presupuesto de ventas'!F$60*$C125</f>
        <v>0</v>
      </c>
      <c r="G125" s="526" t="n">
        <f aca="false">'Presupuesto de ventas'!G$60*$C125</f>
        <v>0</v>
      </c>
      <c r="H125" s="526" t="n">
        <f aca="false">'Presupuesto de ventas'!H$60*$C125</f>
        <v>0</v>
      </c>
      <c r="I125" s="526" t="n">
        <f aca="false">'Presupuesto de ventas'!I$60*$C125</f>
        <v>0</v>
      </c>
      <c r="J125" s="526" t="n">
        <f aca="false">'Presupuesto de ventas'!J$60*$C125</f>
        <v>0</v>
      </c>
      <c r="K125" s="526" t="n">
        <f aca="false">'Presupuesto de ventas'!K$60*$C125</f>
        <v>0</v>
      </c>
      <c r="L125" s="526" t="n">
        <f aca="false">'Presupuesto de ventas'!L$60*$C125</f>
        <v>0</v>
      </c>
      <c r="M125" s="526" t="n">
        <f aca="false">'Presupuesto de ventas'!M$60*$C125</f>
        <v>0</v>
      </c>
      <c r="N125" s="526" t="n">
        <f aca="false">'Presupuesto de ventas'!N$60*$C125</f>
        <v>0</v>
      </c>
      <c r="O125" s="1076" t="n">
        <f aca="false">'Presupuesto de ventas'!O$60*$C125</f>
        <v>0</v>
      </c>
      <c r="P125" s="1270" t="n">
        <f aca="false">SUM(D125:O125)</f>
        <v>0</v>
      </c>
    </row>
    <row r="126" s="23" customFormat="true" ht="12.75" hidden="false" customHeight="false" outlineLevel="0" collapsed="false">
      <c r="B126" s="1286" t="str">
        <f aca="false">B34</f>
        <v>Total</v>
      </c>
      <c r="C126" s="1287"/>
      <c r="D126" s="1082" t="n">
        <f aca="false">SUM(D120:D125)</f>
        <v>892.9</v>
      </c>
      <c r="E126" s="583" t="n">
        <f aca="false">SUM(E120:E125)</f>
        <v>892.9</v>
      </c>
      <c r="F126" s="583" t="n">
        <f aca="false">SUM(F120:F125)</f>
        <v>892.9</v>
      </c>
      <c r="G126" s="583" t="n">
        <f aca="false">SUM(G120:G125)</f>
        <v>892.9</v>
      </c>
      <c r="H126" s="583" t="n">
        <f aca="false">SUM(H120:H125)</f>
        <v>892.9</v>
      </c>
      <c r="I126" s="583" t="n">
        <f aca="false">SUM(I120:I125)</f>
        <v>892.9</v>
      </c>
      <c r="J126" s="583" t="n">
        <f aca="false">SUM(J120:J125)</f>
        <v>892.9</v>
      </c>
      <c r="K126" s="583" t="n">
        <f aca="false">SUM(K120:K125)</f>
        <v>892.9</v>
      </c>
      <c r="L126" s="583" t="n">
        <f aca="false">SUM(L120:L125)</f>
        <v>892.9</v>
      </c>
      <c r="M126" s="583" t="n">
        <f aca="false">SUM(M120:M125)</f>
        <v>892.9</v>
      </c>
      <c r="N126" s="583" t="n">
        <f aca="false">SUM(N120:N125)</f>
        <v>892.9</v>
      </c>
      <c r="O126" s="584" t="n">
        <f aca="false">SUM(O120:O125)</f>
        <v>892.9</v>
      </c>
      <c r="P126" s="1270" t="n">
        <f aca="false">SUM(D126:O126)</f>
        <v>10714.8</v>
      </c>
    </row>
    <row r="127" customFormat="false" ht="12.75" hidden="false" customHeight="false" outlineLevel="0" collapsed="false">
      <c r="B127" s="1273" t="str">
        <f aca="false">B35</f>
        <v>IVA</v>
      </c>
      <c r="C127" s="1288"/>
      <c r="D127" s="1275" t="n">
        <f aca="false">IF('Datos generales'!$D$22&lt;=0,'Datos generales'!$D$19*D126,0)</f>
        <v>0</v>
      </c>
      <c r="E127" s="526" t="n">
        <f aca="false">IF('Datos generales'!$D$22&lt;=0,'Datos generales'!$D$19*E126,0)</f>
        <v>0</v>
      </c>
      <c r="F127" s="526" t="n">
        <f aca="false">IF('Datos generales'!$D$22&lt;=0,'Datos generales'!$D$19*F126,0)</f>
        <v>0</v>
      </c>
      <c r="G127" s="526" t="n">
        <f aca="false">IF('Datos generales'!$D$22&lt;=0,'Datos generales'!$D$19*G126,0)</f>
        <v>0</v>
      </c>
      <c r="H127" s="526" t="n">
        <f aca="false">IF('Datos generales'!$D$22&lt;=0,'Datos generales'!$D$19*H126,0)</f>
        <v>0</v>
      </c>
      <c r="I127" s="526" t="n">
        <f aca="false">IF('Datos generales'!$D$22&lt;=0,'Datos generales'!$D$19*I126,0)</f>
        <v>0</v>
      </c>
      <c r="J127" s="526" t="n">
        <f aca="false">IF('Datos generales'!$D$22&lt;=0,'Datos generales'!$D$19*J126,0)</f>
        <v>0</v>
      </c>
      <c r="K127" s="526" t="n">
        <f aca="false">IF('Datos generales'!$D$22&lt;=0,'Datos generales'!$D$19*K126,0)</f>
        <v>0</v>
      </c>
      <c r="L127" s="526" t="n">
        <f aca="false">IF('Datos generales'!$D$22&lt;=0,'Datos generales'!$D$19*L126,0)</f>
        <v>0</v>
      </c>
      <c r="M127" s="526" t="n">
        <f aca="false">IF('Datos generales'!$D$22&lt;=0,'Datos generales'!$D$19*M126,0)</f>
        <v>0</v>
      </c>
      <c r="N127" s="526" t="n">
        <f aca="false">IF('Datos generales'!$D$22&lt;=0,'Datos generales'!$D$19*N126,0)</f>
        <v>0</v>
      </c>
      <c r="O127" s="526" t="n">
        <f aca="false">IF('Datos generales'!$D$22&lt;=0,'Datos generales'!$D$19*O126,0)</f>
        <v>0</v>
      </c>
      <c r="P127" s="1270" t="n">
        <f aca="false">SUM(D127:O127)</f>
        <v>0</v>
      </c>
    </row>
    <row r="128" customFormat="false" ht="12.75" hidden="false" customHeight="false" outlineLevel="0" collapsed="false">
      <c r="B128" s="1289" t="str">
        <f aca="false">B36</f>
        <v>Total costes variables s/ ventas:</v>
      </c>
      <c r="C128" s="1228"/>
      <c r="D128" s="982" t="n">
        <f aca="false">D126+D127</f>
        <v>892.9</v>
      </c>
      <c r="E128" s="362" t="n">
        <f aca="false">E126+E127</f>
        <v>892.9</v>
      </c>
      <c r="F128" s="362" t="n">
        <f aca="false">F126+F127</f>
        <v>892.9</v>
      </c>
      <c r="G128" s="362" t="n">
        <f aca="false">G126+G127</f>
        <v>892.9</v>
      </c>
      <c r="H128" s="362" t="n">
        <f aca="false">H126+H127</f>
        <v>892.9</v>
      </c>
      <c r="I128" s="362" t="n">
        <f aca="false">I126+I127</f>
        <v>892.9</v>
      </c>
      <c r="J128" s="362" t="n">
        <f aca="false">J126+J127</f>
        <v>892.9</v>
      </c>
      <c r="K128" s="362" t="n">
        <f aca="false">K126+K127</f>
        <v>892.9</v>
      </c>
      <c r="L128" s="362" t="n">
        <f aca="false">L126+L127</f>
        <v>892.9</v>
      </c>
      <c r="M128" s="362" t="n">
        <f aca="false">M126+M127</f>
        <v>892.9</v>
      </c>
      <c r="N128" s="362" t="n">
        <f aca="false">N126+N127</f>
        <v>892.9</v>
      </c>
      <c r="O128" s="580" t="n">
        <f aca="false">O126+O127</f>
        <v>892.9</v>
      </c>
      <c r="P128" s="980" t="n">
        <f aca="false">SUM(D128:O128)</f>
        <v>10714.8</v>
      </c>
    </row>
    <row r="129" customFormat="false" ht="7.5" hidden="false" customHeight="true" outlineLevel="0" collapsed="false">
      <c r="B129" s="1290"/>
      <c r="C129" s="1291"/>
      <c r="D129" s="267"/>
      <c r="E129" s="267"/>
      <c r="F129" s="267"/>
      <c r="G129" s="267"/>
      <c r="H129" s="267"/>
      <c r="I129" s="267"/>
      <c r="J129" s="267"/>
      <c r="K129" s="267"/>
      <c r="L129" s="267"/>
      <c r="M129" s="267"/>
      <c r="N129" s="267"/>
      <c r="O129" s="267"/>
      <c r="P129" s="267"/>
    </row>
    <row r="130" customFormat="false" ht="15" hidden="false" customHeight="false" outlineLevel="0" collapsed="false">
      <c r="B130" s="1237" t="str">
        <f aca="false">B38</f>
        <v>Total costes variables:</v>
      </c>
      <c r="C130" s="1238"/>
      <c r="D130" s="1292" t="n">
        <f aca="false">+D104+D118+D128</f>
        <v>13625.9</v>
      </c>
      <c r="E130" s="1292" t="n">
        <f aca="false">+E104+E118+E128</f>
        <v>13625.9</v>
      </c>
      <c r="F130" s="1292" t="n">
        <f aca="false">+F104+F118+F128</f>
        <v>13625.9</v>
      </c>
      <c r="G130" s="1292" t="n">
        <f aca="false">+G104+G118+G128</f>
        <v>13625.9</v>
      </c>
      <c r="H130" s="1292" t="n">
        <f aca="false">+H104+H118+H128</f>
        <v>13625.9</v>
      </c>
      <c r="I130" s="1292" t="n">
        <f aca="false">+I104+I118+I128</f>
        <v>13625.9</v>
      </c>
      <c r="J130" s="1292" t="n">
        <f aca="false">+J104+J118+J128</f>
        <v>13625.9</v>
      </c>
      <c r="K130" s="1292" t="n">
        <f aca="false">+K104+K118+K128</f>
        <v>13625.9</v>
      </c>
      <c r="L130" s="1292" t="n">
        <f aca="false">+L104+L118+L128</f>
        <v>13625.9</v>
      </c>
      <c r="M130" s="1292" t="n">
        <f aca="false">+M104+M118+M128</f>
        <v>13625.9</v>
      </c>
      <c r="N130" s="1292" t="n">
        <f aca="false">+N104+N118+N128</f>
        <v>13625.9</v>
      </c>
      <c r="O130" s="1292" t="n">
        <f aca="false">+O104+O118+O128</f>
        <v>13625.9</v>
      </c>
      <c r="P130" s="1293" t="n">
        <f aca="false">+P104+P118+P128</f>
        <v>163510.8</v>
      </c>
    </row>
    <row r="132" s="104" customFormat="true" ht="12.75" hidden="true" customHeight="false" outlineLevel="0" collapsed="false">
      <c r="B132" s="104" t="s">
        <v>734</v>
      </c>
      <c r="C132" s="1294" t="s">
        <v>303</v>
      </c>
      <c r="D132" s="1294" t="s">
        <v>304</v>
      </c>
      <c r="E132" s="1294" t="s">
        <v>305</v>
      </c>
      <c r="F132" s="1294" t="s">
        <v>127</v>
      </c>
      <c r="G132" s="1294" t="s">
        <v>128</v>
      </c>
      <c r="H132" s="1294" t="s">
        <v>129</v>
      </c>
      <c r="I132" s="1294" t="s">
        <v>130</v>
      </c>
      <c r="J132" s="1294" t="s">
        <v>306</v>
      </c>
      <c r="K132" s="1294" t="s">
        <v>307</v>
      </c>
      <c r="L132" s="1294" t="s">
        <v>308</v>
      </c>
      <c r="M132" s="1294" t="s">
        <v>309</v>
      </c>
      <c r="N132" s="1294" t="s">
        <v>310</v>
      </c>
      <c r="O132" s="1295" t="n">
        <f aca="false">'Datos generales'!$P$10</f>
        <v>2023</v>
      </c>
      <c r="P132" s="104" t="s">
        <v>735</v>
      </c>
    </row>
    <row r="133" s="104" customFormat="true" ht="12.75" hidden="true" customHeight="false" outlineLevel="0" collapsed="false">
      <c r="B133" s="104" t="str">
        <f aca="false">B92</f>
        <v>Pienso para perro adulto 12 kg</v>
      </c>
      <c r="C133" s="104" t="n">
        <f aca="false">IF('Previsión de negocio'!$T234=E$1,'Previsión de negocio'!$F234,0)</f>
        <v>0</v>
      </c>
      <c r="D133" s="104" t="n">
        <f aca="false">IF('Previsión de negocio'!$T234=F$1,'Previsión de negocio'!$F234,0)</f>
        <v>0</v>
      </c>
      <c r="E133" s="104" t="n">
        <f aca="false">IF('Previsión de negocio'!$T234=G$1,'Previsión de negocio'!$F234,0)</f>
        <v>0</v>
      </c>
      <c r="F133" s="104" t="n">
        <f aca="false">IF('Previsión de negocio'!$T234=H$1,'Previsión de negocio'!$F234,0)</f>
        <v>0</v>
      </c>
      <c r="G133" s="104" t="n">
        <f aca="false">IF('Previsión de negocio'!$T234=I$1,'Previsión de negocio'!$F234,0)</f>
        <v>0</v>
      </c>
      <c r="H133" s="104" t="n">
        <f aca="false">IF('Previsión de negocio'!$T234=J$1,'Previsión de negocio'!$F234,0)</f>
        <v>0</v>
      </c>
      <c r="I133" s="104" t="n">
        <f aca="false">IF('Previsión de negocio'!$T234=K$1,'Previsión de negocio'!$F234,0)</f>
        <v>0</v>
      </c>
      <c r="J133" s="104" t="n">
        <f aca="false">IF('Previsión de negocio'!$T234=L$1,'Previsión de negocio'!$F234,0)</f>
        <v>0</v>
      </c>
      <c r="K133" s="104" t="n">
        <f aca="false">IF('Previsión de negocio'!$T234=M$1,'Previsión de negocio'!$F234,0)</f>
        <v>0</v>
      </c>
      <c r="L133" s="104" t="n">
        <f aca="false">IF('Previsión de negocio'!$T234=N$1,'Previsión de negocio'!$F234,0)</f>
        <v>0</v>
      </c>
      <c r="M133" s="104" t="n">
        <f aca="false">IF('Previsión de negocio'!$T234=O$1,'Previsión de negocio'!$F234,0)</f>
        <v>0</v>
      </c>
      <c r="N133" s="104" t="n">
        <f aca="false">IF('Previsión de negocio'!$T234=P$1,'Previsión de negocio'!$F234,0)</f>
        <v>0</v>
      </c>
      <c r="O133" s="1296" t="n">
        <f aca="false">SUM(C133:N133)</f>
        <v>0</v>
      </c>
      <c r="P133" s="104" t="n">
        <f aca="false">IF('Previsión de negocio'!S234=$O$132,IF('Previsión de negocio'!D234=1,'Previsión de negocio'!E234,'Previsión de negocio'!D234*'Previsión de negocio'!O34),0)</f>
        <v>2475</v>
      </c>
    </row>
    <row r="134" s="104" customFormat="true" ht="12.75" hidden="true" customHeight="false" outlineLevel="0" collapsed="false">
      <c r="B134" s="104" t="str">
        <f aca="false">B93</f>
        <v>Pienso para gato adulto 10 kg</v>
      </c>
      <c r="C134" s="104" t="n">
        <f aca="false">IF('Previsión de negocio'!$T235=E$1,'Previsión de negocio'!$F235,0)</f>
        <v>0</v>
      </c>
      <c r="D134" s="104" t="n">
        <f aca="false">IF('Previsión de negocio'!$T235=F$1,'Previsión de negocio'!$F235,0)</f>
        <v>0</v>
      </c>
      <c r="E134" s="104" t="n">
        <f aca="false">IF('Previsión de negocio'!$T235=G$1,'Previsión de negocio'!$F235,0)</f>
        <v>0</v>
      </c>
      <c r="F134" s="104" t="n">
        <f aca="false">IF('Previsión de negocio'!$T235=H$1,'Previsión de negocio'!$F235,0)</f>
        <v>0</v>
      </c>
      <c r="G134" s="104" t="n">
        <f aca="false">IF('Previsión de negocio'!$T235=I$1,'Previsión de negocio'!$F235,0)</f>
        <v>0</v>
      </c>
      <c r="H134" s="104" t="n">
        <f aca="false">IF('Previsión de negocio'!$T235=J$1,'Previsión de negocio'!$F235,0)</f>
        <v>0</v>
      </c>
      <c r="I134" s="104" t="n">
        <f aca="false">IF('Previsión de negocio'!$T235=K$1,'Previsión de negocio'!$F235,0)</f>
        <v>0</v>
      </c>
      <c r="J134" s="104" t="n">
        <f aca="false">IF('Previsión de negocio'!$T235=L$1,'Previsión de negocio'!$F235,0)</f>
        <v>0</v>
      </c>
      <c r="K134" s="104" t="n">
        <f aca="false">IF('Previsión de negocio'!$T235=M$1,'Previsión de negocio'!$F235,0)</f>
        <v>0</v>
      </c>
      <c r="L134" s="104" t="n">
        <f aca="false">IF('Previsión de negocio'!$T235=N$1,'Previsión de negocio'!$F235,0)</f>
        <v>0</v>
      </c>
      <c r="M134" s="104" t="n">
        <f aca="false">IF('Previsión de negocio'!$T235=O$1,'Previsión de negocio'!$F235,0)</f>
        <v>0</v>
      </c>
      <c r="N134" s="104" t="n">
        <f aca="false">IF('Previsión de negocio'!$T235=P$1,'Previsión de negocio'!$F235,0)</f>
        <v>0</v>
      </c>
      <c r="O134" s="1296" t="n">
        <f aca="false">SUM(C134:N134)</f>
        <v>0</v>
      </c>
      <c r="P134" s="104" t="n">
        <f aca="false">IF('Previsión de negocio'!S235=$O$132,IF('Previsión de negocio'!D235=1,'Previsión de negocio'!E235,'Previsión de negocio'!D235*'Previsión de negocio'!O40),0)</f>
        <v>2025</v>
      </c>
    </row>
    <row r="135" s="104" customFormat="true" ht="12.75" hidden="true" customHeight="false" outlineLevel="0" collapsed="false">
      <c r="B135" s="104" t="str">
        <f aca="false">B94</f>
        <v>Pienso para loros 12 kg</v>
      </c>
      <c r="C135" s="104" t="n">
        <f aca="false">IF('Previsión de negocio'!$T236=E$1,'Previsión de negocio'!$F236,0)</f>
        <v>0</v>
      </c>
      <c r="D135" s="104" t="n">
        <f aca="false">IF('Previsión de negocio'!$T236=F$1,'Previsión de negocio'!$F236,0)</f>
        <v>0</v>
      </c>
      <c r="E135" s="104" t="n">
        <f aca="false">IF('Previsión de negocio'!$T236=G$1,'Previsión de negocio'!$F236,0)</f>
        <v>0</v>
      </c>
      <c r="F135" s="104" t="n">
        <f aca="false">IF('Previsión de negocio'!$T236=H$1,'Previsión de negocio'!$F236,0)</f>
        <v>0</v>
      </c>
      <c r="G135" s="104" t="n">
        <f aca="false">IF('Previsión de negocio'!$T236=I$1,'Previsión de negocio'!$F236,0)</f>
        <v>0</v>
      </c>
      <c r="H135" s="104" t="n">
        <f aca="false">IF('Previsión de negocio'!$T236=J$1,'Previsión de negocio'!$F236,0)</f>
        <v>0</v>
      </c>
      <c r="I135" s="104" t="n">
        <f aca="false">IF('Previsión de negocio'!$T236=K$1,'Previsión de negocio'!$F236,0)</f>
        <v>0</v>
      </c>
      <c r="J135" s="104" t="n">
        <f aca="false">IF('Previsión de negocio'!$T236=L$1,'Previsión de negocio'!$F236,0)</f>
        <v>0</v>
      </c>
      <c r="K135" s="104" t="n">
        <f aca="false">IF('Previsión de negocio'!$T236=M$1,'Previsión de negocio'!$F236,0)</f>
        <v>0</v>
      </c>
      <c r="L135" s="104" t="n">
        <f aca="false">IF('Previsión de negocio'!$T236=N$1,'Previsión de negocio'!$F236,0)</f>
        <v>0</v>
      </c>
      <c r="M135" s="104" t="n">
        <f aca="false">IF('Previsión de negocio'!$T236=O$1,'Previsión de negocio'!$F236,0)</f>
        <v>0</v>
      </c>
      <c r="N135" s="104" t="n">
        <f aca="false">IF('Previsión de negocio'!$T236=P$1,'Previsión de negocio'!$F236,0)</f>
        <v>0</v>
      </c>
      <c r="O135" s="1296" t="n">
        <f aca="false">SUM(C135:N135)</f>
        <v>0</v>
      </c>
      <c r="P135" s="104" t="n">
        <f aca="false">IF('Previsión de negocio'!S236=$O$132,IF('Previsión de negocio'!D236=1,'Previsión de negocio'!E236,'Previsión de negocio'!D236*'Previsión de negocio'!O46),0)</f>
        <v>2145</v>
      </c>
    </row>
    <row r="136" s="104" customFormat="true" ht="12.75" hidden="true" customHeight="false" outlineLevel="0" collapsed="false">
      <c r="B136" s="104" t="str">
        <f aca="false">B95</f>
        <v>Pienso para cobayas 3 kg</v>
      </c>
      <c r="C136" s="104" t="n">
        <f aca="false">IF('Previsión de negocio'!$T237=E$1,'Previsión de negocio'!$F237,0)</f>
        <v>0</v>
      </c>
      <c r="D136" s="104" t="n">
        <f aca="false">IF('Previsión de negocio'!$T237=F$1,'Previsión de negocio'!$F237,0)</f>
        <v>0</v>
      </c>
      <c r="E136" s="104" t="n">
        <f aca="false">IF('Previsión de negocio'!$T237=G$1,'Previsión de negocio'!$F237,0)</f>
        <v>0</v>
      </c>
      <c r="F136" s="104" t="n">
        <f aca="false">IF('Previsión de negocio'!$T237=H$1,'Previsión de negocio'!$F237,0)</f>
        <v>0</v>
      </c>
      <c r="G136" s="104" t="n">
        <f aca="false">IF('Previsión de negocio'!$T237=I$1,'Previsión de negocio'!$F237,0)</f>
        <v>0</v>
      </c>
      <c r="H136" s="104" t="n">
        <f aca="false">IF('Previsión de negocio'!$T237=J$1,'Previsión de negocio'!$F237,0)</f>
        <v>0</v>
      </c>
      <c r="I136" s="104" t="n">
        <f aca="false">IF('Previsión de negocio'!$T237=K$1,'Previsión de negocio'!$F237,0)</f>
        <v>0</v>
      </c>
      <c r="J136" s="104" t="n">
        <f aca="false">IF('Previsión de negocio'!$T237=L$1,'Previsión de negocio'!$F237,0)</f>
        <v>0</v>
      </c>
      <c r="K136" s="104" t="n">
        <f aca="false">IF('Previsión de negocio'!$T237=M$1,'Previsión de negocio'!$F237,0)</f>
        <v>0</v>
      </c>
      <c r="L136" s="104" t="n">
        <f aca="false">IF('Previsión de negocio'!$T237=N$1,'Previsión de negocio'!$F237,0)</f>
        <v>0</v>
      </c>
      <c r="M136" s="104" t="n">
        <f aca="false">IF('Previsión de negocio'!$T237=O$1,'Previsión de negocio'!$F237,0)</f>
        <v>0</v>
      </c>
      <c r="N136" s="104" t="n">
        <f aca="false">IF('Previsión de negocio'!$T237=P$1,'Previsión de negocio'!$F237,0)</f>
        <v>0</v>
      </c>
      <c r="O136" s="1296" t="n">
        <f aca="false">SUM(C136:N136)</f>
        <v>0</v>
      </c>
      <c r="P136" s="104" t="n">
        <f aca="false">IF('Previsión de negocio'!S237=$O$132,IF('Previsión de negocio'!D237=1,'Previsión de negocio'!E237,'Previsión de negocio'!D237*'Previsión de negocio'!O52),0)</f>
        <v>664</v>
      </c>
    </row>
    <row r="137" s="104" customFormat="true" ht="12.75" hidden="true" customHeight="false" outlineLevel="0" collapsed="false">
      <c r="B137" s="104" t="str">
        <f aca="false">B96</f>
        <v>Pienso para conejo adulto 1,75 kg</v>
      </c>
      <c r="C137" s="104" t="n">
        <f aca="false">IF('Previsión de negocio'!$T238=E$1,'Previsión de negocio'!$F238,0)</f>
        <v>0</v>
      </c>
      <c r="D137" s="104" t="n">
        <f aca="false">IF('Previsión de negocio'!$T238=F$1,'Previsión de negocio'!$F238,0)</f>
        <v>0</v>
      </c>
      <c r="E137" s="104" t="n">
        <f aca="false">IF('Previsión de negocio'!$T238=G$1,'Previsión de negocio'!$F238,0)</f>
        <v>0</v>
      </c>
      <c r="F137" s="104" t="n">
        <f aca="false">IF('Previsión de negocio'!$T238=H$1,'Previsión de negocio'!$F238,0)</f>
        <v>0</v>
      </c>
      <c r="G137" s="104" t="n">
        <f aca="false">IF('Previsión de negocio'!$T238=I$1,'Previsión de negocio'!$F238,0)</f>
        <v>0</v>
      </c>
      <c r="H137" s="104" t="n">
        <f aca="false">IF('Previsión de negocio'!$T238=J$1,'Previsión de negocio'!$F238,0)</f>
        <v>0</v>
      </c>
      <c r="I137" s="104" t="n">
        <f aca="false">IF('Previsión de negocio'!$T238=K$1,'Previsión de negocio'!$F238,0)</f>
        <v>0</v>
      </c>
      <c r="J137" s="104" t="n">
        <f aca="false">IF('Previsión de negocio'!$T238=L$1,'Previsión de negocio'!$F238,0)</f>
        <v>0</v>
      </c>
      <c r="K137" s="104" t="n">
        <f aca="false">IF('Previsión de negocio'!$T238=M$1,'Previsión de negocio'!$F238,0)</f>
        <v>0</v>
      </c>
      <c r="L137" s="104" t="n">
        <f aca="false">IF('Previsión de negocio'!$T238=N$1,'Previsión de negocio'!$F238,0)</f>
        <v>0</v>
      </c>
      <c r="M137" s="104" t="n">
        <f aca="false">IF('Previsión de negocio'!$T238=O$1,'Previsión de negocio'!$F238,0)</f>
        <v>0</v>
      </c>
      <c r="N137" s="104" t="n">
        <f aca="false">IF('Previsión de negocio'!$T238=P$1,'Previsión de negocio'!$F238,0)</f>
        <v>0</v>
      </c>
      <c r="O137" s="1296" t="n">
        <f aca="false">SUM(C137:N137)</f>
        <v>0</v>
      </c>
      <c r="P137" s="104" t="n">
        <f aca="false">IF('Previsión de negocio'!S238=$O$132,IF('Previsión de negocio'!D238=1,'Previsión de negocio'!E238,'Previsión de negocio'!D238*'Previsión de negocio'!O58),0)</f>
        <v>532</v>
      </c>
    </row>
    <row r="138" s="104" customFormat="true" ht="12.75" hidden="true" customHeight="false" outlineLevel="0" collapsed="false">
      <c r="B138" s="104" t="str">
        <f aca="false">B97</f>
        <v>Pienso para hamsters 1 kg</v>
      </c>
      <c r="C138" s="104" t="n">
        <f aca="false">IF('Previsión de negocio'!$T239=E$1,'Previsión de negocio'!$F239,0)</f>
        <v>0</v>
      </c>
      <c r="D138" s="104" t="n">
        <f aca="false">IF('Previsión de negocio'!$T239=F$1,'Previsión de negocio'!$F239,0)</f>
        <v>0</v>
      </c>
      <c r="E138" s="104" t="n">
        <f aca="false">IF('Previsión de negocio'!$T239=G$1,'Previsión de negocio'!$F239,0)</f>
        <v>0</v>
      </c>
      <c r="F138" s="104" t="n">
        <f aca="false">IF('Previsión de negocio'!$T239=H$1,'Previsión de negocio'!$F239,0)</f>
        <v>0</v>
      </c>
      <c r="G138" s="104" t="n">
        <f aca="false">IF('Previsión de negocio'!$T239=I$1,'Previsión de negocio'!$F239,0)</f>
        <v>0</v>
      </c>
      <c r="H138" s="104" t="n">
        <f aca="false">IF('Previsión de negocio'!$T239=J$1,'Previsión de negocio'!$F239,0)</f>
        <v>0</v>
      </c>
      <c r="I138" s="104" t="n">
        <f aca="false">IF('Previsión de negocio'!$T239=K$1,'Previsión de negocio'!$F239,0)</f>
        <v>0</v>
      </c>
      <c r="J138" s="104" t="n">
        <f aca="false">IF('Previsión de negocio'!$T239=L$1,'Previsión de negocio'!$F239,0)</f>
        <v>0</v>
      </c>
      <c r="K138" s="104" t="n">
        <f aca="false">IF('Previsión de negocio'!$T239=M$1,'Previsión de negocio'!$F239,0)</f>
        <v>0</v>
      </c>
      <c r="L138" s="104" t="n">
        <f aca="false">IF('Previsión de negocio'!$T239=N$1,'Previsión de negocio'!$F239,0)</f>
        <v>0</v>
      </c>
      <c r="M138" s="104" t="n">
        <f aca="false">IF('Previsión de negocio'!$T239=O$1,'Previsión de negocio'!$F239,0)</f>
        <v>0</v>
      </c>
      <c r="N138" s="104" t="n">
        <f aca="false">IF('Previsión de negocio'!$T239=P$1,'Previsión de negocio'!$F239,0)</f>
        <v>0</v>
      </c>
      <c r="O138" s="1296" t="n">
        <f aca="false">SUM(C138:N138)</f>
        <v>0</v>
      </c>
      <c r="P138" s="104" t="n">
        <f aca="false">IF('Previsión de negocio'!S239=$O$132,IF('Previsión de negocio'!D239=1,'Previsión de negocio'!E239,'Previsión de negocio'!D239*'Previsión de negocio'!O64),0)</f>
        <v>742</v>
      </c>
    </row>
    <row r="139" s="104" customFormat="true" ht="12.75" hidden="true" customHeight="false" outlineLevel="0" collapsed="false">
      <c r="B139" s="104" t="str">
        <f aca="false">B98</f>
        <v>Pienso natural para perro 3 kg</v>
      </c>
      <c r="C139" s="104" t="n">
        <f aca="false">IF('Previsión de negocio'!$T240=E$1,'Previsión de negocio'!$F240,0)</f>
        <v>0</v>
      </c>
      <c r="D139" s="104" t="n">
        <f aca="false">IF('Previsión de negocio'!$T240=F$1,'Previsión de negocio'!$F240,0)</f>
        <v>0</v>
      </c>
      <c r="E139" s="104" t="n">
        <f aca="false">IF('Previsión de negocio'!$T240=G$1,'Previsión de negocio'!$F240,0)</f>
        <v>0</v>
      </c>
      <c r="F139" s="104" t="n">
        <f aca="false">IF('Previsión de negocio'!$T240=H$1,'Previsión de negocio'!$F240,0)</f>
        <v>0</v>
      </c>
      <c r="G139" s="104" t="n">
        <f aca="false">IF('Previsión de negocio'!$T240=I$1,'Previsión de negocio'!$F240,0)</f>
        <v>0</v>
      </c>
      <c r="H139" s="104" t="n">
        <f aca="false">IF('Previsión de negocio'!$T240=J$1,'Previsión de negocio'!$F240,0)</f>
        <v>0</v>
      </c>
      <c r="I139" s="104" t="n">
        <f aca="false">IF('Previsión de negocio'!$T240=K$1,'Previsión de negocio'!$F240,0)</f>
        <v>0</v>
      </c>
      <c r="J139" s="104" t="n">
        <f aca="false">IF('Previsión de negocio'!$T240=L$1,'Previsión de negocio'!$F240,0)</f>
        <v>0</v>
      </c>
      <c r="K139" s="104" t="n">
        <f aca="false">IF('Previsión de negocio'!$T240=M$1,'Previsión de negocio'!$F240,0)</f>
        <v>0</v>
      </c>
      <c r="L139" s="104" t="n">
        <f aca="false">IF('Previsión de negocio'!$T240=N$1,'Previsión de negocio'!$F240,0)</f>
        <v>0</v>
      </c>
      <c r="M139" s="104" t="n">
        <f aca="false">IF('Previsión de negocio'!$T240=O$1,'Previsión de negocio'!$F240,0)</f>
        <v>0</v>
      </c>
      <c r="N139" s="104" t="n">
        <f aca="false">IF('Previsión de negocio'!$T240=P$1,'Previsión de negocio'!$F240,0)</f>
        <v>0</v>
      </c>
      <c r="O139" s="1296" t="n">
        <f aca="false">SUM(C139:N139)</f>
        <v>0</v>
      </c>
      <c r="P139" s="104" t="n">
        <f aca="false">IF('Previsión de negocio'!S240=$O$132,IF('Previsión de negocio'!D240=1,'Previsión de negocio'!E240,'Previsión de negocio'!D240*'Previsión de negocio'!O70),0)</f>
        <v>612</v>
      </c>
    </row>
    <row r="140" s="104" customFormat="true" ht="12.75" hidden="true" customHeight="false" outlineLevel="0" collapsed="false">
      <c r="B140" s="104" t="str">
        <f aca="false">B99</f>
        <v>Pienso natural para cachorros 6 kg</v>
      </c>
      <c r="C140" s="104" t="n">
        <f aca="false">IF('Previsión de negocio'!$T241=E$1,'Previsión de negocio'!$F241,0)</f>
        <v>0</v>
      </c>
      <c r="D140" s="104" t="n">
        <f aca="false">IF('Previsión de negocio'!$T241=F$1,'Previsión de negocio'!$F241,0)</f>
        <v>0</v>
      </c>
      <c r="E140" s="104" t="n">
        <f aca="false">IF('Previsión de negocio'!$T241=G$1,'Previsión de negocio'!$F241,0)</f>
        <v>0</v>
      </c>
      <c r="F140" s="104" t="n">
        <f aca="false">IF('Previsión de negocio'!$T241=H$1,'Previsión de negocio'!$F241,0)</f>
        <v>0</v>
      </c>
      <c r="G140" s="104" t="n">
        <f aca="false">IF('Previsión de negocio'!$T241=I$1,'Previsión de negocio'!$F241,0)</f>
        <v>0</v>
      </c>
      <c r="H140" s="104" t="n">
        <f aca="false">IF('Previsión de negocio'!$T241=J$1,'Previsión de negocio'!$F241,0)</f>
        <v>0</v>
      </c>
      <c r="I140" s="104" t="n">
        <f aca="false">IF('Previsión de negocio'!$T241=K$1,'Previsión de negocio'!$F241,0)</f>
        <v>0</v>
      </c>
      <c r="J140" s="104" t="n">
        <f aca="false">IF('Previsión de negocio'!$T241=L$1,'Previsión de negocio'!$F241,0)</f>
        <v>0</v>
      </c>
      <c r="K140" s="104" t="n">
        <f aca="false">IF('Previsión de negocio'!$T241=M$1,'Previsión de negocio'!$F241,0)</f>
        <v>0</v>
      </c>
      <c r="L140" s="104" t="n">
        <f aca="false">IF('Previsión de negocio'!$T241=N$1,'Previsión de negocio'!$F241,0)</f>
        <v>0</v>
      </c>
      <c r="M140" s="104" t="n">
        <f aca="false">IF('Previsión de negocio'!$T241=O$1,'Previsión de negocio'!$F241,0)</f>
        <v>0</v>
      </c>
      <c r="N140" s="104" t="n">
        <f aca="false">IF('Previsión de negocio'!$T241=P$1,'Previsión de negocio'!$F241,0)</f>
        <v>0</v>
      </c>
      <c r="O140" s="1296" t="n">
        <f aca="false">SUM(C140:N140)</f>
        <v>0</v>
      </c>
      <c r="P140" s="104" t="n">
        <f aca="false">IF('Previsión de negocio'!S241=$O$132,IF('Previsión de negocio'!D241=1,'Previsión de negocio'!E241,'Previsión de negocio'!D241*'Previsión de negocio'!O76),0)</f>
        <v>1624</v>
      </c>
    </row>
    <row r="141" s="104" customFormat="true" ht="12.75" hidden="true" customHeight="false" outlineLevel="0" collapsed="false">
      <c r="B141" s="104" t="str">
        <f aca="false">B100</f>
        <v>Menú natural semihúmedo perro</v>
      </c>
      <c r="C141" s="104" t="n">
        <f aca="false">IF('Previsión de negocio'!$T242=E$1,'Previsión de negocio'!$F242,0)</f>
        <v>0</v>
      </c>
      <c r="D141" s="104" t="n">
        <f aca="false">IF('Previsión de negocio'!$T242=F$1,'Previsión de negocio'!$F242,0)</f>
        <v>0</v>
      </c>
      <c r="E141" s="104" t="n">
        <f aca="false">IF('Previsión de negocio'!$T242=G$1,'Previsión de negocio'!$F242,0)</f>
        <v>0</v>
      </c>
      <c r="F141" s="104" t="n">
        <f aca="false">IF('Previsión de negocio'!$T242=H$1,'Previsión de negocio'!$F242,0)</f>
        <v>0</v>
      </c>
      <c r="G141" s="104" t="n">
        <f aca="false">IF('Previsión de negocio'!$T242=I$1,'Previsión de negocio'!$F242,0)</f>
        <v>0</v>
      </c>
      <c r="H141" s="104" t="n">
        <f aca="false">IF('Previsión de negocio'!$T242=J$1,'Previsión de negocio'!$F242,0)</f>
        <v>0</v>
      </c>
      <c r="I141" s="104" t="n">
        <f aca="false">IF('Previsión de negocio'!$T242=K$1,'Previsión de negocio'!$F242,0)</f>
        <v>0</v>
      </c>
      <c r="J141" s="104" t="n">
        <f aca="false">IF('Previsión de negocio'!$T242=L$1,'Previsión de negocio'!$F242,0)</f>
        <v>0</v>
      </c>
      <c r="K141" s="104" t="n">
        <f aca="false">IF('Previsión de negocio'!$T242=M$1,'Previsión de negocio'!$F242,0)</f>
        <v>0</v>
      </c>
      <c r="L141" s="104" t="n">
        <f aca="false">IF('Previsión de negocio'!$T242=N$1,'Previsión de negocio'!$F242,0)</f>
        <v>0</v>
      </c>
      <c r="M141" s="104" t="n">
        <f aca="false">IF('Previsión de negocio'!$T242=O$1,'Previsión de negocio'!$F242,0)</f>
        <v>0</v>
      </c>
      <c r="N141" s="104" t="n">
        <f aca="false">IF('Previsión de negocio'!$T242=P$1,'Previsión de negocio'!$F242,0)</f>
        <v>0</v>
      </c>
      <c r="O141" s="1296" t="n">
        <f aca="false">SUM(C141:N141)</f>
        <v>0</v>
      </c>
      <c r="P141" s="104" t="n">
        <f aca="false">IF('Previsión de negocio'!S242=$O$132,IF('Previsión de negocio'!D242=1,'Previsión de negocio'!E242,'Previsión de negocio'!D242*'Previsión de negocio'!O82),0)</f>
        <v>909</v>
      </c>
    </row>
    <row r="142" s="104" customFormat="true" ht="12.75" hidden="true" customHeight="false" outlineLevel="0" collapsed="false">
      <c r="B142" s="104" t="str">
        <f aca="false">B101</f>
        <v>Comida húmeda para gatos 26 pouches</v>
      </c>
      <c r="C142" s="104" t="n">
        <f aca="false">IF('Previsión de negocio'!$T243=E$1,'Previsión de negocio'!$F243,0)</f>
        <v>0</v>
      </c>
      <c r="D142" s="104" t="n">
        <f aca="false">IF('Previsión de negocio'!$T243=F$1,'Previsión de negocio'!$F243,0)</f>
        <v>0</v>
      </c>
      <c r="E142" s="104" t="n">
        <f aca="false">IF('Previsión de negocio'!$T243=G$1,'Previsión de negocio'!$F243,0)</f>
        <v>0</v>
      </c>
      <c r="F142" s="104" t="n">
        <f aca="false">IF('Previsión de negocio'!$T243=H$1,'Previsión de negocio'!$F243,0)</f>
        <v>0</v>
      </c>
      <c r="G142" s="104" t="n">
        <f aca="false">IF('Previsión de negocio'!$T243=I$1,'Previsión de negocio'!$F243,0)</f>
        <v>0</v>
      </c>
      <c r="H142" s="104" t="n">
        <f aca="false">IF('Previsión de negocio'!$T243=J$1,'Previsión de negocio'!$F243,0)</f>
        <v>0</v>
      </c>
      <c r="I142" s="104" t="n">
        <f aca="false">IF('Previsión de negocio'!$T243=K$1,'Previsión de negocio'!$F243,0)</f>
        <v>0</v>
      </c>
      <c r="J142" s="104" t="n">
        <f aca="false">IF('Previsión de negocio'!$T243=L$1,'Previsión de negocio'!$F243,0)</f>
        <v>0</v>
      </c>
      <c r="K142" s="104" t="n">
        <f aca="false">IF('Previsión de negocio'!$T243=M$1,'Previsión de negocio'!$F243,0)</f>
        <v>0</v>
      </c>
      <c r="L142" s="104" t="n">
        <f aca="false">IF('Previsión de negocio'!$T243=N$1,'Previsión de negocio'!$F243,0)</f>
        <v>0</v>
      </c>
      <c r="M142" s="104" t="n">
        <f aca="false">IF('Previsión de negocio'!$T243=O$1,'Previsión de negocio'!$F243,0)</f>
        <v>0</v>
      </c>
      <c r="N142" s="104" t="n">
        <f aca="false">IF('Previsión de negocio'!$T243=P$1,'Previsión de negocio'!$F243,0)</f>
        <v>0</v>
      </c>
      <c r="O142" s="1296" t="n">
        <f aca="false">SUM(C142:N142)</f>
        <v>0</v>
      </c>
      <c r="P142" s="104" t="n">
        <f aca="false">IF('Previsión de negocio'!S243=$O$132,IF('Previsión de negocio'!D243=1,'Previsión de negocio'!E243,'Previsión de negocio'!D243*'Previsión de negocio'!O88),0)</f>
        <v>870</v>
      </c>
    </row>
    <row r="143" customFormat="false" ht="12.75" hidden="true" customHeight="false" outlineLevel="0" collapsed="false">
      <c r="B143" s="104" t="str">
        <f aca="false">B102</f>
        <v>Total</v>
      </c>
      <c r="C143" s="104" t="n">
        <f aca="false">SUM(C133:C142)</f>
        <v>0</v>
      </c>
      <c r="D143" s="104" t="n">
        <f aca="false">SUM(D133:D142)</f>
        <v>0</v>
      </c>
      <c r="E143" s="104" t="n">
        <f aca="false">SUM(E133:E142)</f>
        <v>0</v>
      </c>
      <c r="F143" s="104" t="n">
        <f aca="false">SUM(F133:F142)</f>
        <v>0</v>
      </c>
      <c r="G143" s="104" t="n">
        <f aca="false">SUM(G133:G142)</f>
        <v>0</v>
      </c>
      <c r="H143" s="104" t="n">
        <f aca="false">SUM(H133:H142)</f>
        <v>0</v>
      </c>
      <c r="I143" s="104" t="n">
        <f aca="false">SUM(I133:I142)</f>
        <v>0</v>
      </c>
      <c r="J143" s="104" t="n">
        <f aca="false">SUM(J133:J142)</f>
        <v>0</v>
      </c>
      <c r="K143" s="104" t="n">
        <f aca="false">SUM(K133:K142)</f>
        <v>0</v>
      </c>
      <c r="L143" s="104" t="n">
        <f aca="false">SUM(L133:L142)</f>
        <v>0</v>
      </c>
      <c r="M143" s="104" t="n">
        <f aca="false">SUM(M133:M142)</f>
        <v>0</v>
      </c>
      <c r="N143" s="104" t="n">
        <f aca="false">SUM(N133:N142)</f>
        <v>0</v>
      </c>
      <c r="O143" s="104" t="n">
        <f aca="false">SUM(O133:O142)</f>
        <v>0</v>
      </c>
      <c r="P143" s="104" t="n">
        <f aca="false">SUM(P133:P142)</f>
        <v>12598</v>
      </c>
      <c r="Q143" s="104"/>
    </row>
    <row r="144" customFormat="false" ht="12.75" hidden="true" customHeight="false" outlineLevel="0" collapsed="false">
      <c r="B144" s="104" t="s">
        <v>736</v>
      </c>
      <c r="C144" s="351" t="n">
        <f aca="false">IF('Datos generales'!$D$22&lt;=0,'Datos generales'!$D$16*C143+C143,0)</f>
        <v>0</v>
      </c>
      <c r="D144" s="351" t="n">
        <f aca="false">IF('Datos generales'!$D$22&lt;=0,'Datos generales'!$D$16*D143+D143,0)</f>
        <v>0</v>
      </c>
      <c r="E144" s="351" t="n">
        <f aca="false">IF('Datos generales'!$D$22&lt;=0,'Datos generales'!$D$16*E143+E143,0)</f>
        <v>0</v>
      </c>
      <c r="F144" s="351" t="n">
        <f aca="false">IF('Datos generales'!$D$22&lt;=0,'Datos generales'!$D$16*F143+F143,0)</f>
        <v>0</v>
      </c>
      <c r="G144" s="351" t="n">
        <f aca="false">IF('Datos generales'!$D$22&lt;=0,'Datos generales'!$D$16*G143+G143,0)</f>
        <v>0</v>
      </c>
      <c r="H144" s="351" t="n">
        <f aca="false">IF('Datos generales'!$D$22&lt;=0,'Datos generales'!$D$16*H143+H143,0)</f>
        <v>0</v>
      </c>
      <c r="I144" s="351" t="n">
        <f aca="false">IF('Datos generales'!$D$22&lt;=0,'Datos generales'!$D$16*I143+I143,0)</f>
        <v>0</v>
      </c>
      <c r="J144" s="351" t="n">
        <f aca="false">IF('Datos generales'!$D$22&lt;=0,'Datos generales'!$D$16*J143+J143,0)</f>
        <v>0</v>
      </c>
      <c r="K144" s="351" t="n">
        <f aca="false">IF('Datos generales'!$D$22&lt;=0,'Datos generales'!$D$16*K143+K143,0)</f>
        <v>0</v>
      </c>
      <c r="L144" s="351" t="n">
        <f aca="false">IF('Datos generales'!$D$22&lt;=0,'Datos generales'!$D$16*L143+L143,0)</f>
        <v>0</v>
      </c>
      <c r="M144" s="351" t="n">
        <f aca="false">IF('Datos generales'!$D$22&lt;=0,'Datos generales'!$D$16*M143+M143,0)</f>
        <v>0</v>
      </c>
      <c r="N144" s="351" t="n">
        <f aca="false">IF('Datos generales'!$D$22&lt;=0,'Datos generales'!$D$16*N143+N143,0)</f>
        <v>0</v>
      </c>
      <c r="O144" s="351" t="n">
        <f aca="false">IF('Datos generales'!$D$22&lt;=0,'Datos generales'!$D$16*O143+O143,0)</f>
        <v>0</v>
      </c>
      <c r="P144" s="351" t="n">
        <f aca="false">IF('Datos generales'!$D$22&lt;=0,'Datos generales'!$D$16*P143+P143,0)</f>
        <v>0</v>
      </c>
      <c r="Q144" s="104"/>
      <c r="R144" s="104"/>
      <c r="S144" s="104"/>
    </row>
    <row r="146" customFormat="false" ht="14.25" hidden="false" customHeight="false" outlineLevel="0" collapsed="false">
      <c r="B146" s="51" t="s">
        <v>729</v>
      </c>
      <c r="D146" s="51" t="s">
        <v>475</v>
      </c>
    </row>
    <row r="147" customFormat="false" ht="5.25" hidden="false" customHeight="true" outlineLevel="0" collapsed="false"/>
    <row r="148" customFormat="false" ht="30.75" hidden="false" customHeight="true" outlineLevel="0" collapsed="false">
      <c r="B148" s="990" t="s">
        <v>711</v>
      </c>
      <c r="C148" s="1257"/>
      <c r="D148" s="1258" t="s">
        <v>303</v>
      </c>
      <c r="E148" s="1259" t="s">
        <v>304</v>
      </c>
      <c r="F148" s="1259" t="s">
        <v>305</v>
      </c>
      <c r="G148" s="1259" t="s">
        <v>127</v>
      </c>
      <c r="H148" s="1259" t="s">
        <v>128</v>
      </c>
      <c r="I148" s="1259" t="s">
        <v>129</v>
      </c>
      <c r="J148" s="1259" t="s">
        <v>130</v>
      </c>
      <c r="K148" s="1259" t="s">
        <v>306</v>
      </c>
      <c r="L148" s="1259" t="s">
        <v>307</v>
      </c>
      <c r="M148" s="1259" t="s">
        <v>308</v>
      </c>
      <c r="N148" s="1259" t="s">
        <v>309</v>
      </c>
      <c r="O148" s="1260" t="s">
        <v>310</v>
      </c>
      <c r="P148" s="1261" t="s">
        <v>718</v>
      </c>
    </row>
    <row r="149" customFormat="false" ht="15" hidden="false" customHeight="true" outlineLevel="0" collapsed="false">
      <c r="B149" s="1277" t="s">
        <v>712</v>
      </c>
      <c r="C149" s="1277"/>
      <c r="D149" s="1263"/>
      <c r="E149" s="1264"/>
      <c r="F149" s="1264"/>
      <c r="G149" s="1264"/>
      <c r="H149" s="1264"/>
      <c r="I149" s="1264"/>
      <c r="J149" s="1264"/>
      <c r="K149" s="1264"/>
      <c r="L149" s="1264"/>
      <c r="M149" s="1264"/>
      <c r="N149" s="1264"/>
      <c r="O149" s="1264"/>
      <c r="P149" s="1265"/>
    </row>
    <row r="150" customFormat="false" ht="12.75" hidden="false" customHeight="false" outlineLevel="0" collapsed="false">
      <c r="B150" s="1266" t="str">
        <f aca="false">B13</f>
        <v>Pienso para perro adulto 12 kg</v>
      </c>
      <c r="C150" s="1267"/>
      <c r="D150" s="1218" t="n">
        <f aca="false">'Previsión de negocio'!D94*'Previsión de negocio'!D97</f>
        <v>3510</v>
      </c>
      <c r="E150" s="1218" t="n">
        <f aca="false">'Previsión de negocio'!E94*'Previsión de negocio'!E97</f>
        <v>3510</v>
      </c>
      <c r="F150" s="1218" t="n">
        <f aca="false">'Previsión de negocio'!F94*'Previsión de negocio'!F97</f>
        <v>3510</v>
      </c>
      <c r="G150" s="1218" t="n">
        <f aca="false">'Previsión de negocio'!G94*'Previsión de negocio'!G97</f>
        <v>3510</v>
      </c>
      <c r="H150" s="1218" t="n">
        <f aca="false">'Previsión de negocio'!H94*'Previsión de negocio'!H97</f>
        <v>3510</v>
      </c>
      <c r="I150" s="1218" t="n">
        <f aca="false">'Previsión de negocio'!I94*'Previsión de negocio'!I97</f>
        <v>3510</v>
      </c>
      <c r="J150" s="1218" t="n">
        <f aca="false">'Previsión de negocio'!J94*'Previsión de negocio'!J97</f>
        <v>3510</v>
      </c>
      <c r="K150" s="1218" t="n">
        <f aca="false">'Previsión de negocio'!K94*'Previsión de negocio'!K97</f>
        <v>3510</v>
      </c>
      <c r="L150" s="1218" t="n">
        <f aca="false">'Previsión de negocio'!L94*'Previsión de negocio'!L97</f>
        <v>3510</v>
      </c>
      <c r="M150" s="1218" t="n">
        <f aca="false">'Previsión de negocio'!M94*'Previsión de negocio'!M97</f>
        <v>3510</v>
      </c>
      <c r="N150" s="1218" t="n">
        <f aca="false">'Previsión de negocio'!N94*'Previsión de negocio'!N97</f>
        <v>3510</v>
      </c>
      <c r="O150" s="1218" t="n">
        <f aca="false">'Previsión de negocio'!O94*'Previsión de negocio'!O97</f>
        <v>3510</v>
      </c>
      <c r="P150" s="1268" t="n">
        <f aca="false">SUM(D150:O150)</f>
        <v>42120</v>
      </c>
    </row>
    <row r="151" customFormat="false" ht="12.75" hidden="false" customHeight="false" outlineLevel="0" collapsed="false">
      <c r="B151" s="1266" t="str">
        <f aca="false">B14</f>
        <v>Pienso para gato adulto 10 kg</v>
      </c>
      <c r="C151" s="1269"/>
      <c r="D151" s="1195" t="n">
        <f aca="false">'Previsión de negocio'!D100*'Previsión de negocio'!D103</f>
        <v>3400</v>
      </c>
      <c r="E151" s="1195" t="n">
        <f aca="false">'Previsión de negocio'!E100*'Previsión de negocio'!E103</f>
        <v>3400</v>
      </c>
      <c r="F151" s="1195" t="n">
        <f aca="false">'Previsión de negocio'!F100*'Previsión de negocio'!F103</f>
        <v>3400</v>
      </c>
      <c r="G151" s="1195" t="n">
        <f aca="false">'Previsión de negocio'!G100*'Previsión de negocio'!G103</f>
        <v>3400</v>
      </c>
      <c r="H151" s="1195" t="n">
        <f aca="false">'Previsión de negocio'!H100*'Previsión de negocio'!H103</f>
        <v>3400</v>
      </c>
      <c r="I151" s="1195" t="n">
        <f aca="false">'Previsión de negocio'!I100*'Previsión de negocio'!I103</f>
        <v>3400</v>
      </c>
      <c r="J151" s="1195" t="n">
        <f aca="false">'Previsión de negocio'!J100*'Previsión de negocio'!J103</f>
        <v>3400</v>
      </c>
      <c r="K151" s="1195" t="n">
        <f aca="false">'Previsión de negocio'!K100*'Previsión de negocio'!K103</f>
        <v>3400</v>
      </c>
      <c r="L151" s="1195" t="n">
        <f aca="false">'Previsión de negocio'!L100*'Previsión de negocio'!L103</f>
        <v>3400</v>
      </c>
      <c r="M151" s="1195" t="n">
        <f aca="false">'Previsión de negocio'!M100*'Previsión de negocio'!M103</f>
        <v>3400</v>
      </c>
      <c r="N151" s="1195" t="n">
        <f aca="false">'Previsión de negocio'!N100*'Previsión de negocio'!N103</f>
        <v>3400</v>
      </c>
      <c r="O151" s="1195" t="n">
        <f aca="false">'Previsión de negocio'!O100*'Previsión de negocio'!O103</f>
        <v>3400</v>
      </c>
      <c r="P151" s="1270" t="n">
        <f aca="false">SUM(D151:O151)</f>
        <v>40800</v>
      </c>
    </row>
    <row r="152" customFormat="false" ht="12.75" hidden="false" customHeight="false" outlineLevel="0" collapsed="false">
      <c r="B152" s="1266" t="str">
        <f aca="false">B15</f>
        <v>Pienso para loros 12 kg</v>
      </c>
      <c r="C152" s="1269"/>
      <c r="D152" s="1195" t="n">
        <f aca="false">'Previsión de negocio'!D106*'Previsión de negocio'!D109</f>
        <v>3120</v>
      </c>
      <c r="E152" s="1195" t="n">
        <f aca="false">'Previsión de negocio'!E106*'Previsión de negocio'!E109</f>
        <v>3120</v>
      </c>
      <c r="F152" s="1195" t="n">
        <f aca="false">'Previsión de negocio'!F106*'Previsión de negocio'!F109</f>
        <v>3120</v>
      </c>
      <c r="G152" s="1195" t="n">
        <f aca="false">'Previsión de negocio'!G106*'Previsión de negocio'!G109</f>
        <v>3120</v>
      </c>
      <c r="H152" s="1195" t="n">
        <f aca="false">'Previsión de negocio'!H106*'Previsión de negocio'!H109</f>
        <v>3120</v>
      </c>
      <c r="I152" s="1195" t="n">
        <f aca="false">'Previsión de negocio'!I106*'Previsión de negocio'!I109</f>
        <v>3120</v>
      </c>
      <c r="J152" s="1195" t="n">
        <f aca="false">'Previsión de negocio'!J106*'Previsión de negocio'!J109</f>
        <v>3120</v>
      </c>
      <c r="K152" s="1195" t="n">
        <f aca="false">'Previsión de negocio'!K106*'Previsión de negocio'!K109</f>
        <v>3120</v>
      </c>
      <c r="L152" s="1195" t="n">
        <f aca="false">'Previsión de negocio'!L106*'Previsión de negocio'!L109</f>
        <v>3120</v>
      </c>
      <c r="M152" s="1195" t="n">
        <f aca="false">'Previsión de negocio'!M106*'Previsión de negocio'!M109</f>
        <v>3120</v>
      </c>
      <c r="N152" s="1195" t="n">
        <f aca="false">'Previsión de negocio'!N106*'Previsión de negocio'!N109</f>
        <v>3120</v>
      </c>
      <c r="O152" s="1195" t="n">
        <f aca="false">'Previsión de negocio'!O106*'Previsión de negocio'!O109</f>
        <v>3120</v>
      </c>
      <c r="P152" s="1270" t="n">
        <f aca="false">SUM(D152:O152)</f>
        <v>37440</v>
      </c>
    </row>
    <row r="153" customFormat="false" ht="12.75" hidden="false" customHeight="false" outlineLevel="0" collapsed="false">
      <c r="B153" s="1266" t="str">
        <f aca="false">B16</f>
        <v>Pienso para cobayas 3 kg</v>
      </c>
      <c r="C153" s="1269"/>
      <c r="D153" s="1195" t="n">
        <f aca="false">'Previsión de negocio'!D112*'Previsión de negocio'!D115</f>
        <v>784</v>
      </c>
      <c r="E153" s="1195" t="n">
        <f aca="false">'Previsión de negocio'!E112*'Previsión de negocio'!E115</f>
        <v>784</v>
      </c>
      <c r="F153" s="1195" t="n">
        <f aca="false">'Previsión de negocio'!F112*'Previsión de negocio'!F115</f>
        <v>784</v>
      </c>
      <c r="G153" s="1195" t="n">
        <f aca="false">'Previsión de negocio'!G112*'Previsión de negocio'!G115</f>
        <v>784</v>
      </c>
      <c r="H153" s="1195" t="n">
        <f aca="false">'Previsión de negocio'!H112*'Previsión de negocio'!H115</f>
        <v>784</v>
      </c>
      <c r="I153" s="1195" t="n">
        <f aca="false">'Previsión de negocio'!I112*'Previsión de negocio'!I115</f>
        <v>784</v>
      </c>
      <c r="J153" s="1195" t="n">
        <f aca="false">'Previsión de negocio'!J112*'Previsión de negocio'!J115</f>
        <v>784</v>
      </c>
      <c r="K153" s="1195" t="n">
        <f aca="false">'Previsión de negocio'!K112*'Previsión de negocio'!K115</f>
        <v>784</v>
      </c>
      <c r="L153" s="1195" t="n">
        <f aca="false">'Previsión de negocio'!L112*'Previsión de negocio'!L115</f>
        <v>784</v>
      </c>
      <c r="M153" s="1195" t="n">
        <f aca="false">'Previsión de negocio'!M112*'Previsión de negocio'!M115</f>
        <v>784</v>
      </c>
      <c r="N153" s="1195" t="n">
        <f aca="false">'Previsión de negocio'!N112*'Previsión de negocio'!N115</f>
        <v>784</v>
      </c>
      <c r="O153" s="1195" t="n">
        <f aca="false">'Previsión de negocio'!O112*'Previsión de negocio'!O115</f>
        <v>784</v>
      </c>
      <c r="P153" s="1270" t="n">
        <f aca="false">SUM(D153:O153)</f>
        <v>9408</v>
      </c>
    </row>
    <row r="154" customFormat="false" ht="12.75" hidden="false" customHeight="false" outlineLevel="0" collapsed="false">
      <c r="B154" s="1266" t="str">
        <f aca="false">B17</f>
        <v>Pienso para conejo adulto 1,75 kg</v>
      </c>
      <c r="C154" s="1269"/>
      <c r="D154" s="1195" t="n">
        <f aca="false">'Previsión de negocio'!D118*'Previsión de negocio'!D121</f>
        <v>742</v>
      </c>
      <c r="E154" s="1195" t="n">
        <f aca="false">'Previsión de negocio'!E118*'Previsión de negocio'!E121</f>
        <v>742</v>
      </c>
      <c r="F154" s="1195" t="n">
        <f aca="false">'Previsión de negocio'!F118*'Previsión de negocio'!F121</f>
        <v>742</v>
      </c>
      <c r="G154" s="1195" t="n">
        <f aca="false">'Previsión de negocio'!G118*'Previsión de negocio'!G121</f>
        <v>742</v>
      </c>
      <c r="H154" s="1195" t="n">
        <f aca="false">'Previsión de negocio'!H118*'Previsión de negocio'!H121</f>
        <v>742</v>
      </c>
      <c r="I154" s="1195" t="n">
        <f aca="false">'Previsión de negocio'!I118*'Previsión de negocio'!I121</f>
        <v>742</v>
      </c>
      <c r="J154" s="1195" t="n">
        <f aca="false">'Previsión de negocio'!J118*'Previsión de negocio'!J121</f>
        <v>742</v>
      </c>
      <c r="K154" s="1195" t="n">
        <f aca="false">'Previsión de negocio'!K118*'Previsión de negocio'!K121</f>
        <v>742</v>
      </c>
      <c r="L154" s="1195" t="n">
        <f aca="false">'Previsión de negocio'!L118*'Previsión de negocio'!L121</f>
        <v>742</v>
      </c>
      <c r="M154" s="1195" t="n">
        <f aca="false">'Previsión de negocio'!M118*'Previsión de negocio'!M121</f>
        <v>742</v>
      </c>
      <c r="N154" s="1195" t="n">
        <f aca="false">'Previsión de negocio'!N118*'Previsión de negocio'!N121</f>
        <v>742</v>
      </c>
      <c r="O154" s="1195" t="n">
        <f aca="false">'Previsión de negocio'!O118*'Previsión de negocio'!O121</f>
        <v>742</v>
      </c>
      <c r="P154" s="1270" t="n">
        <f aca="false">SUM(D154:O154)</f>
        <v>8904</v>
      </c>
    </row>
    <row r="155" customFormat="false" ht="12.75" hidden="false" customHeight="false" outlineLevel="0" collapsed="false">
      <c r="B155" s="1266" t="str">
        <f aca="false">B18</f>
        <v>Pienso para hamsters 1 kg</v>
      </c>
      <c r="C155" s="1269"/>
      <c r="D155" s="1195" t="n">
        <f aca="false">'Previsión de negocio'!D124*'Previsión de negocio'!D127</f>
        <v>952</v>
      </c>
      <c r="E155" s="1195" t="n">
        <f aca="false">'Previsión de negocio'!E124*'Previsión de negocio'!E127</f>
        <v>952</v>
      </c>
      <c r="F155" s="1195" t="n">
        <f aca="false">'Previsión de negocio'!F124*'Previsión de negocio'!F127</f>
        <v>952</v>
      </c>
      <c r="G155" s="1195" t="n">
        <f aca="false">'Previsión de negocio'!G124*'Previsión de negocio'!G127</f>
        <v>952</v>
      </c>
      <c r="H155" s="1195" t="n">
        <f aca="false">'Previsión de negocio'!H124*'Previsión de negocio'!H127</f>
        <v>952</v>
      </c>
      <c r="I155" s="1195" t="n">
        <f aca="false">'Previsión de negocio'!I124*'Previsión de negocio'!I127</f>
        <v>952</v>
      </c>
      <c r="J155" s="1195" t="n">
        <f aca="false">'Previsión de negocio'!J124*'Previsión de negocio'!J127</f>
        <v>952</v>
      </c>
      <c r="K155" s="1195" t="n">
        <f aca="false">'Previsión de negocio'!K124*'Previsión de negocio'!K127</f>
        <v>952</v>
      </c>
      <c r="L155" s="1195" t="n">
        <f aca="false">'Previsión de negocio'!L124*'Previsión de negocio'!L127</f>
        <v>952</v>
      </c>
      <c r="M155" s="1195" t="n">
        <f aca="false">'Previsión de negocio'!M124*'Previsión de negocio'!M127</f>
        <v>952</v>
      </c>
      <c r="N155" s="1195" t="n">
        <f aca="false">'Previsión de negocio'!N124*'Previsión de negocio'!N127</f>
        <v>952</v>
      </c>
      <c r="O155" s="1195" t="n">
        <f aca="false">'Previsión de negocio'!O124*'Previsión de negocio'!O127</f>
        <v>952</v>
      </c>
      <c r="P155" s="1270" t="n">
        <f aca="false">SUM(D155:O155)</f>
        <v>11424</v>
      </c>
    </row>
    <row r="156" customFormat="false" ht="12.75" hidden="false" customHeight="false" outlineLevel="0" collapsed="false">
      <c r="B156" s="1266" t="str">
        <f aca="false">B19</f>
        <v>Pienso natural para perro 3 kg</v>
      </c>
      <c r="C156" s="1269"/>
      <c r="D156" s="1195" t="n">
        <f aca="false">'Previsión de negocio'!D130*'Previsión de negocio'!D133</f>
        <v>747</v>
      </c>
      <c r="E156" s="1195" t="n">
        <f aca="false">'Previsión de negocio'!E130*'Previsión de negocio'!E133</f>
        <v>747</v>
      </c>
      <c r="F156" s="1195" t="n">
        <f aca="false">'Previsión de negocio'!F130*'Previsión de negocio'!F133</f>
        <v>747</v>
      </c>
      <c r="G156" s="1195" t="n">
        <f aca="false">'Previsión de negocio'!G130*'Previsión de negocio'!G133</f>
        <v>747</v>
      </c>
      <c r="H156" s="1195" t="n">
        <f aca="false">'Previsión de negocio'!H130*'Previsión de negocio'!H133</f>
        <v>747</v>
      </c>
      <c r="I156" s="1195" t="n">
        <f aca="false">'Previsión de negocio'!I130*'Previsión de negocio'!I133</f>
        <v>747</v>
      </c>
      <c r="J156" s="1195" t="n">
        <f aca="false">'Previsión de negocio'!J130*'Previsión de negocio'!J133</f>
        <v>747</v>
      </c>
      <c r="K156" s="1195" t="n">
        <f aca="false">'Previsión de negocio'!K130*'Previsión de negocio'!K133</f>
        <v>747</v>
      </c>
      <c r="L156" s="1195" t="n">
        <f aca="false">'Previsión de negocio'!L130*'Previsión de negocio'!L133</f>
        <v>747</v>
      </c>
      <c r="M156" s="1195" t="n">
        <f aca="false">'Previsión de negocio'!M130*'Previsión de negocio'!M133</f>
        <v>747</v>
      </c>
      <c r="N156" s="1195" t="n">
        <f aca="false">'Previsión de negocio'!N130*'Previsión de negocio'!N133</f>
        <v>747</v>
      </c>
      <c r="O156" s="1195" t="n">
        <f aca="false">'Previsión de negocio'!O130*'Previsión de negocio'!O133</f>
        <v>747</v>
      </c>
      <c r="P156" s="1270" t="n">
        <f aca="false">SUM(D156:O156)</f>
        <v>8964</v>
      </c>
    </row>
    <row r="157" customFormat="false" ht="12.75" hidden="false" customHeight="false" outlineLevel="0" collapsed="false">
      <c r="B157" s="1266" t="str">
        <f aca="false">B20</f>
        <v>Pienso natural para cachorros 6 kg</v>
      </c>
      <c r="C157" s="1269"/>
      <c r="D157" s="1195" t="n">
        <f aca="false">'Previsión de negocio'!D136*'Previsión de negocio'!D139</f>
        <v>2044</v>
      </c>
      <c r="E157" s="1195" t="n">
        <f aca="false">'Previsión de negocio'!E136*'Previsión de negocio'!E139</f>
        <v>2044</v>
      </c>
      <c r="F157" s="1195" t="n">
        <f aca="false">'Previsión de negocio'!F136*'Previsión de negocio'!F139</f>
        <v>2044</v>
      </c>
      <c r="G157" s="1195" t="n">
        <f aca="false">'Previsión de negocio'!G136*'Previsión de negocio'!G139</f>
        <v>2044</v>
      </c>
      <c r="H157" s="1195" t="n">
        <f aca="false">'Previsión de negocio'!H136*'Previsión de negocio'!H139</f>
        <v>2044</v>
      </c>
      <c r="I157" s="1195" t="n">
        <f aca="false">'Previsión de negocio'!I136*'Previsión de negocio'!I139</f>
        <v>2044</v>
      </c>
      <c r="J157" s="1195" t="n">
        <f aca="false">'Previsión de negocio'!J136*'Previsión de negocio'!J139</f>
        <v>2044</v>
      </c>
      <c r="K157" s="1195" t="n">
        <f aca="false">'Previsión de negocio'!K136*'Previsión de negocio'!K139</f>
        <v>2044</v>
      </c>
      <c r="L157" s="1195" t="n">
        <f aca="false">'Previsión de negocio'!L136*'Previsión de negocio'!L139</f>
        <v>2044</v>
      </c>
      <c r="M157" s="1195" t="n">
        <f aca="false">'Previsión de negocio'!M136*'Previsión de negocio'!M139</f>
        <v>2044</v>
      </c>
      <c r="N157" s="1195" t="n">
        <f aca="false">'Previsión de negocio'!N136*'Previsión de negocio'!N139</f>
        <v>2044</v>
      </c>
      <c r="O157" s="1195" t="n">
        <f aca="false">'Previsión de negocio'!O136*'Previsión de negocio'!O139</f>
        <v>2044</v>
      </c>
      <c r="P157" s="1270" t="n">
        <f aca="false">SUM(D157:O157)</f>
        <v>24528</v>
      </c>
    </row>
    <row r="158" customFormat="false" ht="12.75" hidden="false" customHeight="false" outlineLevel="0" collapsed="false">
      <c r="B158" s="1266" t="str">
        <f aca="false">B21</f>
        <v>Menú natural semihúmedo perro</v>
      </c>
      <c r="C158" s="1269"/>
      <c r="D158" s="1195" t="n">
        <f aca="false">'Previsión de negocio'!D142*'Previsión de negocio'!D145</f>
        <v>1062</v>
      </c>
      <c r="E158" s="1195" t="n">
        <f aca="false">'Previsión de negocio'!E142*'Previsión de negocio'!E145</f>
        <v>1062</v>
      </c>
      <c r="F158" s="1195" t="n">
        <f aca="false">'Previsión de negocio'!F142*'Previsión de negocio'!F145</f>
        <v>1062</v>
      </c>
      <c r="G158" s="1195" t="n">
        <f aca="false">'Previsión de negocio'!G142*'Previsión de negocio'!G145</f>
        <v>1062</v>
      </c>
      <c r="H158" s="1195" t="n">
        <f aca="false">'Previsión de negocio'!H142*'Previsión de negocio'!H145</f>
        <v>1062</v>
      </c>
      <c r="I158" s="1195" t="n">
        <f aca="false">'Previsión de negocio'!I142*'Previsión de negocio'!I145</f>
        <v>1062</v>
      </c>
      <c r="J158" s="1195" t="n">
        <f aca="false">'Previsión de negocio'!J142*'Previsión de negocio'!J145</f>
        <v>1062</v>
      </c>
      <c r="K158" s="1195" t="n">
        <f aca="false">'Previsión de negocio'!K142*'Previsión de negocio'!K145</f>
        <v>1062</v>
      </c>
      <c r="L158" s="1195" t="n">
        <f aca="false">'Previsión de negocio'!L142*'Previsión de negocio'!L145</f>
        <v>1062</v>
      </c>
      <c r="M158" s="1195" t="n">
        <f aca="false">'Previsión de negocio'!M142*'Previsión de negocio'!M145</f>
        <v>1062</v>
      </c>
      <c r="N158" s="1195" t="n">
        <f aca="false">'Previsión de negocio'!N142*'Previsión de negocio'!N145</f>
        <v>1062</v>
      </c>
      <c r="O158" s="1195" t="n">
        <f aca="false">'Previsión de negocio'!O142*'Previsión de negocio'!O145</f>
        <v>1062</v>
      </c>
      <c r="P158" s="1270" t="n">
        <f aca="false">SUM(D158:O158)</f>
        <v>12744</v>
      </c>
    </row>
    <row r="159" customFormat="false" ht="12.75" hidden="false" customHeight="false" outlineLevel="0" collapsed="false">
      <c r="B159" s="1266" t="str">
        <f aca="false">B22</f>
        <v>Comida húmeda para gatos 26 pouches</v>
      </c>
      <c r="C159" s="1269"/>
      <c r="D159" s="1195" t="n">
        <f aca="false">'Previsión de negocio'!D148*'Previsión de negocio'!D151</f>
        <v>1065</v>
      </c>
      <c r="E159" s="1195" t="n">
        <f aca="false">'Previsión de negocio'!E148*'Previsión de negocio'!E151</f>
        <v>1065</v>
      </c>
      <c r="F159" s="1195" t="n">
        <f aca="false">'Previsión de negocio'!F148*'Previsión de negocio'!F151</f>
        <v>1065</v>
      </c>
      <c r="G159" s="1195" t="n">
        <f aca="false">'Previsión de negocio'!G148*'Previsión de negocio'!G151</f>
        <v>1065</v>
      </c>
      <c r="H159" s="1195" t="n">
        <f aca="false">'Previsión de negocio'!H148*'Previsión de negocio'!H151</f>
        <v>1065</v>
      </c>
      <c r="I159" s="1195" t="n">
        <f aca="false">'Previsión de negocio'!I148*'Previsión de negocio'!I151</f>
        <v>1065</v>
      </c>
      <c r="J159" s="1195" t="n">
        <f aca="false">'Previsión de negocio'!J148*'Previsión de negocio'!J151</f>
        <v>1065</v>
      </c>
      <c r="K159" s="1195" t="n">
        <f aca="false">'Previsión de negocio'!K148*'Previsión de negocio'!K151</f>
        <v>1065</v>
      </c>
      <c r="L159" s="1195" t="n">
        <f aca="false">'Previsión de negocio'!L148*'Previsión de negocio'!L151</f>
        <v>1065</v>
      </c>
      <c r="M159" s="1195" t="n">
        <f aca="false">'Previsión de negocio'!M148*'Previsión de negocio'!M151</f>
        <v>1065</v>
      </c>
      <c r="N159" s="1195" t="n">
        <f aca="false">'Previsión de negocio'!N148*'Previsión de negocio'!N151</f>
        <v>1065</v>
      </c>
      <c r="O159" s="1195" t="n">
        <f aca="false">'Previsión de negocio'!O148*'Previsión de negocio'!O151</f>
        <v>1065</v>
      </c>
      <c r="P159" s="1270" t="n">
        <f aca="false">SUM(D159:O159)</f>
        <v>12780</v>
      </c>
    </row>
    <row r="160" s="23" customFormat="true" ht="12.75" hidden="false" customHeight="false" outlineLevel="0" collapsed="false">
      <c r="B160" s="1271" t="str">
        <f aca="false">B23</f>
        <v>Total</v>
      </c>
      <c r="C160" s="1272"/>
      <c r="D160" s="583" t="n">
        <f aca="false">SUM(D150:D159)</f>
        <v>17426</v>
      </c>
      <c r="E160" s="583" t="n">
        <f aca="false">SUM(E150:E159)</f>
        <v>17426</v>
      </c>
      <c r="F160" s="583" t="n">
        <f aca="false">SUM(F150:F159)</f>
        <v>17426</v>
      </c>
      <c r="G160" s="583" t="n">
        <f aca="false">SUM(G150:G159)</f>
        <v>17426</v>
      </c>
      <c r="H160" s="583" t="n">
        <f aca="false">SUM(H150:H159)</f>
        <v>17426</v>
      </c>
      <c r="I160" s="583" t="n">
        <f aca="false">SUM(I150:I159)</f>
        <v>17426</v>
      </c>
      <c r="J160" s="583" t="n">
        <f aca="false">SUM(J150:J159)</f>
        <v>17426</v>
      </c>
      <c r="K160" s="583" t="n">
        <f aca="false">SUM(K150:K159)</f>
        <v>17426</v>
      </c>
      <c r="L160" s="583" t="n">
        <f aca="false">SUM(L150:L159)</f>
        <v>17426</v>
      </c>
      <c r="M160" s="583" t="n">
        <f aca="false">SUM(M150:M159)</f>
        <v>17426</v>
      </c>
      <c r="N160" s="583" t="n">
        <f aca="false">SUM(N150:N159)</f>
        <v>17426</v>
      </c>
      <c r="O160" s="584" t="n">
        <f aca="false">SUM(O150:O159)</f>
        <v>17426</v>
      </c>
      <c r="P160" s="1270" t="n">
        <f aca="false">SUM(D160:O160)</f>
        <v>209112</v>
      </c>
    </row>
    <row r="161" customFormat="false" ht="12.75" hidden="false" customHeight="false" outlineLevel="0" collapsed="false">
      <c r="B161" s="1273" t="str">
        <f aca="false">B24</f>
        <v>IVA</v>
      </c>
      <c r="C161" s="1274"/>
      <c r="D161" s="1285" t="n">
        <f aca="false">IF('Datos generales'!$D$22&lt;=0,'Datos generales'!$D$16*D160,0)</f>
        <v>0</v>
      </c>
      <c r="E161" s="563" t="n">
        <f aca="false">IF('Datos generales'!$D$22&lt;=0,'Datos generales'!$D$16*E160,0)</f>
        <v>0</v>
      </c>
      <c r="F161" s="563" t="n">
        <f aca="false">IF('Datos generales'!$D$22&lt;=0,'Datos generales'!$D$16*F160,0)</f>
        <v>0</v>
      </c>
      <c r="G161" s="563" t="n">
        <f aca="false">IF('Datos generales'!$D$22&lt;=0,'Datos generales'!$D$16*G160,0)</f>
        <v>0</v>
      </c>
      <c r="H161" s="563" t="n">
        <f aca="false">IF('Datos generales'!$D$22&lt;=0,'Datos generales'!$D$16*H160,0)</f>
        <v>0</v>
      </c>
      <c r="I161" s="563" t="n">
        <f aca="false">IF('Datos generales'!$D$22&lt;=0,'Datos generales'!$D$16*I160,0)</f>
        <v>0</v>
      </c>
      <c r="J161" s="563" t="n">
        <f aca="false">IF('Datos generales'!$D$22&lt;=0,'Datos generales'!$D$16*J160,0)</f>
        <v>0</v>
      </c>
      <c r="K161" s="563" t="n">
        <f aca="false">IF('Datos generales'!$D$22&lt;=0,'Datos generales'!$D$16*K160,0)</f>
        <v>0</v>
      </c>
      <c r="L161" s="563" t="n">
        <f aca="false">IF('Datos generales'!$D$22&lt;=0,'Datos generales'!$D$16*L160,0)</f>
        <v>0</v>
      </c>
      <c r="M161" s="563" t="n">
        <f aca="false">IF('Datos generales'!$D$22&lt;=0,'Datos generales'!$D$16*M160,0)</f>
        <v>0</v>
      </c>
      <c r="N161" s="563" t="n">
        <f aca="false">IF('Datos generales'!$D$22&lt;=0,'Datos generales'!$D$16*N160,0)</f>
        <v>0</v>
      </c>
      <c r="O161" s="1076" t="n">
        <f aca="false">IF('Datos generales'!$D$22&lt;=0,'Datos generales'!$D$16*O160,0)</f>
        <v>0</v>
      </c>
      <c r="P161" s="1270" t="n">
        <f aca="false">SUM(D161:O161)</f>
        <v>0</v>
      </c>
    </row>
    <row r="162" customFormat="false" ht="12.75" hidden="false" customHeight="false" outlineLevel="0" collapsed="false">
      <c r="B162" s="1276" t="s">
        <v>731</v>
      </c>
      <c r="C162" s="362"/>
      <c r="D162" s="982" t="n">
        <f aca="false">D160+D161</f>
        <v>17426</v>
      </c>
      <c r="E162" s="362" t="n">
        <f aca="false">E160+E161</f>
        <v>17426</v>
      </c>
      <c r="F162" s="362" t="n">
        <f aca="false">F160+F161</f>
        <v>17426</v>
      </c>
      <c r="G162" s="362" t="n">
        <f aca="false">G160+G161</f>
        <v>17426</v>
      </c>
      <c r="H162" s="362" t="n">
        <f aca="false">H160+H161</f>
        <v>17426</v>
      </c>
      <c r="I162" s="362" t="n">
        <f aca="false">I160+I161</f>
        <v>17426</v>
      </c>
      <c r="J162" s="362" t="n">
        <f aca="false">J160+J161</f>
        <v>17426</v>
      </c>
      <c r="K162" s="362" t="n">
        <f aca="false">K160+K161</f>
        <v>17426</v>
      </c>
      <c r="L162" s="362" t="n">
        <f aca="false">L160+L161</f>
        <v>17426</v>
      </c>
      <c r="M162" s="362" t="n">
        <f aca="false">M160+M161</f>
        <v>17426</v>
      </c>
      <c r="N162" s="362" t="n">
        <f aca="false">N160+N161</f>
        <v>17426</v>
      </c>
      <c r="O162" s="580" t="n">
        <f aca="false">O160+O161</f>
        <v>17426</v>
      </c>
      <c r="P162" s="980" t="n">
        <f aca="false">SUM(D162:O162)</f>
        <v>209112</v>
      </c>
    </row>
    <row r="163" customFormat="false" ht="24.75" hidden="false" customHeight="true" outlineLevel="0" collapsed="false">
      <c r="B163" s="1262" t="s">
        <v>732</v>
      </c>
      <c r="C163" s="1262"/>
      <c r="D163" s="1278"/>
      <c r="E163" s="267"/>
      <c r="F163" s="267"/>
      <c r="G163" s="267"/>
      <c r="H163" s="267"/>
      <c r="I163" s="267"/>
      <c r="J163" s="267"/>
      <c r="K163" s="267"/>
      <c r="L163" s="267"/>
      <c r="M163" s="267"/>
      <c r="N163" s="267"/>
      <c r="O163" s="1279"/>
      <c r="P163" s="1280"/>
    </row>
    <row r="164" customFormat="false" ht="12.75" hidden="false" customHeight="false" outlineLevel="0" collapsed="false">
      <c r="B164" s="1266" t="str">
        <f aca="false">B13</f>
        <v>Pienso para perro adulto 12 kg</v>
      </c>
      <c r="C164" s="267"/>
      <c r="D164" s="1297" t="n">
        <f aca="false">'Previsión de negocio'!D98</f>
        <v>0</v>
      </c>
      <c r="E164" s="1218" t="n">
        <f aca="false">'Previsión de negocio'!E98</f>
        <v>0</v>
      </c>
      <c r="F164" s="1218" t="n">
        <f aca="false">'Previsión de negocio'!F98</f>
        <v>0</v>
      </c>
      <c r="G164" s="1218" t="n">
        <f aca="false">'Previsión de negocio'!G98</f>
        <v>0</v>
      </c>
      <c r="H164" s="1218" t="n">
        <f aca="false">'Previsión de negocio'!H98</f>
        <v>0</v>
      </c>
      <c r="I164" s="1218" t="n">
        <f aca="false">'Previsión de negocio'!I98</f>
        <v>0</v>
      </c>
      <c r="J164" s="1218" t="n">
        <f aca="false">'Previsión de negocio'!J98</f>
        <v>0</v>
      </c>
      <c r="K164" s="1218" t="n">
        <f aca="false">'Previsión de negocio'!K98</f>
        <v>0</v>
      </c>
      <c r="L164" s="1218" t="n">
        <f aca="false">'Previsión de negocio'!L98</f>
        <v>0</v>
      </c>
      <c r="M164" s="1218" t="n">
        <f aca="false">'Previsión de negocio'!M98</f>
        <v>0</v>
      </c>
      <c r="N164" s="1218" t="n">
        <f aca="false">'Previsión de negocio'!N98</f>
        <v>0</v>
      </c>
      <c r="O164" s="1218" t="n">
        <f aca="false">'Previsión de negocio'!O98</f>
        <v>0</v>
      </c>
      <c r="P164" s="1268" t="n">
        <f aca="false">SUM(D164:O164)</f>
        <v>0</v>
      </c>
    </row>
    <row r="165" customFormat="false" ht="12.75" hidden="false" customHeight="false" outlineLevel="0" collapsed="false">
      <c r="B165" s="1266" t="str">
        <f aca="false">B14</f>
        <v>Pienso para gato adulto 10 kg</v>
      </c>
      <c r="C165" s="267"/>
      <c r="D165" s="1297" t="n">
        <f aca="false">'Previsión de negocio'!D104</f>
        <v>0</v>
      </c>
      <c r="E165" s="1218" t="n">
        <f aca="false">'Previsión de negocio'!E104</f>
        <v>0</v>
      </c>
      <c r="F165" s="1218" t="n">
        <f aca="false">'Previsión de negocio'!F104</f>
        <v>0</v>
      </c>
      <c r="G165" s="1218" t="n">
        <f aca="false">'Previsión de negocio'!G104</f>
        <v>0</v>
      </c>
      <c r="H165" s="1218" t="n">
        <f aca="false">'Previsión de negocio'!H104</f>
        <v>0</v>
      </c>
      <c r="I165" s="1218" t="n">
        <f aca="false">'Previsión de negocio'!I104</f>
        <v>0</v>
      </c>
      <c r="J165" s="1218" t="n">
        <f aca="false">'Previsión de negocio'!J104</f>
        <v>0</v>
      </c>
      <c r="K165" s="1218" t="n">
        <f aca="false">'Previsión de negocio'!K104</f>
        <v>0</v>
      </c>
      <c r="L165" s="1218" t="n">
        <f aca="false">'Previsión de negocio'!L104</f>
        <v>0</v>
      </c>
      <c r="M165" s="1218" t="n">
        <f aca="false">'Previsión de negocio'!M104</f>
        <v>0</v>
      </c>
      <c r="N165" s="1218" t="n">
        <f aca="false">'Previsión de negocio'!N104</f>
        <v>0</v>
      </c>
      <c r="O165" s="1218" t="n">
        <f aca="false">'Previsión de negocio'!O104</f>
        <v>0</v>
      </c>
      <c r="P165" s="1268" t="n">
        <f aca="false">SUM(D165:O165)</f>
        <v>0</v>
      </c>
    </row>
    <row r="166" customFormat="false" ht="12.75" hidden="false" customHeight="false" outlineLevel="0" collapsed="false">
      <c r="B166" s="1266" t="str">
        <f aca="false">B15</f>
        <v>Pienso para loros 12 kg</v>
      </c>
      <c r="C166" s="267"/>
      <c r="D166" s="1297" t="n">
        <f aca="false">'Previsión de negocio'!D110</f>
        <v>0</v>
      </c>
      <c r="E166" s="1218" t="n">
        <f aca="false">'Previsión de negocio'!E110</f>
        <v>0</v>
      </c>
      <c r="F166" s="1218" t="n">
        <f aca="false">'Previsión de negocio'!F110</f>
        <v>0</v>
      </c>
      <c r="G166" s="1218" t="n">
        <f aca="false">'Previsión de negocio'!G110</f>
        <v>0</v>
      </c>
      <c r="H166" s="1218" t="n">
        <f aca="false">'Previsión de negocio'!H110</f>
        <v>0</v>
      </c>
      <c r="I166" s="1218" t="n">
        <f aca="false">'Previsión de negocio'!I110</f>
        <v>0</v>
      </c>
      <c r="J166" s="1218" t="n">
        <f aca="false">'Previsión de negocio'!J110</f>
        <v>0</v>
      </c>
      <c r="K166" s="1218" t="n">
        <f aca="false">'Previsión de negocio'!K110</f>
        <v>0</v>
      </c>
      <c r="L166" s="1218" t="n">
        <f aca="false">'Previsión de negocio'!L110</f>
        <v>0</v>
      </c>
      <c r="M166" s="1218" t="n">
        <f aca="false">'Previsión de negocio'!M110</f>
        <v>0</v>
      </c>
      <c r="N166" s="1218" t="n">
        <f aca="false">'Previsión de negocio'!N110</f>
        <v>0</v>
      </c>
      <c r="O166" s="1218" t="n">
        <f aca="false">'Previsión de negocio'!O110</f>
        <v>0</v>
      </c>
      <c r="P166" s="1268" t="n">
        <f aca="false">SUM(D166:O166)</f>
        <v>0</v>
      </c>
    </row>
    <row r="167" customFormat="false" ht="12.75" hidden="false" customHeight="false" outlineLevel="0" collapsed="false">
      <c r="B167" s="1266" t="str">
        <f aca="false">B16</f>
        <v>Pienso para cobayas 3 kg</v>
      </c>
      <c r="C167" s="267"/>
      <c r="D167" s="1297" t="n">
        <f aca="false">'Previsión de negocio'!D116</f>
        <v>0</v>
      </c>
      <c r="E167" s="1218" t="n">
        <f aca="false">'Previsión de negocio'!E116</f>
        <v>0</v>
      </c>
      <c r="F167" s="1218" t="n">
        <f aca="false">'Previsión de negocio'!F116</f>
        <v>0</v>
      </c>
      <c r="G167" s="1218" t="n">
        <f aca="false">'Previsión de negocio'!G116</f>
        <v>0</v>
      </c>
      <c r="H167" s="1218" t="n">
        <f aca="false">'Previsión de negocio'!H116</f>
        <v>0</v>
      </c>
      <c r="I167" s="1218" t="n">
        <f aca="false">'Previsión de negocio'!I116</f>
        <v>0</v>
      </c>
      <c r="J167" s="1218" t="n">
        <f aca="false">'Previsión de negocio'!J116</f>
        <v>0</v>
      </c>
      <c r="K167" s="1218" t="n">
        <f aca="false">'Previsión de negocio'!K116</f>
        <v>0</v>
      </c>
      <c r="L167" s="1218" t="n">
        <f aca="false">'Previsión de negocio'!L116</f>
        <v>0</v>
      </c>
      <c r="M167" s="1218" t="n">
        <f aca="false">'Previsión de negocio'!M116</f>
        <v>0</v>
      </c>
      <c r="N167" s="1218" t="n">
        <f aca="false">'Previsión de negocio'!N116</f>
        <v>0</v>
      </c>
      <c r="O167" s="1218" t="n">
        <f aca="false">'Previsión de negocio'!O116</f>
        <v>0</v>
      </c>
      <c r="P167" s="1268" t="n">
        <f aca="false">SUM(D167:O167)</f>
        <v>0</v>
      </c>
    </row>
    <row r="168" customFormat="false" ht="12.75" hidden="false" customHeight="false" outlineLevel="0" collapsed="false">
      <c r="B168" s="1266" t="str">
        <f aca="false">B17</f>
        <v>Pienso para conejo adulto 1,75 kg</v>
      </c>
      <c r="C168" s="267"/>
      <c r="D168" s="1297" t="n">
        <f aca="false">'Previsión de negocio'!D122</f>
        <v>0</v>
      </c>
      <c r="E168" s="1218" t="n">
        <f aca="false">'Previsión de negocio'!E122</f>
        <v>0</v>
      </c>
      <c r="F168" s="1218" t="n">
        <f aca="false">'Previsión de negocio'!F122</f>
        <v>0</v>
      </c>
      <c r="G168" s="1218" t="n">
        <f aca="false">'Previsión de negocio'!G122</f>
        <v>0</v>
      </c>
      <c r="H168" s="1218" t="n">
        <f aca="false">'Previsión de negocio'!H122</f>
        <v>0</v>
      </c>
      <c r="I168" s="1218" t="n">
        <f aca="false">'Previsión de negocio'!I122</f>
        <v>0</v>
      </c>
      <c r="J168" s="1218" t="n">
        <f aca="false">'Previsión de negocio'!J122</f>
        <v>0</v>
      </c>
      <c r="K168" s="1218" t="n">
        <f aca="false">'Previsión de negocio'!K122</f>
        <v>0</v>
      </c>
      <c r="L168" s="1218" t="n">
        <f aca="false">'Previsión de negocio'!L122</f>
        <v>0</v>
      </c>
      <c r="M168" s="1218" t="n">
        <f aca="false">'Previsión de negocio'!M122</f>
        <v>0</v>
      </c>
      <c r="N168" s="1218" t="n">
        <f aca="false">'Previsión de negocio'!N122</f>
        <v>0</v>
      </c>
      <c r="O168" s="1218" t="n">
        <f aca="false">'Previsión de negocio'!O122</f>
        <v>0</v>
      </c>
      <c r="P168" s="1268" t="n">
        <f aca="false">SUM(D168:O168)</f>
        <v>0</v>
      </c>
    </row>
    <row r="169" customFormat="false" ht="12.75" hidden="false" customHeight="false" outlineLevel="0" collapsed="false">
      <c r="B169" s="1266" t="str">
        <f aca="false">B18</f>
        <v>Pienso para hamsters 1 kg</v>
      </c>
      <c r="C169" s="267"/>
      <c r="D169" s="1297" t="n">
        <f aca="false">'Previsión de negocio'!D128</f>
        <v>0</v>
      </c>
      <c r="E169" s="1218" t="n">
        <f aca="false">'Previsión de negocio'!E128</f>
        <v>0</v>
      </c>
      <c r="F169" s="1218" t="n">
        <f aca="false">'Previsión de negocio'!F128</f>
        <v>0</v>
      </c>
      <c r="G169" s="1218" t="n">
        <f aca="false">'Previsión de negocio'!G128</f>
        <v>0</v>
      </c>
      <c r="H169" s="1218" t="n">
        <f aca="false">'Previsión de negocio'!H128</f>
        <v>0</v>
      </c>
      <c r="I169" s="1218" t="n">
        <f aca="false">'Previsión de negocio'!I128</f>
        <v>0</v>
      </c>
      <c r="J169" s="1218" t="n">
        <f aca="false">'Previsión de negocio'!J128</f>
        <v>0</v>
      </c>
      <c r="K169" s="1218" t="n">
        <f aca="false">'Previsión de negocio'!K128</f>
        <v>0</v>
      </c>
      <c r="L169" s="1218" t="n">
        <f aca="false">'Previsión de negocio'!L128</f>
        <v>0</v>
      </c>
      <c r="M169" s="1218" t="n">
        <f aca="false">'Previsión de negocio'!M128</f>
        <v>0</v>
      </c>
      <c r="N169" s="1218" t="n">
        <f aca="false">'Previsión de negocio'!N128</f>
        <v>0</v>
      </c>
      <c r="O169" s="1218" t="n">
        <f aca="false">'Previsión de negocio'!O128</f>
        <v>0</v>
      </c>
      <c r="P169" s="1268" t="n">
        <f aca="false">SUM(D169:O169)</f>
        <v>0</v>
      </c>
    </row>
    <row r="170" customFormat="false" ht="12.75" hidden="false" customHeight="false" outlineLevel="0" collapsed="false">
      <c r="B170" s="1266" t="str">
        <f aca="false">B19</f>
        <v>Pienso natural para perro 3 kg</v>
      </c>
      <c r="C170" s="267"/>
      <c r="D170" s="1297" t="n">
        <f aca="false">'Previsión de negocio'!D134</f>
        <v>0</v>
      </c>
      <c r="E170" s="1218" t="n">
        <f aca="false">'Previsión de negocio'!E134</f>
        <v>0</v>
      </c>
      <c r="F170" s="1218" t="n">
        <f aca="false">'Previsión de negocio'!F134</f>
        <v>0</v>
      </c>
      <c r="G170" s="1218" t="n">
        <f aca="false">'Previsión de negocio'!G134</f>
        <v>0</v>
      </c>
      <c r="H170" s="1218" t="n">
        <f aca="false">'Previsión de negocio'!H134</f>
        <v>0</v>
      </c>
      <c r="I170" s="1218" t="n">
        <f aca="false">'Previsión de negocio'!I134</f>
        <v>0</v>
      </c>
      <c r="J170" s="1218" t="n">
        <f aca="false">'Previsión de negocio'!J134</f>
        <v>0</v>
      </c>
      <c r="K170" s="1218" t="n">
        <f aca="false">'Previsión de negocio'!K134</f>
        <v>0</v>
      </c>
      <c r="L170" s="1218" t="n">
        <f aca="false">'Previsión de negocio'!L134</f>
        <v>0</v>
      </c>
      <c r="M170" s="1218" t="n">
        <f aca="false">'Previsión de negocio'!M134</f>
        <v>0</v>
      </c>
      <c r="N170" s="1218" t="n">
        <f aca="false">'Previsión de negocio'!N134</f>
        <v>0</v>
      </c>
      <c r="O170" s="1218" t="n">
        <f aca="false">'Previsión de negocio'!O134</f>
        <v>0</v>
      </c>
      <c r="P170" s="1268" t="n">
        <f aca="false">SUM(D170:O170)</f>
        <v>0</v>
      </c>
    </row>
    <row r="171" customFormat="false" ht="12.75" hidden="false" customHeight="false" outlineLevel="0" collapsed="false">
      <c r="B171" s="1266" t="str">
        <f aca="false">B20</f>
        <v>Pienso natural para cachorros 6 kg</v>
      </c>
      <c r="C171" s="267"/>
      <c r="D171" s="1297" t="n">
        <f aca="false">'Previsión de negocio'!D140</f>
        <v>0</v>
      </c>
      <c r="E171" s="1218" t="n">
        <f aca="false">'Previsión de negocio'!E140</f>
        <v>0</v>
      </c>
      <c r="F171" s="1218" t="n">
        <f aca="false">'Previsión de negocio'!F140</f>
        <v>0</v>
      </c>
      <c r="G171" s="1218" t="n">
        <f aca="false">'Previsión de negocio'!G140</f>
        <v>0</v>
      </c>
      <c r="H171" s="1218" t="n">
        <f aca="false">'Previsión de negocio'!H140</f>
        <v>0</v>
      </c>
      <c r="I171" s="1218" t="n">
        <f aca="false">'Previsión de negocio'!I140</f>
        <v>0</v>
      </c>
      <c r="J171" s="1218" t="n">
        <f aca="false">'Previsión de negocio'!J140</f>
        <v>0</v>
      </c>
      <c r="K171" s="1218" t="n">
        <f aca="false">'Previsión de negocio'!K140</f>
        <v>0</v>
      </c>
      <c r="L171" s="1218" t="n">
        <f aca="false">'Previsión de negocio'!L140</f>
        <v>0</v>
      </c>
      <c r="M171" s="1218" t="n">
        <f aca="false">'Previsión de negocio'!M140</f>
        <v>0</v>
      </c>
      <c r="N171" s="1218" t="n">
        <f aca="false">'Previsión de negocio'!N140</f>
        <v>0</v>
      </c>
      <c r="O171" s="1218" t="n">
        <f aca="false">'Previsión de negocio'!O140</f>
        <v>0</v>
      </c>
      <c r="P171" s="1268" t="n">
        <f aca="false">SUM(D171:O171)</f>
        <v>0</v>
      </c>
    </row>
    <row r="172" customFormat="false" ht="12.75" hidden="false" customHeight="false" outlineLevel="0" collapsed="false">
      <c r="B172" s="1266" t="str">
        <f aca="false">B21</f>
        <v>Menú natural semihúmedo perro</v>
      </c>
      <c r="C172" s="267"/>
      <c r="D172" s="1297" t="n">
        <f aca="false">'Previsión de negocio'!D146</f>
        <v>0</v>
      </c>
      <c r="E172" s="1218" t="n">
        <f aca="false">'Previsión de negocio'!E146</f>
        <v>0</v>
      </c>
      <c r="F172" s="1218" t="n">
        <f aca="false">'Previsión de negocio'!F146</f>
        <v>0</v>
      </c>
      <c r="G172" s="1218" t="n">
        <f aca="false">'Previsión de negocio'!G146</f>
        <v>0</v>
      </c>
      <c r="H172" s="1218" t="n">
        <f aca="false">'Previsión de negocio'!H146</f>
        <v>0</v>
      </c>
      <c r="I172" s="1218" t="n">
        <f aca="false">'Previsión de negocio'!I146</f>
        <v>0</v>
      </c>
      <c r="J172" s="1218" t="n">
        <f aca="false">'Previsión de negocio'!J146</f>
        <v>0</v>
      </c>
      <c r="K172" s="1218" t="n">
        <f aca="false">'Previsión de negocio'!K146</f>
        <v>0</v>
      </c>
      <c r="L172" s="1218" t="n">
        <f aca="false">'Previsión de negocio'!L146</f>
        <v>0</v>
      </c>
      <c r="M172" s="1218" t="n">
        <f aca="false">'Previsión de negocio'!M146</f>
        <v>0</v>
      </c>
      <c r="N172" s="1218" t="n">
        <f aca="false">'Previsión de negocio'!N146</f>
        <v>0</v>
      </c>
      <c r="O172" s="1218" t="n">
        <f aca="false">'Previsión de negocio'!O146</f>
        <v>0</v>
      </c>
      <c r="P172" s="1268" t="n">
        <f aca="false">SUM(D172:O172)</f>
        <v>0</v>
      </c>
    </row>
    <row r="173" customFormat="false" ht="12.75" hidden="false" customHeight="false" outlineLevel="0" collapsed="false">
      <c r="B173" s="1266" t="str">
        <f aca="false">B22</f>
        <v>Comida húmeda para gatos 26 pouches</v>
      </c>
      <c r="C173" s="267"/>
      <c r="D173" s="1297" t="n">
        <f aca="false">'Previsión de negocio'!D152</f>
        <v>0</v>
      </c>
      <c r="E173" s="1218" t="n">
        <f aca="false">'Previsión de negocio'!E152</f>
        <v>0</v>
      </c>
      <c r="F173" s="1218" t="n">
        <f aca="false">'Previsión de negocio'!F152</f>
        <v>0</v>
      </c>
      <c r="G173" s="1218" t="n">
        <f aca="false">'Previsión de negocio'!G152</f>
        <v>0</v>
      </c>
      <c r="H173" s="1218" t="n">
        <f aca="false">'Previsión de negocio'!H152</f>
        <v>0</v>
      </c>
      <c r="I173" s="1218" t="n">
        <f aca="false">'Previsión de negocio'!I152</f>
        <v>0</v>
      </c>
      <c r="J173" s="1218" t="n">
        <f aca="false">'Previsión de negocio'!J152</f>
        <v>0</v>
      </c>
      <c r="K173" s="1218" t="n">
        <f aca="false">'Previsión de negocio'!K152</f>
        <v>0</v>
      </c>
      <c r="L173" s="1218" t="n">
        <f aca="false">'Previsión de negocio'!L152</f>
        <v>0</v>
      </c>
      <c r="M173" s="1218" t="n">
        <f aca="false">'Previsión de negocio'!M152</f>
        <v>0</v>
      </c>
      <c r="N173" s="1218" t="n">
        <f aca="false">'Previsión de negocio'!N152</f>
        <v>0</v>
      </c>
      <c r="O173" s="1218" t="n">
        <f aca="false">'Previsión de negocio'!O152</f>
        <v>0</v>
      </c>
      <c r="P173" s="1268" t="n">
        <f aca="false">SUM(D173:O173)</f>
        <v>0</v>
      </c>
    </row>
    <row r="174" customFormat="false" ht="12.75" hidden="false" customHeight="false" outlineLevel="0" collapsed="false">
      <c r="B174" s="1271" t="str">
        <f aca="false">B23</f>
        <v>Total</v>
      </c>
      <c r="C174" s="267"/>
      <c r="D174" s="1082" t="n">
        <f aca="false">SUM(D164:D173)</f>
        <v>0</v>
      </c>
      <c r="E174" s="583" t="n">
        <f aca="false">SUM(E164:E173)</f>
        <v>0</v>
      </c>
      <c r="F174" s="583" t="n">
        <f aca="false">SUM(F164:F173)</f>
        <v>0</v>
      </c>
      <c r="G174" s="583" t="n">
        <f aca="false">SUM(G164:G173)</f>
        <v>0</v>
      </c>
      <c r="H174" s="583" t="n">
        <f aca="false">SUM(H164:H173)</f>
        <v>0</v>
      </c>
      <c r="I174" s="583" t="n">
        <f aca="false">SUM(I164:I173)</f>
        <v>0</v>
      </c>
      <c r="J174" s="583" t="n">
        <f aca="false">SUM(J164:J173)</f>
        <v>0</v>
      </c>
      <c r="K174" s="583" t="n">
        <f aca="false">SUM(K164:K173)</f>
        <v>0</v>
      </c>
      <c r="L174" s="583" t="n">
        <f aca="false">SUM(L164:L173)</f>
        <v>0</v>
      </c>
      <c r="M174" s="583" t="n">
        <f aca="false">SUM(M164:M173)</f>
        <v>0</v>
      </c>
      <c r="N174" s="583" t="n">
        <f aca="false">SUM(N164:N173)</f>
        <v>0</v>
      </c>
      <c r="O174" s="584" t="n">
        <f aca="false">SUM(O164:O173)</f>
        <v>0</v>
      </c>
      <c r="P174" s="1270" t="n">
        <f aca="false">SUM(D174:O174)</f>
        <v>0</v>
      </c>
      <c r="Q174" s="23"/>
    </row>
    <row r="175" customFormat="false" ht="12.75" hidden="false" customHeight="false" outlineLevel="0" collapsed="false">
      <c r="B175" s="1266" t="str">
        <f aca="false">B24</f>
        <v>IVA</v>
      </c>
      <c r="C175" s="267"/>
      <c r="D175" s="1275" t="n">
        <f aca="false">IF('Datos generales'!$D$22&lt;=0,'Datos generales'!$D$19*D174,0)</f>
        <v>0</v>
      </c>
      <c r="E175" s="1275" t="n">
        <f aca="false">IF('Datos generales'!$D$22&lt;=0,'Datos generales'!$D$19*E174,0)</f>
        <v>0</v>
      </c>
      <c r="F175" s="1275" t="n">
        <f aca="false">IF('Datos generales'!$D$22&lt;=0,'Datos generales'!$D$19*F174,0)</f>
        <v>0</v>
      </c>
      <c r="G175" s="1275" t="n">
        <f aca="false">IF('Datos generales'!$D$22&lt;=0,'Datos generales'!$D$19*G174,0)</f>
        <v>0</v>
      </c>
      <c r="H175" s="1275" t="n">
        <f aca="false">IF('Datos generales'!$D$22&lt;=0,'Datos generales'!$D$19*H174,0)</f>
        <v>0</v>
      </c>
      <c r="I175" s="1275" t="n">
        <f aca="false">IF('Datos generales'!$D$22&lt;=0,'Datos generales'!$D$19*I174,0)</f>
        <v>0</v>
      </c>
      <c r="J175" s="1275" t="n">
        <f aca="false">IF('Datos generales'!$D$22&lt;=0,'Datos generales'!$D$19*J174,0)</f>
        <v>0</v>
      </c>
      <c r="K175" s="1275" t="n">
        <f aca="false">IF('Datos generales'!$D$22&lt;=0,'Datos generales'!$D$19*K174,0)</f>
        <v>0</v>
      </c>
      <c r="L175" s="1275" t="n">
        <f aca="false">IF('Datos generales'!$D$22&lt;=0,'Datos generales'!$D$19*L174,0)</f>
        <v>0</v>
      </c>
      <c r="M175" s="1275" t="n">
        <f aca="false">IF('Datos generales'!$D$22&lt;=0,'Datos generales'!$D$19*M174,0)</f>
        <v>0</v>
      </c>
      <c r="N175" s="1275" t="n">
        <f aca="false">IF('Datos generales'!$D$22&lt;=0,'Datos generales'!$D$19*N174,0)</f>
        <v>0</v>
      </c>
      <c r="O175" s="1275" t="n">
        <f aca="false">IF('Datos generales'!$D$22&lt;=0,'Datos generales'!$D$19*O174,0)</f>
        <v>0</v>
      </c>
      <c r="P175" s="1270" t="n">
        <f aca="false">SUM(D175:O175)</f>
        <v>0</v>
      </c>
    </row>
    <row r="176" customFormat="false" ht="28.5" hidden="false" customHeight="true" outlineLevel="0" collapsed="false">
      <c r="B176" s="1281" t="s">
        <v>733</v>
      </c>
      <c r="C176" s="1281"/>
      <c r="D176" s="982" t="n">
        <f aca="false">D174+D175</f>
        <v>0</v>
      </c>
      <c r="E176" s="362" t="n">
        <f aca="false">E174+E175</f>
        <v>0</v>
      </c>
      <c r="F176" s="362" t="n">
        <f aca="false">F174+F175</f>
        <v>0</v>
      </c>
      <c r="G176" s="362" t="n">
        <f aca="false">G174+G175</f>
        <v>0</v>
      </c>
      <c r="H176" s="362" t="n">
        <f aca="false">H174+H175</f>
        <v>0</v>
      </c>
      <c r="I176" s="362" t="n">
        <f aca="false">I174+I175</f>
        <v>0</v>
      </c>
      <c r="J176" s="362" t="n">
        <f aca="false">J174+J175</f>
        <v>0</v>
      </c>
      <c r="K176" s="362" t="n">
        <f aca="false">K174+K175</f>
        <v>0</v>
      </c>
      <c r="L176" s="362" t="n">
        <f aca="false">L174+L175</f>
        <v>0</v>
      </c>
      <c r="M176" s="362" t="n">
        <f aca="false">M174+M175</f>
        <v>0</v>
      </c>
      <c r="N176" s="362" t="n">
        <f aca="false">N174+N175</f>
        <v>0</v>
      </c>
      <c r="O176" s="580" t="n">
        <f aca="false">O174+O175</f>
        <v>0</v>
      </c>
      <c r="P176" s="980" t="n">
        <f aca="false">SUM(D176:O176)</f>
        <v>0</v>
      </c>
    </row>
    <row r="177" customFormat="false" ht="29.25" hidden="false" customHeight="true" outlineLevel="0" collapsed="false">
      <c r="B177" s="1282" t="s">
        <v>143</v>
      </c>
      <c r="C177" s="1282"/>
      <c r="D177" s="267"/>
      <c r="E177" s="267"/>
      <c r="F177" s="267"/>
      <c r="G177" s="267"/>
      <c r="H177" s="267"/>
      <c r="I177" s="267"/>
      <c r="J177" s="267"/>
      <c r="K177" s="267"/>
      <c r="L177" s="267"/>
      <c r="M177" s="267"/>
      <c r="N177" s="267"/>
      <c r="O177" s="1279"/>
      <c r="P177" s="1280"/>
    </row>
    <row r="178" customFormat="false" ht="12.75" hidden="false" customHeight="false" outlineLevel="0" collapsed="false">
      <c r="B178" s="1283" t="str">
        <f aca="false">B28</f>
        <v>Transporte</v>
      </c>
      <c r="C178" s="1284" t="n">
        <f aca="false">'Previsión de negocio'!E222</f>
        <v>0.05</v>
      </c>
      <c r="D178" s="1285" t="n">
        <f aca="false">'Presupuesto de ventas'!D$86*$C178</f>
        <v>1197.1</v>
      </c>
      <c r="E178" s="563" t="n">
        <f aca="false">'Presupuesto de ventas'!E$86*$C178</f>
        <v>1197.1</v>
      </c>
      <c r="F178" s="563" t="n">
        <f aca="false">'Presupuesto de ventas'!F$86*$C178</f>
        <v>1197.1</v>
      </c>
      <c r="G178" s="563" t="n">
        <f aca="false">'Presupuesto de ventas'!G$86*$C178</f>
        <v>1197.1</v>
      </c>
      <c r="H178" s="563" t="n">
        <f aca="false">'Presupuesto de ventas'!H$86*$C178</f>
        <v>1197.1</v>
      </c>
      <c r="I178" s="563" t="n">
        <f aca="false">'Presupuesto de ventas'!I$86*$C178</f>
        <v>1197.1</v>
      </c>
      <c r="J178" s="563" t="n">
        <f aca="false">'Presupuesto de ventas'!J$86*$C178</f>
        <v>1197.1</v>
      </c>
      <c r="K178" s="563" t="n">
        <f aca="false">'Presupuesto de ventas'!K$86*$C178</f>
        <v>1197.1</v>
      </c>
      <c r="L178" s="563" t="n">
        <f aca="false">'Presupuesto de ventas'!L$86*$C178</f>
        <v>1197.1</v>
      </c>
      <c r="M178" s="563" t="n">
        <f aca="false">'Presupuesto de ventas'!M$86*$C178</f>
        <v>1197.1</v>
      </c>
      <c r="N178" s="563" t="n">
        <f aca="false">'Presupuesto de ventas'!N$86*$C178</f>
        <v>1197.1</v>
      </c>
      <c r="O178" s="1274" t="n">
        <f aca="false">'Presupuesto de ventas'!O$86*$C178</f>
        <v>1197.1</v>
      </c>
      <c r="P178" s="1268" t="n">
        <f aca="false">SUM(D178:O178)</f>
        <v>14365.2</v>
      </c>
    </row>
    <row r="179" customFormat="false" ht="12.75" hidden="false" customHeight="false" outlineLevel="0" collapsed="false">
      <c r="B179" s="1283" t="str">
        <f aca="false">B29</f>
        <v>Comisiones</v>
      </c>
      <c r="C179" s="1284" t="n">
        <f aca="false">'Previsión de negocio'!E223</f>
        <v>0</v>
      </c>
      <c r="D179" s="1275" t="n">
        <f aca="false">'Presupuesto de ventas'!D$86*$C179</f>
        <v>0</v>
      </c>
      <c r="E179" s="526" t="n">
        <f aca="false">'Presupuesto de ventas'!E$86*$C179</f>
        <v>0</v>
      </c>
      <c r="F179" s="526" t="n">
        <f aca="false">'Presupuesto de ventas'!F$86*$C179</f>
        <v>0</v>
      </c>
      <c r="G179" s="526" t="n">
        <f aca="false">'Presupuesto de ventas'!G$86*$C179</f>
        <v>0</v>
      </c>
      <c r="H179" s="526" t="n">
        <f aca="false">'Presupuesto de ventas'!H$86*$C179</f>
        <v>0</v>
      </c>
      <c r="I179" s="526" t="n">
        <f aca="false">'Presupuesto de ventas'!I$86*$C179</f>
        <v>0</v>
      </c>
      <c r="J179" s="526" t="n">
        <f aca="false">'Presupuesto de ventas'!J$86*$C179</f>
        <v>0</v>
      </c>
      <c r="K179" s="526" t="n">
        <f aca="false">'Presupuesto de ventas'!K$86*$C179</f>
        <v>0</v>
      </c>
      <c r="L179" s="526" t="n">
        <f aca="false">'Presupuesto de ventas'!L$86*$C179</f>
        <v>0</v>
      </c>
      <c r="M179" s="526" t="n">
        <f aca="false">'Presupuesto de ventas'!M$86*$C179</f>
        <v>0</v>
      </c>
      <c r="N179" s="526" t="n">
        <f aca="false">'Presupuesto de ventas'!N$86*$C179</f>
        <v>0</v>
      </c>
      <c r="O179" s="1076" t="n">
        <f aca="false">'Presupuesto de ventas'!O$86*$C179</f>
        <v>0</v>
      </c>
      <c r="P179" s="1270" t="n">
        <f aca="false">SUM(D179:O179)</f>
        <v>0</v>
      </c>
    </row>
    <row r="180" customFormat="false" ht="12.75" hidden="false" customHeight="false" outlineLevel="0" collapsed="false">
      <c r="B180" s="1283" t="str">
        <f aca="false">B30</f>
        <v>Embalajes</v>
      </c>
      <c r="C180" s="1284" t="n">
        <f aca="false">'Previsión de negocio'!E224</f>
        <v>0</v>
      </c>
      <c r="D180" s="1275" t="n">
        <f aca="false">'Presupuesto de ventas'!D$86*$C180</f>
        <v>0</v>
      </c>
      <c r="E180" s="526" t="n">
        <f aca="false">'Presupuesto de ventas'!E$86*$C180</f>
        <v>0</v>
      </c>
      <c r="F180" s="526" t="n">
        <f aca="false">'Presupuesto de ventas'!F$86*$C180</f>
        <v>0</v>
      </c>
      <c r="G180" s="526" t="n">
        <f aca="false">'Presupuesto de ventas'!G$86*$C180</f>
        <v>0</v>
      </c>
      <c r="H180" s="526" t="n">
        <f aca="false">'Presupuesto de ventas'!H$86*$C180</f>
        <v>0</v>
      </c>
      <c r="I180" s="526" t="n">
        <f aca="false">'Presupuesto de ventas'!I$86*$C180</f>
        <v>0</v>
      </c>
      <c r="J180" s="526" t="n">
        <f aca="false">'Presupuesto de ventas'!J$86*$C180</f>
        <v>0</v>
      </c>
      <c r="K180" s="526" t="n">
        <f aca="false">'Presupuesto de ventas'!K$86*$C180</f>
        <v>0</v>
      </c>
      <c r="L180" s="526" t="n">
        <f aca="false">'Presupuesto de ventas'!L$86*$C180</f>
        <v>0</v>
      </c>
      <c r="M180" s="526" t="n">
        <f aca="false">'Presupuesto de ventas'!M$86*$C180</f>
        <v>0</v>
      </c>
      <c r="N180" s="526" t="n">
        <f aca="false">'Presupuesto de ventas'!N$86*$C180</f>
        <v>0</v>
      </c>
      <c r="O180" s="1076" t="n">
        <f aca="false">'Presupuesto de ventas'!O$86*$C180</f>
        <v>0</v>
      </c>
      <c r="P180" s="1270" t="n">
        <f aca="false">SUM(D180:O180)</f>
        <v>0</v>
      </c>
    </row>
    <row r="181" customFormat="false" ht="12.75" hidden="false" customHeight="false" outlineLevel="0" collapsed="false">
      <c r="B181" s="1283" t="str">
        <f aca="false">B31</f>
        <v>Otros costes variables</v>
      </c>
      <c r="C181" s="1284" t="n">
        <f aca="false">'Previsión de negocio'!E225</f>
        <v>0</v>
      </c>
      <c r="D181" s="1275" t="n">
        <f aca="false">'Presupuesto de ventas'!D$86*$C181</f>
        <v>0</v>
      </c>
      <c r="E181" s="526" t="n">
        <f aca="false">'Presupuesto de ventas'!E$86*$C181</f>
        <v>0</v>
      </c>
      <c r="F181" s="526" t="n">
        <f aca="false">'Presupuesto de ventas'!F$86*$C181</f>
        <v>0</v>
      </c>
      <c r="G181" s="526" t="n">
        <f aca="false">'Presupuesto de ventas'!G$86*$C181</f>
        <v>0</v>
      </c>
      <c r="H181" s="526" t="n">
        <f aca="false">'Presupuesto de ventas'!H$86*$C181</f>
        <v>0</v>
      </c>
      <c r="I181" s="526" t="n">
        <f aca="false">'Presupuesto de ventas'!I$86*$C181</f>
        <v>0</v>
      </c>
      <c r="J181" s="526" t="n">
        <f aca="false">'Presupuesto de ventas'!J$86*$C181</f>
        <v>0</v>
      </c>
      <c r="K181" s="526" t="n">
        <f aca="false">'Presupuesto de ventas'!K$86*$C181</f>
        <v>0</v>
      </c>
      <c r="L181" s="526" t="n">
        <f aca="false">'Presupuesto de ventas'!L$86*$C181</f>
        <v>0</v>
      </c>
      <c r="M181" s="526" t="n">
        <f aca="false">'Presupuesto de ventas'!M$86*$C181</f>
        <v>0</v>
      </c>
      <c r="N181" s="526" t="n">
        <f aca="false">'Presupuesto de ventas'!N$86*$C181</f>
        <v>0</v>
      </c>
      <c r="O181" s="1076" t="n">
        <f aca="false">'Presupuesto de ventas'!O$86*$C181</f>
        <v>0</v>
      </c>
      <c r="P181" s="1270" t="n">
        <f aca="false">SUM(D181:O181)</f>
        <v>0</v>
      </c>
    </row>
    <row r="182" customFormat="false" ht="12.75" hidden="false" customHeight="false" outlineLevel="0" collapsed="false">
      <c r="B182" s="1283" t="n">
        <f aca="false">B32</f>
        <v>0</v>
      </c>
      <c r="C182" s="1284" t="n">
        <f aca="false">'Previsión de negocio'!E226</f>
        <v>0</v>
      </c>
      <c r="D182" s="1275" t="n">
        <f aca="false">'Presupuesto de ventas'!D$86*$C182</f>
        <v>0</v>
      </c>
      <c r="E182" s="526" t="n">
        <f aca="false">'Presupuesto de ventas'!E$86*$C182</f>
        <v>0</v>
      </c>
      <c r="F182" s="526" t="n">
        <f aca="false">'Presupuesto de ventas'!F$86*$C182</f>
        <v>0</v>
      </c>
      <c r="G182" s="526" t="n">
        <f aca="false">'Presupuesto de ventas'!G$86*$C182</f>
        <v>0</v>
      </c>
      <c r="H182" s="526" t="n">
        <f aca="false">'Presupuesto de ventas'!H$86*$C182</f>
        <v>0</v>
      </c>
      <c r="I182" s="526" t="n">
        <f aca="false">'Presupuesto de ventas'!I$86*$C182</f>
        <v>0</v>
      </c>
      <c r="J182" s="526" t="n">
        <f aca="false">'Presupuesto de ventas'!J$86*$C182</f>
        <v>0</v>
      </c>
      <c r="K182" s="526" t="n">
        <f aca="false">'Presupuesto de ventas'!K$86*$C182</f>
        <v>0</v>
      </c>
      <c r="L182" s="526" t="n">
        <f aca="false">'Presupuesto de ventas'!L$86*$C182</f>
        <v>0</v>
      </c>
      <c r="M182" s="526" t="n">
        <f aca="false">'Presupuesto de ventas'!M$86*$C182</f>
        <v>0</v>
      </c>
      <c r="N182" s="526" t="n">
        <f aca="false">'Presupuesto de ventas'!N$86*$C182</f>
        <v>0</v>
      </c>
      <c r="O182" s="1076" t="n">
        <f aca="false">'Presupuesto de ventas'!O$86*$C182</f>
        <v>0</v>
      </c>
      <c r="P182" s="1270" t="n">
        <f aca="false">SUM(D182:O182)</f>
        <v>0</v>
      </c>
    </row>
    <row r="183" customFormat="false" ht="12.75" hidden="false" customHeight="false" outlineLevel="0" collapsed="false">
      <c r="B183" s="1283" t="n">
        <f aca="false">B33</f>
        <v>0</v>
      </c>
      <c r="C183" s="1284" t="n">
        <f aca="false">'Previsión de negocio'!E227</f>
        <v>0</v>
      </c>
      <c r="D183" s="1275" t="n">
        <f aca="false">'Presupuesto de ventas'!D$86*$C183</f>
        <v>0</v>
      </c>
      <c r="E183" s="526" t="n">
        <f aca="false">'Presupuesto de ventas'!E$86*$C183</f>
        <v>0</v>
      </c>
      <c r="F183" s="526" t="n">
        <f aca="false">'Presupuesto de ventas'!F$86*$C183</f>
        <v>0</v>
      </c>
      <c r="G183" s="526" t="n">
        <f aca="false">'Presupuesto de ventas'!G$86*$C183</f>
        <v>0</v>
      </c>
      <c r="H183" s="526" t="n">
        <f aca="false">'Presupuesto de ventas'!H$86*$C183</f>
        <v>0</v>
      </c>
      <c r="I183" s="526" t="n">
        <f aca="false">'Presupuesto de ventas'!I$86*$C183</f>
        <v>0</v>
      </c>
      <c r="J183" s="526" t="n">
        <f aca="false">'Presupuesto de ventas'!J$86*$C183</f>
        <v>0</v>
      </c>
      <c r="K183" s="526" t="n">
        <f aca="false">'Presupuesto de ventas'!K$86*$C183</f>
        <v>0</v>
      </c>
      <c r="L183" s="526" t="n">
        <f aca="false">'Presupuesto de ventas'!L$86*$C183</f>
        <v>0</v>
      </c>
      <c r="M183" s="526" t="n">
        <f aca="false">'Presupuesto de ventas'!M$86*$C183</f>
        <v>0</v>
      </c>
      <c r="N183" s="526" t="n">
        <f aca="false">'Presupuesto de ventas'!N$86*$C183</f>
        <v>0</v>
      </c>
      <c r="O183" s="1076" t="n">
        <f aca="false">'Presupuesto de ventas'!O$86*$C183</f>
        <v>0</v>
      </c>
      <c r="P183" s="1270" t="n">
        <f aca="false">SUM(D183:O183)</f>
        <v>0</v>
      </c>
    </row>
    <row r="184" s="23" customFormat="true" ht="12.75" hidden="false" customHeight="false" outlineLevel="0" collapsed="false">
      <c r="B184" s="1286" t="str">
        <f aca="false">B34</f>
        <v>Total</v>
      </c>
      <c r="C184" s="1287"/>
      <c r="D184" s="1082" t="n">
        <f aca="false">SUM(D178:D183)</f>
        <v>1197.1</v>
      </c>
      <c r="E184" s="583" t="n">
        <f aca="false">SUM(E178:E183)</f>
        <v>1197.1</v>
      </c>
      <c r="F184" s="583" t="n">
        <f aca="false">SUM(F178:F183)</f>
        <v>1197.1</v>
      </c>
      <c r="G184" s="583" t="n">
        <f aca="false">SUM(G178:G183)</f>
        <v>1197.1</v>
      </c>
      <c r="H184" s="583" t="n">
        <f aca="false">SUM(H178:H183)</f>
        <v>1197.1</v>
      </c>
      <c r="I184" s="583" t="n">
        <f aca="false">SUM(I178:I183)</f>
        <v>1197.1</v>
      </c>
      <c r="J184" s="583" t="n">
        <f aca="false">SUM(J178:J183)</f>
        <v>1197.1</v>
      </c>
      <c r="K184" s="583" t="n">
        <f aca="false">SUM(K178:K183)</f>
        <v>1197.1</v>
      </c>
      <c r="L184" s="583" t="n">
        <f aca="false">SUM(L178:L183)</f>
        <v>1197.1</v>
      </c>
      <c r="M184" s="583" t="n">
        <f aca="false">SUM(M178:M183)</f>
        <v>1197.1</v>
      </c>
      <c r="N184" s="583" t="n">
        <f aca="false">SUM(N178:N183)</f>
        <v>1197.1</v>
      </c>
      <c r="O184" s="584" t="n">
        <f aca="false">SUM(O178:O183)</f>
        <v>1197.1</v>
      </c>
      <c r="P184" s="1270" t="n">
        <f aca="false">SUM(D184:O184)</f>
        <v>14365.2</v>
      </c>
    </row>
    <row r="185" customFormat="false" ht="12.75" hidden="false" customHeight="false" outlineLevel="0" collapsed="false">
      <c r="B185" s="1273" t="str">
        <f aca="false">B35</f>
        <v>IVA</v>
      </c>
      <c r="C185" s="1288"/>
      <c r="D185" s="1275" t="n">
        <f aca="false">IF('Datos generales'!$D$22&lt;=0,'Datos generales'!$D$19*D184,0)</f>
        <v>0</v>
      </c>
      <c r="E185" s="526" t="n">
        <f aca="false">IF('Datos generales'!$D$22&lt;=0,'Datos generales'!$D$19*E184,0)</f>
        <v>0</v>
      </c>
      <c r="F185" s="526" t="n">
        <f aca="false">IF('Datos generales'!$D$22&lt;=0,'Datos generales'!$D$19*F184,0)</f>
        <v>0</v>
      </c>
      <c r="G185" s="526" t="n">
        <f aca="false">IF('Datos generales'!$D$22&lt;=0,'Datos generales'!$D$19*G184,0)</f>
        <v>0</v>
      </c>
      <c r="H185" s="526" t="n">
        <f aca="false">IF('Datos generales'!$D$22&lt;=0,'Datos generales'!$D$19*H184,0)</f>
        <v>0</v>
      </c>
      <c r="I185" s="526" t="n">
        <f aca="false">IF('Datos generales'!$D$22&lt;=0,'Datos generales'!$D$19*I184,0)</f>
        <v>0</v>
      </c>
      <c r="J185" s="526" t="n">
        <f aca="false">IF('Datos generales'!$D$22&lt;=0,'Datos generales'!$D$19*J184,0)</f>
        <v>0</v>
      </c>
      <c r="K185" s="526" t="n">
        <f aca="false">IF('Datos generales'!$D$22&lt;=0,'Datos generales'!$D$19*K184,0)</f>
        <v>0</v>
      </c>
      <c r="L185" s="526" t="n">
        <f aca="false">IF('Datos generales'!$D$22&lt;=0,'Datos generales'!$D$19*L184,0)</f>
        <v>0</v>
      </c>
      <c r="M185" s="526" t="n">
        <f aca="false">IF('Datos generales'!$D$22&lt;=0,'Datos generales'!$D$19*M184,0)</f>
        <v>0</v>
      </c>
      <c r="N185" s="526" t="n">
        <f aca="false">IF('Datos generales'!$D$22&lt;=0,'Datos generales'!$D$19*N184,0)</f>
        <v>0</v>
      </c>
      <c r="O185" s="526" t="n">
        <f aca="false">IF('Datos generales'!$D$22&lt;=0,'Datos generales'!$D$19*O184,0)</f>
        <v>0</v>
      </c>
      <c r="P185" s="1270" t="n">
        <f aca="false">SUM(D185:O185)</f>
        <v>0</v>
      </c>
    </row>
    <row r="186" customFormat="false" ht="12.75" hidden="false" customHeight="false" outlineLevel="0" collapsed="false">
      <c r="B186" s="1289" t="str">
        <f aca="false">B36</f>
        <v>Total costes variables s/ ventas:</v>
      </c>
      <c r="C186" s="1228"/>
      <c r="D186" s="982" t="n">
        <f aca="false">D184+D185</f>
        <v>1197.1</v>
      </c>
      <c r="E186" s="362" t="n">
        <f aca="false">E184+E185</f>
        <v>1197.1</v>
      </c>
      <c r="F186" s="362" t="n">
        <f aca="false">F184+F185</f>
        <v>1197.1</v>
      </c>
      <c r="G186" s="362" t="n">
        <f aca="false">G184+G185</f>
        <v>1197.1</v>
      </c>
      <c r="H186" s="362" t="n">
        <f aca="false">H184+H185</f>
        <v>1197.1</v>
      </c>
      <c r="I186" s="362" t="n">
        <f aca="false">I184+I185</f>
        <v>1197.1</v>
      </c>
      <c r="J186" s="362" t="n">
        <f aca="false">J184+J185</f>
        <v>1197.1</v>
      </c>
      <c r="K186" s="362" t="n">
        <f aca="false">K184+K185</f>
        <v>1197.1</v>
      </c>
      <c r="L186" s="362" t="n">
        <f aca="false">L184+L185</f>
        <v>1197.1</v>
      </c>
      <c r="M186" s="362" t="n">
        <f aca="false">M184+M185</f>
        <v>1197.1</v>
      </c>
      <c r="N186" s="362" t="n">
        <f aca="false">N184+N185</f>
        <v>1197.1</v>
      </c>
      <c r="O186" s="580" t="n">
        <f aca="false">O184+O185</f>
        <v>1197.1</v>
      </c>
      <c r="P186" s="980" t="n">
        <f aca="false">SUM(D186:O186)</f>
        <v>14365.2</v>
      </c>
    </row>
    <row r="187" customFormat="false" ht="7.5" hidden="false" customHeight="true" outlineLevel="0" collapsed="false">
      <c r="B187" s="1290"/>
      <c r="C187" s="1291"/>
      <c r="D187" s="267"/>
      <c r="E187" s="267"/>
      <c r="F187" s="267"/>
      <c r="G187" s="267"/>
      <c r="H187" s="267"/>
      <c r="I187" s="267"/>
      <c r="J187" s="267"/>
      <c r="K187" s="267"/>
      <c r="L187" s="267"/>
      <c r="M187" s="267"/>
      <c r="N187" s="267"/>
      <c r="O187" s="267"/>
      <c r="P187" s="267"/>
    </row>
    <row r="188" customFormat="false" ht="15" hidden="false" customHeight="false" outlineLevel="0" collapsed="false">
      <c r="B188" s="1237" t="str">
        <f aca="false">B38</f>
        <v>Total costes variables:</v>
      </c>
      <c r="C188" s="1238"/>
      <c r="D188" s="1292" t="n">
        <f aca="false">+D162+D176+D186</f>
        <v>18623.1</v>
      </c>
      <c r="E188" s="1292" t="n">
        <f aca="false">+E162+E176+E186</f>
        <v>18623.1</v>
      </c>
      <c r="F188" s="1292" t="n">
        <f aca="false">+F162+F176+F186</f>
        <v>18623.1</v>
      </c>
      <c r="G188" s="1292" t="n">
        <f aca="false">+G162+G176+G186</f>
        <v>18623.1</v>
      </c>
      <c r="H188" s="1292" t="n">
        <f aca="false">+H162+H176+H186</f>
        <v>18623.1</v>
      </c>
      <c r="I188" s="1292" t="n">
        <f aca="false">+I162+I176+I186</f>
        <v>18623.1</v>
      </c>
      <c r="J188" s="1292" t="n">
        <f aca="false">+J162+J176+J186</f>
        <v>18623.1</v>
      </c>
      <c r="K188" s="1292" t="n">
        <f aca="false">+K162+K176+K186</f>
        <v>18623.1</v>
      </c>
      <c r="L188" s="1292" t="n">
        <f aca="false">+L162+L176+L186</f>
        <v>18623.1</v>
      </c>
      <c r="M188" s="1292" t="n">
        <f aca="false">+M162+M176+M186</f>
        <v>18623.1</v>
      </c>
      <c r="N188" s="1292" t="n">
        <f aca="false">+N162+N176+N186</f>
        <v>18623.1</v>
      </c>
      <c r="O188" s="1292" t="n">
        <f aca="false">+O162+O176+O186</f>
        <v>18623.1</v>
      </c>
      <c r="P188" s="1293" t="n">
        <f aca="false">+P162+P176+P186</f>
        <v>223477.2</v>
      </c>
    </row>
    <row r="189" customFormat="false" ht="12.75" hidden="false" customHeight="false" outlineLevel="0" collapsed="false">
      <c r="D189" s="704"/>
      <c r="E189" s="704"/>
      <c r="F189" s="704"/>
      <c r="G189" s="704"/>
      <c r="H189" s="704"/>
      <c r="I189" s="704"/>
      <c r="J189" s="704"/>
      <c r="K189" s="704"/>
      <c r="L189" s="704"/>
      <c r="M189" s="704"/>
      <c r="N189" s="704"/>
      <c r="O189" s="704"/>
      <c r="P189" s="549"/>
    </row>
    <row r="190" s="104" customFormat="true" ht="12.75" hidden="true" customHeight="false" outlineLevel="0" collapsed="false">
      <c r="B190" s="104" t="str">
        <f aca="false">B132</f>
        <v>Compras de existencias</v>
      </c>
      <c r="C190" s="1294" t="s">
        <v>303</v>
      </c>
      <c r="D190" s="1294" t="s">
        <v>304</v>
      </c>
      <c r="E190" s="1294" t="s">
        <v>305</v>
      </c>
      <c r="F190" s="1294" t="s">
        <v>127</v>
      </c>
      <c r="G190" s="1294" t="s">
        <v>128</v>
      </c>
      <c r="H190" s="1294" t="s">
        <v>129</v>
      </c>
      <c r="I190" s="1294" t="s">
        <v>130</v>
      </c>
      <c r="J190" s="1294" t="s">
        <v>306</v>
      </c>
      <c r="K190" s="1294" t="s">
        <v>307</v>
      </c>
      <c r="L190" s="1294" t="s">
        <v>308</v>
      </c>
      <c r="M190" s="1294" t="s">
        <v>309</v>
      </c>
      <c r="N190" s="1294" t="s">
        <v>310</v>
      </c>
      <c r="O190" s="1295" t="n">
        <f aca="false">'Datos generales'!$P$10+1</f>
        <v>2024</v>
      </c>
      <c r="P190" s="104" t="s">
        <v>735</v>
      </c>
    </row>
    <row r="191" s="104" customFormat="true" ht="12.75" hidden="true" customHeight="false" outlineLevel="0" collapsed="false">
      <c r="B191" s="104" t="str">
        <f aca="false">B133</f>
        <v>Pienso para perro adulto 12 kg</v>
      </c>
      <c r="C191" s="1296" t="n">
        <f aca="false">IF('Previsión de negocio'!$U234=E$1,'Previsión de negocio'!$F234,0)</f>
        <v>0</v>
      </c>
      <c r="D191" s="1296" t="n">
        <f aca="false">IF('Previsión de negocio'!$U234=F$1,'Previsión de negocio'!$F234,0)</f>
        <v>0</v>
      </c>
      <c r="E191" s="1296" t="n">
        <f aca="false">IF('Previsión de negocio'!$U234=G$1,'Previsión de negocio'!$F234,0)</f>
        <v>0</v>
      </c>
      <c r="F191" s="1296" t="n">
        <f aca="false">IF('Previsión de negocio'!$U234=H$1,'Previsión de negocio'!$F234,0)</f>
        <v>0</v>
      </c>
      <c r="G191" s="1296" t="n">
        <f aca="false">IF('Previsión de negocio'!$U234=I$1,'Previsión de negocio'!$F234,0)</f>
        <v>0</v>
      </c>
      <c r="H191" s="1296" t="n">
        <f aca="false">IF('Previsión de negocio'!$U234=J$1,'Previsión de negocio'!$F234,0)</f>
        <v>0</v>
      </c>
      <c r="I191" s="1296" t="n">
        <f aca="false">IF('Previsión de negocio'!$U234=K$1,'Previsión de negocio'!$F234,0)</f>
        <v>0</v>
      </c>
      <c r="J191" s="1296" t="n">
        <f aca="false">IF('Previsión de negocio'!$U234=L$1,'Previsión de negocio'!$F234,0)</f>
        <v>0</v>
      </c>
      <c r="K191" s="1296" t="n">
        <f aca="false">IF('Previsión de negocio'!$U234=M$1,'Previsión de negocio'!$F234,0)</f>
        <v>0</v>
      </c>
      <c r="L191" s="1296" t="n">
        <f aca="false">IF('Previsión de negocio'!$U234=N$1,'Previsión de negocio'!$F234,0)</f>
        <v>0</v>
      </c>
      <c r="M191" s="1296" t="n">
        <f aca="false">IF('Previsión de negocio'!$U234=O$1,'Previsión de negocio'!$F234,0)</f>
        <v>0</v>
      </c>
      <c r="N191" s="1296" t="n">
        <f aca="false">IF('Previsión de negocio'!$U234=P$1,'Previsión de negocio'!$F234,0)</f>
        <v>0</v>
      </c>
      <c r="O191" s="1296" t="n">
        <f aca="false">SUM(C191:N191)</f>
        <v>0</v>
      </c>
      <c r="P191" s="104" t="n">
        <f aca="false">IF(P133+O191=0,0,IF('Previsión de negocio'!D234=1,'Previsión de negocio'!E234,'Previsión de negocio'!D234*'Previsión de negocio'!O97))</f>
        <v>2475</v>
      </c>
    </row>
    <row r="192" s="104" customFormat="true" ht="12.75" hidden="true" customHeight="false" outlineLevel="0" collapsed="false">
      <c r="B192" s="104" t="str">
        <f aca="false">B134</f>
        <v>Pienso para gato adulto 10 kg</v>
      </c>
      <c r="C192" s="1296" t="n">
        <f aca="false">IF('Previsión de negocio'!$U235=E$1,'Previsión de negocio'!$F235,0)</f>
        <v>0</v>
      </c>
      <c r="D192" s="1296" t="n">
        <f aca="false">IF('Previsión de negocio'!$U235=F$1,'Previsión de negocio'!$F235,0)</f>
        <v>0</v>
      </c>
      <c r="E192" s="1296" t="n">
        <f aca="false">IF('Previsión de negocio'!$U235=G$1,'Previsión de negocio'!$F235,0)</f>
        <v>0</v>
      </c>
      <c r="F192" s="1296" t="n">
        <f aca="false">IF('Previsión de negocio'!$U235=H$1,'Previsión de negocio'!$F235,0)</f>
        <v>0</v>
      </c>
      <c r="G192" s="1296" t="n">
        <f aca="false">IF('Previsión de negocio'!$U235=I$1,'Previsión de negocio'!$F235,0)</f>
        <v>0</v>
      </c>
      <c r="H192" s="1296" t="n">
        <f aca="false">IF('Previsión de negocio'!$U235=J$1,'Previsión de negocio'!$F235,0)</f>
        <v>0</v>
      </c>
      <c r="I192" s="1296" t="n">
        <f aca="false">IF('Previsión de negocio'!$U235=K$1,'Previsión de negocio'!$F235,0)</f>
        <v>0</v>
      </c>
      <c r="J192" s="1296" t="n">
        <f aca="false">IF('Previsión de negocio'!$U235=L$1,'Previsión de negocio'!$F235,0)</f>
        <v>0</v>
      </c>
      <c r="K192" s="1296" t="n">
        <f aca="false">IF('Previsión de negocio'!$U235=M$1,'Previsión de negocio'!$F235,0)</f>
        <v>0</v>
      </c>
      <c r="L192" s="1296" t="n">
        <f aca="false">IF('Previsión de negocio'!$U235=N$1,'Previsión de negocio'!$F235,0)</f>
        <v>0</v>
      </c>
      <c r="M192" s="1296" t="n">
        <f aca="false">IF('Previsión de negocio'!$U235=O$1,'Previsión de negocio'!$F235,0)</f>
        <v>0</v>
      </c>
      <c r="N192" s="1296" t="n">
        <f aca="false">IF('Previsión de negocio'!$U235=P$1,'Previsión de negocio'!$F235,0)</f>
        <v>0</v>
      </c>
      <c r="O192" s="1296" t="n">
        <f aca="false">SUM(C192:N192)</f>
        <v>0</v>
      </c>
      <c r="P192" s="104" t="n">
        <f aca="false">IF(P134+O192=0,0,IF('Previsión de negocio'!D235=1,'Previsión de negocio'!E235,'Previsión de negocio'!D235*'Previsión de negocio'!O103))</f>
        <v>2250</v>
      </c>
    </row>
    <row r="193" s="104" customFormat="true" ht="12.75" hidden="true" customHeight="false" outlineLevel="0" collapsed="false">
      <c r="B193" s="104" t="str">
        <f aca="false">B135</f>
        <v>Pienso para loros 12 kg</v>
      </c>
      <c r="C193" s="1296" t="n">
        <f aca="false">IF('Previsión de negocio'!$U236=E$1,'Previsión de negocio'!$F236,0)</f>
        <v>0</v>
      </c>
      <c r="D193" s="1296" t="n">
        <f aca="false">IF('Previsión de negocio'!$U236=F$1,'Previsión de negocio'!$F236,0)</f>
        <v>0</v>
      </c>
      <c r="E193" s="1296" t="n">
        <f aca="false">IF('Previsión de negocio'!$U236=G$1,'Previsión de negocio'!$F236,0)</f>
        <v>0</v>
      </c>
      <c r="F193" s="1296" t="n">
        <f aca="false">IF('Previsión de negocio'!$U236=H$1,'Previsión de negocio'!$F236,0)</f>
        <v>0</v>
      </c>
      <c r="G193" s="1296" t="n">
        <f aca="false">IF('Previsión de negocio'!$U236=I$1,'Previsión de negocio'!$F236,0)</f>
        <v>0</v>
      </c>
      <c r="H193" s="1296" t="n">
        <f aca="false">IF('Previsión de negocio'!$U236=J$1,'Previsión de negocio'!$F236,0)</f>
        <v>0</v>
      </c>
      <c r="I193" s="1296" t="n">
        <f aca="false">IF('Previsión de negocio'!$U236=K$1,'Previsión de negocio'!$F236,0)</f>
        <v>0</v>
      </c>
      <c r="J193" s="1296" t="n">
        <f aca="false">IF('Previsión de negocio'!$U236=L$1,'Previsión de negocio'!$F236,0)</f>
        <v>0</v>
      </c>
      <c r="K193" s="1296" t="n">
        <f aca="false">IF('Previsión de negocio'!$U236=M$1,'Previsión de negocio'!$F236,0)</f>
        <v>0</v>
      </c>
      <c r="L193" s="1296" t="n">
        <f aca="false">IF('Previsión de negocio'!$U236=N$1,'Previsión de negocio'!$F236,0)</f>
        <v>0</v>
      </c>
      <c r="M193" s="1296" t="n">
        <f aca="false">IF('Previsión de negocio'!$U236=O$1,'Previsión de negocio'!$F236,0)</f>
        <v>0</v>
      </c>
      <c r="N193" s="1296" t="n">
        <f aca="false">IF('Previsión de negocio'!$U236=P$1,'Previsión de negocio'!$F236,0)</f>
        <v>0</v>
      </c>
      <c r="O193" s="1296" t="n">
        <f aca="false">SUM(C193:N193)</f>
        <v>0</v>
      </c>
      <c r="P193" s="104" t="n">
        <f aca="false">IF(P135+O193=0,0,IF('Previsión de negocio'!D236=1,'Previsión de negocio'!E236,'Previsión de negocio'!D236*'Previsión de negocio'!O109))</f>
        <v>2145</v>
      </c>
    </row>
    <row r="194" s="104" customFormat="true" ht="12.75" hidden="true" customHeight="false" outlineLevel="0" collapsed="false">
      <c r="B194" s="104" t="str">
        <f aca="false">B136</f>
        <v>Pienso para cobayas 3 kg</v>
      </c>
      <c r="C194" s="1296" t="n">
        <f aca="false">IF('Previsión de negocio'!$U237=E$1,'Previsión de negocio'!$F237,0)</f>
        <v>0</v>
      </c>
      <c r="D194" s="1296" t="n">
        <f aca="false">IF('Previsión de negocio'!$U237=F$1,'Previsión de negocio'!$F237,0)</f>
        <v>0</v>
      </c>
      <c r="E194" s="1296" t="n">
        <f aca="false">IF('Previsión de negocio'!$U237=G$1,'Previsión de negocio'!$F237,0)</f>
        <v>0</v>
      </c>
      <c r="F194" s="1296" t="n">
        <f aca="false">IF('Previsión de negocio'!$U237=H$1,'Previsión de negocio'!$F237,0)</f>
        <v>0</v>
      </c>
      <c r="G194" s="1296" t="n">
        <f aca="false">IF('Previsión de negocio'!$U237=I$1,'Previsión de negocio'!$F237,0)</f>
        <v>0</v>
      </c>
      <c r="H194" s="1296" t="n">
        <f aca="false">IF('Previsión de negocio'!$U237=J$1,'Previsión de negocio'!$F237,0)</f>
        <v>0</v>
      </c>
      <c r="I194" s="1296" t="n">
        <f aca="false">IF('Previsión de negocio'!$U237=K$1,'Previsión de negocio'!$F237,0)</f>
        <v>0</v>
      </c>
      <c r="J194" s="1296" t="n">
        <f aca="false">IF('Previsión de negocio'!$U237=L$1,'Previsión de negocio'!$F237,0)</f>
        <v>0</v>
      </c>
      <c r="K194" s="1296" t="n">
        <f aca="false">IF('Previsión de negocio'!$U237=M$1,'Previsión de negocio'!$F237,0)</f>
        <v>0</v>
      </c>
      <c r="L194" s="1296" t="n">
        <f aca="false">IF('Previsión de negocio'!$U237=N$1,'Previsión de negocio'!$F237,0)</f>
        <v>0</v>
      </c>
      <c r="M194" s="1296" t="n">
        <f aca="false">IF('Previsión de negocio'!$U237=O$1,'Previsión de negocio'!$F237,0)</f>
        <v>0</v>
      </c>
      <c r="N194" s="1296" t="n">
        <f aca="false">IF('Previsión de negocio'!$U237=P$1,'Previsión de negocio'!$F237,0)</f>
        <v>0</v>
      </c>
      <c r="O194" s="1296" t="n">
        <f aca="false">SUM(C194:N194)</f>
        <v>0</v>
      </c>
      <c r="P194" s="104" t="n">
        <f aca="false">IF(P136+O194=0,0,IF('Previsión de negocio'!D237=1,'Previsión de negocio'!E237,'Previsión de negocio'!D237*'Previsión de negocio'!O115))</f>
        <v>664</v>
      </c>
    </row>
    <row r="195" s="104" customFormat="true" ht="12.75" hidden="true" customHeight="false" outlineLevel="0" collapsed="false">
      <c r="B195" s="104" t="str">
        <f aca="false">B137</f>
        <v>Pienso para conejo adulto 1,75 kg</v>
      </c>
      <c r="C195" s="1296" t="n">
        <f aca="false">IF('Previsión de negocio'!$U238=E$1,'Previsión de negocio'!$F238,0)</f>
        <v>0</v>
      </c>
      <c r="D195" s="1296" t="n">
        <f aca="false">IF('Previsión de negocio'!$U238=F$1,'Previsión de negocio'!$F238,0)</f>
        <v>0</v>
      </c>
      <c r="E195" s="1296" t="n">
        <f aca="false">IF('Previsión de negocio'!$U238=G$1,'Previsión de negocio'!$F238,0)</f>
        <v>0</v>
      </c>
      <c r="F195" s="1296" t="n">
        <f aca="false">IF('Previsión de negocio'!$U238=H$1,'Previsión de negocio'!$F238,0)</f>
        <v>0</v>
      </c>
      <c r="G195" s="1296" t="n">
        <f aca="false">IF('Previsión de negocio'!$U238=I$1,'Previsión de negocio'!$F238,0)</f>
        <v>0</v>
      </c>
      <c r="H195" s="1296" t="n">
        <f aca="false">IF('Previsión de negocio'!$U238=J$1,'Previsión de negocio'!$F238,0)</f>
        <v>0</v>
      </c>
      <c r="I195" s="1296" t="n">
        <f aca="false">IF('Previsión de negocio'!$U238=K$1,'Previsión de negocio'!$F238,0)</f>
        <v>0</v>
      </c>
      <c r="J195" s="1296" t="n">
        <f aca="false">IF('Previsión de negocio'!$U238=L$1,'Previsión de negocio'!$F238,0)</f>
        <v>0</v>
      </c>
      <c r="K195" s="1296" t="n">
        <f aca="false">IF('Previsión de negocio'!$U238=M$1,'Previsión de negocio'!$F238,0)</f>
        <v>0</v>
      </c>
      <c r="L195" s="1296" t="n">
        <f aca="false">IF('Previsión de negocio'!$U238=N$1,'Previsión de negocio'!$F238,0)</f>
        <v>0</v>
      </c>
      <c r="M195" s="1296" t="n">
        <f aca="false">IF('Previsión de negocio'!$U238=O$1,'Previsión de negocio'!$F238,0)</f>
        <v>0</v>
      </c>
      <c r="N195" s="1296" t="n">
        <f aca="false">IF('Previsión de negocio'!$U238=P$1,'Previsión de negocio'!$F238,0)</f>
        <v>0</v>
      </c>
      <c r="O195" s="1296" t="n">
        <f aca="false">SUM(C195:N195)</f>
        <v>0</v>
      </c>
      <c r="P195" s="104" t="n">
        <f aca="false">IF(P137+O195=0,0,IF('Previsión de negocio'!D238=1,'Previsión de negocio'!E238,'Previsión de negocio'!D238*'Previsión de negocio'!O121))</f>
        <v>532</v>
      </c>
    </row>
    <row r="196" s="104" customFormat="true" ht="12.75" hidden="true" customHeight="false" outlineLevel="0" collapsed="false">
      <c r="B196" s="104" t="str">
        <f aca="false">B138</f>
        <v>Pienso para hamsters 1 kg</v>
      </c>
      <c r="C196" s="1296" t="n">
        <f aca="false">IF('Previsión de negocio'!$U239=E$1,'Previsión de negocio'!$F239,0)</f>
        <v>0</v>
      </c>
      <c r="D196" s="1296" t="n">
        <f aca="false">IF('Previsión de negocio'!$U239=F$1,'Previsión de negocio'!$F239,0)</f>
        <v>0</v>
      </c>
      <c r="E196" s="1296" t="n">
        <f aca="false">IF('Previsión de negocio'!$U239=G$1,'Previsión de negocio'!$F239,0)</f>
        <v>0</v>
      </c>
      <c r="F196" s="1296" t="n">
        <f aca="false">IF('Previsión de negocio'!$U239=H$1,'Previsión de negocio'!$F239,0)</f>
        <v>0</v>
      </c>
      <c r="G196" s="1296" t="n">
        <f aca="false">IF('Previsión de negocio'!$U239=I$1,'Previsión de negocio'!$F239,0)</f>
        <v>0</v>
      </c>
      <c r="H196" s="1296" t="n">
        <f aca="false">IF('Previsión de negocio'!$U239=J$1,'Previsión de negocio'!$F239,0)</f>
        <v>0</v>
      </c>
      <c r="I196" s="1296" t="n">
        <f aca="false">IF('Previsión de negocio'!$U239=K$1,'Previsión de negocio'!$F239,0)</f>
        <v>0</v>
      </c>
      <c r="J196" s="1296" t="n">
        <f aca="false">IF('Previsión de negocio'!$U239=L$1,'Previsión de negocio'!$F239,0)</f>
        <v>0</v>
      </c>
      <c r="K196" s="1296" t="n">
        <f aca="false">IF('Previsión de negocio'!$U239=M$1,'Previsión de negocio'!$F239,0)</f>
        <v>0</v>
      </c>
      <c r="L196" s="1296" t="n">
        <f aca="false">IF('Previsión de negocio'!$U239=N$1,'Previsión de negocio'!$F239,0)</f>
        <v>0</v>
      </c>
      <c r="M196" s="1296" t="n">
        <f aca="false">IF('Previsión de negocio'!$U239=O$1,'Previsión de negocio'!$F239,0)</f>
        <v>0</v>
      </c>
      <c r="N196" s="1296" t="n">
        <f aca="false">IF('Previsión de negocio'!$U239=P$1,'Previsión de negocio'!$F239,0)</f>
        <v>0</v>
      </c>
      <c r="O196" s="1296" t="n">
        <f aca="false">SUM(C196:N196)</f>
        <v>0</v>
      </c>
      <c r="P196" s="104" t="n">
        <f aca="false">IF(P138+O196=0,0,IF('Previsión de negocio'!D239=1,'Previsión de negocio'!E239,'Previsión de negocio'!D239*'Previsión de negocio'!O127))</f>
        <v>742</v>
      </c>
    </row>
    <row r="197" s="104" customFormat="true" ht="12.75" hidden="true" customHeight="false" outlineLevel="0" collapsed="false">
      <c r="B197" s="104" t="str">
        <f aca="false">B139</f>
        <v>Pienso natural para perro 3 kg</v>
      </c>
      <c r="C197" s="1296" t="n">
        <f aca="false">IF('Previsión de negocio'!$U240=E$1,'Previsión de negocio'!$F240,0)</f>
        <v>0</v>
      </c>
      <c r="D197" s="1296" t="n">
        <f aca="false">IF('Previsión de negocio'!$U240=F$1,'Previsión de negocio'!$F240,0)</f>
        <v>0</v>
      </c>
      <c r="E197" s="1296" t="n">
        <f aca="false">IF('Previsión de negocio'!$U240=G$1,'Previsión de negocio'!$F240,0)</f>
        <v>0</v>
      </c>
      <c r="F197" s="1296" t="n">
        <f aca="false">IF('Previsión de negocio'!$U240=H$1,'Previsión de negocio'!$F240,0)</f>
        <v>0</v>
      </c>
      <c r="G197" s="1296" t="n">
        <f aca="false">IF('Previsión de negocio'!$U240=I$1,'Previsión de negocio'!$F240,0)</f>
        <v>0</v>
      </c>
      <c r="H197" s="1296" t="n">
        <f aca="false">IF('Previsión de negocio'!$U240=J$1,'Previsión de negocio'!$F240,0)</f>
        <v>0</v>
      </c>
      <c r="I197" s="1296" t="n">
        <f aca="false">IF('Previsión de negocio'!$U240=K$1,'Previsión de negocio'!$F240,0)</f>
        <v>0</v>
      </c>
      <c r="J197" s="1296" t="n">
        <f aca="false">IF('Previsión de negocio'!$U240=L$1,'Previsión de negocio'!$F240,0)</f>
        <v>0</v>
      </c>
      <c r="K197" s="1296" t="n">
        <f aca="false">IF('Previsión de negocio'!$U240=M$1,'Previsión de negocio'!$F240,0)</f>
        <v>0</v>
      </c>
      <c r="L197" s="1296" t="n">
        <f aca="false">IF('Previsión de negocio'!$U240=N$1,'Previsión de negocio'!$F240,0)</f>
        <v>0</v>
      </c>
      <c r="M197" s="1296" t="n">
        <f aca="false">IF('Previsión de negocio'!$U240=O$1,'Previsión de negocio'!$F240,0)</f>
        <v>0</v>
      </c>
      <c r="N197" s="1296" t="n">
        <f aca="false">IF('Previsión de negocio'!$U240=P$1,'Previsión de negocio'!$F240,0)</f>
        <v>0</v>
      </c>
      <c r="O197" s="1296" t="n">
        <f aca="false">SUM(C197:N197)</f>
        <v>0</v>
      </c>
      <c r="P197" s="104" t="n">
        <f aca="false">IF(P139+O197=0,0,IF('Previsión de negocio'!D240=1,'Previsión de negocio'!E240,'Previsión de negocio'!D240*'Previsión de negocio'!O133))</f>
        <v>612</v>
      </c>
    </row>
    <row r="198" s="104" customFormat="true" ht="12.75" hidden="true" customHeight="false" outlineLevel="0" collapsed="false">
      <c r="B198" s="104" t="str">
        <f aca="false">B140</f>
        <v>Pienso natural para cachorros 6 kg</v>
      </c>
      <c r="C198" s="1296" t="n">
        <f aca="false">IF('Previsión de negocio'!$U241=E$1,'Previsión de negocio'!$F241,0)</f>
        <v>0</v>
      </c>
      <c r="D198" s="1296" t="n">
        <f aca="false">IF('Previsión de negocio'!$U241=F$1,'Previsión de negocio'!$F241,0)</f>
        <v>0</v>
      </c>
      <c r="E198" s="1296" t="n">
        <f aca="false">IF('Previsión de negocio'!$U241=G$1,'Previsión de negocio'!$F241,0)</f>
        <v>0</v>
      </c>
      <c r="F198" s="1296" t="n">
        <f aca="false">IF('Previsión de negocio'!$U241=H$1,'Previsión de negocio'!$F241,0)</f>
        <v>0</v>
      </c>
      <c r="G198" s="1296" t="n">
        <f aca="false">IF('Previsión de negocio'!$U241=I$1,'Previsión de negocio'!$F241,0)</f>
        <v>0</v>
      </c>
      <c r="H198" s="1296" t="n">
        <f aca="false">IF('Previsión de negocio'!$U241=J$1,'Previsión de negocio'!$F241,0)</f>
        <v>0</v>
      </c>
      <c r="I198" s="1296" t="n">
        <f aca="false">IF('Previsión de negocio'!$U241=K$1,'Previsión de negocio'!$F241,0)</f>
        <v>0</v>
      </c>
      <c r="J198" s="1296" t="n">
        <f aca="false">IF('Previsión de negocio'!$U241=L$1,'Previsión de negocio'!$F241,0)</f>
        <v>0</v>
      </c>
      <c r="K198" s="1296" t="n">
        <f aca="false">IF('Previsión de negocio'!$U241=M$1,'Previsión de negocio'!$F241,0)</f>
        <v>0</v>
      </c>
      <c r="L198" s="1296" t="n">
        <f aca="false">IF('Previsión de negocio'!$U241=N$1,'Previsión de negocio'!$F241,0)</f>
        <v>0</v>
      </c>
      <c r="M198" s="1296" t="n">
        <f aca="false">IF('Previsión de negocio'!$U241=O$1,'Previsión de negocio'!$F241,0)</f>
        <v>0</v>
      </c>
      <c r="N198" s="1296" t="n">
        <f aca="false">IF('Previsión de negocio'!$U241=P$1,'Previsión de negocio'!$F241,0)</f>
        <v>0</v>
      </c>
      <c r="O198" s="1296" t="n">
        <f aca="false">SUM(C198:N198)</f>
        <v>0</v>
      </c>
      <c r="P198" s="104" t="n">
        <f aca="false">IF(P140+O198=0,0,IF('Previsión de negocio'!D241=1,'Previsión de negocio'!E241,'Previsión de negocio'!D241*'Previsión de negocio'!O139))</f>
        <v>1624</v>
      </c>
    </row>
    <row r="199" s="104" customFormat="true" ht="12.75" hidden="true" customHeight="false" outlineLevel="0" collapsed="false">
      <c r="B199" s="104" t="str">
        <f aca="false">B141</f>
        <v>Menú natural semihúmedo perro</v>
      </c>
      <c r="C199" s="1296" t="n">
        <f aca="false">IF('Previsión de negocio'!$U242=E$1,'Previsión de negocio'!$F242,0)</f>
        <v>0</v>
      </c>
      <c r="D199" s="1296" t="n">
        <f aca="false">IF('Previsión de negocio'!$U242=F$1,'Previsión de negocio'!$F242,0)</f>
        <v>0</v>
      </c>
      <c r="E199" s="1296" t="n">
        <f aca="false">IF('Previsión de negocio'!$U242=G$1,'Previsión de negocio'!$F242,0)</f>
        <v>0</v>
      </c>
      <c r="F199" s="1296" t="n">
        <f aca="false">IF('Previsión de negocio'!$U242=H$1,'Previsión de negocio'!$F242,0)</f>
        <v>0</v>
      </c>
      <c r="G199" s="1296" t="n">
        <f aca="false">IF('Previsión de negocio'!$U242=I$1,'Previsión de negocio'!$F242,0)</f>
        <v>0</v>
      </c>
      <c r="H199" s="1296" t="n">
        <f aca="false">IF('Previsión de negocio'!$U242=J$1,'Previsión de negocio'!$F242,0)</f>
        <v>0</v>
      </c>
      <c r="I199" s="1296" t="n">
        <f aca="false">IF('Previsión de negocio'!$U242=K$1,'Previsión de negocio'!$F242,0)</f>
        <v>0</v>
      </c>
      <c r="J199" s="1296" t="n">
        <f aca="false">IF('Previsión de negocio'!$U242=L$1,'Previsión de negocio'!$F242,0)</f>
        <v>0</v>
      </c>
      <c r="K199" s="1296" t="n">
        <f aca="false">IF('Previsión de negocio'!$U242=M$1,'Previsión de negocio'!$F242,0)</f>
        <v>0</v>
      </c>
      <c r="L199" s="1296" t="n">
        <f aca="false">IF('Previsión de negocio'!$U242=N$1,'Previsión de negocio'!$F242,0)</f>
        <v>0</v>
      </c>
      <c r="M199" s="1296" t="n">
        <f aca="false">IF('Previsión de negocio'!$U242=O$1,'Previsión de negocio'!$F242,0)</f>
        <v>0</v>
      </c>
      <c r="N199" s="1296" t="n">
        <f aca="false">IF('Previsión de negocio'!$U242=P$1,'Previsión de negocio'!$F242,0)</f>
        <v>0</v>
      </c>
      <c r="O199" s="1296" t="n">
        <f aca="false">SUM(C199:N199)</f>
        <v>0</v>
      </c>
      <c r="P199" s="104" t="n">
        <f aca="false">IF(P141+O199=0,0,IF('Previsión de negocio'!D242=1,'Previsión de negocio'!E242,'Previsión de negocio'!D242*'Previsión de negocio'!O145))</f>
        <v>909</v>
      </c>
    </row>
    <row r="200" s="104" customFormat="true" ht="12.75" hidden="true" customHeight="false" outlineLevel="0" collapsed="false">
      <c r="B200" s="104" t="str">
        <f aca="false">B142</f>
        <v>Comida húmeda para gatos 26 pouches</v>
      </c>
      <c r="C200" s="1296" t="n">
        <f aca="false">IF('Previsión de negocio'!$U243=E$1,'Previsión de negocio'!$F243,0)</f>
        <v>0</v>
      </c>
      <c r="D200" s="1296" t="n">
        <f aca="false">IF('Previsión de negocio'!$U243=F$1,'Previsión de negocio'!$F243,0)</f>
        <v>0</v>
      </c>
      <c r="E200" s="1296" t="n">
        <f aca="false">IF('Previsión de negocio'!$U243=G$1,'Previsión de negocio'!$F243,0)</f>
        <v>0</v>
      </c>
      <c r="F200" s="1296" t="n">
        <f aca="false">IF('Previsión de negocio'!$U243=H$1,'Previsión de negocio'!$F243,0)</f>
        <v>0</v>
      </c>
      <c r="G200" s="1296" t="n">
        <f aca="false">IF('Previsión de negocio'!$U243=I$1,'Previsión de negocio'!$F243,0)</f>
        <v>0</v>
      </c>
      <c r="H200" s="1296" t="n">
        <f aca="false">IF('Previsión de negocio'!$U243=J$1,'Previsión de negocio'!$F243,0)</f>
        <v>0</v>
      </c>
      <c r="I200" s="1296" t="n">
        <f aca="false">IF('Previsión de negocio'!$U243=K$1,'Previsión de negocio'!$F243,0)</f>
        <v>0</v>
      </c>
      <c r="J200" s="1296" t="n">
        <f aca="false">IF('Previsión de negocio'!$U243=L$1,'Previsión de negocio'!$F243,0)</f>
        <v>0</v>
      </c>
      <c r="K200" s="1296" t="n">
        <f aca="false">IF('Previsión de negocio'!$U243=M$1,'Previsión de negocio'!$F243,0)</f>
        <v>0</v>
      </c>
      <c r="L200" s="1296" t="n">
        <f aca="false">IF('Previsión de negocio'!$U243=N$1,'Previsión de negocio'!$F243,0)</f>
        <v>0</v>
      </c>
      <c r="M200" s="1296" t="n">
        <f aca="false">IF('Previsión de negocio'!$U243=O$1,'Previsión de negocio'!$F243,0)</f>
        <v>0</v>
      </c>
      <c r="N200" s="1296" t="n">
        <f aca="false">IF('Previsión de negocio'!$U243=P$1,'Previsión de negocio'!$F243,0)</f>
        <v>0</v>
      </c>
      <c r="O200" s="1296" t="n">
        <f aca="false">SUM(C200:N200)</f>
        <v>0</v>
      </c>
      <c r="P200" s="104" t="n">
        <f aca="false">IF(P142+O200=0,0,IF('Previsión de negocio'!D243=1,'Previsión de negocio'!E243,'Previsión de negocio'!D243*'Previsión de negocio'!O151))</f>
        <v>870</v>
      </c>
    </row>
    <row r="201" s="104" customFormat="true" ht="12.75" hidden="true" customHeight="false" outlineLevel="0" collapsed="false">
      <c r="B201" s="104" t="str">
        <f aca="false">B143</f>
        <v>Total</v>
      </c>
      <c r="C201" s="1296" t="n">
        <f aca="false">SUM(C191:C200)</f>
        <v>0</v>
      </c>
      <c r="D201" s="1296" t="n">
        <f aca="false">SUM(D191:D200)</f>
        <v>0</v>
      </c>
      <c r="E201" s="1296" t="n">
        <f aca="false">SUM(E191:E200)</f>
        <v>0</v>
      </c>
      <c r="F201" s="1296" t="n">
        <f aca="false">SUM(F191:F200)</f>
        <v>0</v>
      </c>
      <c r="G201" s="1296" t="n">
        <f aca="false">SUM(G191:G200)</f>
        <v>0</v>
      </c>
      <c r="H201" s="1296" t="n">
        <f aca="false">SUM(H191:H200)</f>
        <v>0</v>
      </c>
      <c r="I201" s="1296" t="n">
        <f aca="false">SUM(I191:I200)</f>
        <v>0</v>
      </c>
      <c r="J201" s="1296" t="n">
        <f aca="false">SUM(J191:J200)</f>
        <v>0</v>
      </c>
      <c r="K201" s="1296" t="n">
        <f aca="false">SUM(K191:K200)</f>
        <v>0</v>
      </c>
      <c r="L201" s="1296" t="n">
        <f aca="false">SUM(L191:L200)</f>
        <v>0</v>
      </c>
      <c r="M201" s="1296" t="n">
        <f aca="false">SUM(M191:M200)</f>
        <v>0</v>
      </c>
      <c r="N201" s="1296" t="n">
        <f aca="false">SUM(N191:N200)</f>
        <v>0</v>
      </c>
      <c r="O201" s="1296" t="n">
        <f aca="false">SUM(O191:O200)</f>
        <v>0</v>
      </c>
      <c r="P201" s="1296" t="n">
        <f aca="false">SUM(P191:P200)</f>
        <v>12823</v>
      </c>
    </row>
    <row r="202" customFormat="false" ht="12.75" hidden="true" customHeight="false" outlineLevel="0" collapsed="false">
      <c r="B202" s="104" t="s">
        <v>736</v>
      </c>
      <c r="C202" s="351" t="n">
        <f aca="false">IF('Datos generales'!$D$22&lt;=0,'Datos generales'!$D$16*C201+C201,0)</f>
        <v>0</v>
      </c>
      <c r="D202" s="351" t="n">
        <f aca="false">IF('Datos generales'!$D$22&lt;=0,'Datos generales'!$D$16*D201+D201,0)</f>
        <v>0</v>
      </c>
      <c r="E202" s="351" t="n">
        <f aca="false">IF('Datos generales'!$D$22&lt;=0,'Datos generales'!$D$16*E201+E201,0)</f>
        <v>0</v>
      </c>
      <c r="F202" s="351" t="n">
        <f aca="false">IF('Datos generales'!$D$22&lt;=0,'Datos generales'!$D$16*F201+F201,0)</f>
        <v>0</v>
      </c>
      <c r="G202" s="351" t="n">
        <f aca="false">IF('Datos generales'!$D$22&lt;=0,'Datos generales'!$D$16*G201+G201,0)</f>
        <v>0</v>
      </c>
      <c r="H202" s="351" t="n">
        <f aca="false">IF('Datos generales'!$D$22&lt;=0,'Datos generales'!$D$16*H201+H201,0)</f>
        <v>0</v>
      </c>
      <c r="I202" s="351" t="n">
        <f aca="false">IF('Datos generales'!$D$22&lt;=0,'Datos generales'!$D$16*I201+I201,0)</f>
        <v>0</v>
      </c>
      <c r="J202" s="351" t="n">
        <f aca="false">IF('Datos generales'!$D$22&lt;=0,'Datos generales'!$D$16*J201+J201,0)</f>
        <v>0</v>
      </c>
      <c r="K202" s="351" t="n">
        <f aca="false">IF('Datos generales'!$D$22&lt;=0,'Datos generales'!$D$16*K201+K201,0)</f>
        <v>0</v>
      </c>
      <c r="L202" s="351" t="n">
        <f aca="false">IF('Datos generales'!$D$22&lt;=0,'Datos generales'!$D$16*L201+L201,0)</f>
        <v>0</v>
      </c>
      <c r="M202" s="351" t="n">
        <f aca="false">IF('Datos generales'!$D$22&lt;=0,'Datos generales'!$D$16*M201+M201,0)</f>
        <v>0</v>
      </c>
      <c r="N202" s="351" t="n">
        <f aca="false">IF('Datos generales'!$D$22&lt;=0,'Datos generales'!$D$16*N201+N201,0)</f>
        <v>0</v>
      </c>
      <c r="O202" s="351" t="n">
        <f aca="false">IF('Datos generales'!$D$22&lt;=0,'Datos generales'!$D$16*O201+O201,0)</f>
        <v>0</v>
      </c>
      <c r="P202" s="351" t="n">
        <f aca="false">IF('Datos generales'!$D$22&lt;=0,'Datos generales'!$D$16*P201+P201,0)</f>
        <v>0</v>
      </c>
      <c r="Q202" s="104"/>
      <c r="R202" s="104"/>
    </row>
    <row r="203" customFormat="false" ht="12.75" hidden="false" customHeight="false" outlineLevel="0" collapsed="false">
      <c r="D203" s="549"/>
      <c r="E203" s="549"/>
      <c r="F203" s="549"/>
      <c r="G203" s="549"/>
      <c r="H203" s="549"/>
      <c r="I203" s="549"/>
      <c r="J203" s="549"/>
      <c r="K203" s="549"/>
      <c r="L203" s="549"/>
      <c r="M203" s="549"/>
      <c r="N203" s="549"/>
      <c r="O203" s="549"/>
      <c r="P203" s="549"/>
    </row>
    <row r="204" customFormat="false" ht="14.25" hidden="false" customHeight="false" outlineLevel="0" collapsed="false">
      <c r="B204" s="51" t="s">
        <v>729</v>
      </c>
      <c r="D204" s="51" t="s">
        <v>476</v>
      </c>
    </row>
    <row r="205" customFormat="false" ht="4.5" hidden="false" customHeight="true" outlineLevel="0" collapsed="false"/>
    <row r="206" customFormat="false" ht="24.75" hidden="false" customHeight="true" outlineLevel="0" collapsed="false">
      <c r="B206" s="990" t="s">
        <v>711</v>
      </c>
      <c r="C206" s="1257"/>
      <c r="D206" s="1258" t="s">
        <v>303</v>
      </c>
      <c r="E206" s="1259" t="s">
        <v>304</v>
      </c>
      <c r="F206" s="1259" t="s">
        <v>305</v>
      </c>
      <c r="G206" s="1259" t="s">
        <v>127</v>
      </c>
      <c r="H206" s="1259" t="s">
        <v>128</v>
      </c>
      <c r="I206" s="1259" t="s">
        <v>129</v>
      </c>
      <c r="J206" s="1259" t="s">
        <v>130</v>
      </c>
      <c r="K206" s="1259" t="s">
        <v>306</v>
      </c>
      <c r="L206" s="1259" t="s">
        <v>307</v>
      </c>
      <c r="M206" s="1259" t="s">
        <v>308</v>
      </c>
      <c r="N206" s="1259" t="s">
        <v>309</v>
      </c>
      <c r="O206" s="1260" t="s">
        <v>310</v>
      </c>
      <c r="P206" s="1261" t="s">
        <v>718</v>
      </c>
    </row>
    <row r="207" customFormat="false" ht="15" hidden="false" customHeight="true" outlineLevel="0" collapsed="false">
      <c r="B207" s="1277" t="s">
        <v>712</v>
      </c>
      <c r="C207" s="1277"/>
      <c r="D207" s="1263"/>
      <c r="E207" s="1264"/>
      <c r="F207" s="1264"/>
      <c r="G207" s="1264"/>
      <c r="H207" s="1264"/>
      <c r="I207" s="1264"/>
      <c r="J207" s="1264"/>
      <c r="K207" s="1264"/>
      <c r="L207" s="1264"/>
      <c r="M207" s="1264"/>
      <c r="N207" s="1264"/>
      <c r="O207" s="1264"/>
      <c r="P207" s="1265"/>
    </row>
    <row r="208" customFormat="false" ht="12.75" hidden="false" customHeight="false" outlineLevel="0" collapsed="false">
      <c r="B208" s="1266" t="str">
        <f aca="false">B13</f>
        <v>Pienso para perro adulto 12 kg</v>
      </c>
      <c r="C208" s="1267"/>
      <c r="D208" s="1297" t="n">
        <f aca="false">'Previsión de negocio'!D157*'Previsión de negocio'!D160</f>
        <v>3960</v>
      </c>
      <c r="E208" s="1218" t="n">
        <f aca="false">'Previsión de negocio'!E157*'Previsión de negocio'!E160</f>
        <v>3960</v>
      </c>
      <c r="F208" s="1218" t="n">
        <f aca="false">'Previsión de negocio'!F157*'Previsión de negocio'!F160</f>
        <v>3960</v>
      </c>
      <c r="G208" s="1218" t="n">
        <f aca="false">'Previsión de negocio'!G157*'Previsión de negocio'!G160</f>
        <v>3960</v>
      </c>
      <c r="H208" s="1218" t="n">
        <f aca="false">'Previsión de negocio'!H157*'Previsión de negocio'!H160</f>
        <v>3960</v>
      </c>
      <c r="I208" s="1218" t="n">
        <f aca="false">'Previsión de negocio'!I157*'Previsión de negocio'!I160</f>
        <v>3960</v>
      </c>
      <c r="J208" s="1218" t="n">
        <f aca="false">'Previsión de negocio'!J157*'Previsión de negocio'!J160</f>
        <v>3960</v>
      </c>
      <c r="K208" s="1218" t="n">
        <f aca="false">'Previsión de negocio'!K157*'Previsión de negocio'!K160</f>
        <v>3960</v>
      </c>
      <c r="L208" s="1218" t="n">
        <f aca="false">'Previsión de negocio'!L157*'Previsión de negocio'!L160</f>
        <v>3960</v>
      </c>
      <c r="M208" s="1218" t="n">
        <f aca="false">'Previsión de negocio'!M157*'Previsión de negocio'!M160</f>
        <v>3960</v>
      </c>
      <c r="N208" s="1218" t="n">
        <f aca="false">'Previsión de negocio'!N157*'Previsión de negocio'!N160</f>
        <v>3960</v>
      </c>
      <c r="O208" s="1219" t="n">
        <f aca="false">'Previsión de negocio'!O157*'Previsión de negocio'!O160</f>
        <v>3960</v>
      </c>
      <c r="P208" s="1268" t="n">
        <f aca="false">SUM(D208:O208)</f>
        <v>47520</v>
      </c>
    </row>
    <row r="209" customFormat="false" ht="12.75" hidden="false" customHeight="false" outlineLevel="0" collapsed="false">
      <c r="B209" s="1266" t="str">
        <f aca="false">B14</f>
        <v>Pienso para gato adulto 10 kg</v>
      </c>
      <c r="C209" s="1269"/>
      <c r="D209" s="1298" t="n">
        <f aca="false">'Previsión de negocio'!D163*'Previsión de negocio'!D166</f>
        <v>3900</v>
      </c>
      <c r="E209" s="1195" t="n">
        <f aca="false">'Previsión de negocio'!E163*'Previsión de negocio'!E166</f>
        <v>3900</v>
      </c>
      <c r="F209" s="1195" t="n">
        <f aca="false">'Previsión de negocio'!F163*'Previsión de negocio'!F166</f>
        <v>3900</v>
      </c>
      <c r="G209" s="1195" t="n">
        <f aca="false">'Previsión de negocio'!G163*'Previsión de negocio'!G166</f>
        <v>3900</v>
      </c>
      <c r="H209" s="1195" t="n">
        <f aca="false">'Previsión de negocio'!H163*'Previsión de negocio'!H166</f>
        <v>3900</v>
      </c>
      <c r="I209" s="1195" t="n">
        <f aca="false">'Previsión de negocio'!I163*'Previsión de negocio'!I166</f>
        <v>3900</v>
      </c>
      <c r="J209" s="1195" t="n">
        <f aca="false">'Previsión de negocio'!J163*'Previsión de negocio'!J166</f>
        <v>3900</v>
      </c>
      <c r="K209" s="1195" t="n">
        <f aca="false">'Previsión de negocio'!K163*'Previsión de negocio'!K166</f>
        <v>3900</v>
      </c>
      <c r="L209" s="1195" t="n">
        <f aca="false">'Previsión de negocio'!L163*'Previsión de negocio'!L166</f>
        <v>3900</v>
      </c>
      <c r="M209" s="1195" t="n">
        <f aca="false">'Previsión de negocio'!M163*'Previsión de negocio'!M166</f>
        <v>3900</v>
      </c>
      <c r="N209" s="1195" t="n">
        <f aca="false">'Previsión de negocio'!N163*'Previsión de negocio'!N166</f>
        <v>3900</v>
      </c>
      <c r="O209" s="1222" t="n">
        <f aca="false">'Previsión de negocio'!O163*'Previsión de negocio'!O166</f>
        <v>3900</v>
      </c>
      <c r="P209" s="1270" t="n">
        <f aca="false">SUM(D209:O209)</f>
        <v>46800</v>
      </c>
    </row>
    <row r="210" customFormat="false" ht="12.75" hidden="false" customHeight="false" outlineLevel="0" collapsed="false">
      <c r="B210" s="1266" t="str">
        <f aca="false">B15</f>
        <v>Pienso para loros 12 kg</v>
      </c>
      <c r="C210" s="1269"/>
      <c r="D210" s="1298" t="n">
        <f aca="false">'Previsión de negocio'!D169*'Previsión de negocio'!D172</f>
        <v>3770</v>
      </c>
      <c r="E210" s="1195" t="n">
        <f aca="false">'Previsión de negocio'!E169*'Previsión de negocio'!E172</f>
        <v>3770</v>
      </c>
      <c r="F210" s="1195" t="n">
        <f aca="false">'Previsión de negocio'!F169*'Previsión de negocio'!F172</f>
        <v>3770</v>
      </c>
      <c r="G210" s="1195" t="n">
        <f aca="false">'Previsión de negocio'!G169*'Previsión de negocio'!G172</f>
        <v>3770</v>
      </c>
      <c r="H210" s="1195" t="n">
        <f aca="false">'Previsión de negocio'!H169*'Previsión de negocio'!H172</f>
        <v>3770</v>
      </c>
      <c r="I210" s="1195" t="n">
        <f aca="false">'Previsión de negocio'!I169*'Previsión de negocio'!I172</f>
        <v>3770</v>
      </c>
      <c r="J210" s="1195" t="n">
        <f aca="false">'Previsión de negocio'!J169*'Previsión de negocio'!J172</f>
        <v>3770</v>
      </c>
      <c r="K210" s="1195" t="n">
        <f aca="false">'Previsión de negocio'!K169*'Previsión de negocio'!K172</f>
        <v>3770</v>
      </c>
      <c r="L210" s="1195" t="n">
        <f aca="false">'Previsión de negocio'!L169*'Previsión de negocio'!L172</f>
        <v>3770</v>
      </c>
      <c r="M210" s="1195" t="n">
        <f aca="false">'Previsión de negocio'!M169*'Previsión de negocio'!M172</f>
        <v>3770</v>
      </c>
      <c r="N210" s="1195" t="n">
        <f aca="false">'Previsión de negocio'!N169*'Previsión de negocio'!N172</f>
        <v>3770</v>
      </c>
      <c r="O210" s="1222" t="n">
        <f aca="false">'Previsión de negocio'!O169*'Previsión de negocio'!O172</f>
        <v>3770</v>
      </c>
      <c r="P210" s="1270" t="n">
        <f aca="false">SUM(D210:O210)</f>
        <v>45240</v>
      </c>
    </row>
    <row r="211" customFormat="false" ht="12.75" hidden="false" customHeight="false" outlineLevel="0" collapsed="false">
      <c r="B211" s="1266" t="str">
        <f aca="false">B16</f>
        <v>Pienso para cobayas 3 kg</v>
      </c>
      <c r="C211" s="1269"/>
      <c r="D211" s="1298" t="n">
        <f aca="false">'Previsión de negocio'!D175*'Previsión de negocio'!D178</f>
        <v>864</v>
      </c>
      <c r="E211" s="1195" t="n">
        <f aca="false">'Previsión de negocio'!E175*'Previsión de negocio'!E178</f>
        <v>864</v>
      </c>
      <c r="F211" s="1195" t="n">
        <f aca="false">'Previsión de negocio'!F175*'Previsión de negocio'!F178</f>
        <v>864</v>
      </c>
      <c r="G211" s="1195" t="n">
        <f aca="false">'Previsión de negocio'!G175*'Previsión de negocio'!G178</f>
        <v>864</v>
      </c>
      <c r="H211" s="1195" t="n">
        <f aca="false">'Previsión de negocio'!H175*'Previsión de negocio'!H178</f>
        <v>864</v>
      </c>
      <c r="I211" s="1195" t="n">
        <f aca="false">'Previsión de negocio'!I175*'Previsión de negocio'!I178</f>
        <v>864</v>
      </c>
      <c r="J211" s="1195" t="n">
        <f aca="false">'Previsión de negocio'!J175*'Previsión de negocio'!J178</f>
        <v>864</v>
      </c>
      <c r="K211" s="1195" t="n">
        <f aca="false">'Previsión de negocio'!K175*'Previsión de negocio'!K178</f>
        <v>864</v>
      </c>
      <c r="L211" s="1195" t="n">
        <f aca="false">'Previsión de negocio'!L175*'Previsión de negocio'!L178</f>
        <v>864</v>
      </c>
      <c r="M211" s="1195" t="n">
        <f aca="false">'Previsión de negocio'!M175*'Previsión de negocio'!M178</f>
        <v>864</v>
      </c>
      <c r="N211" s="1195" t="n">
        <f aca="false">'Previsión de negocio'!N175*'Previsión de negocio'!N178</f>
        <v>864</v>
      </c>
      <c r="O211" s="1222" t="n">
        <f aca="false">'Previsión de negocio'!O175*'Previsión de negocio'!O178</f>
        <v>864</v>
      </c>
      <c r="P211" s="1270" t="n">
        <f aca="false">SUM(D211:O211)</f>
        <v>10368</v>
      </c>
    </row>
    <row r="212" customFormat="false" ht="12.75" hidden="false" customHeight="false" outlineLevel="0" collapsed="false">
      <c r="B212" s="1266" t="str">
        <f aca="false">B17</f>
        <v>Pienso para conejo adulto 1,75 kg</v>
      </c>
      <c r="C212" s="1269"/>
      <c r="D212" s="1298" t="n">
        <f aca="false">'Previsión de negocio'!D181*'Previsión de negocio'!D184</f>
        <v>882</v>
      </c>
      <c r="E212" s="1195" t="n">
        <f aca="false">'Previsión de negocio'!E181*'Previsión de negocio'!E184</f>
        <v>882</v>
      </c>
      <c r="F212" s="1195" t="n">
        <f aca="false">'Previsión de negocio'!F181*'Previsión de negocio'!F184</f>
        <v>882</v>
      </c>
      <c r="G212" s="1195" t="n">
        <f aca="false">'Previsión de negocio'!G181*'Previsión de negocio'!G184</f>
        <v>882</v>
      </c>
      <c r="H212" s="1195" t="n">
        <f aca="false">'Previsión de negocio'!H181*'Previsión de negocio'!H184</f>
        <v>882</v>
      </c>
      <c r="I212" s="1195" t="n">
        <f aca="false">'Previsión de negocio'!I181*'Previsión de negocio'!I184</f>
        <v>882</v>
      </c>
      <c r="J212" s="1195" t="n">
        <f aca="false">'Previsión de negocio'!J181*'Previsión de negocio'!J184</f>
        <v>882</v>
      </c>
      <c r="K212" s="1195" t="n">
        <f aca="false">'Previsión de negocio'!K181*'Previsión de negocio'!K184</f>
        <v>882</v>
      </c>
      <c r="L212" s="1195" t="n">
        <f aca="false">'Previsión de negocio'!L181*'Previsión de negocio'!L184</f>
        <v>882</v>
      </c>
      <c r="M212" s="1195" t="n">
        <f aca="false">'Previsión de negocio'!M181*'Previsión de negocio'!M184</f>
        <v>882</v>
      </c>
      <c r="N212" s="1195" t="n">
        <f aca="false">'Previsión de negocio'!N181*'Previsión de negocio'!N184</f>
        <v>882</v>
      </c>
      <c r="O212" s="1222" t="n">
        <f aca="false">'Previsión de negocio'!O181*'Previsión de negocio'!O184</f>
        <v>882</v>
      </c>
      <c r="P212" s="1270" t="n">
        <f aca="false">SUM(D212:O212)</f>
        <v>10584</v>
      </c>
    </row>
    <row r="213" customFormat="false" ht="12.75" hidden="false" customHeight="false" outlineLevel="0" collapsed="false">
      <c r="B213" s="1266" t="str">
        <f aca="false">B18</f>
        <v>Pienso para hamsters 1 kg</v>
      </c>
      <c r="C213" s="1269"/>
      <c r="D213" s="1298" t="n">
        <f aca="false">'Previsión de negocio'!D187*'Previsión de negocio'!D190</f>
        <v>1092</v>
      </c>
      <c r="E213" s="1195" t="n">
        <f aca="false">'Previsión de negocio'!E187*'Previsión de negocio'!E190</f>
        <v>1092</v>
      </c>
      <c r="F213" s="1195" t="n">
        <f aca="false">'Previsión de negocio'!F187*'Previsión de negocio'!F190</f>
        <v>1092</v>
      </c>
      <c r="G213" s="1195" t="n">
        <f aca="false">'Previsión de negocio'!G187*'Previsión de negocio'!G190</f>
        <v>1092</v>
      </c>
      <c r="H213" s="1195" t="n">
        <f aca="false">'Previsión de negocio'!H187*'Previsión de negocio'!H190</f>
        <v>1092</v>
      </c>
      <c r="I213" s="1195" t="n">
        <f aca="false">'Previsión de negocio'!I187*'Previsión de negocio'!I190</f>
        <v>1092</v>
      </c>
      <c r="J213" s="1195" t="n">
        <f aca="false">'Previsión de negocio'!J187*'Previsión de negocio'!J190</f>
        <v>1092</v>
      </c>
      <c r="K213" s="1195" t="n">
        <f aca="false">'Previsión de negocio'!K187*'Previsión de negocio'!K190</f>
        <v>1092</v>
      </c>
      <c r="L213" s="1195" t="n">
        <f aca="false">'Previsión de negocio'!L187*'Previsión de negocio'!L190</f>
        <v>1092</v>
      </c>
      <c r="M213" s="1195" t="n">
        <f aca="false">'Previsión de negocio'!M187*'Previsión de negocio'!M190</f>
        <v>1092</v>
      </c>
      <c r="N213" s="1195" t="n">
        <f aca="false">'Previsión de negocio'!N187*'Previsión de negocio'!N190</f>
        <v>1092</v>
      </c>
      <c r="O213" s="1222" t="n">
        <f aca="false">'Previsión de negocio'!O187*'Previsión de negocio'!O190</f>
        <v>1092</v>
      </c>
      <c r="P213" s="1270" t="n">
        <f aca="false">SUM(D213:O213)</f>
        <v>13104</v>
      </c>
    </row>
    <row r="214" customFormat="false" ht="12.75" hidden="false" customHeight="false" outlineLevel="0" collapsed="false">
      <c r="B214" s="1266" t="str">
        <f aca="false">B19</f>
        <v>Pienso natural para perro 3 kg</v>
      </c>
      <c r="C214" s="1269"/>
      <c r="D214" s="1298" t="n">
        <f aca="false">'Previsión de negocio'!D193*'Previsión de negocio'!D196</f>
        <v>837</v>
      </c>
      <c r="E214" s="1195" t="n">
        <f aca="false">'Previsión de negocio'!E193*'Previsión de negocio'!E196</f>
        <v>837</v>
      </c>
      <c r="F214" s="1195" t="n">
        <f aca="false">'Previsión de negocio'!F193*'Previsión de negocio'!F196</f>
        <v>837</v>
      </c>
      <c r="G214" s="1195" t="n">
        <f aca="false">'Previsión de negocio'!G193*'Previsión de negocio'!G196</f>
        <v>837</v>
      </c>
      <c r="H214" s="1195" t="n">
        <f aca="false">'Previsión de negocio'!H193*'Previsión de negocio'!H196</f>
        <v>837</v>
      </c>
      <c r="I214" s="1195" t="n">
        <f aca="false">'Previsión de negocio'!I193*'Previsión de negocio'!I196</f>
        <v>837</v>
      </c>
      <c r="J214" s="1195" t="n">
        <f aca="false">'Previsión de negocio'!J193*'Previsión de negocio'!J196</f>
        <v>837</v>
      </c>
      <c r="K214" s="1195" t="n">
        <f aca="false">'Previsión de negocio'!K193*'Previsión de negocio'!K196</f>
        <v>837</v>
      </c>
      <c r="L214" s="1195" t="n">
        <f aca="false">'Previsión de negocio'!L193*'Previsión de negocio'!L196</f>
        <v>837</v>
      </c>
      <c r="M214" s="1195" t="n">
        <f aca="false">'Previsión de negocio'!M193*'Previsión de negocio'!M196</f>
        <v>837</v>
      </c>
      <c r="N214" s="1195" t="n">
        <f aca="false">'Previsión de negocio'!N193*'Previsión de negocio'!N196</f>
        <v>837</v>
      </c>
      <c r="O214" s="1222" t="n">
        <f aca="false">'Previsión de negocio'!O193*'Previsión de negocio'!O196</f>
        <v>837</v>
      </c>
      <c r="P214" s="1270" t="n">
        <f aca="false">SUM(D214:O214)</f>
        <v>10044</v>
      </c>
    </row>
    <row r="215" customFormat="false" ht="12.75" hidden="false" customHeight="false" outlineLevel="0" collapsed="false">
      <c r="B215" s="1266" t="str">
        <f aca="false">B20</f>
        <v>Pienso natural para cachorros 6 kg</v>
      </c>
      <c r="C215" s="1269"/>
      <c r="D215" s="1298" t="n">
        <f aca="false">'Previsión de negocio'!D199*'Previsión de negocio'!D202</f>
        <v>2324</v>
      </c>
      <c r="E215" s="1195" t="n">
        <f aca="false">'Previsión de negocio'!E199*'Previsión de negocio'!E202</f>
        <v>2324</v>
      </c>
      <c r="F215" s="1195" t="n">
        <f aca="false">'Previsión de negocio'!F199*'Previsión de negocio'!F202</f>
        <v>2324</v>
      </c>
      <c r="G215" s="1195" t="n">
        <f aca="false">'Previsión de negocio'!G199*'Previsión de negocio'!G202</f>
        <v>2324</v>
      </c>
      <c r="H215" s="1195" t="n">
        <f aca="false">'Previsión de negocio'!H199*'Previsión de negocio'!H202</f>
        <v>2324</v>
      </c>
      <c r="I215" s="1195" t="n">
        <f aca="false">'Previsión de negocio'!I199*'Previsión de negocio'!I202</f>
        <v>2324</v>
      </c>
      <c r="J215" s="1195" t="n">
        <f aca="false">'Previsión de negocio'!J199*'Previsión de negocio'!J202</f>
        <v>2324</v>
      </c>
      <c r="K215" s="1195" t="n">
        <f aca="false">'Previsión de negocio'!K199*'Previsión de negocio'!K202</f>
        <v>2324</v>
      </c>
      <c r="L215" s="1195" t="n">
        <f aca="false">'Previsión de negocio'!L199*'Previsión de negocio'!L202</f>
        <v>2324</v>
      </c>
      <c r="M215" s="1195" t="n">
        <f aca="false">'Previsión de negocio'!M199*'Previsión de negocio'!M202</f>
        <v>2324</v>
      </c>
      <c r="N215" s="1195" t="n">
        <f aca="false">'Previsión de negocio'!N199*'Previsión de negocio'!N202</f>
        <v>2324</v>
      </c>
      <c r="O215" s="1222" t="n">
        <f aca="false">'Previsión de negocio'!O199*'Previsión de negocio'!O202</f>
        <v>2324</v>
      </c>
      <c r="P215" s="1270" t="n">
        <f aca="false">SUM(D215:O215)</f>
        <v>27888</v>
      </c>
    </row>
    <row r="216" customFormat="false" ht="12.75" hidden="false" customHeight="false" outlineLevel="0" collapsed="false">
      <c r="B216" s="1266" t="str">
        <f aca="false">B21</f>
        <v>Menú natural semihúmedo perro</v>
      </c>
      <c r="C216" s="1269"/>
      <c r="D216" s="1298" t="n">
        <f aca="false">'Previsión de negocio'!D205*'Previsión de negocio'!D208</f>
        <v>1152</v>
      </c>
      <c r="E216" s="1195" t="n">
        <f aca="false">'Previsión de negocio'!E205*'Previsión de negocio'!E208</f>
        <v>1152</v>
      </c>
      <c r="F216" s="1195" t="n">
        <f aca="false">'Previsión de negocio'!F205*'Previsión de negocio'!F208</f>
        <v>1152</v>
      </c>
      <c r="G216" s="1195" t="n">
        <f aca="false">'Previsión de negocio'!G205*'Previsión de negocio'!G208</f>
        <v>1152</v>
      </c>
      <c r="H216" s="1195" t="n">
        <f aca="false">'Previsión de negocio'!H205*'Previsión de negocio'!H208</f>
        <v>1152</v>
      </c>
      <c r="I216" s="1195" t="n">
        <f aca="false">'Previsión de negocio'!I205*'Previsión de negocio'!I208</f>
        <v>1152</v>
      </c>
      <c r="J216" s="1195" t="n">
        <f aca="false">'Previsión de negocio'!J205*'Previsión de negocio'!J208</f>
        <v>1152</v>
      </c>
      <c r="K216" s="1195" t="n">
        <f aca="false">'Previsión de negocio'!K205*'Previsión de negocio'!K208</f>
        <v>1152</v>
      </c>
      <c r="L216" s="1195" t="n">
        <f aca="false">'Previsión de negocio'!L205*'Previsión de negocio'!L208</f>
        <v>1152</v>
      </c>
      <c r="M216" s="1195" t="n">
        <f aca="false">'Previsión de negocio'!M205*'Previsión de negocio'!M208</f>
        <v>1152</v>
      </c>
      <c r="N216" s="1195" t="n">
        <f aca="false">'Previsión de negocio'!N205*'Previsión de negocio'!N208</f>
        <v>1152</v>
      </c>
      <c r="O216" s="1222" t="n">
        <f aca="false">'Previsión de negocio'!O205*'Previsión de negocio'!O208</f>
        <v>1152</v>
      </c>
      <c r="P216" s="1270" t="n">
        <f aca="false">SUM(D216:O216)</f>
        <v>13824</v>
      </c>
    </row>
    <row r="217" customFormat="false" ht="12.75" hidden="false" customHeight="false" outlineLevel="0" collapsed="false">
      <c r="B217" s="1266" t="str">
        <f aca="false">B22</f>
        <v>Comida húmeda para gatos 26 pouches</v>
      </c>
      <c r="C217" s="1269"/>
      <c r="D217" s="1298" t="n">
        <f aca="false">'Previsión de negocio'!D211*'Previsión de negocio'!D214</f>
        <v>1170</v>
      </c>
      <c r="E217" s="1195" t="n">
        <f aca="false">'Previsión de negocio'!E211*'Previsión de negocio'!E214</f>
        <v>1170</v>
      </c>
      <c r="F217" s="1195" t="n">
        <f aca="false">'Previsión de negocio'!F211*'Previsión de negocio'!F214</f>
        <v>1170</v>
      </c>
      <c r="G217" s="1195" t="n">
        <f aca="false">'Previsión de negocio'!G211*'Previsión de negocio'!G214</f>
        <v>1170</v>
      </c>
      <c r="H217" s="1195" t="n">
        <f aca="false">'Previsión de negocio'!H211*'Previsión de negocio'!H214</f>
        <v>1170</v>
      </c>
      <c r="I217" s="1195" t="n">
        <f aca="false">'Previsión de negocio'!I211*'Previsión de negocio'!I214</f>
        <v>1170</v>
      </c>
      <c r="J217" s="1195" t="n">
        <f aca="false">'Previsión de negocio'!J211*'Previsión de negocio'!J214</f>
        <v>1170</v>
      </c>
      <c r="K217" s="1195" t="n">
        <f aca="false">'Previsión de negocio'!K211*'Previsión de negocio'!K214</f>
        <v>1170</v>
      </c>
      <c r="L217" s="1195" t="n">
        <f aca="false">'Previsión de negocio'!L211*'Previsión de negocio'!L214</f>
        <v>1170</v>
      </c>
      <c r="M217" s="1195" t="n">
        <f aca="false">'Previsión de negocio'!M211*'Previsión de negocio'!M214</f>
        <v>1170</v>
      </c>
      <c r="N217" s="1195" t="n">
        <f aca="false">'Previsión de negocio'!N211*'Previsión de negocio'!N214</f>
        <v>1170</v>
      </c>
      <c r="O217" s="1222" t="n">
        <f aca="false">'Previsión de negocio'!O211*'Previsión de negocio'!O214</f>
        <v>1170</v>
      </c>
      <c r="P217" s="1270" t="n">
        <f aca="false">SUM(D217:O217)</f>
        <v>14040</v>
      </c>
    </row>
    <row r="218" s="23" customFormat="true" ht="12.75" hidden="false" customHeight="false" outlineLevel="0" collapsed="false">
      <c r="B218" s="1271" t="str">
        <f aca="false">B23</f>
        <v>Total</v>
      </c>
      <c r="C218" s="1272"/>
      <c r="D218" s="1082" t="n">
        <f aca="false">SUM(D208:D217)</f>
        <v>19951</v>
      </c>
      <c r="E218" s="583" t="n">
        <f aca="false">SUM(E208:E217)</f>
        <v>19951</v>
      </c>
      <c r="F218" s="583" t="n">
        <f aca="false">SUM(F208:F217)</f>
        <v>19951</v>
      </c>
      <c r="G218" s="583" t="n">
        <f aca="false">SUM(G208:G217)</f>
        <v>19951</v>
      </c>
      <c r="H218" s="583" t="n">
        <f aca="false">SUM(H208:H217)</f>
        <v>19951</v>
      </c>
      <c r="I218" s="583" t="n">
        <f aca="false">SUM(I208:I217)</f>
        <v>19951</v>
      </c>
      <c r="J218" s="583" t="n">
        <f aca="false">SUM(J208:J217)</f>
        <v>19951</v>
      </c>
      <c r="K218" s="583" t="n">
        <f aca="false">SUM(K208:K217)</f>
        <v>19951</v>
      </c>
      <c r="L218" s="583" t="n">
        <f aca="false">SUM(L208:L217)</f>
        <v>19951</v>
      </c>
      <c r="M218" s="583" t="n">
        <f aca="false">SUM(M208:M217)</f>
        <v>19951</v>
      </c>
      <c r="N218" s="583" t="n">
        <f aca="false">SUM(N208:N217)</f>
        <v>19951</v>
      </c>
      <c r="O218" s="584" t="n">
        <f aca="false">SUM(O208:O217)</f>
        <v>19951</v>
      </c>
      <c r="P218" s="1270" t="n">
        <f aca="false">SUM(D218:O218)</f>
        <v>239412</v>
      </c>
    </row>
    <row r="219" customFormat="false" ht="12.75" hidden="false" customHeight="false" outlineLevel="0" collapsed="false">
      <c r="B219" s="1273" t="str">
        <f aca="false">B24</f>
        <v>IVA</v>
      </c>
      <c r="C219" s="1274"/>
      <c r="D219" s="1275" t="n">
        <f aca="false">IF('Datos generales'!$D$22&lt;=0,'Datos generales'!$D$16*D218,0)</f>
        <v>0</v>
      </c>
      <c r="E219" s="526" t="n">
        <f aca="false">IF('Datos generales'!$D$22&lt;=0,'Datos generales'!$D$16*E218,0)</f>
        <v>0</v>
      </c>
      <c r="F219" s="526" t="n">
        <f aca="false">IF('Datos generales'!$D$22&lt;=0,'Datos generales'!$D$16*F218,0)</f>
        <v>0</v>
      </c>
      <c r="G219" s="526" t="n">
        <f aca="false">IF('Datos generales'!$D$22&lt;=0,'Datos generales'!$D$16*G218,0)</f>
        <v>0</v>
      </c>
      <c r="H219" s="526" t="n">
        <f aca="false">IF('Datos generales'!$D$22&lt;=0,'Datos generales'!$D$16*H218,0)</f>
        <v>0</v>
      </c>
      <c r="I219" s="526" t="n">
        <f aca="false">IF('Datos generales'!$D$22&lt;=0,'Datos generales'!$D$16*I218,0)</f>
        <v>0</v>
      </c>
      <c r="J219" s="526" t="n">
        <f aca="false">IF('Datos generales'!$D$22&lt;=0,'Datos generales'!$D$16*J218,0)</f>
        <v>0</v>
      </c>
      <c r="K219" s="526" t="n">
        <f aca="false">IF('Datos generales'!$D$22&lt;=0,'Datos generales'!$D$16*K218,0)</f>
        <v>0</v>
      </c>
      <c r="L219" s="526" t="n">
        <f aca="false">IF('Datos generales'!$D$22&lt;=0,'Datos generales'!$D$16*L218,0)</f>
        <v>0</v>
      </c>
      <c r="M219" s="526" t="n">
        <f aca="false">IF('Datos generales'!$D$22&lt;=0,'Datos generales'!$D$16*M218,0)</f>
        <v>0</v>
      </c>
      <c r="N219" s="526" t="n">
        <f aca="false">IF('Datos generales'!$D$22&lt;=0,'Datos generales'!$D$16*N218,0)</f>
        <v>0</v>
      </c>
      <c r="O219" s="1076" t="n">
        <f aca="false">IF('Datos generales'!$D$22&lt;=0,'Datos generales'!$D$16*O218,0)</f>
        <v>0</v>
      </c>
      <c r="P219" s="1270" t="n">
        <f aca="false">SUM(D219:O219)</f>
        <v>0</v>
      </c>
    </row>
    <row r="220" customFormat="false" ht="12.75" hidden="false" customHeight="false" outlineLevel="0" collapsed="false">
      <c r="B220" s="1276" t="str">
        <f aca="false">B25</f>
        <v>Total coste productos:</v>
      </c>
      <c r="C220" s="362"/>
      <c r="D220" s="982" t="n">
        <f aca="false">D218+D219</f>
        <v>19951</v>
      </c>
      <c r="E220" s="362" t="n">
        <f aca="false">E218+E219</f>
        <v>19951</v>
      </c>
      <c r="F220" s="362" t="n">
        <f aca="false">F218+F219</f>
        <v>19951</v>
      </c>
      <c r="G220" s="362" t="n">
        <f aca="false">G218+G219</f>
        <v>19951</v>
      </c>
      <c r="H220" s="362" t="n">
        <f aca="false">H218+H219</f>
        <v>19951</v>
      </c>
      <c r="I220" s="362" t="n">
        <f aca="false">I218+I219</f>
        <v>19951</v>
      </c>
      <c r="J220" s="362" t="n">
        <f aca="false">J218+J219</f>
        <v>19951</v>
      </c>
      <c r="K220" s="362" t="n">
        <f aca="false">K218+K219</f>
        <v>19951</v>
      </c>
      <c r="L220" s="362" t="n">
        <f aca="false">L218+L219</f>
        <v>19951</v>
      </c>
      <c r="M220" s="362" t="n">
        <f aca="false">M218+M219</f>
        <v>19951</v>
      </c>
      <c r="N220" s="362" t="n">
        <f aca="false">N218+N219</f>
        <v>19951</v>
      </c>
      <c r="O220" s="580" t="n">
        <f aca="false">O218+O219</f>
        <v>19951</v>
      </c>
      <c r="P220" s="980" t="n">
        <f aca="false">SUM(D220:O220)</f>
        <v>239412</v>
      </c>
    </row>
    <row r="221" customFormat="false" ht="23.25" hidden="false" customHeight="true" outlineLevel="0" collapsed="false">
      <c r="B221" s="1262" t="s">
        <v>732</v>
      </c>
      <c r="C221" s="1262"/>
      <c r="D221" s="1278"/>
      <c r="E221" s="267"/>
      <c r="F221" s="267"/>
      <c r="G221" s="267"/>
      <c r="H221" s="267"/>
      <c r="I221" s="267"/>
      <c r="J221" s="267"/>
      <c r="K221" s="267"/>
      <c r="L221" s="267"/>
      <c r="M221" s="267"/>
      <c r="N221" s="267"/>
      <c r="O221" s="1279"/>
      <c r="P221" s="1280"/>
    </row>
    <row r="222" customFormat="false" ht="12.75" hidden="false" customHeight="false" outlineLevel="0" collapsed="false">
      <c r="B222" s="1266" t="str">
        <f aca="false">B13</f>
        <v>Pienso para perro adulto 12 kg</v>
      </c>
      <c r="C222" s="267"/>
      <c r="D222" s="1297" t="n">
        <f aca="false">'Previsión de negocio'!D161</f>
        <v>0</v>
      </c>
      <c r="E222" s="1218" t="n">
        <f aca="false">'Previsión de negocio'!E161</f>
        <v>0</v>
      </c>
      <c r="F222" s="1218" t="n">
        <f aca="false">'Previsión de negocio'!F161</f>
        <v>0</v>
      </c>
      <c r="G222" s="1218" t="n">
        <f aca="false">'Previsión de negocio'!G161</f>
        <v>0</v>
      </c>
      <c r="H222" s="1218" t="n">
        <f aca="false">'Previsión de negocio'!H161</f>
        <v>0</v>
      </c>
      <c r="I222" s="1218" t="n">
        <f aca="false">'Previsión de negocio'!I161</f>
        <v>0</v>
      </c>
      <c r="J222" s="1218" t="n">
        <f aca="false">'Previsión de negocio'!J161</f>
        <v>0</v>
      </c>
      <c r="K222" s="1218" t="n">
        <f aca="false">'Previsión de negocio'!K161</f>
        <v>0</v>
      </c>
      <c r="L222" s="1218" t="n">
        <f aca="false">'Previsión de negocio'!L161</f>
        <v>0</v>
      </c>
      <c r="M222" s="1218" t="n">
        <f aca="false">'Previsión de negocio'!M161</f>
        <v>0</v>
      </c>
      <c r="N222" s="1218" t="n">
        <f aca="false">'Previsión de negocio'!N161</f>
        <v>0</v>
      </c>
      <c r="O222" s="1218" t="n">
        <f aca="false">'Previsión de negocio'!O161</f>
        <v>0</v>
      </c>
      <c r="P222" s="1268" t="n">
        <f aca="false">SUM(D222:O222)</f>
        <v>0</v>
      </c>
    </row>
    <row r="223" customFormat="false" ht="12.75" hidden="false" customHeight="false" outlineLevel="0" collapsed="false">
      <c r="B223" s="1266" t="str">
        <f aca="false">B14</f>
        <v>Pienso para gato adulto 10 kg</v>
      </c>
      <c r="C223" s="267"/>
      <c r="D223" s="1297" t="n">
        <f aca="false">'Previsión de negocio'!D167</f>
        <v>0</v>
      </c>
      <c r="E223" s="1218" t="n">
        <f aca="false">'Previsión de negocio'!E167</f>
        <v>0</v>
      </c>
      <c r="F223" s="1218" t="n">
        <f aca="false">'Previsión de negocio'!F167</f>
        <v>0</v>
      </c>
      <c r="G223" s="1218" t="n">
        <f aca="false">'Previsión de negocio'!G167</f>
        <v>0</v>
      </c>
      <c r="H223" s="1218" t="n">
        <f aca="false">'Previsión de negocio'!H167</f>
        <v>0</v>
      </c>
      <c r="I223" s="1218" t="n">
        <f aca="false">'Previsión de negocio'!I167</f>
        <v>0</v>
      </c>
      <c r="J223" s="1218" t="n">
        <f aca="false">'Previsión de negocio'!J167</f>
        <v>0</v>
      </c>
      <c r="K223" s="1218" t="n">
        <f aca="false">'Previsión de negocio'!K167</f>
        <v>0</v>
      </c>
      <c r="L223" s="1218" t="n">
        <f aca="false">'Previsión de negocio'!L167</f>
        <v>0</v>
      </c>
      <c r="M223" s="1218" t="n">
        <f aca="false">'Previsión de negocio'!M167</f>
        <v>0</v>
      </c>
      <c r="N223" s="1218" t="n">
        <f aca="false">'Previsión de negocio'!N167</f>
        <v>0</v>
      </c>
      <c r="O223" s="1218" t="n">
        <f aca="false">'Previsión de negocio'!O167</f>
        <v>0</v>
      </c>
      <c r="P223" s="1268" t="n">
        <f aca="false">SUM(D223:O223)</f>
        <v>0</v>
      </c>
    </row>
    <row r="224" customFormat="false" ht="12.75" hidden="false" customHeight="false" outlineLevel="0" collapsed="false">
      <c r="B224" s="1266" t="str">
        <f aca="false">B15</f>
        <v>Pienso para loros 12 kg</v>
      </c>
      <c r="C224" s="267"/>
      <c r="D224" s="1297" t="n">
        <f aca="false">'Previsión de negocio'!D173</f>
        <v>0</v>
      </c>
      <c r="E224" s="1218" t="n">
        <f aca="false">'Previsión de negocio'!E173</f>
        <v>0</v>
      </c>
      <c r="F224" s="1218" t="n">
        <f aca="false">'Previsión de negocio'!F173</f>
        <v>0</v>
      </c>
      <c r="G224" s="1218" t="n">
        <f aca="false">'Previsión de negocio'!G173</f>
        <v>0</v>
      </c>
      <c r="H224" s="1218" t="n">
        <f aca="false">'Previsión de negocio'!H173</f>
        <v>0</v>
      </c>
      <c r="I224" s="1218" t="n">
        <f aca="false">'Previsión de negocio'!I173</f>
        <v>0</v>
      </c>
      <c r="J224" s="1218" t="n">
        <f aca="false">'Previsión de negocio'!J173</f>
        <v>0</v>
      </c>
      <c r="K224" s="1218" t="n">
        <f aca="false">'Previsión de negocio'!K173</f>
        <v>0</v>
      </c>
      <c r="L224" s="1218" t="n">
        <f aca="false">'Previsión de negocio'!L173</f>
        <v>0</v>
      </c>
      <c r="M224" s="1218" t="n">
        <f aca="false">'Previsión de negocio'!M173</f>
        <v>0</v>
      </c>
      <c r="N224" s="1218" t="n">
        <f aca="false">'Previsión de negocio'!N173</f>
        <v>0</v>
      </c>
      <c r="O224" s="1218" t="n">
        <f aca="false">'Previsión de negocio'!O173</f>
        <v>0</v>
      </c>
      <c r="P224" s="1268" t="n">
        <f aca="false">SUM(D224:O224)</f>
        <v>0</v>
      </c>
    </row>
    <row r="225" customFormat="false" ht="12.75" hidden="false" customHeight="false" outlineLevel="0" collapsed="false">
      <c r="B225" s="1266" t="str">
        <f aca="false">B16</f>
        <v>Pienso para cobayas 3 kg</v>
      </c>
      <c r="C225" s="267"/>
      <c r="D225" s="1297" t="n">
        <f aca="false">'Previsión de negocio'!D179</f>
        <v>0</v>
      </c>
      <c r="E225" s="1218" t="n">
        <f aca="false">'Previsión de negocio'!E179</f>
        <v>0</v>
      </c>
      <c r="F225" s="1218" t="n">
        <f aca="false">'Previsión de negocio'!F179</f>
        <v>0</v>
      </c>
      <c r="G225" s="1218" t="n">
        <f aca="false">'Previsión de negocio'!G179</f>
        <v>0</v>
      </c>
      <c r="H225" s="1218" t="n">
        <f aca="false">'Previsión de negocio'!H179</f>
        <v>0</v>
      </c>
      <c r="I225" s="1218" t="n">
        <f aca="false">'Previsión de negocio'!I179</f>
        <v>0</v>
      </c>
      <c r="J225" s="1218" t="n">
        <f aca="false">'Previsión de negocio'!J179</f>
        <v>0</v>
      </c>
      <c r="K225" s="1218" t="n">
        <f aca="false">'Previsión de negocio'!K179</f>
        <v>0</v>
      </c>
      <c r="L225" s="1218" t="n">
        <f aca="false">'Previsión de negocio'!L179</f>
        <v>0</v>
      </c>
      <c r="M225" s="1218" t="n">
        <f aca="false">'Previsión de negocio'!M179</f>
        <v>0</v>
      </c>
      <c r="N225" s="1218" t="n">
        <f aca="false">'Previsión de negocio'!N179</f>
        <v>0</v>
      </c>
      <c r="O225" s="1218" t="n">
        <f aca="false">'Previsión de negocio'!O179</f>
        <v>0</v>
      </c>
      <c r="P225" s="1268" t="n">
        <f aca="false">SUM(D225:O225)</f>
        <v>0</v>
      </c>
    </row>
    <row r="226" customFormat="false" ht="12.75" hidden="false" customHeight="false" outlineLevel="0" collapsed="false">
      <c r="B226" s="1266" t="str">
        <f aca="false">B17</f>
        <v>Pienso para conejo adulto 1,75 kg</v>
      </c>
      <c r="C226" s="267"/>
      <c r="D226" s="1297" t="n">
        <f aca="false">'Previsión de negocio'!D185</f>
        <v>0</v>
      </c>
      <c r="E226" s="1218" t="n">
        <f aca="false">'Previsión de negocio'!E185</f>
        <v>0</v>
      </c>
      <c r="F226" s="1218" t="n">
        <f aca="false">'Previsión de negocio'!F185</f>
        <v>0</v>
      </c>
      <c r="G226" s="1218" t="n">
        <f aca="false">'Previsión de negocio'!G185</f>
        <v>0</v>
      </c>
      <c r="H226" s="1218" t="n">
        <f aca="false">'Previsión de negocio'!H185</f>
        <v>0</v>
      </c>
      <c r="I226" s="1218" t="n">
        <f aca="false">'Previsión de negocio'!I185</f>
        <v>0</v>
      </c>
      <c r="J226" s="1218" t="n">
        <f aca="false">'Previsión de negocio'!J185</f>
        <v>0</v>
      </c>
      <c r="K226" s="1218" t="n">
        <f aca="false">'Previsión de negocio'!K185</f>
        <v>0</v>
      </c>
      <c r="L226" s="1218" t="n">
        <f aca="false">'Previsión de negocio'!L185</f>
        <v>0</v>
      </c>
      <c r="M226" s="1218" t="n">
        <f aca="false">'Previsión de negocio'!M185</f>
        <v>0</v>
      </c>
      <c r="N226" s="1218" t="n">
        <f aca="false">'Previsión de negocio'!N185</f>
        <v>0</v>
      </c>
      <c r="O226" s="1218" t="n">
        <f aca="false">'Previsión de negocio'!O185</f>
        <v>0</v>
      </c>
      <c r="P226" s="1268" t="n">
        <f aca="false">SUM(D226:O226)</f>
        <v>0</v>
      </c>
    </row>
    <row r="227" customFormat="false" ht="12.75" hidden="false" customHeight="false" outlineLevel="0" collapsed="false">
      <c r="B227" s="1266" t="str">
        <f aca="false">B18</f>
        <v>Pienso para hamsters 1 kg</v>
      </c>
      <c r="C227" s="267"/>
      <c r="D227" s="1297" t="n">
        <f aca="false">'Previsión de negocio'!D191</f>
        <v>0</v>
      </c>
      <c r="E227" s="1218" t="n">
        <f aca="false">'Previsión de negocio'!E191</f>
        <v>0</v>
      </c>
      <c r="F227" s="1218" t="n">
        <f aca="false">'Previsión de negocio'!F191</f>
        <v>0</v>
      </c>
      <c r="G227" s="1218" t="n">
        <f aca="false">'Previsión de negocio'!G191</f>
        <v>0</v>
      </c>
      <c r="H227" s="1218" t="n">
        <f aca="false">'Previsión de negocio'!H191</f>
        <v>0</v>
      </c>
      <c r="I227" s="1218" t="n">
        <f aca="false">'Previsión de negocio'!I191</f>
        <v>0</v>
      </c>
      <c r="J227" s="1218" t="n">
        <f aca="false">'Previsión de negocio'!J191</f>
        <v>0</v>
      </c>
      <c r="K227" s="1218" t="n">
        <f aca="false">'Previsión de negocio'!K191</f>
        <v>0</v>
      </c>
      <c r="L227" s="1218" t="n">
        <f aca="false">'Previsión de negocio'!L191</f>
        <v>0</v>
      </c>
      <c r="M227" s="1218" t="n">
        <f aca="false">'Previsión de negocio'!M191</f>
        <v>0</v>
      </c>
      <c r="N227" s="1218" t="n">
        <f aca="false">'Previsión de negocio'!N191</f>
        <v>0</v>
      </c>
      <c r="O227" s="1218" t="n">
        <f aca="false">'Previsión de negocio'!O191</f>
        <v>0</v>
      </c>
      <c r="P227" s="1268" t="n">
        <f aca="false">SUM(D227:O227)</f>
        <v>0</v>
      </c>
    </row>
    <row r="228" customFormat="false" ht="12.75" hidden="false" customHeight="false" outlineLevel="0" collapsed="false">
      <c r="B228" s="1266" t="str">
        <f aca="false">B19</f>
        <v>Pienso natural para perro 3 kg</v>
      </c>
      <c r="C228" s="267"/>
      <c r="D228" s="1297" t="n">
        <f aca="false">'Previsión de negocio'!D197</f>
        <v>0</v>
      </c>
      <c r="E228" s="1218" t="n">
        <f aca="false">'Previsión de negocio'!E197</f>
        <v>0</v>
      </c>
      <c r="F228" s="1218" t="n">
        <f aca="false">'Previsión de negocio'!F197</f>
        <v>0</v>
      </c>
      <c r="G228" s="1218" t="n">
        <f aca="false">'Previsión de negocio'!G197</f>
        <v>0</v>
      </c>
      <c r="H228" s="1218" t="n">
        <f aca="false">'Previsión de negocio'!H197</f>
        <v>0</v>
      </c>
      <c r="I228" s="1218" t="n">
        <f aca="false">'Previsión de negocio'!I197</f>
        <v>0</v>
      </c>
      <c r="J228" s="1218" t="n">
        <f aca="false">'Previsión de negocio'!J197</f>
        <v>0</v>
      </c>
      <c r="K228" s="1218" t="n">
        <f aca="false">'Previsión de negocio'!K197</f>
        <v>0</v>
      </c>
      <c r="L228" s="1218" t="n">
        <f aca="false">'Previsión de negocio'!L197</f>
        <v>0</v>
      </c>
      <c r="M228" s="1218" t="n">
        <f aca="false">'Previsión de negocio'!M197</f>
        <v>0</v>
      </c>
      <c r="N228" s="1218" t="n">
        <f aca="false">'Previsión de negocio'!N197</f>
        <v>0</v>
      </c>
      <c r="O228" s="1218" t="n">
        <f aca="false">'Previsión de negocio'!O197</f>
        <v>0</v>
      </c>
      <c r="P228" s="1268" t="n">
        <f aca="false">SUM(D228:O228)</f>
        <v>0</v>
      </c>
    </row>
    <row r="229" customFormat="false" ht="12.75" hidden="false" customHeight="false" outlineLevel="0" collapsed="false">
      <c r="B229" s="1266" t="str">
        <f aca="false">B20</f>
        <v>Pienso natural para cachorros 6 kg</v>
      </c>
      <c r="C229" s="267"/>
      <c r="D229" s="1297" t="n">
        <f aca="false">'Previsión de negocio'!D203</f>
        <v>0</v>
      </c>
      <c r="E229" s="1218" t="n">
        <f aca="false">'Previsión de negocio'!E203</f>
        <v>0</v>
      </c>
      <c r="F229" s="1218" t="n">
        <f aca="false">'Previsión de negocio'!F203</f>
        <v>0</v>
      </c>
      <c r="G229" s="1218" t="n">
        <f aca="false">'Previsión de negocio'!G203</f>
        <v>0</v>
      </c>
      <c r="H229" s="1218" t="n">
        <f aca="false">'Previsión de negocio'!H203</f>
        <v>0</v>
      </c>
      <c r="I229" s="1218" t="n">
        <f aca="false">'Previsión de negocio'!I203</f>
        <v>0</v>
      </c>
      <c r="J229" s="1218" t="n">
        <f aca="false">'Previsión de negocio'!J203</f>
        <v>0</v>
      </c>
      <c r="K229" s="1218" t="n">
        <f aca="false">'Previsión de negocio'!K203</f>
        <v>0</v>
      </c>
      <c r="L229" s="1218" t="n">
        <f aca="false">'Previsión de negocio'!L203</f>
        <v>0</v>
      </c>
      <c r="M229" s="1218" t="n">
        <f aca="false">'Previsión de negocio'!M203</f>
        <v>0</v>
      </c>
      <c r="N229" s="1218" t="n">
        <f aca="false">'Previsión de negocio'!N203</f>
        <v>0</v>
      </c>
      <c r="O229" s="1218" t="n">
        <f aca="false">'Previsión de negocio'!O203</f>
        <v>0</v>
      </c>
      <c r="P229" s="1268" t="n">
        <f aca="false">SUM(D229:O229)</f>
        <v>0</v>
      </c>
    </row>
    <row r="230" customFormat="false" ht="12.75" hidden="false" customHeight="false" outlineLevel="0" collapsed="false">
      <c r="B230" s="1266" t="str">
        <f aca="false">B21</f>
        <v>Menú natural semihúmedo perro</v>
      </c>
      <c r="C230" s="267"/>
      <c r="D230" s="1297" t="n">
        <f aca="false">'Previsión de negocio'!D209</f>
        <v>0</v>
      </c>
      <c r="E230" s="1218" t="n">
        <f aca="false">'Previsión de negocio'!E209</f>
        <v>0</v>
      </c>
      <c r="F230" s="1218" t="n">
        <f aca="false">'Previsión de negocio'!F209</f>
        <v>0</v>
      </c>
      <c r="G230" s="1218" t="n">
        <f aca="false">'Previsión de negocio'!G209</f>
        <v>0</v>
      </c>
      <c r="H230" s="1218" t="n">
        <f aca="false">'Previsión de negocio'!H209</f>
        <v>0</v>
      </c>
      <c r="I230" s="1218" t="n">
        <f aca="false">'Previsión de negocio'!I209</f>
        <v>0</v>
      </c>
      <c r="J230" s="1218" t="n">
        <f aca="false">'Previsión de negocio'!J209</f>
        <v>0</v>
      </c>
      <c r="K230" s="1218" t="n">
        <f aca="false">'Previsión de negocio'!K209</f>
        <v>0</v>
      </c>
      <c r="L230" s="1218" t="n">
        <f aca="false">'Previsión de negocio'!L209</f>
        <v>0</v>
      </c>
      <c r="M230" s="1218" t="n">
        <f aca="false">'Previsión de negocio'!M209</f>
        <v>0</v>
      </c>
      <c r="N230" s="1218" t="n">
        <f aca="false">'Previsión de negocio'!N209</f>
        <v>0</v>
      </c>
      <c r="O230" s="1218" t="n">
        <f aca="false">'Previsión de negocio'!O209</f>
        <v>0</v>
      </c>
      <c r="P230" s="1268" t="n">
        <f aca="false">SUM(D230:O230)</f>
        <v>0</v>
      </c>
    </row>
    <row r="231" customFormat="false" ht="12.75" hidden="false" customHeight="false" outlineLevel="0" collapsed="false">
      <c r="B231" s="1266" t="str">
        <f aca="false">B22</f>
        <v>Comida húmeda para gatos 26 pouches</v>
      </c>
      <c r="C231" s="267"/>
      <c r="D231" s="1297" t="n">
        <f aca="false">'Previsión de negocio'!D215</f>
        <v>0</v>
      </c>
      <c r="E231" s="1218" t="n">
        <f aca="false">'Previsión de negocio'!E215</f>
        <v>0</v>
      </c>
      <c r="F231" s="1218" t="n">
        <f aca="false">'Previsión de negocio'!F215</f>
        <v>0</v>
      </c>
      <c r="G231" s="1218" t="n">
        <f aca="false">'Previsión de negocio'!G215</f>
        <v>0</v>
      </c>
      <c r="H231" s="1218" t="n">
        <f aca="false">'Previsión de negocio'!H215</f>
        <v>0</v>
      </c>
      <c r="I231" s="1218" t="n">
        <f aca="false">'Previsión de negocio'!I215</f>
        <v>0</v>
      </c>
      <c r="J231" s="1218" t="n">
        <f aca="false">'Previsión de negocio'!J215</f>
        <v>0</v>
      </c>
      <c r="K231" s="1218" t="n">
        <f aca="false">'Previsión de negocio'!K215</f>
        <v>0</v>
      </c>
      <c r="L231" s="1218" t="n">
        <f aca="false">'Previsión de negocio'!L215</f>
        <v>0</v>
      </c>
      <c r="M231" s="1218" t="n">
        <f aca="false">'Previsión de negocio'!M215</f>
        <v>0</v>
      </c>
      <c r="N231" s="1218" t="n">
        <f aca="false">'Previsión de negocio'!N215</f>
        <v>0</v>
      </c>
      <c r="O231" s="1218" t="n">
        <f aca="false">'Previsión de negocio'!O215</f>
        <v>0</v>
      </c>
      <c r="P231" s="1268" t="n">
        <f aca="false">SUM(D231:O231)</f>
        <v>0</v>
      </c>
    </row>
    <row r="232" customFormat="false" ht="12.75" hidden="false" customHeight="false" outlineLevel="0" collapsed="false">
      <c r="B232" s="1271" t="str">
        <f aca="false">B23</f>
        <v>Total</v>
      </c>
      <c r="C232" s="267"/>
      <c r="D232" s="1082" t="n">
        <f aca="false">SUM(D222:D231)</f>
        <v>0</v>
      </c>
      <c r="E232" s="583" t="n">
        <f aca="false">SUM(E222:E231)</f>
        <v>0</v>
      </c>
      <c r="F232" s="583" t="n">
        <f aca="false">SUM(F222:F231)</f>
        <v>0</v>
      </c>
      <c r="G232" s="583" t="n">
        <f aca="false">SUM(G222:G231)</f>
        <v>0</v>
      </c>
      <c r="H232" s="583" t="n">
        <f aca="false">SUM(H222:H231)</f>
        <v>0</v>
      </c>
      <c r="I232" s="583" t="n">
        <f aca="false">SUM(I222:I231)</f>
        <v>0</v>
      </c>
      <c r="J232" s="583" t="n">
        <f aca="false">SUM(J222:J231)</f>
        <v>0</v>
      </c>
      <c r="K232" s="583" t="n">
        <f aca="false">SUM(K222:K231)</f>
        <v>0</v>
      </c>
      <c r="L232" s="583" t="n">
        <f aca="false">SUM(L222:L231)</f>
        <v>0</v>
      </c>
      <c r="M232" s="583" t="n">
        <f aca="false">SUM(M222:M231)</f>
        <v>0</v>
      </c>
      <c r="N232" s="583" t="n">
        <f aca="false">SUM(N222:N231)</f>
        <v>0</v>
      </c>
      <c r="O232" s="584" t="n">
        <f aca="false">SUM(O222:O231)</f>
        <v>0</v>
      </c>
      <c r="P232" s="1270" t="n">
        <f aca="false">SUM(D232:O232)</f>
        <v>0</v>
      </c>
      <c r="Q232" s="23"/>
    </row>
    <row r="233" customFormat="false" ht="12.75" hidden="false" customHeight="false" outlineLevel="0" collapsed="false">
      <c r="B233" s="1266" t="str">
        <f aca="false">B24</f>
        <v>IVA</v>
      </c>
      <c r="C233" s="267"/>
      <c r="D233" s="1275" t="n">
        <f aca="false">IF('Datos generales'!$D$22&lt;=0,'Datos generales'!$D$19*D232,0)</f>
        <v>0</v>
      </c>
      <c r="E233" s="1275" t="n">
        <f aca="false">IF('Datos generales'!$D$22&lt;=0,'Datos generales'!$D$19*E232,0)</f>
        <v>0</v>
      </c>
      <c r="F233" s="1275" t="n">
        <f aca="false">IF('Datos generales'!$D$22&lt;=0,'Datos generales'!$D$19*F232,0)</f>
        <v>0</v>
      </c>
      <c r="G233" s="1275" t="n">
        <f aca="false">IF('Datos generales'!$D$22&lt;=0,'Datos generales'!$D$19*G232,0)</f>
        <v>0</v>
      </c>
      <c r="H233" s="1275" t="n">
        <f aca="false">IF('Datos generales'!$D$22&lt;=0,'Datos generales'!$D$19*H232,0)</f>
        <v>0</v>
      </c>
      <c r="I233" s="1275" t="n">
        <f aca="false">IF('Datos generales'!$D$22&lt;=0,'Datos generales'!$D$19*I232,0)</f>
        <v>0</v>
      </c>
      <c r="J233" s="1275" t="n">
        <f aca="false">IF('Datos generales'!$D$22&lt;=0,'Datos generales'!$D$19*J232,0)</f>
        <v>0</v>
      </c>
      <c r="K233" s="1275" t="n">
        <f aca="false">IF('Datos generales'!$D$22&lt;=0,'Datos generales'!$D$19*K232,0)</f>
        <v>0</v>
      </c>
      <c r="L233" s="1275" t="n">
        <f aca="false">IF('Datos generales'!$D$22&lt;=0,'Datos generales'!$D$19*L232,0)</f>
        <v>0</v>
      </c>
      <c r="M233" s="1275" t="n">
        <f aca="false">IF('Datos generales'!$D$22&lt;=0,'Datos generales'!$D$19*M232,0)</f>
        <v>0</v>
      </c>
      <c r="N233" s="1275" t="n">
        <f aca="false">IF('Datos generales'!$D$22&lt;=0,'Datos generales'!$D$19*N232,0)</f>
        <v>0</v>
      </c>
      <c r="O233" s="1275" t="n">
        <f aca="false">IF('Datos generales'!$D$22&lt;=0,'Datos generales'!$D$19*O232,0)</f>
        <v>0</v>
      </c>
      <c r="P233" s="1270" t="n">
        <f aca="false">SUM(D233:O233)</f>
        <v>0</v>
      </c>
    </row>
    <row r="234" customFormat="false" ht="12.75" hidden="false" customHeight="true" outlineLevel="0" collapsed="false">
      <c r="B234" s="1281" t="s">
        <v>737</v>
      </c>
      <c r="C234" s="1281"/>
      <c r="D234" s="982" t="n">
        <f aca="false">D232+D233</f>
        <v>0</v>
      </c>
      <c r="E234" s="362" t="n">
        <f aca="false">E232+E233</f>
        <v>0</v>
      </c>
      <c r="F234" s="362" t="n">
        <f aca="false">F232+F233</f>
        <v>0</v>
      </c>
      <c r="G234" s="362" t="n">
        <f aca="false">G232+G233</f>
        <v>0</v>
      </c>
      <c r="H234" s="362" t="n">
        <f aca="false">H232+H233</f>
        <v>0</v>
      </c>
      <c r="I234" s="362" t="n">
        <f aca="false">I232+I233</f>
        <v>0</v>
      </c>
      <c r="J234" s="362" t="n">
        <f aca="false">J232+J233</f>
        <v>0</v>
      </c>
      <c r="K234" s="362" t="n">
        <f aca="false">K232+K233</f>
        <v>0</v>
      </c>
      <c r="L234" s="362" t="n">
        <f aca="false">L232+L233</f>
        <v>0</v>
      </c>
      <c r="M234" s="362" t="n">
        <f aca="false">M232+M233</f>
        <v>0</v>
      </c>
      <c r="N234" s="362" t="n">
        <f aca="false">N232+N233</f>
        <v>0</v>
      </c>
      <c r="O234" s="580" t="n">
        <f aca="false">O232+O233</f>
        <v>0</v>
      </c>
      <c r="P234" s="980" t="n">
        <f aca="false">SUM(D234:O234)</f>
        <v>0</v>
      </c>
    </row>
    <row r="235" customFormat="false" ht="28.5" hidden="false" customHeight="true" outlineLevel="0" collapsed="false">
      <c r="B235" s="1277" t="s">
        <v>143</v>
      </c>
      <c r="C235" s="1277"/>
      <c r="D235" s="267"/>
      <c r="E235" s="267"/>
      <c r="F235" s="267"/>
      <c r="G235" s="267"/>
      <c r="H235" s="267"/>
      <c r="I235" s="267"/>
      <c r="J235" s="267"/>
      <c r="K235" s="267"/>
      <c r="L235" s="267"/>
      <c r="M235" s="267"/>
      <c r="N235" s="267"/>
      <c r="O235" s="1279"/>
      <c r="P235" s="1280"/>
    </row>
    <row r="236" customFormat="false" ht="12.75" hidden="false" customHeight="false" outlineLevel="0" collapsed="false">
      <c r="B236" s="1283" t="str">
        <f aca="false">B28</f>
        <v>Transporte</v>
      </c>
      <c r="C236" s="1284" t="n">
        <f aca="false">'Previsión de negocio'!F222</f>
        <v>0.05</v>
      </c>
      <c r="D236" s="1285" t="n">
        <f aca="false">'Presupuesto de ventas'!D$112*$C236</f>
        <v>1370.45</v>
      </c>
      <c r="E236" s="563" t="n">
        <f aca="false">'Presupuesto de ventas'!E$112*$C236</f>
        <v>1370.45</v>
      </c>
      <c r="F236" s="563" t="n">
        <f aca="false">'Presupuesto de ventas'!F$112*$C236</f>
        <v>1370.45</v>
      </c>
      <c r="G236" s="563" t="n">
        <f aca="false">'Presupuesto de ventas'!G$112*$C236</f>
        <v>1370.45</v>
      </c>
      <c r="H236" s="563" t="n">
        <f aca="false">'Presupuesto de ventas'!H$112*$C236</f>
        <v>1370.45</v>
      </c>
      <c r="I236" s="563" t="n">
        <f aca="false">'Presupuesto de ventas'!I$112*$C236</f>
        <v>1370.45</v>
      </c>
      <c r="J236" s="563" t="n">
        <f aca="false">'Presupuesto de ventas'!J$112*$C236</f>
        <v>1370.45</v>
      </c>
      <c r="K236" s="563" t="n">
        <f aca="false">'Presupuesto de ventas'!K$112*$C236</f>
        <v>1370.45</v>
      </c>
      <c r="L236" s="563" t="n">
        <f aca="false">'Presupuesto de ventas'!L$112*$C236</f>
        <v>1370.45</v>
      </c>
      <c r="M236" s="563" t="n">
        <f aca="false">'Presupuesto de ventas'!M$112*$C236</f>
        <v>1370.45</v>
      </c>
      <c r="N236" s="563" t="n">
        <f aca="false">'Presupuesto de ventas'!N$112*$C236</f>
        <v>1370.45</v>
      </c>
      <c r="O236" s="1274" t="n">
        <f aca="false">'Presupuesto de ventas'!O$112*$C236</f>
        <v>1370.45</v>
      </c>
      <c r="P236" s="1268" t="n">
        <f aca="false">SUM(D236:O236)</f>
        <v>16445.4</v>
      </c>
    </row>
    <row r="237" customFormat="false" ht="12.75" hidden="false" customHeight="false" outlineLevel="0" collapsed="false">
      <c r="B237" s="1283" t="str">
        <f aca="false">B29</f>
        <v>Comisiones</v>
      </c>
      <c r="C237" s="1284" t="n">
        <f aca="false">'Previsión de negocio'!F223</f>
        <v>0</v>
      </c>
      <c r="D237" s="1275" t="n">
        <f aca="false">'Presupuesto de ventas'!D$112*$C237</f>
        <v>0</v>
      </c>
      <c r="E237" s="526" t="n">
        <f aca="false">'Presupuesto de ventas'!E$112*$C237</f>
        <v>0</v>
      </c>
      <c r="F237" s="526" t="n">
        <f aca="false">'Presupuesto de ventas'!F$112*$C237</f>
        <v>0</v>
      </c>
      <c r="G237" s="526" t="n">
        <f aca="false">'Presupuesto de ventas'!G$112*$C237</f>
        <v>0</v>
      </c>
      <c r="H237" s="526" t="n">
        <f aca="false">'Presupuesto de ventas'!H$112*$C237</f>
        <v>0</v>
      </c>
      <c r="I237" s="526" t="n">
        <f aca="false">'Presupuesto de ventas'!I$112*$C237</f>
        <v>0</v>
      </c>
      <c r="J237" s="526" t="n">
        <f aca="false">'Presupuesto de ventas'!J$112*$C237</f>
        <v>0</v>
      </c>
      <c r="K237" s="526" t="n">
        <f aca="false">'Presupuesto de ventas'!K$112*$C237</f>
        <v>0</v>
      </c>
      <c r="L237" s="526" t="n">
        <f aca="false">'Presupuesto de ventas'!L$112*$C237</f>
        <v>0</v>
      </c>
      <c r="M237" s="526" t="n">
        <f aca="false">'Presupuesto de ventas'!M$112*$C237</f>
        <v>0</v>
      </c>
      <c r="N237" s="526" t="n">
        <f aca="false">'Presupuesto de ventas'!N$112*$C237</f>
        <v>0</v>
      </c>
      <c r="O237" s="1076" t="n">
        <f aca="false">'Presupuesto de ventas'!O$112*$C237</f>
        <v>0</v>
      </c>
      <c r="P237" s="1270" t="n">
        <f aca="false">SUM(D237:O237)</f>
        <v>0</v>
      </c>
    </row>
    <row r="238" customFormat="false" ht="12.75" hidden="false" customHeight="false" outlineLevel="0" collapsed="false">
      <c r="B238" s="1283" t="str">
        <f aca="false">B30</f>
        <v>Embalajes</v>
      </c>
      <c r="C238" s="1284" t="n">
        <f aca="false">'Previsión de negocio'!F224</f>
        <v>0</v>
      </c>
      <c r="D238" s="1275" t="n">
        <f aca="false">'Presupuesto de ventas'!D$112*$C238</f>
        <v>0</v>
      </c>
      <c r="E238" s="526" t="n">
        <f aca="false">'Presupuesto de ventas'!E$112*$C238</f>
        <v>0</v>
      </c>
      <c r="F238" s="526" t="n">
        <f aca="false">'Presupuesto de ventas'!F$112*$C238</f>
        <v>0</v>
      </c>
      <c r="G238" s="526" t="n">
        <f aca="false">'Presupuesto de ventas'!G$112*$C238</f>
        <v>0</v>
      </c>
      <c r="H238" s="526" t="n">
        <f aca="false">'Presupuesto de ventas'!H$112*$C238</f>
        <v>0</v>
      </c>
      <c r="I238" s="526" t="n">
        <f aca="false">'Presupuesto de ventas'!I$112*$C238</f>
        <v>0</v>
      </c>
      <c r="J238" s="526" t="n">
        <f aca="false">'Presupuesto de ventas'!J$112*$C238</f>
        <v>0</v>
      </c>
      <c r="K238" s="526" t="n">
        <f aca="false">'Presupuesto de ventas'!K$112*$C238</f>
        <v>0</v>
      </c>
      <c r="L238" s="526" t="n">
        <f aca="false">'Presupuesto de ventas'!L$112*$C238</f>
        <v>0</v>
      </c>
      <c r="M238" s="526" t="n">
        <f aca="false">'Presupuesto de ventas'!M$112*$C238</f>
        <v>0</v>
      </c>
      <c r="N238" s="526" t="n">
        <f aca="false">'Presupuesto de ventas'!N$112*$C238</f>
        <v>0</v>
      </c>
      <c r="O238" s="1076" t="n">
        <f aca="false">'Presupuesto de ventas'!O$112*$C238</f>
        <v>0</v>
      </c>
      <c r="P238" s="1270" t="n">
        <f aca="false">SUM(D238:O238)</f>
        <v>0</v>
      </c>
    </row>
    <row r="239" customFormat="false" ht="12.75" hidden="false" customHeight="false" outlineLevel="0" collapsed="false">
      <c r="B239" s="1283" t="str">
        <f aca="false">B31</f>
        <v>Otros costes variables</v>
      </c>
      <c r="C239" s="1284" t="n">
        <f aca="false">'Previsión de negocio'!F225</f>
        <v>0</v>
      </c>
      <c r="D239" s="1275" t="n">
        <f aca="false">'Presupuesto de ventas'!D$112*$C239</f>
        <v>0</v>
      </c>
      <c r="E239" s="526" t="n">
        <f aca="false">'Presupuesto de ventas'!E$112*$C239</f>
        <v>0</v>
      </c>
      <c r="F239" s="526" t="n">
        <f aca="false">'Presupuesto de ventas'!F$112*$C239</f>
        <v>0</v>
      </c>
      <c r="G239" s="526" t="n">
        <f aca="false">'Presupuesto de ventas'!G$112*$C239</f>
        <v>0</v>
      </c>
      <c r="H239" s="526" t="n">
        <f aca="false">'Presupuesto de ventas'!H$112*$C239</f>
        <v>0</v>
      </c>
      <c r="I239" s="526" t="n">
        <f aca="false">'Presupuesto de ventas'!I$112*$C239</f>
        <v>0</v>
      </c>
      <c r="J239" s="526" t="n">
        <f aca="false">'Presupuesto de ventas'!J$112*$C239</f>
        <v>0</v>
      </c>
      <c r="K239" s="526" t="n">
        <f aca="false">'Presupuesto de ventas'!K$112*$C239</f>
        <v>0</v>
      </c>
      <c r="L239" s="526" t="n">
        <f aca="false">'Presupuesto de ventas'!L$112*$C239</f>
        <v>0</v>
      </c>
      <c r="M239" s="526" t="n">
        <f aca="false">'Presupuesto de ventas'!M$112*$C239</f>
        <v>0</v>
      </c>
      <c r="N239" s="526" t="n">
        <f aca="false">'Presupuesto de ventas'!N$112*$C239</f>
        <v>0</v>
      </c>
      <c r="O239" s="1076" t="n">
        <f aca="false">'Presupuesto de ventas'!O$112*$C239</f>
        <v>0</v>
      </c>
      <c r="P239" s="1270" t="n">
        <f aca="false">SUM(D239:O239)</f>
        <v>0</v>
      </c>
    </row>
    <row r="240" customFormat="false" ht="12.75" hidden="false" customHeight="false" outlineLevel="0" collapsed="false">
      <c r="B240" s="1283" t="n">
        <f aca="false">B32</f>
        <v>0</v>
      </c>
      <c r="C240" s="1284" t="n">
        <f aca="false">'Previsión de negocio'!F226</f>
        <v>0</v>
      </c>
      <c r="D240" s="1275" t="n">
        <f aca="false">'Presupuesto de ventas'!D$112*$C240</f>
        <v>0</v>
      </c>
      <c r="E240" s="526" t="n">
        <f aca="false">'Presupuesto de ventas'!E$112*$C240</f>
        <v>0</v>
      </c>
      <c r="F240" s="526" t="n">
        <f aca="false">'Presupuesto de ventas'!F$112*$C240</f>
        <v>0</v>
      </c>
      <c r="G240" s="526" t="n">
        <f aca="false">'Presupuesto de ventas'!G$112*$C240</f>
        <v>0</v>
      </c>
      <c r="H240" s="526" t="n">
        <f aca="false">'Presupuesto de ventas'!H$112*$C240</f>
        <v>0</v>
      </c>
      <c r="I240" s="526" t="n">
        <f aca="false">'Presupuesto de ventas'!I$112*$C240</f>
        <v>0</v>
      </c>
      <c r="J240" s="526" t="n">
        <f aca="false">'Presupuesto de ventas'!J$112*$C240</f>
        <v>0</v>
      </c>
      <c r="K240" s="526" t="n">
        <f aca="false">'Presupuesto de ventas'!K$112*$C240</f>
        <v>0</v>
      </c>
      <c r="L240" s="526" t="n">
        <f aca="false">'Presupuesto de ventas'!L$112*$C240</f>
        <v>0</v>
      </c>
      <c r="M240" s="526" t="n">
        <f aca="false">'Presupuesto de ventas'!M$112*$C240</f>
        <v>0</v>
      </c>
      <c r="N240" s="526" t="n">
        <f aca="false">'Presupuesto de ventas'!N$112*$C240</f>
        <v>0</v>
      </c>
      <c r="O240" s="1076" t="n">
        <f aca="false">'Presupuesto de ventas'!O$112*$C240</f>
        <v>0</v>
      </c>
      <c r="P240" s="1270" t="n">
        <f aca="false">SUM(D240:O240)</f>
        <v>0</v>
      </c>
    </row>
    <row r="241" customFormat="false" ht="12.75" hidden="false" customHeight="false" outlineLevel="0" collapsed="false">
      <c r="B241" s="1283" t="n">
        <f aca="false">B33</f>
        <v>0</v>
      </c>
      <c r="C241" s="1284" t="n">
        <f aca="false">'Previsión de negocio'!F227</f>
        <v>0</v>
      </c>
      <c r="D241" s="1275" t="n">
        <f aca="false">'Presupuesto de ventas'!D$112*$C241</f>
        <v>0</v>
      </c>
      <c r="E241" s="526" t="n">
        <f aca="false">'Presupuesto de ventas'!E$112*$C241</f>
        <v>0</v>
      </c>
      <c r="F241" s="526" t="n">
        <f aca="false">'Presupuesto de ventas'!F$112*$C241</f>
        <v>0</v>
      </c>
      <c r="G241" s="526" t="n">
        <f aca="false">'Presupuesto de ventas'!G$112*$C241</f>
        <v>0</v>
      </c>
      <c r="H241" s="526" t="n">
        <f aca="false">'Presupuesto de ventas'!H$112*$C241</f>
        <v>0</v>
      </c>
      <c r="I241" s="526" t="n">
        <f aca="false">'Presupuesto de ventas'!I$112*$C241</f>
        <v>0</v>
      </c>
      <c r="J241" s="526" t="n">
        <f aca="false">'Presupuesto de ventas'!J$112*$C241</f>
        <v>0</v>
      </c>
      <c r="K241" s="526" t="n">
        <f aca="false">'Presupuesto de ventas'!K$112*$C241</f>
        <v>0</v>
      </c>
      <c r="L241" s="526" t="n">
        <f aca="false">'Presupuesto de ventas'!L$112*$C241</f>
        <v>0</v>
      </c>
      <c r="M241" s="526" t="n">
        <f aca="false">'Presupuesto de ventas'!M$112*$C241</f>
        <v>0</v>
      </c>
      <c r="N241" s="526" t="n">
        <f aca="false">'Presupuesto de ventas'!N$112*$C241</f>
        <v>0</v>
      </c>
      <c r="O241" s="1076" t="n">
        <f aca="false">'Presupuesto de ventas'!O$112*$C241</f>
        <v>0</v>
      </c>
      <c r="P241" s="1270" t="n">
        <f aca="false">SUM(D241:O241)</f>
        <v>0</v>
      </c>
    </row>
    <row r="242" s="23" customFormat="true" ht="12.75" hidden="false" customHeight="false" outlineLevel="0" collapsed="false">
      <c r="B242" s="1286" t="str">
        <f aca="false">B34</f>
        <v>Total</v>
      </c>
      <c r="C242" s="1287"/>
      <c r="D242" s="1082" t="n">
        <f aca="false">SUM(D236:D241)</f>
        <v>1370.45</v>
      </c>
      <c r="E242" s="583" t="n">
        <f aca="false">SUM(E236:E241)</f>
        <v>1370.45</v>
      </c>
      <c r="F242" s="583" t="n">
        <f aca="false">SUM(F236:F241)</f>
        <v>1370.45</v>
      </c>
      <c r="G242" s="583" t="n">
        <f aca="false">SUM(G236:G241)</f>
        <v>1370.45</v>
      </c>
      <c r="H242" s="583" t="n">
        <f aca="false">SUM(H236:H241)</f>
        <v>1370.45</v>
      </c>
      <c r="I242" s="583" t="n">
        <f aca="false">SUM(I236:I241)</f>
        <v>1370.45</v>
      </c>
      <c r="J242" s="583" t="n">
        <f aca="false">SUM(J236:J241)</f>
        <v>1370.45</v>
      </c>
      <c r="K242" s="583" t="n">
        <f aca="false">SUM(K236:K241)</f>
        <v>1370.45</v>
      </c>
      <c r="L242" s="583" t="n">
        <f aca="false">SUM(L236:L241)</f>
        <v>1370.45</v>
      </c>
      <c r="M242" s="583" t="n">
        <f aca="false">SUM(M236:M241)</f>
        <v>1370.45</v>
      </c>
      <c r="N242" s="583" t="n">
        <f aca="false">SUM(N236:N241)</f>
        <v>1370.45</v>
      </c>
      <c r="O242" s="584" t="n">
        <f aca="false">SUM(O236:O241)</f>
        <v>1370.45</v>
      </c>
      <c r="P242" s="1270" t="n">
        <f aca="false">SUM(D242:O242)</f>
        <v>16445.4</v>
      </c>
    </row>
    <row r="243" customFormat="false" ht="12.75" hidden="false" customHeight="false" outlineLevel="0" collapsed="false">
      <c r="B243" s="1273" t="str">
        <f aca="false">B35</f>
        <v>IVA</v>
      </c>
      <c r="C243" s="1288"/>
      <c r="D243" s="1275" t="n">
        <f aca="false">IF('Datos generales'!$D$22&lt;=0,'Datos generales'!$D$19*D242,0)</f>
        <v>0</v>
      </c>
      <c r="E243" s="526" t="n">
        <f aca="false">IF('Datos generales'!$D$22&lt;=0,'Datos generales'!$D$19*E242,0)</f>
        <v>0</v>
      </c>
      <c r="F243" s="526" t="n">
        <f aca="false">IF('Datos generales'!$D$22&lt;=0,'Datos generales'!$D$19*F242,0)</f>
        <v>0</v>
      </c>
      <c r="G243" s="526" t="n">
        <f aca="false">IF('Datos generales'!$D$22&lt;=0,'Datos generales'!$D$19*G242,0)</f>
        <v>0</v>
      </c>
      <c r="H243" s="526" t="n">
        <f aca="false">IF('Datos generales'!$D$22&lt;=0,'Datos generales'!$D$19*H242,0)</f>
        <v>0</v>
      </c>
      <c r="I243" s="526" t="n">
        <f aca="false">IF('Datos generales'!$D$22&lt;=0,'Datos generales'!$D$19*I242,0)</f>
        <v>0</v>
      </c>
      <c r="J243" s="526" t="n">
        <f aca="false">IF('Datos generales'!$D$22&lt;=0,'Datos generales'!$D$19*J242,0)</f>
        <v>0</v>
      </c>
      <c r="K243" s="526" t="n">
        <f aca="false">IF('Datos generales'!$D$22&lt;=0,'Datos generales'!$D$19*K242,0)</f>
        <v>0</v>
      </c>
      <c r="L243" s="526" t="n">
        <f aca="false">IF('Datos generales'!$D$22&lt;=0,'Datos generales'!$D$19*L242,0)</f>
        <v>0</v>
      </c>
      <c r="M243" s="526" t="n">
        <f aca="false">IF('Datos generales'!$D$22&lt;=0,'Datos generales'!$D$19*M242,0)</f>
        <v>0</v>
      </c>
      <c r="N243" s="526" t="n">
        <f aca="false">IF('Datos generales'!$D$22&lt;=0,'Datos generales'!$D$19*N242,0)</f>
        <v>0</v>
      </c>
      <c r="O243" s="526" t="n">
        <f aca="false">IF('Datos generales'!$D$22&lt;=0,'Datos generales'!$D$19*O242,0)</f>
        <v>0</v>
      </c>
      <c r="P243" s="1270" t="n">
        <f aca="false">SUM(D243:O243)</f>
        <v>0</v>
      </c>
    </row>
    <row r="244" customFormat="false" ht="12.75" hidden="false" customHeight="false" outlineLevel="0" collapsed="false">
      <c r="B244" s="1289" t="str">
        <f aca="false">B36</f>
        <v>Total costes variables s/ ventas:</v>
      </c>
      <c r="C244" s="1228"/>
      <c r="D244" s="982" t="n">
        <f aca="false">D242+D243</f>
        <v>1370.45</v>
      </c>
      <c r="E244" s="362" t="n">
        <f aca="false">E242+E243</f>
        <v>1370.45</v>
      </c>
      <c r="F244" s="362" t="n">
        <f aca="false">F242+F243</f>
        <v>1370.45</v>
      </c>
      <c r="G244" s="362" t="n">
        <f aca="false">G242+G243</f>
        <v>1370.45</v>
      </c>
      <c r="H244" s="362" t="n">
        <f aca="false">H242+H243</f>
        <v>1370.45</v>
      </c>
      <c r="I244" s="362" t="n">
        <f aca="false">I242+I243</f>
        <v>1370.45</v>
      </c>
      <c r="J244" s="362" t="n">
        <f aca="false">J242+J243</f>
        <v>1370.45</v>
      </c>
      <c r="K244" s="362" t="n">
        <f aca="false">K242+K243</f>
        <v>1370.45</v>
      </c>
      <c r="L244" s="362" t="n">
        <f aca="false">L242+L243</f>
        <v>1370.45</v>
      </c>
      <c r="M244" s="362" t="n">
        <f aca="false">M242+M243</f>
        <v>1370.45</v>
      </c>
      <c r="N244" s="362" t="n">
        <f aca="false">N242+N243</f>
        <v>1370.45</v>
      </c>
      <c r="O244" s="580" t="n">
        <f aca="false">O242+O243</f>
        <v>1370.45</v>
      </c>
      <c r="P244" s="980" t="n">
        <f aca="false">SUM(D244:O244)</f>
        <v>16445.4</v>
      </c>
    </row>
    <row r="245" customFormat="false" ht="7.5" hidden="false" customHeight="true" outlineLevel="0" collapsed="false">
      <c r="B245" s="1290"/>
      <c r="C245" s="1291"/>
      <c r="D245" s="267"/>
      <c r="E245" s="267"/>
      <c r="F245" s="267"/>
      <c r="G245" s="267"/>
      <c r="H245" s="267"/>
      <c r="I245" s="267"/>
      <c r="J245" s="267"/>
      <c r="K245" s="267"/>
      <c r="L245" s="267"/>
      <c r="M245" s="267"/>
      <c r="N245" s="267"/>
      <c r="O245" s="267"/>
      <c r="P245" s="267"/>
    </row>
    <row r="246" customFormat="false" ht="15" hidden="false" customHeight="false" outlineLevel="0" collapsed="false">
      <c r="B246" s="1237" t="str">
        <f aca="false">B38</f>
        <v>Total costes variables:</v>
      </c>
      <c r="C246" s="1238"/>
      <c r="D246" s="1292" t="n">
        <f aca="false">+D220+D234+D244</f>
        <v>21321.45</v>
      </c>
      <c r="E246" s="1292" t="n">
        <f aca="false">+E220+E234+E244</f>
        <v>21321.45</v>
      </c>
      <c r="F246" s="1292" t="n">
        <f aca="false">+F220+F234+F244</f>
        <v>21321.45</v>
      </c>
      <c r="G246" s="1292" t="n">
        <f aca="false">+G220+G234+G244</f>
        <v>21321.45</v>
      </c>
      <c r="H246" s="1292" t="n">
        <f aca="false">+H220+H234+H244</f>
        <v>21321.45</v>
      </c>
      <c r="I246" s="1292" t="n">
        <f aca="false">+I220+I234+I244</f>
        <v>21321.45</v>
      </c>
      <c r="J246" s="1292" t="n">
        <f aca="false">+J220+J234+J244</f>
        <v>21321.45</v>
      </c>
      <c r="K246" s="1292" t="n">
        <f aca="false">+K220+K234+K244</f>
        <v>21321.45</v>
      </c>
      <c r="L246" s="1292" t="n">
        <f aca="false">+L220+L234+L244</f>
        <v>21321.45</v>
      </c>
      <c r="M246" s="1292" t="n">
        <f aca="false">+M220+M234+M244</f>
        <v>21321.45</v>
      </c>
      <c r="N246" s="1292" t="n">
        <f aca="false">+N220+N234+N244</f>
        <v>21321.45</v>
      </c>
      <c r="O246" s="1292" t="n">
        <f aca="false">+O220+O234+O244</f>
        <v>21321.45</v>
      </c>
      <c r="P246" s="1293" t="n">
        <f aca="false">+P220+P234+P244</f>
        <v>255857.4</v>
      </c>
    </row>
    <row r="249" s="104" customFormat="true" ht="12.75" hidden="true" customHeight="false" outlineLevel="0" collapsed="false">
      <c r="B249" s="104" t="str">
        <f aca="false">B190</f>
        <v>Compras de existencias</v>
      </c>
      <c r="C249" s="1294" t="s">
        <v>303</v>
      </c>
      <c r="D249" s="1294" t="s">
        <v>304</v>
      </c>
      <c r="E249" s="1294" t="s">
        <v>305</v>
      </c>
      <c r="F249" s="1294" t="s">
        <v>127</v>
      </c>
      <c r="G249" s="1294" t="s">
        <v>128</v>
      </c>
      <c r="H249" s="1294" t="s">
        <v>129</v>
      </c>
      <c r="I249" s="1294" t="s">
        <v>130</v>
      </c>
      <c r="J249" s="1294" t="s">
        <v>306</v>
      </c>
      <c r="K249" s="1294" t="s">
        <v>307</v>
      </c>
      <c r="L249" s="1294" t="s">
        <v>308</v>
      </c>
      <c r="M249" s="1294" t="s">
        <v>309</v>
      </c>
      <c r="N249" s="1294" t="s">
        <v>310</v>
      </c>
      <c r="O249" s="1295" t="n">
        <f aca="false">'Datos generales'!$P$10+2</f>
        <v>2025</v>
      </c>
      <c r="P249" s="104" t="s">
        <v>735</v>
      </c>
    </row>
    <row r="250" s="104" customFormat="true" ht="12.75" hidden="true" customHeight="false" outlineLevel="0" collapsed="false">
      <c r="B250" s="104" t="str">
        <f aca="false">B191</f>
        <v>Pienso para perro adulto 12 kg</v>
      </c>
      <c r="C250" s="104" t="n">
        <f aca="false">IF('Previsión de negocio'!$V234=E$1,'Previsión de negocio'!$F234,0)</f>
        <v>0</v>
      </c>
      <c r="D250" s="104" t="n">
        <f aca="false">IF('Previsión de negocio'!$V234=F$1,'Previsión de negocio'!$F234,0)</f>
        <v>0</v>
      </c>
      <c r="E250" s="104" t="n">
        <f aca="false">IF('Previsión de negocio'!$V234=G$1,'Previsión de negocio'!$F234,0)</f>
        <v>0</v>
      </c>
      <c r="F250" s="104" t="n">
        <f aca="false">IF('Previsión de negocio'!$V234=H$1,'Previsión de negocio'!$F234,0)</f>
        <v>0</v>
      </c>
      <c r="G250" s="104" t="n">
        <f aca="false">IF('Previsión de negocio'!$V234=I$1,'Previsión de negocio'!$F234,0)</f>
        <v>0</v>
      </c>
      <c r="H250" s="104" t="n">
        <f aca="false">IF('Previsión de negocio'!$V234=J$1,'Previsión de negocio'!$F234,0)</f>
        <v>0</v>
      </c>
      <c r="I250" s="104" t="n">
        <f aca="false">IF('Previsión de negocio'!$V234=K$1,'Previsión de negocio'!$F234,0)</f>
        <v>0</v>
      </c>
      <c r="J250" s="104" t="n">
        <f aca="false">IF('Previsión de negocio'!$V234=L$1,'Previsión de negocio'!$F234,0)</f>
        <v>0</v>
      </c>
      <c r="K250" s="104" t="n">
        <f aca="false">IF('Previsión de negocio'!$V234=M$1,'Previsión de negocio'!$F234,0)</f>
        <v>0</v>
      </c>
      <c r="L250" s="104" t="n">
        <f aca="false">IF('Previsión de negocio'!$V234=N$1,'Previsión de negocio'!$F234,0)</f>
        <v>0</v>
      </c>
      <c r="M250" s="104" t="n">
        <f aca="false">IF('Previsión de negocio'!$V234=O$1,'Previsión de negocio'!$F234,0)</f>
        <v>0</v>
      </c>
      <c r="N250" s="104" t="n">
        <f aca="false">IF('Previsión de negocio'!$V234=P$1,'Previsión de negocio'!$F234,0)</f>
        <v>0</v>
      </c>
      <c r="O250" s="1296" t="n">
        <f aca="false">SUM(C250:N250)</f>
        <v>0</v>
      </c>
      <c r="P250" s="104" t="n">
        <f aca="false">IF(P191+O250=0,0,IF('Previsión de negocio'!D234=1,'Previsión de negocio'!E234,'Previsión de negocio'!D234*'Previsión de negocio'!O160))</f>
        <v>2475</v>
      </c>
    </row>
    <row r="251" s="104" customFormat="true" ht="12.75" hidden="true" customHeight="false" outlineLevel="0" collapsed="false">
      <c r="B251" s="104" t="str">
        <f aca="false">B192</f>
        <v>Pienso para gato adulto 10 kg</v>
      </c>
      <c r="C251" s="104" t="n">
        <f aca="false">IF('Previsión de negocio'!$V235=E$1,'Previsión de negocio'!$F235,0)</f>
        <v>0</v>
      </c>
      <c r="D251" s="104" t="n">
        <f aca="false">IF('Previsión de negocio'!$V235=F$1,'Previsión de negocio'!$F235,0)</f>
        <v>0</v>
      </c>
      <c r="E251" s="104" t="n">
        <f aca="false">IF('Previsión de negocio'!$V235=G$1,'Previsión de negocio'!$F235,0)</f>
        <v>0</v>
      </c>
      <c r="F251" s="104" t="n">
        <f aca="false">IF('Previsión de negocio'!$V235=H$1,'Previsión de negocio'!$F235,0)</f>
        <v>0</v>
      </c>
      <c r="G251" s="104" t="n">
        <f aca="false">IF('Previsión de negocio'!$V235=I$1,'Previsión de negocio'!$F235,0)</f>
        <v>0</v>
      </c>
      <c r="H251" s="104" t="n">
        <f aca="false">IF('Previsión de negocio'!$V235=J$1,'Previsión de negocio'!$F235,0)</f>
        <v>0</v>
      </c>
      <c r="I251" s="104" t="n">
        <f aca="false">IF('Previsión de negocio'!$V235=K$1,'Previsión de negocio'!$F235,0)</f>
        <v>0</v>
      </c>
      <c r="J251" s="104" t="n">
        <f aca="false">IF('Previsión de negocio'!$V235=L$1,'Previsión de negocio'!$F235,0)</f>
        <v>0</v>
      </c>
      <c r="K251" s="104" t="n">
        <f aca="false">IF('Previsión de negocio'!$V235=M$1,'Previsión de negocio'!$F235,0)</f>
        <v>0</v>
      </c>
      <c r="L251" s="104" t="n">
        <f aca="false">IF('Previsión de negocio'!$V235=N$1,'Previsión de negocio'!$F235,0)</f>
        <v>0</v>
      </c>
      <c r="M251" s="104" t="n">
        <f aca="false">IF('Previsión de negocio'!$V235=O$1,'Previsión de negocio'!$F235,0)</f>
        <v>0</v>
      </c>
      <c r="N251" s="104" t="n">
        <f aca="false">IF('Previsión de negocio'!$V235=P$1,'Previsión de negocio'!$F235,0)</f>
        <v>0</v>
      </c>
      <c r="O251" s="1296" t="n">
        <f aca="false">SUM(C251:N251)</f>
        <v>0</v>
      </c>
      <c r="P251" s="104" t="n">
        <f aca="false">IF(P192+O251=0,0,IF('Previsión de negocio'!D235=1,'Previsión de negocio'!E235,'Previsión de negocio'!D235*'Previsión de negocio'!O166))</f>
        <v>2250</v>
      </c>
    </row>
    <row r="252" s="104" customFormat="true" ht="12.75" hidden="true" customHeight="false" outlineLevel="0" collapsed="false">
      <c r="B252" s="104" t="str">
        <f aca="false">B193</f>
        <v>Pienso para loros 12 kg</v>
      </c>
      <c r="C252" s="104" t="n">
        <f aca="false">IF('Previsión de negocio'!$V236=E$1,'Previsión de negocio'!$F236,0)</f>
        <v>0</v>
      </c>
      <c r="D252" s="104" t="n">
        <f aca="false">IF('Previsión de negocio'!$V236=F$1,'Previsión de negocio'!$F236,0)</f>
        <v>0</v>
      </c>
      <c r="E252" s="104" t="n">
        <f aca="false">IF('Previsión de negocio'!$V236=G$1,'Previsión de negocio'!$F236,0)</f>
        <v>0</v>
      </c>
      <c r="F252" s="104" t="n">
        <f aca="false">IF('Previsión de negocio'!$V236=H$1,'Previsión de negocio'!$F236,0)</f>
        <v>0</v>
      </c>
      <c r="G252" s="104" t="n">
        <f aca="false">IF('Previsión de negocio'!$V236=I$1,'Previsión de negocio'!$F236,0)</f>
        <v>0</v>
      </c>
      <c r="H252" s="104" t="n">
        <f aca="false">IF('Previsión de negocio'!$V236=J$1,'Previsión de negocio'!$F236,0)</f>
        <v>0</v>
      </c>
      <c r="I252" s="104" t="n">
        <f aca="false">IF('Previsión de negocio'!$V236=K$1,'Previsión de negocio'!$F236,0)</f>
        <v>0</v>
      </c>
      <c r="J252" s="104" t="n">
        <f aca="false">IF('Previsión de negocio'!$V236=L$1,'Previsión de negocio'!$F236,0)</f>
        <v>0</v>
      </c>
      <c r="K252" s="104" t="n">
        <f aca="false">IF('Previsión de negocio'!$V236=M$1,'Previsión de negocio'!$F236,0)</f>
        <v>0</v>
      </c>
      <c r="L252" s="104" t="n">
        <f aca="false">IF('Previsión de negocio'!$V236=N$1,'Previsión de negocio'!$F236,0)</f>
        <v>0</v>
      </c>
      <c r="M252" s="104" t="n">
        <f aca="false">IF('Previsión de negocio'!$V236=O$1,'Previsión de negocio'!$F236,0)</f>
        <v>0</v>
      </c>
      <c r="N252" s="104" t="n">
        <f aca="false">IF('Previsión de negocio'!$V236=P$1,'Previsión de negocio'!$F236,0)</f>
        <v>0</v>
      </c>
      <c r="O252" s="1296" t="n">
        <f aca="false">SUM(C252:N252)</f>
        <v>0</v>
      </c>
      <c r="P252" s="104" t="n">
        <f aca="false">IF(P193+O252=0,0,IF('Previsión de negocio'!D236=1,'Previsión de negocio'!E236,'Previsión de negocio'!D236*'Previsión de negocio'!O172))</f>
        <v>2145</v>
      </c>
    </row>
    <row r="253" s="104" customFormat="true" ht="12.75" hidden="true" customHeight="false" outlineLevel="0" collapsed="false">
      <c r="B253" s="104" t="str">
        <f aca="false">B194</f>
        <v>Pienso para cobayas 3 kg</v>
      </c>
      <c r="C253" s="104" t="n">
        <f aca="false">IF('Previsión de negocio'!$V237=E$1,'Previsión de negocio'!$F237,0)</f>
        <v>0</v>
      </c>
      <c r="D253" s="104" t="n">
        <f aca="false">IF('Previsión de negocio'!$V237=F$1,'Previsión de negocio'!$F237,0)</f>
        <v>0</v>
      </c>
      <c r="E253" s="104" t="n">
        <f aca="false">IF('Previsión de negocio'!$V237=G$1,'Previsión de negocio'!$F237,0)</f>
        <v>0</v>
      </c>
      <c r="F253" s="104" t="n">
        <f aca="false">IF('Previsión de negocio'!$V237=H$1,'Previsión de negocio'!$F237,0)</f>
        <v>0</v>
      </c>
      <c r="G253" s="104" t="n">
        <f aca="false">IF('Previsión de negocio'!$V237=I$1,'Previsión de negocio'!$F237,0)</f>
        <v>0</v>
      </c>
      <c r="H253" s="104" t="n">
        <f aca="false">IF('Previsión de negocio'!$V237=J$1,'Previsión de negocio'!$F237,0)</f>
        <v>0</v>
      </c>
      <c r="I253" s="104" t="n">
        <f aca="false">IF('Previsión de negocio'!$V237=K$1,'Previsión de negocio'!$F237,0)</f>
        <v>0</v>
      </c>
      <c r="J253" s="104" t="n">
        <f aca="false">IF('Previsión de negocio'!$V237=L$1,'Previsión de negocio'!$F237,0)</f>
        <v>0</v>
      </c>
      <c r="K253" s="104" t="n">
        <f aca="false">IF('Previsión de negocio'!$V237=M$1,'Previsión de negocio'!$F237,0)</f>
        <v>0</v>
      </c>
      <c r="L253" s="104" t="n">
        <f aca="false">IF('Previsión de negocio'!$V237=N$1,'Previsión de negocio'!$F237,0)</f>
        <v>0</v>
      </c>
      <c r="M253" s="104" t="n">
        <f aca="false">IF('Previsión de negocio'!$V237=O$1,'Previsión de negocio'!$F237,0)</f>
        <v>0</v>
      </c>
      <c r="N253" s="104" t="n">
        <f aca="false">IF('Previsión de negocio'!$V237=P$1,'Previsión de negocio'!$F237,0)</f>
        <v>0</v>
      </c>
      <c r="O253" s="1296" t="n">
        <f aca="false">SUM(C253:N253)</f>
        <v>0</v>
      </c>
      <c r="P253" s="104" t="n">
        <f aca="false">IF(P194+O253=0,0,IF('Previsión de negocio'!D237=1,'Previsión de negocio'!E237,'Previsión de negocio'!D237*'Previsión de negocio'!O178))</f>
        <v>664</v>
      </c>
    </row>
    <row r="254" s="104" customFormat="true" ht="12.75" hidden="true" customHeight="false" outlineLevel="0" collapsed="false">
      <c r="B254" s="104" t="str">
        <f aca="false">B195</f>
        <v>Pienso para conejo adulto 1,75 kg</v>
      </c>
      <c r="C254" s="104" t="n">
        <f aca="false">IF('Previsión de negocio'!$V238=E$1,'Previsión de negocio'!$F238,0)</f>
        <v>0</v>
      </c>
      <c r="D254" s="104" t="n">
        <f aca="false">IF('Previsión de negocio'!$V238=F$1,'Previsión de negocio'!$F238,0)</f>
        <v>0</v>
      </c>
      <c r="E254" s="104" t="n">
        <f aca="false">IF('Previsión de negocio'!$V238=G$1,'Previsión de negocio'!$F238,0)</f>
        <v>0</v>
      </c>
      <c r="F254" s="104" t="n">
        <f aca="false">IF('Previsión de negocio'!$V238=H$1,'Previsión de negocio'!$F238,0)</f>
        <v>0</v>
      </c>
      <c r="G254" s="104" t="n">
        <f aca="false">IF('Previsión de negocio'!$V238=I$1,'Previsión de negocio'!$F238,0)</f>
        <v>0</v>
      </c>
      <c r="H254" s="104" t="n">
        <f aca="false">IF('Previsión de negocio'!$V238=J$1,'Previsión de negocio'!$F238,0)</f>
        <v>0</v>
      </c>
      <c r="I254" s="104" t="n">
        <f aca="false">IF('Previsión de negocio'!$V238=K$1,'Previsión de negocio'!$F238,0)</f>
        <v>0</v>
      </c>
      <c r="J254" s="104" t="n">
        <f aca="false">IF('Previsión de negocio'!$V238=L$1,'Previsión de negocio'!$F238,0)</f>
        <v>0</v>
      </c>
      <c r="K254" s="104" t="n">
        <f aca="false">IF('Previsión de negocio'!$V238=M$1,'Previsión de negocio'!$F238,0)</f>
        <v>0</v>
      </c>
      <c r="L254" s="104" t="n">
        <f aca="false">IF('Previsión de negocio'!$V238=N$1,'Previsión de negocio'!$F238,0)</f>
        <v>0</v>
      </c>
      <c r="M254" s="104" t="n">
        <f aca="false">IF('Previsión de negocio'!$V238=O$1,'Previsión de negocio'!$F238,0)</f>
        <v>0</v>
      </c>
      <c r="N254" s="104" t="n">
        <f aca="false">IF('Previsión de negocio'!$V238=P$1,'Previsión de negocio'!$F238,0)</f>
        <v>0</v>
      </c>
      <c r="O254" s="1296" t="n">
        <f aca="false">SUM(C254:N254)</f>
        <v>0</v>
      </c>
      <c r="P254" s="104" t="n">
        <f aca="false">IF(P195+O254=0,0,IF('Previsión de negocio'!D238=1,'Previsión de negocio'!E238,'Previsión de negocio'!D238*'Previsión de negocio'!O184))</f>
        <v>532</v>
      </c>
    </row>
    <row r="255" s="104" customFormat="true" ht="12.75" hidden="true" customHeight="false" outlineLevel="0" collapsed="false">
      <c r="B255" s="104" t="str">
        <f aca="false">B196</f>
        <v>Pienso para hamsters 1 kg</v>
      </c>
      <c r="C255" s="104" t="n">
        <f aca="false">IF('Previsión de negocio'!$V239=E$1,'Previsión de negocio'!$F239,0)</f>
        <v>0</v>
      </c>
      <c r="D255" s="104" t="n">
        <f aca="false">IF('Previsión de negocio'!$V239=F$1,'Previsión de negocio'!$F239,0)</f>
        <v>0</v>
      </c>
      <c r="E255" s="104" t="n">
        <f aca="false">IF('Previsión de negocio'!$V239=G$1,'Previsión de negocio'!$F239,0)</f>
        <v>0</v>
      </c>
      <c r="F255" s="104" t="n">
        <f aca="false">IF('Previsión de negocio'!$V239=H$1,'Previsión de negocio'!$F239,0)</f>
        <v>0</v>
      </c>
      <c r="G255" s="104" t="n">
        <f aca="false">IF('Previsión de negocio'!$V239=I$1,'Previsión de negocio'!$F239,0)</f>
        <v>0</v>
      </c>
      <c r="H255" s="104" t="n">
        <f aca="false">IF('Previsión de negocio'!$V239=J$1,'Previsión de negocio'!$F239,0)</f>
        <v>0</v>
      </c>
      <c r="I255" s="104" t="n">
        <f aca="false">IF('Previsión de negocio'!$V239=K$1,'Previsión de negocio'!$F239,0)</f>
        <v>0</v>
      </c>
      <c r="J255" s="104" t="n">
        <f aca="false">IF('Previsión de negocio'!$V239=L$1,'Previsión de negocio'!$F239,0)</f>
        <v>0</v>
      </c>
      <c r="K255" s="104" t="n">
        <f aca="false">IF('Previsión de negocio'!$V239=M$1,'Previsión de negocio'!$F239,0)</f>
        <v>0</v>
      </c>
      <c r="L255" s="104" t="n">
        <f aca="false">IF('Previsión de negocio'!$V239=N$1,'Previsión de negocio'!$F239,0)</f>
        <v>0</v>
      </c>
      <c r="M255" s="104" t="n">
        <f aca="false">IF('Previsión de negocio'!$V239=O$1,'Previsión de negocio'!$F239,0)</f>
        <v>0</v>
      </c>
      <c r="N255" s="104" t="n">
        <f aca="false">IF('Previsión de negocio'!$V239=P$1,'Previsión de negocio'!$F239,0)</f>
        <v>0</v>
      </c>
      <c r="O255" s="1296" t="n">
        <f aca="false">SUM(C255:N255)</f>
        <v>0</v>
      </c>
      <c r="P255" s="104" t="n">
        <f aca="false">IF(P196+O255=0,0,IF('Previsión de negocio'!D239=1,'Previsión de negocio'!E239,'Previsión de negocio'!D239*'Previsión de negocio'!O190))</f>
        <v>742</v>
      </c>
    </row>
    <row r="256" s="104" customFormat="true" ht="12.75" hidden="true" customHeight="false" outlineLevel="0" collapsed="false">
      <c r="B256" s="104" t="str">
        <f aca="false">B197</f>
        <v>Pienso natural para perro 3 kg</v>
      </c>
      <c r="C256" s="104" t="n">
        <f aca="false">IF('Previsión de negocio'!$V240=E$1,'Previsión de negocio'!$F240,0)</f>
        <v>0</v>
      </c>
      <c r="D256" s="104" t="n">
        <f aca="false">IF('Previsión de negocio'!$V240=F$1,'Previsión de negocio'!$F240,0)</f>
        <v>0</v>
      </c>
      <c r="E256" s="104" t="n">
        <f aca="false">IF('Previsión de negocio'!$V240=G$1,'Previsión de negocio'!$F240,0)</f>
        <v>0</v>
      </c>
      <c r="F256" s="104" t="n">
        <f aca="false">IF('Previsión de negocio'!$V240=H$1,'Previsión de negocio'!$F240,0)</f>
        <v>0</v>
      </c>
      <c r="G256" s="104" t="n">
        <f aca="false">IF('Previsión de negocio'!$V240=I$1,'Previsión de negocio'!$F240,0)</f>
        <v>0</v>
      </c>
      <c r="H256" s="104" t="n">
        <f aca="false">IF('Previsión de negocio'!$V240=J$1,'Previsión de negocio'!$F240,0)</f>
        <v>0</v>
      </c>
      <c r="I256" s="104" t="n">
        <f aca="false">IF('Previsión de negocio'!$V240=K$1,'Previsión de negocio'!$F240,0)</f>
        <v>0</v>
      </c>
      <c r="J256" s="104" t="n">
        <f aca="false">IF('Previsión de negocio'!$V240=L$1,'Previsión de negocio'!$F240,0)</f>
        <v>0</v>
      </c>
      <c r="K256" s="104" t="n">
        <f aca="false">IF('Previsión de negocio'!$V240=M$1,'Previsión de negocio'!$F240,0)</f>
        <v>0</v>
      </c>
      <c r="L256" s="104" t="n">
        <f aca="false">IF('Previsión de negocio'!$V240=N$1,'Previsión de negocio'!$F240,0)</f>
        <v>0</v>
      </c>
      <c r="M256" s="104" t="n">
        <f aca="false">IF('Previsión de negocio'!$V240=O$1,'Previsión de negocio'!$F240,0)</f>
        <v>0</v>
      </c>
      <c r="N256" s="104" t="n">
        <f aca="false">IF('Previsión de negocio'!$V240=P$1,'Previsión de negocio'!$F240,0)</f>
        <v>0</v>
      </c>
      <c r="O256" s="1296" t="n">
        <f aca="false">SUM(C256:N256)</f>
        <v>0</v>
      </c>
      <c r="P256" s="104" t="n">
        <f aca="false">IF(P197+O256=0,0,IF('Previsión de negocio'!D240=1,'Previsión de negocio'!E240,'Previsión de negocio'!D240*'Previsión de negocio'!O196))</f>
        <v>612</v>
      </c>
    </row>
    <row r="257" s="104" customFormat="true" ht="12.75" hidden="true" customHeight="false" outlineLevel="0" collapsed="false">
      <c r="B257" s="104" t="str">
        <f aca="false">B198</f>
        <v>Pienso natural para cachorros 6 kg</v>
      </c>
      <c r="C257" s="104" t="n">
        <f aca="false">IF('Previsión de negocio'!$V241=E$1,'Previsión de negocio'!$F241,0)</f>
        <v>0</v>
      </c>
      <c r="D257" s="104" t="n">
        <f aca="false">IF('Previsión de negocio'!$V241=F$1,'Previsión de negocio'!$F241,0)</f>
        <v>0</v>
      </c>
      <c r="E257" s="104" t="n">
        <f aca="false">IF('Previsión de negocio'!$V241=G$1,'Previsión de negocio'!$F241,0)</f>
        <v>0</v>
      </c>
      <c r="F257" s="104" t="n">
        <f aca="false">IF('Previsión de negocio'!$V241=H$1,'Previsión de negocio'!$F241,0)</f>
        <v>0</v>
      </c>
      <c r="G257" s="104" t="n">
        <f aca="false">IF('Previsión de negocio'!$V241=I$1,'Previsión de negocio'!$F241,0)</f>
        <v>0</v>
      </c>
      <c r="H257" s="104" t="n">
        <f aca="false">IF('Previsión de negocio'!$V241=J$1,'Previsión de negocio'!$F241,0)</f>
        <v>0</v>
      </c>
      <c r="I257" s="104" t="n">
        <f aca="false">IF('Previsión de negocio'!$V241=K$1,'Previsión de negocio'!$F241,0)</f>
        <v>0</v>
      </c>
      <c r="J257" s="104" t="n">
        <f aca="false">IF('Previsión de negocio'!$V241=L$1,'Previsión de negocio'!$F241,0)</f>
        <v>0</v>
      </c>
      <c r="K257" s="104" t="n">
        <f aca="false">IF('Previsión de negocio'!$V241=M$1,'Previsión de negocio'!$F241,0)</f>
        <v>0</v>
      </c>
      <c r="L257" s="104" t="n">
        <f aca="false">IF('Previsión de negocio'!$V241=N$1,'Previsión de negocio'!$F241,0)</f>
        <v>0</v>
      </c>
      <c r="M257" s="104" t="n">
        <f aca="false">IF('Previsión de negocio'!$V241=O$1,'Previsión de negocio'!$F241,0)</f>
        <v>0</v>
      </c>
      <c r="N257" s="104" t="n">
        <f aca="false">IF('Previsión de negocio'!$V241=P$1,'Previsión de negocio'!$F241,0)</f>
        <v>0</v>
      </c>
      <c r="O257" s="1296" t="n">
        <f aca="false">SUM(C257:N257)</f>
        <v>0</v>
      </c>
      <c r="P257" s="104" t="n">
        <f aca="false">IF(P198+O257=0,0,IF('Previsión de negocio'!D241=1,'Previsión de negocio'!E241,'Previsión de negocio'!D241*'Previsión de negocio'!O202))</f>
        <v>1624</v>
      </c>
    </row>
    <row r="258" s="104" customFormat="true" ht="12.75" hidden="true" customHeight="false" outlineLevel="0" collapsed="false">
      <c r="B258" s="104" t="str">
        <f aca="false">B199</f>
        <v>Menú natural semihúmedo perro</v>
      </c>
      <c r="C258" s="104" t="n">
        <f aca="false">IF('Previsión de negocio'!$V242=E$1,'Previsión de negocio'!$F242,0)</f>
        <v>0</v>
      </c>
      <c r="D258" s="104" t="n">
        <f aca="false">IF('Previsión de negocio'!$V242=F$1,'Previsión de negocio'!$F242,0)</f>
        <v>0</v>
      </c>
      <c r="E258" s="104" t="n">
        <f aca="false">IF('Previsión de negocio'!$V242=G$1,'Previsión de negocio'!$F242,0)</f>
        <v>0</v>
      </c>
      <c r="F258" s="104" t="n">
        <f aca="false">IF('Previsión de negocio'!$V242=H$1,'Previsión de negocio'!$F242,0)</f>
        <v>0</v>
      </c>
      <c r="G258" s="104" t="n">
        <f aca="false">IF('Previsión de negocio'!$V242=I$1,'Previsión de negocio'!$F242,0)</f>
        <v>0</v>
      </c>
      <c r="H258" s="104" t="n">
        <f aca="false">IF('Previsión de negocio'!$V242=J$1,'Previsión de negocio'!$F242,0)</f>
        <v>0</v>
      </c>
      <c r="I258" s="104" t="n">
        <f aca="false">IF('Previsión de negocio'!$V242=K$1,'Previsión de negocio'!$F242,0)</f>
        <v>0</v>
      </c>
      <c r="J258" s="104" t="n">
        <f aca="false">IF('Previsión de negocio'!$V242=L$1,'Previsión de negocio'!$F242,0)</f>
        <v>0</v>
      </c>
      <c r="K258" s="104" t="n">
        <f aca="false">IF('Previsión de negocio'!$V242=M$1,'Previsión de negocio'!$F242,0)</f>
        <v>0</v>
      </c>
      <c r="L258" s="104" t="n">
        <f aca="false">IF('Previsión de negocio'!$V242=N$1,'Previsión de negocio'!$F242,0)</f>
        <v>0</v>
      </c>
      <c r="M258" s="104" t="n">
        <f aca="false">IF('Previsión de negocio'!$V242=O$1,'Previsión de negocio'!$F242,0)</f>
        <v>0</v>
      </c>
      <c r="N258" s="104" t="n">
        <f aca="false">IF('Previsión de negocio'!$V242=P$1,'Previsión de negocio'!$F242,0)</f>
        <v>0</v>
      </c>
      <c r="O258" s="1296" t="n">
        <f aca="false">SUM(C258:N258)</f>
        <v>0</v>
      </c>
      <c r="P258" s="104" t="n">
        <f aca="false">IF(P199+O258=0,0,IF('Previsión de negocio'!D242=1,'Previsión de negocio'!E242,'Previsión de negocio'!D242*'Previsión de negocio'!O208))</f>
        <v>909</v>
      </c>
    </row>
    <row r="259" s="104" customFormat="true" ht="12.75" hidden="true" customHeight="false" outlineLevel="0" collapsed="false">
      <c r="B259" s="104" t="str">
        <f aca="false">B200</f>
        <v>Comida húmeda para gatos 26 pouches</v>
      </c>
      <c r="C259" s="104" t="n">
        <f aca="false">IF('Previsión de negocio'!$V243=E$1,'Previsión de negocio'!$F243,0)</f>
        <v>0</v>
      </c>
      <c r="D259" s="104" t="n">
        <f aca="false">IF('Previsión de negocio'!$V243=F$1,'Previsión de negocio'!$F243,0)</f>
        <v>0</v>
      </c>
      <c r="E259" s="104" t="n">
        <f aca="false">IF('Previsión de negocio'!$V243=G$1,'Previsión de negocio'!$F243,0)</f>
        <v>0</v>
      </c>
      <c r="F259" s="104" t="n">
        <f aca="false">IF('Previsión de negocio'!$V243=H$1,'Previsión de negocio'!$F243,0)</f>
        <v>0</v>
      </c>
      <c r="G259" s="104" t="n">
        <f aca="false">IF('Previsión de negocio'!$V243=I$1,'Previsión de negocio'!$F243,0)</f>
        <v>0</v>
      </c>
      <c r="H259" s="104" t="n">
        <f aca="false">IF('Previsión de negocio'!$V243=J$1,'Previsión de negocio'!$F243,0)</f>
        <v>0</v>
      </c>
      <c r="I259" s="104" t="n">
        <f aca="false">IF('Previsión de negocio'!$V243=K$1,'Previsión de negocio'!$F243,0)</f>
        <v>0</v>
      </c>
      <c r="J259" s="104" t="n">
        <f aca="false">IF('Previsión de negocio'!$V243=L$1,'Previsión de negocio'!$F243,0)</f>
        <v>0</v>
      </c>
      <c r="K259" s="104" t="n">
        <f aca="false">IF('Previsión de negocio'!$V243=M$1,'Previsión de negocio'!$F243,0)</f>
        <v>0</v>
      </c>
      <c r="L259" s="104" t="n">
        <f aca="false">IF('Previsión de negocio'!$V243=N$1,'Previsión de negocio'!$F243,0)</f>
        <v>0</v>
      </c>
      <c r="M259" s="104" t="n">
        <f aca="false">IF('Previsión de negocio'!$V243=O$1,'Previsión de negocio'!$F243,0)</f>
        <v>0</v>
      </c>
      <c r="N259" s="104" t="n">
        <f aca="false">IF('Previsión de negocio'!$V243=P$1,'Previsión de negocio'!$F243,0)</f>
        <v>0</v>
      </c>
      <c r="O259" s="1296" t="n">
        <f aca="false">SUM(C259:N259)</f>
        <v>0</v>
      </c>
      <c r="P259" s="104" t="n">
        <f aca="false">IF(P200+O259=0,0,IF('Previsión de negocio'!D243=1,'Previsión de negocio'!E243,'Previsión de negocio'!D243*'Previsión de negocio'!O214))</f>
        <v>870</v>
      </c>
    </row>
    <row r="260" s="104" customFormat="true" ht="12.75" hidden="true" customHeight="false" outlineLevel="0" collapsed="false">
      <c r="B260" s="104" t="str">
        <f aca="false">B201</f>
        <v>Total</v>
      </c>
      <c r="C260" s="104" t="n">
        <f aca="false">SUM(C250:C259)</f>
        <v>0</v>
      </c>
      <c r="D260" s="104" t="n">
        <f aca="false">SUM(D250:D259)</f>
        <v>0</v>
      </c>
      <c r="E260" s="104" t="n">
        <f aca="false">SUM(E250:E259)</f>
        <v>0</v>
      </c>
      <c r="F260" s="104" t="n">
        <f aca="false">SUM(F250:F259)</f>
        <v>0</v>
      </c>
      <c r="G260" s="104" t="n">
        <f aca="false">SUM(G250:G259)</f>
        <v>0</v>
      </c>
      <c r="H260" s="104" t="n">
        <f aca="false">SUM(H250:H259)</f>
        <v>0</v>
      </c>
      <c r="I260" s="104" t="n">
        <f aca="false">SUM(I250:I259)</f>
        <v>0</v>
      </c>
      <c r="J260" s="104" t="n">
        <f aca="false">SUM(J250:J259)</f>
        <v>0</v>
      </c>
      <c r="K260" s="104" t="n">
        <f aca="false">SUM(K250:K259)</f>
        <v>0</v>
      </c>
      <c r="L260" s="104" t="n">
        <f aca="false">SUM(L250:L259)</f>
        <v>0</v>
      </c>
      <c r="M260" s="104" t="n">
        <f aca="false">SUM(M250:M259)</f>
        <v>0</v>
      </c>
      <c r="N260" s="104" t="n">
        <f aca="false">SUM(N250:N259)</f>
        <v>0</v>
      </c>
      <c r="O260" s="104" t="n">
        <f aca="false">SUM(O250:O259)</f>
        <v>0</v>
      </c>
      <c r="P260" s="104" t="n">
        <f aca="false">SUM(P250:P259)</f>
        <v>12823</v>
      </c>
    </row>
    <row r="261" customFormat="false" ht="12.75" hidden="true" customHeight="false" outlineLevel="0" collapsed="false">
      <c r="B261" s="104" t="s">
        <v>736</v>
      </c>
      <c r="C261" s="351" t="n">
        <f aca="false">IF('Datos generales'!$D$22&lt;=0,'Datos generales'!$D$16*C260+C260,0)</f>
        <v>0</v>
      </c>
      <c r="D261" s="351" t="n">
        <f aca="false">IF('Datos generales'!$D$22&lt;=0,'Datos generales'!$D$16*D260+D260,0)</f>
        <v>0</v>
      </c>
      <c r="E261" s="351" t="n">
        <f aca="false">IF('Datos generales'!$D$22&lt;=0,'Datos generales'!$D$16*E260+E260,0)</f>
        <v>0</v>
      </c>
      <c r="F261" s="351" t="n">
        <f aca="false">IF('Datos generales'!$D$22&lt;=0,'Datos generales'!$D$16*F260+F260,0)</f>
        <v>0</v>
      </c>
      <c r="G261" s="351" t="n">
        <f aca="false">IF('Datos generales'!$D$22&lt;=0,'Datos generales'!$D$16*G260+G260,0)</f>
        <v>0</v>
      </c>
      <c r="H261" s="351" t="n">
        <f aca="false">IF('Datos generales'!$D$22&lt;=0,'Datos generales'!$D$16*H260+H260,0)</f>
        <v>0</v>
      </c>
      <c r="I261" s="351" t="n">
        <f aca="false">IF('Datos generales'!$D$22&lt;=0,'Datos generales'!$D$16*I260+I260,0)</f>
        <v>0</v>
      </c>
      <c r="J261" s="351" t="n">
        <f aca="false">IF('Datos generales'!$D$22&lt;=0,'Datos generales'!$D$16*J260+J260,0)</f>
        <v>0</v>
      </c>
      <c r="K261" s="351" t="n">
        <f aca="false">IF('Datos generales'!$D$22&lt;=0,'Datos generales'!$D$16*K260+K260,0)</f>
        <v>0</v>
      </c>
      <c r="L261" s="351" t="n">
        <f aca="false">IF('Datos generales'!$D$22&lt;=0,'Datos generales'!$D$16*L260+L260,0)</f>
        <v>0</v>
      </c>
      <c r="M261" s="351" t="n">
        <f aca="false">IF('Datos generales'!$D$22&lt;=0,'Datos generales'!$D$16*M260+M260,0)</f>
        <v>0</v>
      </c>
      <c r="N261" s="351" t="n">
        <f aca="false">IF('Datos generales'!$D$22&lt;=0,'Datos generales'!$D$16*N260+N260,0)</f>
        <v>0</v>
      </c>
      <c r="O261" s="351" t="n">
        <f aca="false">IF('Datos generales'!$D$22&lt;=0,'Datos generales'!$D$16*O260+O260,0)</f>
        <v>0</v>
      </c>
      <c r="P261" s="351" t="n">
        <f aca="false">IF('Datos generales'!$D$22&lt;=0,'Datos generales'!$D$16*P260+P260,0)</f>
        <v>0</v>
      </c>
      <c r="Q261" s="104"/>
      <c r="R261" s="104"/>
    </row>
    <row r="262" customFormat="false" ht="12.75" hidden="true" customHeight="false" outlineLevel="0" collapsed="false"/>
  </sheetData>
  <sheetProtection sheet="true" password="cc4b"/>
  <mergeCells count="16">
    <mergeCell ref="B4:H4"/>
    <mergeCell ref="B6:G6"/>
    <mergeCell ref="C11:E11"/>
    <mergeCell ref="T11:V11"/>
    <mergeCell ref="B91:C91"/>
    <mergeCell ref="B105:C105"/>
    <mergeCell ref="B118:C118"/>
    <mergeCell ref="B119:C119"/>
    <mergeCell ref="B149:C149"/>
    <mergeCell ref="B163:C163"/>
    <mergeCell ref="B176:C176"/>
    <mergeCell ref="B177:C177"/>
    <mergeCell ref="B207:C207"/>
    <mergeCell ref="B221:C221"/>
    <mergeCell ref="B234:C234"/>
    <mergeCell ref="B235:C235"/>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P182"/>
  <sheetViews>
    <sheetView showFormulas="false" showGridLines="false" showRowColHeaders="true" showZeros="true" rightToLeft="false" tabSelected="false" showOutlineSymbols="true" defaultGridColor="true" view="normal" topLeftCell="A152" colorId="64" zoomScale="85" zoomScaleNormal="85" zoomScalePageLayoutView="100" workbookViewId="0">
      <selection pane="topLeft" activeCell="A2" activeCellId="0" sqref="A2"/>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19.82"/>
    <col collapsed="false" customWidth="true" hidden="false" outlineLevel="0" max="3" min="3" style="0" width="5.93"/>
    <col collapsed="false" customWidth="true" hidden="false" outlineLevel="0" max="4" min="4" style="0" width="9.7"/>
    <col collapsed="false" customWidth="true" hidden="false" outlineLevel="0" max="5" min="5" style="0" width="12.41"/>
    <col collapsed="false" customWidth="true" hidden="false" outlineLevel="0" max="6" min="6" style="0" width="13.08"/>
    <col collapsed="false" customWidth="true" hidden="false" outlineLevel="0" max="17" min="7" style="0" width="12.14"/>
    <col collapsed="false" customWidth="true" hidden="false" outlineLevel="0" max="18" min="18" style="0" width="16.31"/>
    <col collapsed="false" customWidth="true" hidden="false" outlineLevel="0" max="19" min="19" style="0" width="16.99"/>
    <col collapsed="false" customWidth="true" hidden="false" outlineLevel="0" max="256" min="20" style="0" width="11.46"/>
  </cols>
  <sheetData>
    <row r="1" s="1299" customFormat="true" ht="11.25" hidden="true" customHeight="false" outlineLevel="0" collapsed="false">
      <c r="C1" s="1299" t="n">
        <f aca="false">MONTH('Datos generales'!N10)</f>
        <v>1</v>
      </c>
      <c r="D1" s="1300" t="n">
        <v>0</v>
      </c>
      <c r="E1" s="1300" t="n">
        <v>1</v>
      </c>
      <c r="F1" s="1300" t="n">
        <v>2</v>
      </c>
      <c r="G1" s="1300" t="n">
        <v>3</v>
      </c>
      <c r="H1" s="1300" t="n">
        <v>4</v>
      </c>
      <c r="I1" s="1300" t="n">
        <v>5</v>
      </c>
      <c r="J1" s="1300" t="n">
        <v>6</v>
      </c>
      <c r="K1" s="1300" t="n">
        <v>7</v>
      </c>
      <c r="L1" s="1300" t="n">
        <v>8</v>
      </c>
      <c r="M1" s="1300" t="n">
        <v>9</v>
      </c>
      <c r="N1" s="1300" t="n">
        <v>10</v>
      </c>
      <c r="O1" s="1300" t="n">
        <v>11</v>
      </c>
      <c r="P1" s="1299" t="n">
        <v>12</v>
      </c>
    </row>
    <row r="3" customFormat="false" ht="14.25" hidden="false" customHeight="true" outlineLevel="0" collapsed="false"/>
    <row r="4" customFormat="false" ht="20.25" hidden="false" customHeight="false" outlineLevel="0" collapsed="false">
      <c r="B4" s="300" t="str">
        <f aca="false">'Datos generales'!C6</f>
        <v>La tienda S.L</v>
      </c>
      <c r="C4" s="300"/>
      <c r="D4" s="300"/>
      <c r="E4" s="300"/>
      <c r="F4" s="300"/>
      <c r="G4" s="300"/>
    </row>
    <row r="5" customFormat="false" ht="20.25" hidden="false" customHeight="false" outlineLevel="0" collapsed="false"/>
    <row r="6" customFormat="false" ht="12.75" hidden="false" customHeight="false" outlineLevel="0" collapsed="false">
      <c r="A6" s="451"/>
      <c r="B6" s="451"/>
      <c r="C6" s="451"/>
      <c r="D6" s="451"/>
      <c r="E6" s="451"/>
      <c r="F6" s="451"/>
      <c r="G6" s="451"/>
      <c r="H6" s="451"/>
      <c r="I6" s="451"/>
      <c r="J6" s="451"/>
      <c r="K6" s="451"/>
      <c r="L6" s="451"/>
      <c r="M6" s="451"/>
      <c r="N6" s="451"/>
      <c r="O6" s="451"/>
      <c r="P6" s="451"/>
      <c r="Q6" s="451"/>
    </row>
    <row r="7" customFormat="false" ht="18" hidden="false" customHeight="false" outlineLevel="0" collapsed="false">
      <c r="B7" s="1136" t="s">
        <v>738</v>
      </c>
      <c r="C7" s="1136"/>
      <c r="D7" s="425"/>
      <c r="E7" s="425"/>
      <c r="F7" s="425"/>
      <c r="G7" s="425"/>
      <c r="H7" s="425"/>
      <c r="J7" s="425"/>
      <c r="N7" s="425"/>
    </row>
    <row r="8" customFormat="false" ht="13.5" hidden="false" customHeight="false" outlineLevel="0" collapsed="false">
      <c r="B8" s="1301"/>
      <c r="C8" s="1301"/>
      <c r="D8" s="425"/>
      <c r="E8" s="425"/>
      <c r="F8" s="425"/>
      <c r="G8" s="425"/>
      <c r="H8" s="425"/>
      <c r="I8" s="425"/>
      <c r="J8" s="425"/>
      <c r="K8" s="515"/>
      <c r="L8" s="425"/>
      <c r="M8" s="425"/>
      <c r="N8" s="425"/>
      <c r="O8" s="425"/>
      <c r="P8" s="425"/>
      <c r="Q8" s="425"/>
    </row>
    <row r="9" customFormat="false" ht="13.5" hidden="false" customHeight="false" outlineLevel="0" collapsed="false">
      <c r="B9" s="1301"/>
      <c r="C9" s="1301"/>
      <c r="D9" s="425"/>
      <c r="E9" s="425"/>
      <c r="F9" s="425"/>
      <c r="G9" s="425"/>
      <c r="H9" s="425"/>
      <c r="I9" s="425"/>
      <c r="J9" s="425"/>
      <c r="K9" s="515"/>
      <c r="L9" s="425"/>
      <c r="M9" s="425"/>
      <c r="N9" s="425"/>
      <c r="O9" s="425"/>
      <c r="P9" s="425"/>
      <c r="Q9" s="425"/>
    </row>
    <row r="10" customFormat="false" ht="14.25" hidden="false" customHeight="false" outlineLevel="0" collapsed="false">
      <c r="B10" s="51" t="s">
        <v>739</v>
      </c>
      <c r="C10" s="51"/>
      <c r="D10" s="425"/>
      <c r="E10" s="51" t="s">
        <v>700</v>
      </c>
      <c r="F10" s="425"/>
      <c r="G10" s="425"/>
      <c r="H10" s="425"/>
    </row>
    <row r="11" customFormat="false" ht="14.25" hidden="false" customHeight="false" outlineLevel="0" collapsed="false">
      <c r="B11" s="51"/>
      <c r="C11" s="51"/>
      <c r="D11" s="425"/>
      <c r="E11" s="51"/>
      <c r="F11" s="425"/>
      <c r="G11" s="425"/>
      <c r="H11" s="425"/>
    </row>
    <row r="12" customFormat="false" ht="15" hidden="false" customHeight="false" outlineLevel="0" collapsed="false">
      <c r="B12" s="425"/>
      <c r="C12" s="425"/>
      <c r="D12" s="425"/>
      <c r="E12" s="1302" t="s">
        <v>380</v>
      </c>
      <c r="F12" s="1303" t="s">
        <v>381</v>
      </c>
      <c r="G12" s="1302" t="s">
        <v>382</v>
      </c>
      <c r="H12" s="424"/>
    </row>
    <row r="13" customFormat="false" ht="17.25" hidden="false" customHeight="true" outlineLevel="0" collapsed="false">
      <c r="B13" s="1304" t="s">
        <v>740</v>
      </c>
      <c r="C13" s="1305"/>
      <c r="D13" s="1305"/>
      <c r="E13" s="1306" t="n">
        <f aca="false">Q53</f>
        <v>214296</v>
      </c>
      <c r="F13" s="1306" t="n">
        <f aca="false">Q73</f>
        <v>287304</v>
      </c>
      <c r="G13" s="1307" t="n">
        <f aca="false">Q93</f>
        <v>328908</v>
      </c>
    </row>
    <row r="14" customFormat="false" ht="19.5" hidden="false" customHeight="true" outlineLevel="0" collapsed="false">
      <c r="B14" s="465" t="s">
        <v>741</v>
      </c>
      <c r="C14" s="465"/>
      <c r="D14" s="1308" t="s">
        <v>165</v>
      </c>
      <c r="E14" s="549"/>
      <c r="F14" s="208"/>
      <c r="G14" s="267"/>
    </row>
    <row r="15" customFormat="false" ht="12.75" hidden="false" customHeight="false" outlineLevel="0" collapsed="false">
      <c r="B15" s="1309" t="s">
        <v>742</v>
      </c>
      <c r="C15" s="1309"/>
      <c r="D15" s="1310" t="n">
        <f aca="false">'Previsión de negocio'!E253</f>
        <v>1</v>
      </c>
      <c r="E15" s="550" t="n">
        <f aca="false">Q57</f>
        <v>235725.6</v>
      </c>
      <c r="F15" s="550" t="n">
        <f aca="false">Q77</f>
        <v>316034.4</v>
      </c>
      <c r="G15" s="550" t="n">
        <f aca="false">Q97</f>
        <v>361798.8</v>
      </c>
    </row>
    <row r="16" customFormat="false" ht="12.75" hidden="false" customHeight="false" outlineLevel="0" collapsed="false">
      <c r="B16" s="358" t="s">
        <v>743</v>
      </c>
      <c r="C16" s="1309" t="n">
        <f aca="false">'Previsión de negocio'!D255</f>
        <v>1</v>
      </c>
      <c r="D16" s="1310" t="n">
        <f aca="false">'Previsión de negocio'!E255</f>
        <v>0</v>
      </c>
      <c r="E16" s="583" t="n">
        <f aca="false">Q58</f>
        <v>0</v>
      </c>
      <c r="F16" s="583" t="n">
        <f aca="false">Q78</f>
        <v>0</v>
      </c>
      <c r="G16" s="583" t="n">
        <f aca="false">Q98</f>
        <v>0</v>
      </c>
    </row>
    <row r="17" customFormat="false" ht="12.75" hidden="false" customHeight="false" outlineLevel="0" collapsed="false">
      <c r="B17" s="358" t="s">
        <v>743</v>
      </c>
      <c r="C17" s="1309" t="n">
        <f aca="false">'Previsión de negocio'!D256</f>
        <v>2</v>
      </c>
      <c r="D17" s="1310" t="n">
        <f aca="false">'Previsión de negocio'!E256</f>
        <v>0</v>
      </c>
      <c r="E17" s="583" t="n">
        <f aca="false">Q59</f>
        <v>0</v>
      </c>
      <c r="F17" s="583" t="n">
        <f aca="false">Q79</f>
        <v>0</v>
      </c>
      <c r="G17" s="583" t="n">
        <f aca="false">Q99</f>
        <v>0</v>
      </c>
    </row>
    <row r="18" customFormat="false" ht="12.75" hidden="false" customHeight="false" outlineLevel="0" collapsed="false">
      <c r="B18" s="358" t="s">
        <v>743</v>
      </c>
      <c r="C18" s="1309" t="n">
        <f aca="false">'Previsión de negocio'!D257</f>
        <v>3</v>
      </c>
      <c r="D18" s="1310" t="n">
        <f aca="false">'Previsión de negocio'!E257</f>
        <v>0</v>
      </c>
      <c r="E18" s="583" t="n">
        <f aca="false">Q60</f>
        <v>0</v>
      </c>
      <c r="F18" s="583" t="n">
        <f aca="false">Q80</f>
        <v>0</v>
      </c>
      <c r="G18" s="583" t="n">
        <f aca="false">Q100</f>
        <v>0</v>
      </c>
    </row>
    <row r="19" customFormat="false" ht="12.75" hidden="false" customHeight="false" outlineLevel="0" collapsed="false">
      <c r="B19" s="358" t="s">
        <v>743</v>
      </c>
      <c r="C19" s="1309" t="n">
        <f aca="false">'Previsión de negocio'!D258</f>
        <v>0</v>
      </c>
      <c r="D19" s="1310" t="n">
        <f aca="false">'Previsión de negocio'!E258</f>
        <v>0</v>
      </c>
      <c r="E19" s="583" t="n">
        <f aca="false">Q61</f>
        <v>0</v>
      </c>
      <c r="F19" s="583" t="n">
        <f aca="false">Q81</f>
        <v>0</v>
      </c>
      <c r="G19" s="583" t="n">
        <f aca="false">Q101</f>
        <v>0</v>
      </c>
    </row>
    <row r="20" customFormat="false" ht="12.75" hidden="false" customHeight="false" outlineLevel="0" collapsed="false">
      <c r="B20" s="358" t="s">
        <v>743</v>
      </c>
      <c r="C20" s="1309" t="n">
        <f aca="false">'Previsión de negocio'!D259</f>
        <v>0</v>
      </c>
      <c r="D20" s="1310" t="n">
        <f aca="false">'Previsión de negocio'!E259</f>
        <v>0</v>
      </c>
      <c r="E20" s="583" t="n">
        <f aca="false">Q62</f>
        <v>0</v>
      </c>
      <c r="F20" s="583" t="n">
        <f aca="false">Q82</f>
        <v>0</v>
      </c>
      <c r="G20" s="583" t="n">
        <f aca="false">Q102</f>
        <v>0</v>
      </c>
    </row>
    <row r="21" customFormat="false" ht="12.75" hidden="false" customHeight="false" outlineLevel="0" collapsed="false">
      <c r="B21" s="358" t="s">
        <v>743</v>
      </c>
      <c r="C21" s="1309" t="n">
        <f aca="false">'Previsión de negocio'!D260</f>
        <v>0</v>
      </c>
      <c r="D21" s="1310" t="n">
        <f aca="false">'Previsión de negocio'!E260</f>
        <v>0</v>
      </c>
      <c r="E21" s="583" t="n">
        <f aca="false">Q63</f>
        <v>0</v>
      </c>
      <c r="F21" s="583" t="n">
        <f aca="false">Q83</f>
        <v>0</v>
      </c>
      <c r="G21" s="583" t="n">
        <f aca="false">Q103</f>
        <v>0</v>
      </c>
    </row>
    <row r="22" customFormat="false" ht="12.75" hidden="false" customHeight="false" outlineLevel="0" collapsed="false">
      <c r="B22" s="346" t="s">
        <v>743</v>
      </c>
      <c r="C22" s="1311" t="n">
        <f aca="false">'Previsión de negocio'!D261</f>
        <v>0</v>
      </c>
      <c r="D22" s="1312" t="n">
        <f aca="false">'Previsión de negocio'!E261</f>
        <v>0</v>
      </c>
      <c r="E22" s="347" t="n">
        <f aca="false">Q64</f>
        <v>0</v>
      </c>
      <c r="F22" s="347" t="n">
        <f aca="false">Q84</f>
        <v>0</v>
      </c>
      <c r="G22" s="347" t="n">
        <f aca="false">Q104</f>
        <v>0</v>
      </c>
    </row>
    <row r="23" customFormat="false" ht="14.25" hidden="false" customHeight="false" outlineLevel="0" collapsed="false">
      <c r="B23" s="1313" t="s">
        <v>744</v>
      </c>
      <c r="C23" s="569"/>
      <c r="D23" s="1314" t="n">
        <f aca="false">'Previsión de negocio'!E262</f>
        <v>1</v>
      </c>
      <c r="E23" s="602" t="n">
        <f aca="false">Q65</f>
        <v>235725.6</v>
      </c>
      <c r="F23" s="602" t="n">
        <f aca="false">Q85</f>
        <v>316034.4</v>
      </c>
      <c r="G23" s="1315" t="n">
        <f aca="false">Q105</f>
        <v>361798.8</v>
      </c>
    </row>
    <row r="24" customFormat="false" ht="13.5" hidden="false" customHeight="false" outlineLevel="0" collapsed="false">
      <c r="B24" s="451"/>
      <c r="C24" s="451"/>
      <c r="D24" s="1316"/>
      <c r="E24" s="451"/>
      <c r="F24" s="23"/>
      <c r="G24" s="23"/>
      <c r="H24" s="451"/>
    </row>
    <row r="25" customFormat="false" ht="15" hidden="false" customHeight="false" outlineLevel="0" collapsed="false">
      <c r="B25" s="1317" t="s">
        <v>745</v>
      </c>
      <c r="C25" s="1318"/>
      <c r="D25" s="1319"/>
      <c r="E25" s="1320" t="n">
        <f aca="false">P67</f>
        <v>0</v>
      </c>
      <c r="F25" s="1320" t="n">
        <f aca="false">P87</f>
        <v>0</v>
      </c>
      <c r="G25" s="1321" t="n">
        <f aca="false">P107</f>
        <v>0</v>
      </c>
      <c r="H25" s="451"/>
      <c r="I25" s="451"/>
    </row>
    <row r="26" customFormat="false" ht="14.25" hidden="false" customHeight="false" outlineLevel="0" collapsed="false">
      <c r="B26" s="451"/>
      <c r="C26" s="451"/>
      <c r="D26" s="451"/>
      <c r="E26" s="451"/>
      <c r="F26" s="451"/>
      <c r="G26" s="451"/>
      <c r="H26" s="451"/>
      <c r="I26" s="451"/>
    </row>
    <row r="27" customFormat="false" ht="14.25" hidden="false" customHeight="false" outlineLevel="0" collapsed="false">
      <c r="B27" s="451"/>
      <c r="C27" s="451"/>
      <c r="D27" s="451"/>
      <c r="E27" s="451"/>
      <c r="F27" s="451"/>
      <c r="G27" s="451"/>
      <c r="H27" s="451"/>
      <c r="I27" s="451"/>
    </row>
    <row r="28" customFormat="false" ht="14.25" hidden="false" customHeight="false" outlineLevel="0" collapsed="false">
      <c r="B28" s="51" t="str">
        <f aca="false">B113</f>
        <v>Pagos por Compras</v>
      </c>
      <c r="C28" s="425"/>
      <c r="D28" s="425"/>
      <c r="E28" s="425"/>
      <c r="F28" s="51" t="s">
        <v>700</v>
      </c>
      <c r="G28" s="425"/>
      <c r="H28" s="425"/>
      <c r="I28" s="451"/>
      <c r="J28" s="70"/>
      <c r="K28" s="70"/>
      <c r="L28" s="70"/>
      <c r="M28" s="70"/>
      <c r="N28" s="1322"/>
      <c r="O28" s="1322"/>
      <c r="P28" s="1322"/>
      <c r="Q28" s="1322"/>
      <c r="R28" s="425"/>
    </row>
    <row r="29" customFormat="false" ht="14.25" hidden="false" customHeight="false" outlineLevel="0" collapsed="false">
      <c r="B29" s="425"/>
      <c r="C29" s="425"/>
      <c r="D29" s="425"/>
      <c r="E29" s="425"/>
      <c r="F29" s="425"/>
      <c r="G29" s="425"/>
      <c r="H29" s="425"/>
      <c r="I29" s="451"/>
      <c r="J29" s="70"/>
      <c r="K29" s="70"/>
      <c r="L29" s="70"/>
      <c r="M29" s="70"/>
      <c r="N29" s="1322"/>
      <c r="O29" s="1322"/>
      <c r="P29" s="1322"/>
      <c r="Q29" s="1322"/>
    </row>
    <row r="30" customFormat="false" ht="15" hidden="false" customHeight="false" outlineLevel="0" collapsed="false">
      <c r="B30" s="425"/>
      <c r="C30" s="425"/>
      <c r="D30" s="425"/>
      <c r="E30" s="1302" t="s">
        <v>380</v>
      </c>
      <c r="F30" s="1303" t="s">
        <v>381</v>
      </c>
      <c r="G30" s="1302" t="s">
        <v>382</v>
      </c>
      <c r="I30" s="451"/>
      <c r="J30" s="70"/>
      <c r="K30" s="70"/>
      <c r="L30" s="70"/>
      <c r="M30" s="70"/>
      <c r="N30" s="1322"/>
      <c r="O30" s="1322"/>
      <c r="P30" s="1322"/>
      <c r="Q30" s="1322"/>
    </row>
    <row r="31" customFormat="false" ht="15" hidden="false" customHeight="false" outlineLevel="0" collapsed="false">
      <c r="B31" s="1304" t="str">
        <f aca="false">B116</f>
        <v>Compras del periodo</v>
      </c>
      <c r="C31" s="1305"/>
      <c r="D31" s="1305"/>
      <c r="E31" s="1306" t="n">
        <f aca="false">Q116</f>
        <v>152796</v>
      </c>
      <c r="F31" s="1306" t="n">
        <f aca="false">Q137</f>
        <v>209112</v>
      </c>
      <c r="G31" s="1307" t="n">
        <f aca="false">Q158</f>
        <v>239412</v>
      </c>
      <c r="I31" s="451"/>
      <c r="J31" s="70"/>
      <c r="K31" s="70"/>
      <c r="L31" s="70"/>
      <c r="M31" s="70"/>
      <c r="N31" s="1322"/>
      <c r="O31" s="1322"/>
      <c r="P31" s="1322"/>
      <c r="Q31" s="1322"/>
    </row>
    <row r="32" customFormat="false" ht="22.5" hidden="false" customHeight="true" outlineLevel="0" collapsed="false">
      <c r="B32" s="465" t="str">
        <f aca="false">B119</f>
        <v>Plazos de pago</v>
      </c>
      <c r="C32" s="465"/>
      <c r="D32" s="1308" t="str">
        <f aca="false">D119</f>
        <v>% / Total</v>
      </c>
      <c r="E32" s="267"/>
      <c r="F32" s="267"/>
      <c r="G32" s="267"/>
      <c r="I32" s="451"/>
      <c r="J32" s="70"/>
      <c r="K32" s="70"/>
      <c r="L32" s="70"/>
      <c r="M32" s="70"/>
      <c r="N32" s="1322"/>
      <c r="O32" s="1322"/>
      <c r="P32" s="1322"/>
      <c r="Q32" s="1322"/>
    </row>
    <row r="33" customFormat="false" ht="14.25" hidden="false" customHeight="false" outlineLevel="0" collapsed="false">
      <c r="B33" s="350" t="str">
        <f aca="false">B120</f>
        <v>Contado</v>
      </c>
      <c r="C33" s="350"/>
      <c r="D33" s="1323" t="n">
        <f aca="false">'Previsión de negocio'!E265</f>
        <v>0.25</v>
      </c>
      <c r="E33" s="550" t="n">
        <f aca="false">Q120</f>
        <v>42018.9</v>
      </c>
      <c r="F33" s="550" t="n">
        <f aca="false">Q141</f>
        <v>57505.8</v>
      </c>
      <c r="G33" s="550" t="n">
        <f aca="false">Q162</f>
        <v>65838.3</v>
      </c>
      <c r="I33" s="451"/>
      <c r="J33" s="70"/>
      <c r="K33" s="70"/>
      <c r="L33" s="70"/>
      <c r="M33" s="70"/>
      <c r="N33" s="1322"/>
      <c r="O33" s="1322"/>
      <c r="P33" s="1322"/>
    </row>
    <row r="34" customFormat="false" ht="14.25" hidden="false" customHeight="false" outlineLevel="0" collapsed="false">
      <c r="B34" s="358" t="str">
        <f aca="false">B121</f>
        <v>Aplazado meses:</v>
      </c>
      <c r="C34" s="358" t="n">
        <f aca="false">'Previsión de negocio'!D267</f>
        <v>1</v>
      </c>
      <c r="D34" s="1324" t="n">
        <f aca="false">'Previsión de negocio'!E267</f>
        <v>0.25</v>
      </c>
      <c r="E34" s="583" t="n">
        <f aca="false">Q121</f>
        <v>38517.325</v>
      </c>
      <c r="F34" s="583" t="n">
        <f aca="false">Q142</f>
        <v>56215.225</v>
      </c>
      <c r="G34" s="583" t="n">
        <f aca="false">Q163</f>
        <v>65143.925</v>
      </c>
      <c r="I34" s="451"/>
      <c r="J34" s="70"/>
      <c r="K34" s="70"/>
      <c r="L34" s="70"/>
      <c r="M34" s="70"/>
      <c r="N34" s="1322"/>
      <c r="O34" s="1322"/>
      <c r="P34" s="1322"/>
    </row>
    <row r="35" customFormat="false" ht="14.25" hidden="false" customHeight="false" outlineLevel="0" collapsed="false">
      <c r="B35" s="358" t="str">
        <f aca="false">B122</f>
        <v>Aplazado meses:</v>
      </c>
      <c r="C35" s="358" t="n">
        <f aca="false">'Previsión de negocio'!D268</f>
        <v>2</v>
      </c>
      <c r="D35" s="1324" t="n">
        <f aca="false">'Previsión de negocio'!E268</f>
        <v>0.25</v>
      </c>
      <c r="E35" s="583" t="n">
        <f aca="false">Q122</f>
        <v>35015.75</v>
      </c>
      <c r="F35" s="583" t="n">
        <f aca="false">Q143</f>
        <v>54924.65</v>
      </c>
      <c r="G35" s="583" t="n">
        <f aca="false">Q164</f>
        <v>64449.55</v>
      </c>
      <c r="I35" s="451"/>
      <c r="J35" s="70"/>
      <c r="K35" s="70"/>
      <c r="L35" s="70"/>
      <c r="M35" s="70"/>
      <c r="N35" s="1322"/>
      <c r="O35" s="1322"/>
      <c r="P35" s="1322"/>
    </row>
    <row r="36" customFormat="false" ht="14.25" hidden="false" customHeight="false" outlineLevel="0" collapsed="false">
      <c r="B36" s="358" t="str">
        <f aca="false">B123</f>
        <v>Aplazado meses:</v>
      </c>
      <c r="C36" s="358" t="n">
        <f aca="false">'Previsión de negocio'!D269</f>
        <v>3</v>
      </c>
      <c r="D36" s="1324" t="n">
        <f aca="false">'Previsión de negocio'!E269</f>
        <v>0.25</v>
      </c>
      <c r="E36" s="583" t="n">
        <f aca="false">Q123</f>
        <v>31514.175</v>
      </c>
      <c r="F36" s="583" t="n">
        <f aca="false">Q144</f>
        <v>53634.075</v>
      </c>
      <c r="G36" s="583" t="n">
        <f aca="false">Q165</f>
        <v>63755.175</v>
      </c>
      <c r="I36" s="451"/>
      <c r="J36" s="70"/>
      <c r="K36" s="70"/>
      <c r="L36" s="70"/>
      <c r="M36" s="70"/>
      <c r="N36" s="1322"/>
      <c r="O36" s="1322"/>
      <c r="P36" s="1322"/>
    </row>
    <row r="37" customFormat="false" ht="14.25" hidden="false" customHeight="false" outlineLevel="0" collapsed="false">
      <c r="B37" s="358" t="str">
        <f aca="false">B124</f>
        <v>Aplazado meses:</v>
      </c>
      <c r="C37" s="358" t="n">
        <f aca="false">'Previsión de negocio'!D270</f>
        <v>0</v>
      </c>
      <c r="D37" s="1324" t="n">
        <f aca="false">'Previsión de negocio'!E270</f>
        <v>0</v>
      </c>
      <c r="E37" s="583" t="n">
        <f aca="false">Q124</f>
        <v>0</v>
      </c>
      <c r="F37" s="583" t="n">
        <f aca="false">Q145</f>
        <v>0</v>
      </c>
      <c r="G37" s="583" t="n">
        <f aca="false">Q166</f>
        <v>0</v>
      </c>
      <c r="I37" s="451"/>
      <c r="J37" s="70"/>
      <c r="K37" s="70"/>
      <c r="L37" s="70"/>
      <c r="M37" s="70"/>
      <c r="N37" s="1322"/>
      <c r="O37" s="1322"/>
      <c r="P37" s="1322"/>
    </row>
    <row r="38" customFormat="false" ht="14.25" hidden="false" customHeight="false" outlineLevel="0" collapsed="false">
      <c r="B38" s="358" t="str">
        <f aca="false">B125</f>
        <v>Aplazado meses:</v>
      </c>
      <c r="C38" s="358" t="n">
        <f aca="false">'Previsión de negocio'!D271</f>
        <v>0</v>
      </c>
      <c r="D38" s="1324" t="n">
        <f aca="false">'Previsión de negocio'!E271</f>
        <v>0</v>
      </c>
      <c r="E38" s="583" t="n">
        <f aca="false">Q125</f>
        <v>0</v>
      </c>
      <c r="F38" s="583" t="n">
        <f aca="false">Q146</f>
        <v>0</v>
      </c>
      <c r="G38" s="583" t="n">
        <f aca="false">Q167</f>
        <v>0</v>
      </c>
      <c r="I38" s="451"/>
      <c r="J38" s="70"/>
      <c r="K38" s="70"/>
      <c r="L38" s="70"/>
      <c r="M38" s="70"/>
      <c r="N38" s="1322"/>
      <c r="O38" s="1322"/>
      <c r="P38" s="1322"/>
    </row>
    <row r="39" customFormat="false" ht="14.25" hidden="false" customHeight="false" outlineLevel="0" collapsed="false">
      <c r="B39" s="358" t="str">
        <f aca="false">B126</f>
        <v>Aplazado meses:</v>
      </c>
      <c r="C39" s="358" t="n">
        <f aca="false">'Previsión de negocio'!D272</f>
        <v>0</v>
      </c>
      <c r="D39" s="1324" t="n">
        <f aca="false">'Previsión de negocio'!E272</f>
        <v>0</v>
      </c>
      <c r="E39" s="583" t="n">
        <f aca="false">Q126</f>
        <v>0</v>
      </c>
      <c r="F39" s="583" t="n">
        <f aca="false">Q147</f>
        <v>0</v>
      </c>
      <c r="G39" s="583" t="n">
        <f aca="false">Q168</f>
        <v>0</v>
      </c>
      <c r="I39" s="451"/>
      <c r="J39" s="70"/>
      <c r="K39" s="70"/>
      <c r="L39" s="70"/>
      <c r="M39" s="70"/>
      <c r="N39" s="1322"/>
      <c r="O39" s="1322"/>
      <c r="P39" s="1322"/>
    </row>
    <row r="40" customFormat="false" ht="14.25" hidden="false" customHeight="false" outlineLevel="0" collapsed="false">
      <c r="B40" s="358" t="str">
        <f aca="false">B127</f>
        <v>Aplazado meses:</v>
      </c>
      <c r="C40" s="358" t="n">
        <f aca="false">'Previsión de negocio'!D273</f>
        <v>0</v>
      </c>
      <c r="D40" s="1324" t="n">
        <f aca="false">'Previsión de negocio'!E273</f>
        <v>0</v>
      </c>
      <c r="E40" s="583" t="n">
        <f aca="false">Q127</f>
        <v>0</v>
      </c>
      <c r="F40" s="583" t="n">
        <f aca="false">Q148</f>
        <v>0</v>
      </c>
      <c r="G40" s="583" t="n">
        <f aca="false">Q169</f>
        <v>0</v>
      </c>
      <c r="I40" s="451"/>
      <c r="J40" s="70"/>
      <c r="K40" s="70"/>
      <c r="L40" s="70"/>
      <c r="M40" s="70"/>
      <c r="N40" s="1322"/>
      <c r="O40" s="1322"/>
      <c r="P40" s="1322"/>
    </row>
    <row r="41" customFormat="false" ht="14.25" hidden="false" customHeight="false" outlineLevel="0" collapsed="false">
      <c r="B41" s="1313" t="s">
        <v>746</v>
      </c>
      <c r="C41" s="569" t="n">
        <f aca="false">C128</f>
        <v>0</v>
      </c>
      <c r="D41" s="1314" t="n">
        <f aca="false">'Previsión de negocio'!E274</f>
        <v>1</v>
      </c>
      <c r="E41" s="602" t="n">
        <f aca="false">Q128</f>
        <v>147066.15</v>
      </c>
      <c r="F41" s="602" t="n">
        <f aca="false">Q149</f>
        <v>222279.75</v>
      </c>
      <c r="G41" s="1315" t="n">
        <f aca="false">Q170</f>
        <v>259186.95</v>
      </c>
      <c r="I41" s="451"/>
      <c r="J41" s="70"/>
      <c r="K41" s="70"/>
      <c r="L41" s="70"/>
      <c r="M41" s="70"/>
      <c r="N41" s="1322"/>
      <c r="O41" s="1322"/>
      <c r="P41" s="1322"/>
      <c r="Q41" s="1322"/>
    </row>
    <row r="42" customFormat="false" ht="18" hidden="false" customHeight="true" outlineLevel="0" collapsed="false">
      <c r="B42" s="469" t="s">
        <v>747</v>
      </c>
      <c r="C42" s="469"/>
      <c r="D42" s="583" t="n">
        <f aca="false">D129</f>
        <v>0</v>
      </c>
      <c r="E42" s="583" t="n">
        <f aca="false">P129</f>
        <v>0</v>
      </c>
      <c r="F42" s="583" t="n">
        <f aca="false">Q150</f>
        <v>0</v>
      </c>
      <c r="G42" s="583" t="n">
        <f aca="false">Q171</f>
        <v>0</v>
      </c>
      <c r="I42" s="451"/>
      <c r="J42" s="70"/>
      <c r="K42" s="70"/>
      <c r="L42" s="70"/>
      <c r="M42" s="70"/>
      <c r="N42" s="1322"/>
      <c r="O42" s="1322"/>
      <c r="P42" s="1322"/>
    </row>
    <row r="43" customFormat="false" ht="25.5" hidden="false" customHeight="true" outlineLevel="0" collapsed="false">
      <c r="B43" s="469" t="s">
        <v>748</v>
      </c>
      <c r="C43" s="1309"/>
      <c r="D43" s="1309"/>
      <c r="E43" s="1325" t="n">
        <f aca="false">P131</f>
        <v>21009.45</v>
      </c>
      <c r="F43" s="1325" t="n">
        <f aca="false">P152</f>
        <v>28752.9</v>
      </c>
      <c r="G43" s="1325" t="n">
        <f aca="false">P173</f>
        <v>32919.15</v>
      </c>
      <c r="I43" s="451"/>
      <c r="J43" s="70"/>
      <c r="K43" s="70"/>
      <c r="L43" s="70"/>
      <c r="M43" s="70"/>
      <c r="N43" s="1322"/>
      <c r="O43" s="1322"/>
      <c r="P43" s="1322"/>
      <c r="Q43" s="1322"/>
    </row>
    <row r="44" customFormat="false" ht="14.25" hidden="false" customHeight="false" outlineLevel="0" collapsed="false">
      <c r="B44" s="465" t="s">
        <v>715</v>
      </c>
      <c r="C44" s="465"/>
      <c r="D44" s="465"/>
      <c r="E44" s="1326" t="n">
        <f aca="false">IF('Datos generales'!$D$22&lt;=0,E43*'Datos generales'!$D$16,0)</f>
        <v>0</v>
      </c>
      <c r="F44" s="1326" t="n">
        <f aca="false">IF('Datos generales'!$D$22&lt;=0,F43*'Datos generales'!$D$16,0)</f>
        <v>0</v>
      </c>
      <c r="G44" s="1326" t="n">
        <f aca="false">IF('Datos generales'!$D$22&lt;=0,G43*'Datos generales'!$D$16,0)</f>
        <v>0</v>
      </c>
      <c r="I44" s="451"/>
      <c r="J44" s="70"/>
      <c r="K44" s="70"/>
      <c r="L44" s="70"/>
      <c r="M44" s="70"/>
      <c r="N44" s="1322"/>
      <c r="O44" s="1322"/>
      <c r="P44" s="1322"/>
    </row>
    <row r="45" customFormat="false" ht="9.75" hidden="false" customHeight="true" outlineLevel="0" collapsed="false">
      <c r="B45" s="23"/>
      <c r="C45" s="23"/>
      <c r="D45" s="23"/>
      <c r="E45" s="1327"/>
      <c r="F45" s="1327"/>
      <c r="G45" s="1327"/>
      <c r="I45" s="451"/>
      <c r="J45" s="70"/>
      <c r="K45" s="70"/>
      <c r="L45" s="70"/>
      <c r="M45" s="70"/>
      <c r="N45" s="1322"/>
      <c r="O45" s="1322"/>
      <c r="P45" s="1322"/>
    </row>
    <row r="46" customFormat="false" ht="15" hidden="false" customHeight="false" outlineLevel="0" collapsed="false">
      <c r="B46" s="1317" t="s">
        <v>749</v>
      </c>
      <c r="C46" s="1318"/>
      <c r="D46" s="1319"/>
      <c r="E46" s="1320" t="n">
        <f aca="false">SUM(E43:E44)</f>
        <v>21009.45</v>
      </c>
      <c r="F46" s="1320" t="n">
        <f aca="false">SUM(F43:F44)</f>
        <v>28752.9</v>
      </c>
      <c r="G46" s="1321" t="n">
        <f aca="false">SUM(G43:G44)</f>
        <v>32919.15</v>
      </c>
    </row>
    <row r="47" customFormat="false" ht="14.25" hidden="false" customHeight="false" outlineLevel="0" collapsed="false">
      <c r="B47" s="70"/>
      <c r="C47" s="70"/>
      <c r="D47" s="70"/>
      <c r="E47" s="70"/>
      <c r="F47" s="1322"/>
      <c r="G47" s="1322"/>
    </row>
    <row r="48" customFormat="false" ht="14.25" hidden="false" customHeight="false" outlineLevel="0" collapsed="false">
      <c r="B48" s="70"/>
      <c r="C48" s="70"/>
      <c r="D48" s="70"/>
      <c r="E48" s="1056"/>
      <c r="F48" s="1322"/>
      <c r="G48" s="1322"/>
    </row>
    <row r="49" customFormat="false" ht="14.25" hidden="false" customHeight="false" outlineLevel="0" collapsed="false">
      <c r="B49" s="70"/>
      <c r="C49" s="70"/>
      <c r="D49" s="70"/>
      <c r="E49" s="70"/>
      <c r="F49" s="1322"/>
      <c r="G49" s="1322"/>
    </row>
    <row r="50" customFormat="false" ht="14.25" hidden="false" customHeight="false" outlineLevel="0" collapsed="false">
      <c r="B50" s="51" t="s">
        <v>739</v>
      </c>
      <c r="C50" s="51"/>
      <c r="E50" s="51" t="s">
        <v>466</v>
      </c>
    </row>
    <row r="51" customFormat="false" ht="8.25" hidden="false" customHeight="true" outlineLevel="0" collapsed="false">
      <c r="B51" s="70"/>
      <c r="C51" s="70"/>
      <c r="D51" s="223"/>
      <c r="E51" s="451"/>
      <c r="F51" s="451"/>
      <c r="G51" s="451"/>
      <c r="H51" s="451"/>
      <c r="I51" s="451"/>
      <c r="J51" s="451"/>
      <c r="K51" s="451"/>
      <c r="L51" s="451"/>
      <c r="M51" s="451"/>
      <c r="N51" s="451"/>
      <c r="O51" s="451"/>
      <c r="P51" s="451"/>
      <c r="Q51" s="451"/>
    </row>
    <row r="52" customFormat="false" ht="15" hidden="false" customHeight="true" outlineLevel="0" collapsed="false">
      <c r="B52" s="451"/>
      <c r="C52" s="451"/>
      <c r="D52" s="336"/>
      <c r="E52" s="1328" t="s">
        <v>303</v>
      </c>
      <c r="F52" s="1328" t="s">
        <v>304</v>
      </c>
      <c r="G52" s="1328" t="s">
        <v>305</v>
      </c>
      <c r="H52" s="1328" t="s">
        <v>127</v>
      </c>
      <c r="I52" s="1328" t="s">
        <v>128</v>
      </c>
      <c r="J52" s="1328" t="s">
        <v>129</v>
      </c>
      <c r="K52" s="1328" t="s">
        <v>130</v>
      </c>
      <c r="L52" s="1328" t="s">
        <v>306</v>
      </c>
      <c r="M52" s="1328" t="s">
        <v>307</v>
      </c>
      <c r="N52" s="1328" t="s">
        <v>308</v>
      </c>
      <c r="O52" s="1328" t="s">
        <v>309</v>
      </c>
      <c r="P52" s="1328" t="s">
        <v>310</v>
      </c>
      <c r="Q52" s="1328" t="s">
        <v>750</v>
      </c>
      <c r="R52" s="74"/>
      <c r="S52" s="74"/>
      <c r="T52" s="74"/>
      <c r="U52" s="74"/>
      <c r="V52" s="74"/>
      <c r="W52" s="74"/>
      <c r="X52" s="74"/>
      <c r="Y52" s="74"/>
      <c r="Z52" s="74"/>
      <c r="AA52" s="74"/>
      <c r="AB52" s="74"/>
      <c r="AC52" s="74"/>
      <c r="AD52" s="74"/>
      <c r="AE52" s="74"/>
      <c r="AF52" s="74"/>
      <c r="AG52" s="74"/>
      <c r="AH52" s="74"/>
      <c r="AI52" s="74"/>
      <c r="AJ52" s="74"/>
      <c r="AK52" s="74"/>
      <c r="AL52" s="74"/>
      <c r="AM52" s="74"/>
      <c r="AN52" s="74"/>
    </row>
    <row r="53" s="363" customFormat="true" ht="15" hidden="false" customHeight="false" outlineLevel="0" collapsed="false">
      <c r="B53" s="1304" t="s">
        <v>751</v>
      </c>
      <c r="C53" s="1305"/>
      <c r="D53" s="1305"/>
      <c r="E53" s="1306" t="n">
        <f aca="false">'Presupuesto de ventas'!D60</f>
        <v>17858</v>
      </c>
      <c r="F53" s="1306" t="n">
        <f aca="false">'Presupuesto de ventas'!E60</f>
        <v>17858</v>
      </c>
      <c r="G53" s="1306" t="n">
        <f aca="false">'Presupuesto de ventas'!F60</f>
        <v>17858</v>
      </c>
      <c r="H53" s="1306" t="n">
        <f aca="false">'Presupuesto de ventas'!G60</f>
        <v>17858</v>
      </c>
      <c r="I53" s="1306" t="n">
        <f aca="false">'Presupuesto de ventas'!H60</f>
        <v>17858</v>
      </c>
      <c r="J53" s="1306" t="n">
        <f aca="false">'Presupuesto de ventas'!I60</f>
        <v>17858</v>
      </c>
      <c r="K53" s="1306" t="n">
        <f aca="false">'Presupuesto de ventas'!J60</f>
        <v>17858</v>
      </c>
      <c r="L53" s="1306" t="n">
        <f aca="false">'Presupuesto de ventas'!K60</f>
        <v>17858</v>
      </c>
      <c r="M53" s="1306" t="n">
        <f aca="false">'Presupuesto de ventas'!L60</f>
        <v>17858</v>
      </c>
      <c r="N53" s="1306" t="n">
        <f aca="false">'Presupuesto de ventas'!M60</f>
        <v>17858</v>
      </c>
      <c r="O53" s="1306" t="n">
        <f aca="false">'Presupuesto de ventas'!N60</f>
        <v>17858</v>
      </c>
      <c r="P53" s="1306" t="n">
        <f aca="false">'Presupuesto de ventas'!O60</f>
        <v>17858</v>
      </c>
      <c r="Q53" s="1307" t="n">
        <f aca="false">SUM(E53:P53)</f>
        <v>214296</v>
      </c>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row>
    <row r="54" s="363" customFormat="true" ht="14.25" hidden="false" customHeight="false" outlineLevel="0" collapsed="false">
      <c r="B54" s="70" t="s">
        <v>715</v>
      </c>
      <c r="C54" s="70"/>
      <c r="D54" s="70"/>
      <c r="E54" s="223" t="n">
        <f aca="false">E53*'Datos generales'!$D$22</f>
        <v>1785.8</v>
      </c>
      <c r="F54" s="223" t="n">
        <f aca="false">F53*'Datos generales'!$D$22</f>
        <v>1785.8</v>
      </c>
      <c r="G54" s="223" t="n">
        <f aca="false">G53*'Datos generales'!$D$22</f>
        <v>1785.8</v>
      </c>
      <c r="H54" s="223" t="n">
        <f aca="false">H53*'Datos generales'!$D$22</f>
        <v>1785.8</v>
      </c>
      <c r="I54" s="223" t="n">
        <f aca="false">I53*'Datos generales'!$D$22</f>
        <v>1785.8</v>
      </c>
      <c r="J54" s="223" t="n">
        <f aca="false">J53*'Datos generales'!$D$22</f>
        <v>1785.8</v>
      </c>
      <c r="K54" s="223" t="n">
        <f aca="false">K53*'Datos generales'!$D$22</f>
        <v>1785.8</v>
      </c>
      <c r="L54" s="223" t="n">
        <f aca="false">L53*'Datos generales'!$D$22</f>
        <v>1785.8</v>
      </c>
      <c r="M54" s="223" t="n">
        <f aca="false">M53*'Datos generales'!$D$22</f>
        <v>1785.8</v>
      </c>
      <c r="N54" s="223" t="n">
        <f aca="false">N53*'Datos generales'!$D$22</f>
        <v>1785.8</v>
      </c>
      <c r="O54" s="223" t="n">
        <f aca="false">O53*'Datos generales'!$D$22</f>
        <v>1785.8</v>
      </c>
      <c r="P54" s="223" t="n">
        <f aca="false">P53*'Datos generales'!$D$22</f>
        <v>1785.8</v>
      </c>
      <c r="Q54" s="223" t="n">
        <f aca="false">SUM(E54:P54)</f>
        <v>21429.6</v>
      </c>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row>
    <row r="55" s="363" customFormat="true" ht="14.25" hidden="false" customHeight="false" outlineLevel="0" collapsed="false">
      <c r="B55" s="70" t="s">
        <v>752</v>
      </c>
      <c r="C55" s="70"/>
      <c r="D55" s="70"/>
      <c r="E55" s="223" t="n">
        <f aca="false">SUM(E53:E54)</f>
        <v>19643.8</v>
      </c>
      <c r="F55" s="223" t="n">
        <f aca="false">SUM(F53:F54)</f>
        <v>19643.8</v>
      </c>
      <c r="G55" s="223" t="n">
        <f aca="false">SUM(G53:G54)</f>
        <v>19643.8</v>
      </c>
      <c r="H55" s="223" t="n">
        <f aca="false">SUM(H53:H54)</f>
        <v>19643.8</v>
      </c>
      <c r="I55" s="223" t="n">
        <f aca="false">SUM(I53:I54)</f>
        <v>19643.8</v>
      </c>
      <c r="J55" s="223" t="n">
        <f aca="false">SUM(J53:J54)</f>
        <v>19643.8</v>
      </c>
      <c r="K55" s="223" t="n">
        <f aca="false">SUM(K53:K54)</f>
        <v>19643.8</v>
      </c>
      <c r="L55" s="223" t="n">
        <f aca="false">SUM(L53:L54)</f>
        <v>19643.8</v>
      </c>
      <c r="M55" s="223" t="n">
        <f aca="false">SUM(M53:M54)</f>
        <v>19643.8</v>
      </c>
      <c r="N55" s="223" t="n">
        <f aca="false">SUM(N53:N54)</f>
        <v>19643.8</v>
      </c>
      <c r="O55" s="223" t="n">
        <f aca="false">SUM(O53:O54)</f>
        <v>19643.8</v>
      </c>
      <c r="P55" s="223" t="n">
        <f aca="false">SUM(P53:P54)</f>
        <v>19643.8</v>
      </c>
      <c r="Q55" s="223" t="n">
        <f aca="false">SUM(E55:P55)</f>
        <v>235725.6</v>
      </c>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row>
    <row r="56" customFormat="false" ht="18.75" hidden="false" customHeight="true" outlineLevel="0" collapsed="false">
      <c r="B56" s="465" t="s">
        <v>164</v>
      </c>
      <c r="C56" s="465"/>
      <c r="D56" s="1329" t="s">
        <v>165</v>
      </c>
      <c r="E56" s="549"/>
      <c r="F56" s="549"/>
      <c r="G56" s="549"/>
      <c r="H56" s="549"/>
      <c r="I56" s="549"/>
      <c r="J56" s="549"/>
      <c r="K56" s="549"/>
      <c r="L56" s="549"/>
      <c r="M56" s="549"/>
      <c r="N56" s="549"/>
      <c r="O56" s="549"/>
      <c r="P56" s="549"/>
      <c r="Q56" s="93"/>
    </row>
    <row r="57" customFormat="false" ht="12.75" hidden="false" customHeight="false" outlineLevel="0" collapsed="false">
      <c r="B57" s="451" t="s">
        <v>742</v>
      </c>
      <c r="C57" s="451"/>
      <c r="D57" s="1330" t="n">
        <f aca="false">D15</f>
        <v>1</v>
      </c>
      <c r="E57" s="1331" t="n">
        <f aca="true">IF(ISERROR(OFFSET(E$55,0,-$C57)*$D57)=TRUE(),0,OFFSET(E$55,0,-$C57)*$D57)</f>
        <v>19643.8</v>
      </c>
      <c r="F57" s="1331" t="n">
        <f aca="true">IF(ISERROR(OFFSET(F$55,0,-$C57)*$D57)=TRUE(),0,OFFSET(F$55,0,-$C57)*$D57)</f>
        <v>19643.8</v>
      </c>
      <c r="G57" s="1331" t="n">
        <f aca="true">IF(ISERROR(OFFSET(G$55,0,-$C57)*$D57)=TRUE(),0,OFFSET(G$55,0,-$C57)*$D57)</f>
        <v>19643.8</v>
      </c>
      <c r="H57" s="1331" t="n">
        <f aca="true">IF(ISERROR(OFFSET(H$55,0,-$C57)*$D57)=TRUE(),0,OFFSET(H$55,0,-$C57)*$D57)</f>
        <v>19643.8</v>
      </c>
      <c r="I57" s="1331" t="n">
        <f aca="true">IF(ISERROR(OFFSET(I$55,0,-$C57)*$D57)=TRUE(),0,OFFSET(I$55,0,-$C57)*$D57)</f>
        <v>19643.8</v>
      </c>
      <c r="J57" s="1331" t="n">
        <f aca="true">IF(ISERROR(OFFSET(J$55,0,-$C57)*$D57)=TRUE(),0,OFFSET(J$55,0,-$C57)*$D57)</f>
        <v>19643.8</v>
      </c>
      <c r="K57" s="1331" t="n">
        <f aca="true">IF(ISERROR(OFFSET(K$55,0,-$C57)*$D57)=TRUE(),0,OFFSET(K$55,0,-$C57)*$D57)</f>
        <v>19643.8</v>
      </c>
      <c r="L57" s="1331" t="n">
        <f aca="true">IF(ISERROR(OFFSET(L$55,0,-$C57)*$D57)=TRUE(),0,OFFSET(L$55,0,-$C57)*$D57)</f>
        <v>19643.8</v>
      </c>
      <c r="M57" s="1331" t="n">
        <f aca="true">IF(ISERROR(OFFSET(M$55,0,-$C57)*$D57)=TRUE(),0,OFFSET(M$55,0,-$C57)*$D57)</f>
        <v>19643.8</v>
      </c>
      <c r="N57" s="1331" t="n">
        <f aca="true">IF(ISERROR(OFFSET(N$55,0,-$C57)*$D57)=TRUE(),0,OFFSET(N$55,0,-$C57)*$D57)</f>
        <v>19643.8</v>
      </c>
      <c r="O57" s="1331" t="n">
        <f aca="true">IF(ISERROR(OFFSET(O$55,0,-$C57)*$D57)=TRUE(),0,OFFSET(O$55,0,-$C57)*$D57)</f>
        <v>19643.8</v>
      </c>
      <c r="P57" s="1331" t="n">
        <f aca="true">IF(ISERROR(OFFSET(P$55,0,-$C57)*$D57)=TRUE(),0,OFFSET(P$55,0,-$C57)*$D57)</f>
        <v>19643.8</v>
      </c>
      <c r="Q57" s="1332" t="n">
        <f aca="false">SUM(E57:P57)</f>
        <v>235725.6</v>
      </c>
      <c r="R57" s="549"/>
      <c r="S57" s="549"/>
      <c r="T57" s="549"/>
      <c r="U57" s="549"/>
      <c r="V57" s="549"/>
      <c r="W57" s="549"/>
      <c r="X57" s="549"/>
      <c r="Y57" s="549"/>
      <c r="Z57" s="549"/>
      <c r="AA57" s="549"/>
      <c r="AB57" s="549"/>
      <c r="AC57" s="549"/>
      <c r="AD57" s="549"/>
      <c r="AE57" s="549"/>
      <c r="AF57" s="549"/>
      <c r="AG57" s="549"/>
      <c r="AH57" s="549"/>
      <c r="AI57" s="549"/>
      <c r="AJ57" s="549"/>
      <c r="AK57" s="549"/>
      <c r="AL57" s="549"/>
      <c r="AM57" s="549"/>
      <c r="AN57" s="549"/>
    </row>
    <row r="58" customFormat="false" ht="12.75" hidden="false" customHeight="false" outlineLevel="0" collapsed="false">
      <c r="B58" s="0" t="s">
        <v>743</v>
      </c>
      <c r="C58" s="451" t="n">
        <f aca="false">'Previsión de negocio'!D255</f>
        <v>1</v>
      </c>
      <c r="D58" s="1330" t="n">
        <f aca="false">D16</f>
        <v>0</v>
      </c>
      <c r="E58" s="1331" t="n">
        <f aca="true">IF(ISERROR(OFFSET(E$55,0,-$C58)*$D58)=TRUE(),0,OFFSET(E$55,0,-$C58)*$D58)</f>
        <v>0</v>
      </c>
      <c r="F58" s="1331" t="n">
        <f aca="true">IF(ISERROR(OFFSET(F$55,0,-$C58)*$D58)=TRUE(),0,OFFSET(F$55,0,-$C58)*$D58)</f>
        <v>0</v>
      </c>
      <c r="G58" s="1331" t="n">
        <f aca="true">IF(ISERROR(OFFSET(G$55,0,-$C58)*$D58)=TRUE(),0,OFFSET(G$55,0,-$C58)*$D58)</f>
        <v>0</v>
      </c>
      <c r="H58" s="1331" t="n">
        <f aca="true">IF(ISERROR(OFFSET(H$55,0,-$C58)*$D58)=TRUE(),0,OFFSET(H$55,0,-$C58)*$D58)</f>
        <v>0</v>
      </c>
      <c r="I58" s="1331" t="n">
        <f aca="true">IF(ISERROR(OFFSET(I$55,0,-$C58)*$D58)=TRUE(),0,OFFSET(I$55,0,-$C58)*$D58)</f>
        <v>0</v>
      </c>
      <c r="J58" s="1331" t="n">
        <f aca="true">IF(ISERROR(OFFSET(J$55,0,-$C58)*$D58)=TRUE(),0,OFFSET(J$55,0,-$C58)*$D58)</f>
        <v>0</v>
      </c>
      <c r="K58" s="1331" t="n">
        <f aca="true">IF(ISERROR(OFFSET(K$55,0,-$C58)*$D58)=TRUE(),0,OFFSET(K$55,0,-$C58)*$D58)</f>
        <v>0</v>
      </c>
      <c r="L58" s="1331" t="n">
        <f aca="true">IF(ISERROR(OFFSET(L$55,0,-$C58)*$D58)=TRUE(),0,OFFSET(L$55,0,-$C58)*$D58)</f>
        <v>0</v>
      </c>
      <c r="M58" s="1331" t="n">
        <f aca="true">IF(ISERROR(OFFSET(M$55,0,-$C58)*$D58)=TRUE(),0,OFFSET(M$55,0,-$C58)*$D58)</f>
        <v>0</v>
      </c>
      <c r="N58" s="1331" t="n">
        <f aca="true">IF(ISERROR(OFFSET(N$55,0,-$C58)*$D58)=TRUE(),0,OFFSET(N$55,0,-$C58)*$D58)</f>
        <v>0</v>
      </c>
      <c r="O58" s="1331" t="n">
        <f aca="true">IF(ISERROR(OFFSET(O$55,0,-$C58)*$D58)=TRUE(),0,OFFSET(O$55,0,-$C58)*$D58)</f>
        <v>0</v>
      </c>
      <c r="P58" s="1331" t="n">
        <f aca="true">IF(ISERROR(OFFSET(P$55,0,-$C58)*$D58)=TRUE(),0,OFFSET(P$55,0,-$C58)*$D58)</f>
        <v>0</v>
      </c>
      <c r="Q58" s="976" t="n">
        <f aca="false">SUM(E58:P58)</f>
        <v>0</v>
      </c>
      <c r="R58" s="549"/>
      <c r="S58" s="549"/>
      <c r="T58" s="549"/>
      <c r="U58" s="549"/>
      <c r="V58" s="549"/>
      <c r="W58" s="549"/>
      <c r="X58" s="549"/>
      <c r="Y58" s="549"/>
      <c r="Z58" s="549"/>
      <c r="AA58" s="549"/>
      <c r="AB58" s="549"/>
      <c r="AC58" s="549"/>
      <c r="AD58" s="549"/>
      <c r="AE58" s="549"/>
      <c r="AF58" s="549"/>
      <c r="AG58" s="549"/>
      <c r="AH58" s="549"/>
      <c r="AI58" s="549"/>
      <c r="AJ58" s="549"/>
      <c r="AK58" s="549"/>
      <c r="AL58" s="549"/>
      <c r="AM58" s="549"/>
      <c r="AN58" s="549"/>
      <c r="AO58" s="93"/>
      <c r="AP58" s="93"/>
    </row>
    <row r="59" customFormat="false" ht="12.75" hidden="false" customHeight="false" outlineLevel="0" collapsed="false">
      <c r="B59" s="0" t="s">
        <v>743</v>
      </c>
      <c r="C59" s="451" t="n">
        <f aca="false">'Previsión de negocio'!D256</f>
        <v>2</v>
      </c>
      <c r="D59" s="1330" t="n">
        <f aca="false">D17</f>
        <v>0</v>
      </c>
      <c r="E59" s="1331" t="n">
        <f aca="true">IF(ISERROR(OFFSET(E$55,0,-$C59)*$D59)=TRUE(),0,OFFSET(E$55,0,-$C59)*$D59)</f>
        <v>0</v>
      </c>
      <c r="F59" s="1331" t="n">
        <f aca="true">IF(ISERROR(OFFSET(F$55,0,-$C59)*$D59)=TRUE(),0,OFFSET(F$55,0,-$C59)*$D59)</f>
        <v>0</v>
      </c>
      <c r="G59" s="1331" t="n">
        <f aca="true">IF(ISERROR(OFFSET(G$55,0,-$C59)*$D59)=TRUE(),0,OFFSET(G$55,0,-$C59)*$D59)</f>
        <v>0</v>
      </c>
      <c r="H59" s="1331" t="n">
        <f aca="true">IF(ISERROR(OFFSET(H$55,0,-$C59)*$D59)=TRUE(),0,OFFSET(H$55,0,-$C59)*$D59)</f>
        <v>0</v>
      </c>
      <c r="I59" s="1331" t="n">
        <f aca="true">IF(ISERROR(OFFSET(I$55,0,-$C59)*$D59)=TRUE(),0,OFFSET(I$55,0,-$C59)*$D59)</f>
        <v>0</v>
      </c>
      <c r="J59" s="1331" t="n">
        <f aca="true">IF(ISERROR(OFFSET(J$55,0,-$C59)*$D59)=TRUE(),0,OFFSET(J$55,0,-$C59)*$D59)</f>
        <v>0</v>
      </c>
      <c r="K59" s="1331" t="n">
        <f aca="true">IF(ISERROR(OFFSET(K$55,0,-$C59)*$D59)=TRUE(),0,OFFSET(K$55,0,-$C59)*$D59)</f>
        <v>0</v>
      </c>
      <c r="L59" s="1331" t="n">
        <f aca="true">IF(ISERROR(OFFSET(L$55,0,-$C59)*$D59)=TRUE(),0,OFFSET(L$55,0,-$C59)*$D59)</f>
        <v>0</v>
      </c>
      <c r="M59" s="1331" t="n">
        <f aca="true">IF(ISERROR(OFFSET(M$55,0,-$C59)*$D59)=TRUE(),0,OFFSET(M$55,0,-$C59)*$D59)</f>
        <v>0</v>
      </c>
      <c r="N59" s="1331" t="n">
        <f aca="true">IF(ISERROR(OFFSET(N$55,0,-$C59)*$D59)=TRUE(),0,OFFSET(N$55,0,-$C59)*$D59)</f>
        <v>0</v>
      </c>
      <c r="O59" s="1331" t="n">
        <f aca="true">IF(ISERROR(OFFSET(O$55,0,-$C59)*$D59)=TRUE(),0,OFFSET(O$55,0,-$C59)*$D59)</f>
        <v>0</v>
      </c>
      <c r="P59" s="1331" t="n">
        <f aca="true">IF(ISERROR(OFFSET(P$55,0,-$C59)*$D59)=TRUE(),0,OFFSET(P$55,0,-$C59)*$D59)</f>
        <v>0</v>
      </c>
      <c r="Q59" s="976" t="n">
        <f aca="false">SUM(E59:P59)</f>
        <v>0</v>
      </c>
      <c r="R59" s="549"/>
      <c r="S59" s="549"/>
      <c r="T59" s="549"/>
      <c r="U59" s="549"/>
      <c r="V59" s="549"/>
      <c r="W59" s="549"/>
      <c r="X59" s="549"/>
      <c r="Y59" s="549"/>
      <c r="Z59" s="549"/>
      <c r="AA59" s="549"/>
      <c r="AB59" s="549"/>
      <c r="AC59" s="549"/>
      <c r="AD59" s="549"/>
      <c r="AE59" s="549"/>
      <c r="AF59" s="549"/>
      <c r="AG59" s="549"/>
      <c r="AH59" s="549"/>
      <c r="AI59" s="549"/>
      <c r="AJ59" s="549"/>
      <c r="AK59" s="549"/>
      <c r="AL59" s="549"/>
      <c r="AM59" s="549"/>
      <c r="AN59" s="549"/>
      <c r="AO59" s="93"/>
      <c r="AP59" s="93"/>
    </row>
    <row r="60" customFormat="false" ht="12.75" hidden="false" customHeight="false" outlineLevel="0" collapsed="false">
      <c r="B60" s="0" t="s">
        <v>743</v>
      </c>
      <c r="C60" s="451" t="n">
        <f aca="false">'Previsión de negocio'!D257</f>
        <v>3</v>
      </c>
      <c r="D60" s="1330" t="n">
        <f aca="false">D18</f>
        <v>0</v>
      </c>
      <c r="E60" s="1331" t="n">
        <f aca="true">IF(ISERROR(OFFSET(E$55,0,-$C60)*$D60)=TRUE(),0,OFFSET(E$55,0,-$C60)*$D60)</f>
        <v>0</v>
      </c>
      <c r="F60" s="1331" t="n">
        <f aca="true">IF(ISERROR(OFFSET(F$55,0,-$C60)*$D60)=TRUE(),0,OFFSET(F$55,0,-$C60)*$D60)</f>
        <v>0</v>
      </c>
      <c r="G60" s="1331" t="n">
        <f aca="true">IF(ISERROR(OFFSET(G$55,0,-$C60)*$D60)=TRUE(),0,OFFSET(G$55,0,-$C60)*$D60)</f>
        <v>0</v>
      </c>
      <c r="H60" s="1331" t="n">
        <f aca="true">IF(ISERROR(OFFSET(H$55,0,-$C60)*$D60)=TRUE(),0,OFFSET(H$55,0,-$C60)*$D60)</f>
        <v>0</v>
      </c>
      <c r="I60" s="1331" t="n">
        <f aca="true">IF(ISERROR(OFFSET(I$55,0,-$C60)*$D60)=TRUE(),0,OFFSET(I$55,0,-$C60)*$D60)</f>
        <v>0</v>
      </c>
      <c r="J60" s="1331" t="n">
        <f aca="true">IF(ISERROR(OFFSET(J$55,0,-$C60)*$D60)=TRUE(),0,OFFSET(J$55,0,-$C60)*$D60)</f>
        <v>0</v>
      </c>
      <c r="K60" s="1331" t="n">
        <f aca="true">IF(ISERROR(OFFSET(K$55,0,-$C60)*$D60)=TRUE(),0,OFFSET(K$55,0,-$C60)*$D60)</f>
        <v>0</v>
      </c>
      <c r="L60" s="1331" t="n">
        <f aca="true">IF(ISERROR(OFFSET(L$55,0,-$C60)*$D60)=TRUE(),0,OFFSET(L$55,0,-$C60)*$D60)</f>
        <v>0</v>
      </c>
      <c r="M60" s="1331" t="n">
        <f aca="true">IF(ISERROR(OFFSET(M$55,0,-$C60)*$D60)=TRUE(),0,OFFSET(M$55,0,-$C60)*$D60)</f>
        <v>0</v>
      </c>
      <c r="N60" s="1331" t="n">
        <f aca="true">IF(ISERROR(OFFSET(N$55,0,-$C60)*$D60)=TRUE(),0,OFFSET(N$55,0,-$C60)*$D60)</f>
        <v>0</v>
      </c>
      <c r="O60" s="1331" t="n">
        <f aca="true">IF(ISERROR(OFFSET(O$55,0,-$C60)*$D60)=TRUE(),0,OFFSET(O$55,0,-$C60)*$D60)</f>
        <v>0</v>
      </c>
      <c r="P60" s="1331" t="n">
        <f aca="true">IF(ISERROR(OFFSET(P$55,0,-$C60)*$D60)=TRUE(),0,OFFSET(P$55,0,-$C60)*$D60)</f>
        <v>0</v>
      </c>
      <c r="Q60" s="976" t="n">
        <f aca="false">SUM(E60:P60)</f>
        <v>0</v>
      </c>
      <c r="R60" s="549"/>
      <c r="S60" s="549"/>
      <c r="T60" s="549"/>
      <c r="U60" s="549"/>
      <c r="V60" s="549"/>
      <c r="W60" s="549"/>
      <c r="X60" s="549"/>
      <c r="Y60" s="549"/>
      <c r="Z60" s="549"/>
      <c r="AA60" s="549"/>
      <c r="AB60" s="549"/>
      <c r="AC60" s="549"/>
      <c r="AD60" s="549"/>
      <c r="AE60" s="549"/>
      <c r="AF60" s="549"/>
      <c r="AG60" s="549"/>
      <c r="AH60" s="549"/>
      <c r="AI60" s="549"/>
      <c r="AJ60" s="549"/>
      <c r="AK60" s="549"/>
      <c r="AL60" s="549"/>
      <c r="AM60" s="549"/>
      <c r="AN60" s="549"/>
      <c r="AO60" s="93"/>
      <c r="AP60" s="93"/>
    </row>
    <row r="61" customFormat="false" ht="12.75" hidden="false" customHeight="false" outlineLevel="0" collapsed="false">
      <c r="B61" s="0" t="s">
        <v>743</v>
      </c>
      <c r="C61" s="451" t="n">
        <f aca="false">'Previsión de negocio'!D258</f>
        <v>0</v>
      </c>
      <c r="D61" s="1330" t="n">
        <f aca="false">D19</f>
        <v>0</v>
      </c>
      <c r="E61" s="1331" t="n">
        <f aca="true">IF(ISERROR(OFFSET(E$55,0,-$C61)*$D61)=TRUE(),0,OFFSET(E$55,0,-$C61)*$D61)</f>
        <v>0</v>
      </c>
      <c r="F61" s="1331" t="n">
        <f aca="true">IF(ISERROR(OFFSET(F$55,0,-$C61)*$D61)=TRUE(),0,OFFSET(F$55,0,-$C61)*$D61)</f>
        <v>0</v>
      </c>
      <c r="G61" s="1331" t="n">
        <f aca="true">IF(ISERROR(OFFSET(G$55,0,-$C61)*$D61)=TRUE(),0,OFFSET(G$55,0,-$C61)*$D61)</f>
        <v>0</v>
      </c>
      <c r="H61" s="1331" t="n">
        <f aca="true">IF(ISERROR(OFFSET(H$55,0,-$C61)*$D61)=TRUE(),0,OFFSET(H$55,0,-$C61)*$D61)</f>
        <v>0</v>
      </c>
      <c r="I61" s="1331" t="n">
        <f aca="true">IF(ISERROR(OFFSET(I$55,0,-$C61)*$D61)=TRUE(),0,OFFSET(I$55,0,-$C61)*$D61)</f>
        <v>0</v>
      </c>
      <c r="J61" s="1331" t="n">
        <f aca="true">IF(ISERROR(OFFSET(J$55,0,-$C61)*$D61)=TRUE(),0,OFFSET(J$55,0,-$C61)*$D61)</f>
        <v>0</v>
      </c>
      <c r="K61" s="1331" t="n">
        <f aca="true">IF(ISERROR(OFFSET(K$55,0,-$C61)*$D61)=TRUE(),0,OFFSET(K$55,0,-$C61)*$D61)</f>
        <v>0</v>
      </c>
      <c r="L61" s="1331" t="n">
        <f aca="true">IF(ISERROR(OFFSET(L$55,0,-$C61)*$D61)=TRUE(),0,OFFSET(L$55,0,-$C61)*$D61)</f>
        <v>0</v>
      </c>
      <c r="M61" s="1331" t="n">
        <f aca="true">IF(ISERROR(OFFSET(M$55,0,-$C61)*$D61)=TRUE(),0,OFFSET(M$55,0,-$C61)*$D61)</f>
        <v>0</v>
      </c>
      <c r="N61" s="1331" t="n">
        <f aca="true">IF(ISERROR(OFFSET(N$55,0,-$C61)*$D61)=TRUE(),0,OFFSET(N$55,0,-$C61)*$D61)</f>
        <v>0</v>
      </c>
      <c r="O61" s="1331" t="n">
        <f aca="true">IF(ISERROR(OFFSET(O$55,0,-$C61)*$D61)=TRUE(),0,OFFSET(O$55,0,-$C61)*$D61)</f>
        <v>0</v>
      </c>
      <c r="P61" s="1331" t="n">
        <f aca="true">IF(ISERROR(OFFSET(P$55,0,-$C61)*$D61)=TRUE(),0,OFFSET(P$55,0,-$C61)*$D61)</f>
        <v>0</v>
      </c>
      <c r="Q61" s="976" t="n">
        <f aca="false">SUM(E61:P61)</f>
        <v>0</v>
      </c>
      <c r="R61" s="549"/>
      <c r="S61" s="549"/>
      <c r="T61" s="549"/>
      <c r="U61" s="549"/>
      <c r="V61" s="549"/>
      <c r="W61" s="549"/>
      <c r="X61" s="549"/>
      <c r="Y61" s="549"/>
      <c r="Z61" s="549"/>
      <c r="AA61" s="549"/>
      <c r="AB61" s="549"/>
      <c r="AC61" s="549"/>
      <c r="AD61" s="549"/>
      <c r="AE61" s="549"/>
      <c r="AF61" s="549"/>
      <c r="AG61" s="549"/>
      <c r="AH61" s="549"/>
      <c r="AI61" s="549"/>
      <c r="AJ61" s="549"/>
      <c r="AK61" s="549"/>
      <c r="AL61" s="549"/>
      <c r="AM61" s="549"/>
      <c r="AN61" s="549"/>
      <c r="AO61" s="93"/>
      <c r="AP61" s="93"/>
    </row>
    <row r="62" customFormat="false" ht="12.75" hidden="false" customHeight="false" outlineLevel="0" collapsed="false">
      <c r="B62" s="0" t="s">
        <v>743</v>
      </c>
      <c r="C62" s="451" t="n">
        <f aca="false">'Previsión de negocio'!D259</f>
        <v>0</v>
      </c>
      <c r="D62" s="1330" t="n">
        <f aca="false">D20</f>
        <v>0</v>
      </c>
      <c r="E62" s="1331" t="n">
        <f aca="true">IF(ISERROR(OFFSET(E$55,0,-$C62)*$D62)=TRUE(),0,OFFSET(E$55,0,-$C62)*$D62)</f>
        <v>0</v>
      </c>
      <c r="F62" s="1331" t="n">
        <f aca="true">IF(ISERROR(OFFSET(F$55,0,-$C62)*$D62)=TRUE(),0,OFFSET(F$55,0,-$C62)*$D62)</f>
        <v>0</v>
      </c>
      <c r="G62" s="1331" t="n">
        <f aca="true">IF(ISERROR(OFFSET(G$55,0,-$C62)*$D62)=TRUE(),0,OFFSET(G$55,0,-$C62)*$D62)</f>
        <v>0</v>
      </c>
      <c r="H62" s="1331" t="n">
        <f aca="true">IF(ISERROR(OFFSET(H$55,0,-$C62)*$D62)=TRUE(),0,OFFSET(H$55,0,-$C62)*$D62)</f>
        <v>0</v>
      </c>
      <c r="I62" s="1331" t="n">
        <f aca="true">IF(ISERROR(OFFSET(I$55,0,-$C62)*$D62)=TRUE(),0,OFFSET(I$55,0,-$C62)*$D62)</f>
        <v>0</v>
      </c>
      <c r="J62" s="1331" t="n">
        <f aca="true">IF(ISERROR(OFFSET(J$55,0,-$C62)*$D62)=TRUE(),0,OFFSET(J$55,0,-$C62)*$D62)</f>
        <v>0</v>
      </c>
      <c r="K62" s="1331" t="n">
        <f aca="true">IF(ISERROR(OFFSET(K$55,0,-$C62)*$D62)=TRUE(),0,OFFSET(K$55,0,-$C62)*$D62)</f>
        <v>0</v>
      </c>
      <c r="L62" s="1331" t="n">
        <f aca="true">IF(ISERROR(OFFSET(L$55,0,-$C62)*$D62)=TRUE(),0,OFFSET(L$55,0,-$C62)*$D62)</f>
        <v>0</v>
      </c>
      <c r="M62" s="1331" t="n">
        <f aca="true">IF(ISERROR(OFFSET(M$55,0,-$C62)*$D62)=TRUE(),0,OFFSET(M$55,0,-$C62)*$D62)</f>
        <v>0</v>
      </c>
      <c r="N62" s="1331" t="n">
        <f aca="true">IF(ISERROR(OFFSET(N$55,0,-$C62)*$D62)=TRUE(),0,OFFSET(N$55,0,-$C62)*$D62)</f>
        <v>0</v>
      </c>
      <c r="O62" s="1331" t="n">
        <f aca="true">IF(ISERROR(OFFSET(O$55,0,-$C62)*$D62)=TRUE(),0,OFFSET(O$55,0,-$C62)*$D62)</f>
        <v>0</v>
      </c>
      <c r="P62" s="1331" t="n">
        <f aca="true">IF(ISERROR(OFFSET(P$55,0,-$C62)*$D62)=TRUE(),0,OFFSET(P$55,0,-$C62)*$D62)</f>
        <v>0</v>
      </c>
      <c r="Q62" s="976" t="n">
        <f aca="false">SUM(E62:P62)</f>
        <v>0</v>
      </c>
      <c r="R62" s="549"/>
      <c r="S62" s="549"/>
      <c r="T62" s="549"/>
      <c r="U62" s="549"/>
      <c r="V62" s="549"/>
      <c r="W62" s="549"/>
      <c r="X62" s="549"/>
      <c r="Y62" s="549"/>
      <c r="Z62" s="549"/>
      <c r="AA62" s="549"/>
      <c r="AB62" s="549"/>
      <c r="AC62" s="549"/>
      <c r="AD62" s="549"/>
      <c r="AE62" s="549"/>
      <c r="AF62" s="549"/>
      <c r="AG62" s="549"/>
      <c r="AH62" s="549"/>
      <c r="AI62" s="549"/>
      <c r="AJ62" s="549"/>
      <c r="AK62" s="549"/>
      <c r="AL62" s="549"/>
      <c r="AM62" s="549"/>
      <c r="AN62" s="549"/>
      <c r="AO62" s="93"/>
      <c r="AP62" s="93"/>
    </row>
    <row r="63" customFormat="false" ht="12.75" hidden="false" customHeight="false" outlineLevel="0" collapsed="false">
      <c r="B63" s="0" t="s">
        <v>743</v>
      </c>
      <c r="C63" s="451" t="n">
        <f aca="false">'Previsión de negocio'!D260</f>
        <v>0</v>
      </c>
      <c r="D63" s="1330" t="n">
        <f aca="false">D21</f>
        <v>0</v>
      </c>
      <c r="E63" s="1331" t="n">
        <f aca="true">IF(ISERROR(OFFSET(E$55,0,-$C63)*$D63)=TRUE(),0,OFFSET(E$55,0,-$C63)*$D63)</f>
        <v>0</v>
      </c>
      <c r="F63" s="1331" t="n">
        <f aca="true">IF(ISERROR(OFFSET(F$55,0,-$C63)*$D63)=TRUE(),0,OFFSET(F$55,0,-$C63)*$D63)</f>
        <v>0</v>
      </c>
      <c r="G63" s="1331" t="n">
        <f aca="true">IF(ISERROR(OFFSET(G$55,0,-$C63)*$D63)=TRUE(),0,OFFSET(G$55,0,-$C63)*$D63)</f>
        <v>0</v>
      </c>
      <c r="H63" s="1331" t="n">
        <f aca="true">IF(ISERROR(OFFSET(H$55,0,-$C63)*$D63)=TRUE(),0,OFFSET(H$55,0,-$C63)*$D63)</f>
        <v>0</v>
      </c>
      <c r="I63" s="1331" t="n">
        <f aca="true">IF(ISERROR(OFFSET(I$55,0,-$C63)*$D63)=TRUE(),0,OFFSET(I$55,0,-$C63)*$D63)</f>
        <v>0</v>
      </c>
      <c r="J63" s="1331" t="n">
        <f aca="true">IF(ISERROR(OFFSET(J$55,0,-$C63)*$D63)=TRUE(),0,OFFSET(J$55,0,-$C63)*$D63)</f>
        <v>0</v>
      </c>
      <c r="K63" s="1331" t="n">
        <f aca="true">IF(ISERROR(OFFSET(K$55,0,-$C63)*$D63)=TRUE(),0,OFFSET(K$55,0,-$C63)*$D63)</f>
        <v>0</v>
      </c>
      <c r="L63" s="1331" t="n">
        <f aca="true">IF(ISERROR(OFFSET(L$55,0,-$C63)*$D63)=TRUE(),0,OFFSET(L$55,0,-$C63)*$D63)</f>
        <v>0</v>
      </c>
      <c r="M63" s="1331" t="n">
        <f aca="true">IF(ISERROR(OFFSET(M$55,0,-$C63)*$D63)=TRUE(),0,OFFSET(M$55,0,-$C63)*$D63)</f>
        <v>0</v>
      </c>
      <c r="N63" s="1331" t="n">
        <f aca="true">IF(ISERROR(OFFSET(N$55,0,-$C63)*$D63)=TRUE(),0,OFFSET(N$55,0,-$C63)*$D63)</f>
        <v>0</v>
      </c>
      <c r="O63" s="1331" t="n">
        <f aca="true">IF(ISERROR(OFFSET(O$55,0,-$C63)*$D63)=TRUE(),0,OFFSET(O$55,0,-$C63)*$D63)</f>
        <v>0</v>
      </c>
      <c r="P63" s="1331" t="n">
        <f aca="true">IF(ISERROR(OFFSET(P$55,0,-$C63)*$D63)=TRUE(),0,OFFSET(P$55,0,-$C63)*$D63)</f>
        <v>0</v>
      </c>
      <c r="Q63" s="976" t="n">
        <f aca="false">SUM(E63:P63)</f>
        <v>0</v>
      </c>
      <c r="R63" s="549"/>
      <c r="S63" s="549"/>
      <c r="T63" s="549"/>
      <c r="U63" s="549"/>
      <c r="V63" s="549"/>
      <c r="W63" s="549"/>
      <c r="X63" s="549"/>
      <c r="Y63" s="549"/>
      <c r="Z63" s="549"/>
      <c r="AA63" s="549"/>
      <c r="AB63" s="549"/>
      <c r="AC63" s="549"/>
      <c r="AD63" s="549"/>
      <c r="AE63" s="549"/>
      <c r="AF63" s="549"/>
      <c r="AG63" s="549"/>
      <c r="AH63" s="549"/>
      <c r="AI63" s="549"/>
      <c r="AJ63" s="549"/>
      <c r="AK63" s="549"/>
      <c r="AL63" s="549"/>
      <c r="AM63" s="549"/>
      <c r="AN63" s="549"/>
      <c r="AO63" s="93"/>
      <c r="AP63" s="93"/>
    </row>
    <row r="64" customFormat="false" ht="13.5" hidden="false" customHeight="false" outlineLevel="0" collapsed="false">
      <c r="B64" s="0" t="s">
        <v>743</v>
      </c>
      <c r="C64" s="451" t="n">
        <f aca="false">'Previsión de negocio'!D261</f>
        <v>0</v>
      </c>
      <c r="D64" s="1330" t="n">
        <f aca="false">D22</f>
        <v>0</v>
      </c>
      <c r="E64" s="1331" t="n">
        <f aca="true">IF(ISERROR(OFFSET(E$55,0,-$C64)*$D64)=TRUE(),0,OFFSET(E$55,0,-$C64)*$D64)</f>
        <v>0</v>
      </c>
      <c r="F64" s="1331" t="n">
        <f aca="true">IF(ISERROR(OFFSET(F$55,0,-$C64)*$D64)=TRUE(),0,OFFSET(F$55,0,-$C64)*$D64)</f>
        <v>0</v>
      </c>
      <c r="G64" s="1331" t="n">
        <f aca="true">IF(ISERROR(OFFSET(G$55,0,-$C64)*$D64)=TRUE(),0,OFFSET(G$55,0,-$C64)*$D64)</f>
        <v>0</v>
      </c>
      <c r="H64" s="1331" t="n">
        <f aca="true">IF(ISERROR(OFFSET(H$55,0,-$C64)*$D64)=TRUE(),0,OFFSET(H$55,0,-$C64)*$D64)</f>
        <v>0</v>
      </c>
      <c r="I64" s="1331" t="n">
        <f aca="true">IF(ISERROR(OFFSET(I$55,0,-$C64)*$D64)=TRUE(),0,OFFSET(I$55,0,-$C64)*$D64)</f>
        <v>0</v>
      </c>
      <c r="J64" s="1331" t="n">
        <f aca="true">IF(ISERROR(OFFSET(J$55,0,-$C64)*$D64)=TRUE(),0,OFFSET(J$55,0,-$C64)*$D64)</f>
        <v>0</v>
      </c>
      <c r="K64" s="1331" t="n">
        <f aca="true">IF(ISERROR(OFFSET(K$55,0,-$C64)*$D64)=TRUE(),0,OFFSET(K$55,0,-$C64)*$D64)</f>
        <v>0</v>
      </c>
      <c r="L64" s="1331" t="n">
        <f aca="true">IF(ISERROR(OFFSET(L$55,0,-$C64)*$D64)=TRUE(),0,OFFSET(L$55,0,-$C64)*$D64)</f>
        <v>0</v>
      </c>
      <c r="M64" s="1331" t="n">
        <f aca="true">IF(ISERROR(OFFSET(M$55,0,-$C64)*$D64)=TRUE(),0,OFFSET(M$55,0,-$C64)*$D64)</f>
        <v>0</v>
      </c>
      <c r="N64" s="1331" t="n">
        <f aca="true">IF(ISERROR(OFFSET(N$55,0,-$C64)*$D64)=TRUE(),0,OFFSET(N$55,0,-$C64)*$D64)</f>
        <v>0</v>
      </c>
      <c r="O64" s="1331" t="n">
        <f aca="true">IF(ISERROR(OFFSET(O$55,0,-$C64)*$D64)=TRUE(),0,OFFSET(O$55,0,-$C64)*$D64)</f>
        <v>0</v>
      </c>
      <c r="P64" s="1331" t="n">
        <f aca="true">IF(ISERROR(OFFSET(P$55,0,-$C64)*$D64)=TRUE(),0,OFFSET(P$55,0,-$C64)*$D64)</f>
        <v>0</v>
      </c>
      <c r="Q64" s="1333" t="n">
        <f aca="false">SUM(E64:P64)</f>
        <v>0</v>
      </c>
      <c r="R64" s="549"/>
      <c r="S64" s="549"/>
      <c r="T64" s="549"/>
      <c r="U64" s="549"/>
      <c r="V64" s="549"/>
      <c r="W64" s="549"/>
      <c r="X64" s="549"/>
      <c r="Y64" s="549"/>
      <c r="Z64" s="549"/>
      <c r="AA64" s="549"/>
      <c r="AB64" s="549"/>
      <c r="AC64" s="549"/>
      <c r="AD64" s="549"/>
      <c r="AE64" s="549"/>
      <c r="AF64" s="549"/>
      <c r="AG64" s="549"/>
      <c r="AH64" s="549"/>
      <c r="AI64" s="549"/>
      <c r="AJ64" s="549"/>
      <c r="AK64" s="549"/>
      <c r="AL64" s="549"/>
      <c r="AM64" s="549"/>
      <c r="AN64" s="549"/>
      <c r="AO64" s="93"/>
      <c r="AP64" s="93"/>
    </row>
    <row r="65" customFormat="false" ht="15" hidden="false" customHeight="false" outlineLevel="0" collapsed="false">
      <c r="B65" s="1317" t="str">
        <f aca="false">B23</f>
        <v>Total cobrado:</v>
      </c>
      <c r="C65" s="1318"/>
      <c r="D65" s="1334" t="n">
        <f aca="false">D23</f>
        <v>1</v>
      </c>
      <c r="E65" s="366" t="n">
        <f aca="false">SUM(E57:E64)</f>
        <v>19643.8</v>
      </c>
      <c r="F65" s="366" t="n">
        <f aca="false">SUM(F57:F64)</f>
        <v>19643.8</v>
      </c>
      <c r="G65" s="366" t="n">
        <f aca="false">SUM(G57:G64)</f>
        <v>19643.8</v>
      </c>
      <c r="H65" s="366" t="n">
        <f aca="false">SUM(H57:H64)</f>
        <v>19643.8</v>
      </c>
      <c r="I65" s="366" t="n">
        <f aca="false">SUM(I57:I64)</f>
        <v>19643.8</v>
      </c>
      <c r="J65" s="366" t="n">
        <f aca="false">SUM(J57:J64)</f>
        <v>19643.8</v>
      </c>
      <c r="K65" s="366" t="n">
        <f aca="false">SUM(K57:K64)</f>
        <v>19643.8</v>
      </c>
      <c r="L65" s="366" t="n">
        <f aca="false">SUM(L57:L64)</f>
        <v>19643.8</v>
      </c>
      <c r="M65" s="366" t="n">
        <f aca="false">SUM(M57:M64)</f>
        <v>19643.8</v>
      </c>
      <c r="N65" s="366" t="n">
        <f aca="false">SUM(N57:N64)</f>
        <v>19643.8</v>
      </c>
      <c r="O65" s="366" t="n">
        <f aca="false">SUM(O57:O64)</f>
        <v>19643.8</v>
      </c>
      <c r="P65" s="366" t="n">
        <f aca="false">SUM(P57:P64)</f>
        <v>19643.8</v>
      </c>
      <c r="Q65" s="417" t="n">
        <f aca="false">SUM(Q57:Q64)</f>
        <v>235725.6</v>
      </c>
      <c r="R65" s="223"/>
      <c r="S65" s="223"/>
      <c r="T65" s="223"/>
      <c r="U65" s="223"/>
      <c r="V65" s="223"/>
      <c r="W65" s="223"/>
      <c r="X65" s="223"/>
      <c r="Y65" s="223"/>
      <c r="Z65" s="223"/>
      <c r="AA65" s="223"/>
      <c r="AB65" s="223"/>
      <c r="AC65" s="223"/>
      <c r="AD65" s="223"/>
      <c r="AE65" s="223"/>
      <c r="AF65" s="223"/>
      <c r="AG65" s="223"/>
      <c r="AH65" s="223"/>
      <c r="AI65" s="223"/>
      <c r="AJ65" s="223"/>
      <c r="AK65" s="223"/>
      <c r="AL65" s="223"/>
      <c r="AM65" s="223"/>
      <c r="AN65" s="223"/>
      <c r="AO65" s="93"/>
      <c r="AP65" s="93"/>
    </row>
    <row r="66" customFormat="false" ht="7.5" hidden="false" customHeight="true" outlineLevel="0" collapsed="false">
      <c r="B66" s="70"/>
      <c r="C66" s="70"/>
      <c r="D66" s="1330"/>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c r="AM66" s="223"/>
      <c r="AN66" s="223"/>
      <c r="AO66" s="93"/>
    </row>
    <row r="67" customFormat="false" ht="17.25" hidden="false" customHeight="true" outlineLevel="0" collapsed="false">
      <c r="B67" s="1317" t="s">
        <v>753</v>
      </c>
      <c r="C67" s="1318"/>
      <c r="D67" s="1318"/>
      <c r="E67" s="366" t="n">
        <f aca="false">D67+E55-E65</f>
        <v>0</v>
      </c>
      <c r="F67" s="366" t="n">
        <f aca="false">E67+F55-F65</f>
        <v>0</v>
      </c>
      <c r="G67" s="366" t="n">
        <f aca="false">F67+G55-G65</f>
        <v>0</v>
      </c>
      <c r="H67" s="366" t="n">
        <f aca="false">G67+H55-H65</f>
        <v>0</v>
      </c>
      <c r="I67" s="366" t="n">
        <f aca="false">H67+I55-I65</f>
        <v>0</v>
      </c>
      <c r="J67" s="366" t="n">
        <f aca="false">I67+J55-J65</f>
        <v>0</v>
      </c>
      <c r="K67" s="366" t="n">
        <f aca="false">J67+K55-K65</f>
        <v>0</v>
      </c>
      <c r="L67" s="366" t="n">
        <f aca="false">K67+L55-L65</f>
        <v>0</v>
      </c>
      <c r="M67" s="366" t="n">
        <f aca="false">L67+M55-M65</f>
        <v>0</v>
      </c>
      <c r="N67" s="366" t="n">
        <f aca="false">M67+N55-N65</f>
        <v>0</v>
      </c>
      <c r="O67" s="366" t="n">
        <f aca="false">N67+O55-O65</f>
        <v>0</v>
      </c>
      <c r="P67" s="417" t="n">
        <f aca="false">O67+P55-P65</f>
        <v>0</v>
      </c>
      <c r="Q67" s="93"/>
      <c r="R67" s="93"/>
      <c r="S67" s="93"/>
      <c r="T67" s="93"/>
      <c r="U67" s="93"/>
      <c r="V67" s="93"/>
      <c r="W67" s="93"/>
      <c r="X67" s="93"/>
      <c r="Y67" s="93"/>
      <c r="Z67" s="93"/>
      <c r="AA67" s="93"/>
      <c r="AB67" s="93"/>
      <c r="AC67" s="93"/>
      <c r="AD67" s="93"/>
      <c r="AE67" s="93"/>
      <c r="AF67" s="93"/>
      <c r="AG67" s="93"/>
      <c r="AH67" s="93"/>
      <c r="AI67" s="93"/>
      <c r="AJ67" s="93"/>
      <c r="AK67" s="93"/>
      <c r="AL67" s="93"/>
      <c r="AM67" s="93"/>
      <c r="AN67" s="93"/>
    </row>
    <row r="68" customFormat="false" ht="12.75" hidden="false" customHeight="false" outlineLevel="0" collapsed="false">
      <c r="E68" s="93"/>
      <c r="F68" s="93"/>
      <c r="G68" s="93"/>
      <c r="H68" s="93"/>
      <c r="I68" s="93"/>
      <c r="J68" s="93"/>
      <c r="K68" s="93"/>
      <c r="L68" s="93"/>
      <c r="M68" s="93"/>
    </row>
    <row r="69" customFormat="false" ht="12.75" hidden="false" customHeight="false" outlineLevel="0" collapsed="false">
      <c r="E69" s="93"/>
      <c r="F69" s="93"/>
      <c r="G69" s="93"/>
      <c r="H69" s="93"/>
      <c r="I69" s="93"/>
      <c r="J69" s="93"/>
      <c r="K69" s="93"/>
      <c r="L69" s="93"/>
      <c r="M69" s="93"/>
    </row>
    <row r="70" customFormat="false" ht="14.25" hidden="false" customHeight="false" outlineLevel="0" collapsed="false">
      <c r="B70" s="51" t="s">
        <v>739</v>
      </c>
      <c r="C70" s="51"/>
      <c r="E70" s="1335" t="s">
        <v>475</v>
      </c>
      <c r="F70" s="93"/>
      <c r="G70" s="93"/>
      <c r="H70" s="93"/>
      <c r="I70" s="93"/>
      <c r="J70" s="93"/>
      <c r="K70" s="93"/>
      <c r="L70" s="93"/>
      <c r="M70" s="93"/>
      <c r="N70" s="93"/>
      <c r="O70" s="93"/>
      <c r="P70" s="93"/>
      <c r="Q70" s="93"/>
    </row>
    <row r="71" customFormat="false" ht="5.25" hidden="false" customHeight="true" outlineLevel="0" collapsed="false">
      <c r="E71" s="93"/>
      <c r="F71" s="93"/>
      <c r="G71" s="93"/>
      <c r="H71" s="93"/>
      <c r="I71" s="93"/>
      <c r="J71" s="93"/>
      <c r="K71" s="93"/>
      <c r="L71" s="93"/>
      <c r="M71" s="93"/>
    </row>
    <row r="72" customFormat="false" ht="14.25" hidden="false" customHeight="false" outlineLevel="0" collapsed="false">
      <c r="B72" s="451"/>
      <c r="C72" s="451"/>
      <c r="D72" s="336"/>
      <c r="E72" s="1328" t="s">
        <v>303</v>
      </c>
      <c r="F72" s="1328" t="s">
        <v>304</v>
      </c>
      <c r="G72" s="1328" t="s">
        <v>305</v>
      </c>
      <c r="H72" s="1328" t="s">
        <v>127</v>
      </c>
      <c r="I72" s="1328" t="s">
        <v>128</v>
      </c>
      <c r="J72" s="1328" t="s">
        <v>129</v>
      </c>
      <c r="K72" s="1328" t="s">
        <v>130</v>
      </c>
      <c r="L72" s="1328" t="s">
        <v>306</v>
      </c>
      <c r="M72" s="1328" t="s">
        <v>307</v>
      </c>
      <c r="N72" s="1328" t="s">
        <v>308</v>
      </c>
      <c r="O72" s="1328" t="s">
        <v>309</v>
      </c>
      <c r="P72" s="1328" t="s">
        <v>310</v>
      </c>
      <c r="Q72" s="1328" t="s">
        <v>750</v>
      </c>
    </row>
    <row r="73" customFormat="false" ht="15" hidden="false" customHeight="false" outlineLevel="0" collapsed="false">
      <c r="B73" s="1304" t="s">
        <v>751</v>
      </c>
      <c r="C73" s="1305"/>
      <c r="D73" s="1305"/>
      <c r="E73" s="1306" t="n">
        <f aca="false">'Presupuesto de ventas'!D86</f>
        <v>23942</v>
      </c>
      <c r="F73" s="1306" t="n">
        <f aca="false">'Presupuesto de ventas'!E86</f>
        <v>23942</v>
      </c>
      <c r="G73" s="1306" t="n">
        <f aca="false">'Presupuesto de ventas'!F86</f>
        <v>23942</v>
      </c>
      <c r="H73" s="1306" t="n">
        <f aca="false">'Presupuesto de ventas'!G86</f>
        <v>23942</v>
      </c>
      <c r="I73" s="1306" t="n">
        <f aca="false">'Presupuesto de ventas'!H86</f>
        <v>23942</v>
      </c>
      <c r="J73" s="1306" t="n">
        <f aca="false">'Presupuesto de ventas'!I86</f>
        <v>23942</v>
      </c>
      <c r="K73" s="1306" t="n">
        <f aca="false">'Presupuesto de ventas'!J86</f>
        <v>23942</v>
      </c>
      <c r="L73" s="1306" t="n">
        <f aca="false">'Presupuesto de ventas'!K86</f>
        <v>23942</v>
      </c>
      <c r="M73" s="1306" t="n">
        <f aca="false">'Presupuesto de ventas'!L86</f>
        <v>23942</v>
      </c>
      <c r="N73" s="1306" t="n">
        <f aca="false">'Presupuesto de ventas'!M86</f>
        <v>23942</v>
      </c>
      <c r="O73" s="1306" t="n">
        <f aca="false">'Presupuesto de ventas'!N86</f>
        <v>23942</v>
      </c>
      <c r="P73" s="1306" t="n">
        <f aca="false">'Presupuesto de ventas'!O86</f>
        <v>23942</v>
      </c>
      <c r="Q73" s="1307" t="n">
        <f aca="false">SUM(E73:P73)</f>
        <v>287304</v>
      </c>
    </row>
    <row r="74" customFormat="false" ht="14.25" hidden="false" customHeight="false" outlineLevel="0" collapsed="false">
      <c r="B74" s="70" t="s">
        <v>715</v>
      </c>
      <c r="C74" s="70"/>
      <c r="D74" s="70"/>
      <c r="E74" s="223" t="n">
        <f aca="false">E73*'Datos generales'!$D$22</f>
        <v>2394.2</v>
      </c>
      <c r="F74" s="223" t="n">
        <f aca="false">F73*'Datos generales'!$D$22</f>
        <v>2394.2</v>
      </c>
      <c r="G74" s="223" t="n">
        <f aca="false">G73*'Datos generales'!$D$22</f>
        <v>2394.2</v>
      </c>
      <c r="H74" s="223" t="n">
        <f aca="false">H73*'Datos generales'!$D$22</f>
        <v>2394.2</v>
      </c>
      <c r="I74" s="223" t="n">
        <f aca="false">I73*'Datos generales'!$D$22</f>
        <v>2394.2</v>
      </c>
      <c r="J74" s="223" t="n">
        <f aca="false">J73*'Datos generales'!$D$22</f>
        <v>2394.2</v>
      </c>
      <c r="K74" s="223" t="n">
        <f aca="false">K73*'Datos generales'!$D$22</f>
        <v>2394.2</v>
      </c>
      <c r="L74" s="223" t="n">
        <f aca="false">L73*'Datos generales'!$D$22</f>
        <v>2394.2</v>
      </c>
      <c r="M74" s="223" t="n">
        <f aca="false">M73*'Datos generales'!$D$22</f>
        <v>2394.2</v>
      </c>
      <c r="N74" s="223" t="n">
        <f aca="false">N73*'Datos generales'!$D$22</f>
        <v>2394.2</v>
      </c>
      <c r="O74" s="223" t="n">
        <f aca="false">O73*'Datos generales'!$D$22</f>
        <v>2394.2</v>
      </c>
      <c r="P74" s="223" t="n">
        <f aca="false">P73*'Datos generales'!$D$22</f>
        <v>2394.2</v>
      </c>
      <c r="Q74" s="223" t="n">
        <f aca="false">SUM(E74:P74)</f>
        <v>28730.4</v>
      </c>
    </row>
    <row r="75" customFormat="false" ht="14.25" hidden="false" customHeight="false" outlineLevel="0" collapsed="false">
      <c r="B75" s="70" t="s">
        <v>752</v>
      </c>
      <c r="C75" s="70"/>
      <c r="D75" s="70"/>
      <c r="E75" s="223" t="n">
        <f aca="false">SUM(E73:E74)</f>
        <v>26336.2</v>
      </c>
      <c r="F75" s="223" t="n">
        <f aca="false">SUM(F73:F74)</f>
        <v>26336.2</v>
      </c>
      <c r="G75" s="223" t="n">
        <f aca="false">SUM(G73:G74)</f>
        <v>26336.2</v>
      </c>
      <c r="H75" s="223" t="n">
        <f aca="false">SUM(H73:H74)</f>
        <v>26336.2</v>
      </c>
      <c r="I75" s="223" t="n">
        <f aca="false">SUM(I73:I74)</f>
        <v>26336.2</v>
      </c>
      <c r="J75" s="223" t="n">
        <f aca="false">SUM(J73:J74)</f>
        <v>26336.2</v>
      </c>
      <c r="K75" s="223" t="n">
        <f aca="false">SUM(K73:K74)</f>
        <v>26336.2</v>
      </c>
      <c r="L75" s="223" t="n">
        <f aca="false">SUM(L73:L74)</f>
        <v>26336.2</v>
      </c>
      <c r="M75" s="223" t="n">
        <f aca="false">SUM(M73:M74)</f>
        <v>26336.2</v>
      </c>
      <c r="N75" s="223" t="n">
        <f aca="false">SUM(N73:N74)</f>
        <v>26336.2</v>
      </c>
      <c r="O75" s="223" t="n">
        <f aca="false">SUM(O73:O74)</f>
        <v>26336.2</v>
      </c>
      <c r="P75" s="223" t="n">
        <f aca="false">SUM(P73:P74)</f>
        <v>26336.2</v>
      </c>
      <c r="Q75" s="223" t="n">
        <f aca="false">SUM(E75:P75)</f>
        <v>316034.4</v>
      </c>
    </row>
    <row r="76" customFormat="false" ht="24" hidden="false" customHeight="true" outlineLevel="0" collapsed="false">
      <c r="B76" s="465" t="s">
        <v>164</v>
      </c>
      <c r="C76" s="465"/>
      <c r="D76" s="1329" t="s">
        <v>165</v>
      </c>
      <c r="E76" s="549"/>
      <c r="F76" s="549"/>
      <c r="G76" s="549"/>
      <c r="H76" s="549"/>
      <c r="I76" s="549"/>
      <c r="J76" s="549"/>
      <c r="K76" s="549"/>
      <c r="L76" s="549"/>
      <c r="M76" s="549"/>
      <c r="N76" s="549"/>
      <c r="O76" s="549"/>
      <c r="P76" s="549"/>
      <c r="Q76" s="93"/>
    </row>
    <row r="77" customFormat="false" ht="12.75" hidden="false" customHeight="false" outlineLevel="0" collapsed="false">
      <c r="B77" s="451" t="str">
        <f aca="false">B57</f>
        <v>Contado</v>
      </c>
      <c r="C77" s="451"/>
      <c r="D77" s="1330" t="n">
        <f aca="false">D57</f>
        <v>1</v>
      </c>
      <c r="E77" s="1026" t="n">
        <f aca="true">IF($C77&gt;=E$1,IF($C77&gt;12+D$1,0,OFFSET($Q$55,0,-$C77+D$1)*$D77),OFFSET(E$75,0,-$C77)*$D77)</f>
        <v>26336.2</v>
      </c>
      <c r="F77" s="1026" t="n">
        <f aca="true">IF($C77&gt;=F$1,IF($C77&gt;12+E$1,0,OFFSET($Q$55,0,-$C77+E$1)*$D77),OFFSET(F$75,0,-$C77)*$D77)</f>
        <v>26336.2</v>
      </c>
      <c r="G77" s="1026" t="n">
        <f aca="true">IF($C77&gt;=G$1,IF($C77&gt;12+F$1,0,OFFSET($Q$55,0,-$C77+F$1)*$D77),OFFSET(G$75,0,-$C77)*$D77)</f>
        <v>26336.2</v>
      </c>
      <c r="H77" s="1026" t="n">
        <f aca="true">IF($C77&gt;=H$1,IF($C77&gt;12+G$1,0,OFFSET($Q$55,0,-$C77+G$1)*$D77),OFFSET(H$75,0,-$C77)*$D77)</f>
        <v>26336.2</v>
      </c>
      <c r="I77" s="1026" t="n">
        <f aca="true">IF($C77&gt;=I$1,IF($C77&gt;12+H$1,0,OFFSET($Q$55,0,-$C77+H$1)*$D77),OFFSET(I$75,0,-$C77)*$D77)</f>
        <v>26336.2</v>
      </c>
      <c r="J77" s="1026" t="n">
        <f aca="true">IF($C77&gt;=J$1,IF($C77&gt;12+I$1,0,OFFSET($Q$55,0,-$C77+I$1)*$D77),OFFSET(J$75,0,-$C77)*$D77)</f>
        <v>26336.2</v>
      </c>
      <c r="K77" s="1026" t="n">
        <f aca="true">IF($C77&gt;=K$1,IF($C77&gt;12+J$1,0,OFFSET($Q$55,0,-$C77+J$1)*$D77),OFFSET(K$75,0,-$C77)*$D77)</f>
        <v>26336.2</v>
      </c>
      <c r="L77" s="1026" t="n">
        <f aca="true">IF($C77&gt;=L$1,IF($C77&gt;12+K$1,0,OFFSET($Q$55,0,-$C77+K$1)*$D77),OFFSET(L$75,0,-$C77)*$D77)</f>
        <v>26336.2</v>
      </c>
      <c r="M77" s="1026" t="n">
        <f aca="true">IF($C77&gt;=M$1,IF($C77&gt;12+L$1,0,OFFSET($Q$55,0,-$C77+L$1)*$D77),OFFSET(M$75,0,-$C77)*$D77)</f>
        <v>26336.2</v>
      </c>
      <c r="N77" s="1026" t="n">
        <f aca="true">IF($C77&gt;=N$1,IF($C77&gt;12+M$1,0,OFFSET($Q$55,0,-$C77+M$1)*$D77),OFFSET(N$75,0,-$C77)*$D77)</f>
        <v>26336.2</v>
      </c>
      <c r="O77" s="1026" t="n">
        <f aca="true">IF($C77&gt;=O$1,IF($C77&gt;12+N$1,0,OFFSET($Q$55,0,-$C77+N$1)*$D77),OFFSET(O$75,0,-$C77)*$D77)</f>
        <v>26336.2</v>
      </c>
      <c r="P77" s="1026" t="n">
        <f aca="true">IF($C77&gt;=P$1,IF($C77&gt;12+O$1,0,OFFSET($Q$55,0,-$C77+O$1)*$D77),OFFSET(P$75,0,-$C77)*$D77)</f>
        <v>26336.2</v>
      </c>
      <c r="Q77" s="1332" t="n">
        <f aca="false">SUM(E77:P77)</f>
        <v>316034.4</v>
      </c>
      <c r="R77" s="549"/>
    </row>
    <row r="78" customFormat="false" ht="12.75" hidden="false" customHeight="false" outlineLevel="0" collapsed="false">
      <c r="B78" s="0" t="s">
        <v>743</v>
      </c>
      <c r="C78" s="451" t="n">
        <f aca="false">C58</f>
        <v>1</v>
      </c>
      <c r="D78" s="1330" t="n">
        <f aca="false">D58</f>
        <v>0</v>
      </c>
      <c r="E78" s="1026" t="n">
        <f aca="true">IF($C78&gt;=E$1,IF($C78&gt;12+D$1,0,OFFSET($Q$55,0,-$C78+D$1)*$D78),OFFSET(E$75,0,-$C78)*$D78)</f>
        <v>0</v>
      </c>
      <c r="F78" s="1026" t="n">
        <f aca="true">IF($C78&gt;=F$1,IF($C78&gt;12+E$1,0,OFFSET($Q$55,0,-$C78+E$1)*$D78),OFFSET(F$75,0,-$C78)*$D78)</f>
        <v>0</v>
      </c>
      <c r="G78" s="1026" t="n">
        <f aca="true">IF($C78&gt;=G$1,IF($C78&gt;12+F$1,0,OFFSET($Q$55,0,-$C78+F$1)*$D78),OFFSET(G$75,0,-$C78)*$D78)</f>
        <v>0</v>
      </c>
      <c r="H78" s="1026" t="n">
        <f aca="true">IF($C78&gt;=H$1,IF($C78&gt;12+G$1,0,OFFSET($Q$55,0,-$C78+G$1)*$D78),OFFSET(H$75,0,-$C78)*$D78)</f>
        <v>0</v>
      </c>
      <c r="I78" s="1026" t="n">
        <f aca="true">IF($C78&gt;=I$1,IF($C78&gt;12+H$1,0,OFFSET($Q$55,0,-$C78+H$1)*$D78),OFFSET(I$75,0,-$C78)*$D78)</f>
        <v>0</v>
      </c>
      <c r="J78" s="1026" t="n">
        <f aca="true">IF($C78&gt;=J$1,IF($C78&gt;12+I$1,0,OFFSET($Q$55,0,-$C78+I$1)*$D78),OFFSET(J$75,0,-$C78)*$D78)</f>
        <v>0</v>
      </c>
      <c r="K78" s="1026" t="n">
        <f aca="true">IF($C78&gt;=K$1,IF($C78&gt;12+J$1,0,OFFSET($Q$55,0,-$C78+J$1)*$D78),OFFSET(K$75,0,-$C78)*$D78)</f>
        <v>0</v>
      </c>
      <c r="L78" s="1026" t="n">
        <f aca="true">IF($C78&gt;=L$1,IF($C78&gt;12+K$1,0,OFFSET($Q$55,0,-$C78+K$1)*$D78),OFFSET(L$75,0,-$C78)*$D78)</f>
        <v>0</v>
      </c>
      <c r="M78" s="1026" t="n">
        <f aca="true">IF($C78&gt;=M$1,IF($C78&gt;12+L$1,0,OFFSET($Q$55,0,-$C78+L$1)*$D78),OFFSET(M$75,0,-$C78)*$D78)</f>
        <v>0</v>
      </c>
      <c r="N78" s="1026" t="n">
        <f aca="true">IF($C78&gt;=N$1,IF($C78&gt;12+M$1,0,OFFSET($Q$55,0,-$C78+M$1)*$D78),OFFSET(N$75,0,-$C78)*$D78)</f>
        <v>0</v>
      </c>
      <c r="O78" s="1026" t="n">
        <f aca="true">IF($C78&gt;=O$1,IF($C78&gt;12+N$1,0,OFFSET($Q$55,0,-$C78+N$1)*$D78),OFFSET(O$75,0,-$C78)*$D78)</f>
        <v>0</v>
      </c>
      <c r="P78" s="1026" t="n">
        <f aca="true">IF($C78&gt;=P$1,IF($C78&gt;12+O$1,0,OFFSET($Q$55,0,-$C78+O$1)*$D78),OFFSET(P$75,0,-$C78)*$D78)</f>
        <v>0</v>
      </c>
      <c r="Q78" s="976" t="n">
        <f aca="false">SUM(E78:P78)</f>
        <v>0</v>
      </c>
      <c r="R78" s="549"/>
    </row>
    <row r="79" customFormat="false" ht="12.75" hidden="false" customHeight="false" outlineLevel="0" collapsed="false">
      <c r="B79" s="0" t="s">
        <v>743</v>
      </c>
      <c r="C79" s="451" t="n">
        <f aca="false">C59</f>
        <v>2</v>
      </c>
      <c r="D79" s="1330" t="n">
        <f aca="false">D59</f>
        <v>0</v>
      </c>
      <c r="E79" s="1026" t="n">
        <f aca="true">IF($C79&gt;=E$1,IF($C79&gt;12+D$1,0,OFFSET($Q$55,0,-$C79+D$1)*$D79),OFFSET(E$75,0,-$C79)*$D79)</f>
        <v>0</v>
      </c>
      <c r="F79" s="1026" t="n">
        <f aca="true">IF($C79&gt;=F$1,IF($C79&gt;12+E$1,0,OFFSET($Q$55,0,-$C79+E$1)*$D79),OFFSET(F$75,0,-$C79)*$D79)</f>
        <v>0</v>
      </c>
      <c r="G79" s="1026" t="n">
        <f aca="true">IF($C79&gt;=G$1,IF($C79&gt;12+F$1,0,OFFSET($Q$55,0,-$C79+F$1)*$D79),OFFSET(G$75,0,-$C79)*$D79)</f>
        <v>0</v>
      </c>
      <c r="H79" s="1026" t="n">
        <f aca="true">IF($C79&gt;=H$1,IF($C79&gt;12+G$1,0,OFFSET($Q$55,0,-$C79+G$1)*$D79),OFFSET(H$75,0,-$C79)*$D79)</f>
        <v>0</v>
      </c>
      <c r="I79" s="1026" t="n">
        <f aca="true">IF($C79&gt;=I$1,IF($C79&gt;12+H$1,0,OFFSET($Q$55,0,-$C79+H$1)*$D79),OFFSET(I$75,0,-$C79)*$D79)</f>
        <v>0</v>
      </c>
      <c r="J79" s="1026" t="n">
        <f aca="true">IF($C79&gt;=J$1,IF($C79&gt;12+I$1,0,OFFSET($Q$55,0,-$C79+I$1)*$D79),OFFSET(J$75,0,-$C79)*$D79)</f>
        <v>0</v>
      </c>
      <c r="K79" s="1026" t="n">
        <f aca="true">IF($C79&gt;=K$1,IF($C79&gt;12+J$1,0,OFFSET($Q$55,0,-$C79+J$1)*$D79),OFFSET(K$75,0,-$C79)*$D79)</f>
        <v>0</v>
      </c>
      <c r="L79" s="1026" t="n">
        <f aca="true">IF($C79&gt;=L$1,IF($C79&gt;12+K$1,0,OFFSET($Q$55,0,-$C79+K$1)*$D79),OFFSET(L$75,0,-$C79)*$D79)</f>
        <v>0</v>
      </c>
      <c r="M79" s="1026" t="n">
        <f aca="true">IF($C79&gt;=M$1,IF($C79&gt;12+L$1,0,OFFSET($Q$55,0,-$C79+L$1)*$D79),OFFSET(M$75,0,-$C79)*$D79)</f>
        <v>0</v>
      </c>
      <c r="N79" s="1026" t="n">
        <f aca="true">IF($C79&gt;=N$1,IF($C79&gt;12+M$1,0,OFFSET($Q$55,0,-$C79+M$1)*$D79),OFFSET(N$75,0,-$C79)*$D79)</f>
        <v>0</v>
      </c>
      <c r="O79" s="1026" t="n">
        <f aca="true">IF($C79&gt;=O$1,IF($C79&gt;12+N$1,0,OFFSET($Q$55,0,-$C79+N$1)*$D79),OFFSET(O$75,0,-$C79)*$D79)</f>
        <v>0</v>
      </c>
      <c r="P79" s="1026" t="n">
        <f aca="true">IF($C79&gt;=P$1,IF($C79&gt;12+O$1,0,OFFSET($Q$55,0,-$C79+O$1)*$D79),OFFSET(P$75,0,-$C79)*$D79)</f>
        <v>0</v>
      </c>
      <c r="Q79" s="976" t="n">
        <f aca="false">SUM(E79:P79)</f>
        <v>0</v>
      </c>
      <c r="R79" s="549"/>
    </row>
    <row r="80" customFormat="false" ht="12.75" hidden="false" customHeight="false" outlineLevel="0" collapsed="false">
      <c r="B80" s="0" t="s">
        <v>743</v>
      </c>
      <c r="C80" s="451" t="n">
        <f aca="false">C60</f>
        <v>3</v>
      </c>
      <c r="D80" s="1330" t="n">
        <f aca="false">D60</f>
        <v>0</v>
      </c>
      <c r="E80" s="1026" t="n">
        <f aca="true">IF($C80&gt;=E$1,IF($C80&gt;12+D$1,0,OFFSET($Q$55,0,-$C80+D$1)*$D80),OFFSET(E$75,0,-$C80)*$D80)</f>
        <v>0</v>
      </c>
      <c r="F80" s="1026" t="n">
        <f aca="true">IF($C80&gt;=F$1,IF($C80&gt;12+E$1,0,OFFSET($Q$55,0,-$C80+E$1)*$D80),OFFSET(F$75,0,-$C80)*$D80)</f>
        <v>0</v>
      </c>
      <c r="G80" s="1026" t="n">
        <f aca="true">IF($C80&gt;=G$1,IF($C80&gt;12+F$1,0,OFFSET($Q$55,0,-$C80+F$1)*$D80),OFFSET(G$75,0,-$C80)*$D80)</f>
        <v>0</v>
      </c>
      <c r="H80" s="1026" t="n">
        <f aca="true">IF($C80&gt;=H$1,IF($C80&gt;12+G$1,0,OFFSET($Q$55,0,-$C80+G$1)*$D80),OFFSET(H$75,0,-$C80)*$D80)</f>
        <v>0</v>
      </c>
      <c r="I80" s="1026" t="n">
        <f aca="true">IF($C80&gt;=I$1,IF($C80&gt;12+H$1,0,OFFSET($Q$55,0,-$C80+H$1)*$D80),OFFSET(I$75,0,-$C80)*$D80)</f>
        <v>0</v>
      </c>
      <c r="J80" s="1026" t="n">
        <f aca="true">IF($C80&gt;=J$1,IF($C80&gt;12+I$1,0,OFFSET($Q$55,0,-$C80+I$1)*$D80),OFFSET(J$75,0,-$C80)*$D80)</f>
        <v>0</v>
      </c>
      <c r="K80" s="1026" t="n">
        <f aca="true">IF($C80&gt;=K$1,IF($C80&gt;12+J$1,0,OFFSET($Q$55,0,-$C80+J$1)*$D80),OFFSET(K$75,0,-$C80)*$D80)</f>
        <v>0</v>
      </c>
      <c r="L80" s="1026" t="n">
        <f aca="true">IF($C80&gt;=L$1,IF($C80&gt;12+K$1,0,OFFSET($Q$55,0,-$C80+K$1)*$D80),OFFSET(L$75,0,-$C80)*$D80)</f>
        <v>0</v>
      </c>
      <c r="M80" s="1026" t="n">
        <f aca="true">IF($C80&gt;=M$1,IF($C80&gt;12+L$1,0,OFFSET($Q$55,0,-$C80+L$1)*$D80),OFFSET(M$75,0,-$C80)*$D80)</f>
        <v>0</v>
      </c>
      <c r="N80" s="1026" t="n">
        <f aca="true">IF($C80&gt;=N$1,IF($C80&gt;12+M$1,0,OFFSET($Q$55,0,-$C80+M$1)*$D80),OFFSET(N$75,0,-$C80)*$D80)</f>
        <v>0</v>
      </c>
      <c r="O80" s="1026" t="n">
        <f aca="true">IF($C80&gt;=O$1,IF($C80&gt;12+N$1,0,OFFSET($Q$55,0,-$C80+N$1)*$D80),OFFSET(O$75,0,-$C80)*$D80)</f>
        <v>0</v>
      </c>
      <c r="P80" s="1026" t="n">
        <f aca="true">IF($C80&gt;=P$1,IF($C80&gt;12+O$1,0,OFFSET($Q$55,0,-$C80+O$1)*$D80),OFFSET(P$75,0,-$C80)*$D80)</f>
        <v>0</v>
      </c>
      <c r="Q80" s="976" t="n">
        <f aca="false">SUM(E80:P80)</f>
        <v>0</v>
      </c>
      <c r="R80" s="549"/>
    </row>
    <row r="81" customFormat="false" ht="12.75" hidden="false" customHeight="false" outlineLevel="0" collapsed="false">
      <c r="B81" s="0" t="s">
        <v>743</v>
      </c>
      <c r="C81" s="451" t="n">
        <f aca="false">C61</f>
        <v>0</v>
      </c>
      <c r="D81" s="1330" t="n">
        <f aca="false">D61</f>
        <v>0</v>
      </c>
      <c r="E81" s="1026" t="n">
        <f aca="true">IF($C81&gt;=E$1,IF($C81&gt;12+D$1,0,OFFSET($Q$55,0,-$C81+D$1)*$D81),OFFSET(E$75,0,-$C81)*$D81)</f>
        <v>0</v>
      </c>
      <c r="F81" s="1026" t="n">
        <f aca="true">IF($C81&gt;=F$1,IF($C81&gt;12+E$1,0,OFFSET($Q$55,0,-$C81+E$1)*$D81),OFFSET(F$75,0,-$C81)*$D81)</f>
        <v>0</v>
      </c>
      <c r="G81" s="1026" t="n">
        <f aca="true">IF($C81&gt;=G$1,IF($C81&gt;12+F$1,0,OFFSET($Q$55,0,-$C81+F$1)*$D81),OFFSET(G$75,0,-$C81)*$D81)</f>
        <v>0</v>
      </c>
      <c r="H81" s="1026" t="n">
        <f aca="true">IF($C81&gt;=H$1,IF($C81&gt;12+G$1,0,OFFSET($Q$55,0,-$C81+G$1)*$D81),OFFSET(H$75,0,-$C81)*$D81)</f>
        <v>0</v>
      </c>
      <c r="I81" s="1026" t="n">
        <f aca="true">IF($C81&gt;=I$1,IF($C81&gt;12+H$1,0,OFFSET($Q$55,0,-$C81+H$1)*$D81),OFFSET(I$75,0,-$C81)*$D81)</f>
        <v>0</v>
      </c>
      <c r="J81" s="1026" t="n">
        <f aca="true">IF($C81&gt;=J$1,IF($C81&gt;12+I$1,0,OFFSET($Q$55,0,-$C81+I$1)*$D81),OFFSET(J$75,0,-$C81)*$D81)</f>
        <v>0</v>
      </c>
      <c r="K81" s="1026" t="n">
        <f aca="true">IF($C81&gt;=K$1,IF($C81&gt;12+J$1,0,OFFSET($Q$55,0,-$C81+J$1)*$D81),OFFSET(K$75,0,-$C81)*$D81)</f>
        <v>0</v>
      </c>
      <c r="L81" s="1026" t="n">
        <f aca="true">IF($C81&gt;=L$1,IF($C81&gt;12+K$1,0,OFFSET($Q$55,0,-$C81+K$1)*$D81),OFFSET(L$75,0,-$C81)*$D81)</f>
        <v>0</v>
      </c>
      <c r="M81" s="1026" t="n">
        <f aca="true">IF($C81&gt;=M$1,IF($C81&gt;12+L$1,0,OFFSET($Q$55,0,-$C81+L$1)*$D81),OFFSET(M$75,0,-$C81)*$D81)</f>
        <v>0</v>
      </c>
      <c r="N81" s="1026" t="n">
        <f aca="true">IF($C81&gt;=N$1,IF($C81&gt;12+M$1,0,OFFSET($Q$55,0,-$C81+M$1)*$D81),OFFSET(N$75,0,-$C81)*$D81)</f>
        <v>0</v>
      </c>
      <c r="O81" s="1026" t="n">
        <f aca="true">IF($C81&gt;=O$1,IF($C81&gt;12+N$1,0,OFFSET($Q$55,0,-$C81+N$1)*$D81),OFFSET(O$75,0,-$C81)*$D81)</f>
        <v>0</v>
      </c>
      <c r="P81" s="1026" t="n">
        <f aca="true">IF($C81&gt;=P$1,IF($C81&gt;12+O$1,0,OFFSET($Q$55,0,-$C81+O$1)*$D81),OFFSET(P$75,0,-$C81)*$D81)</f>
        <v>0</v>
      </c>
      <c r="Q81" s="976" t="n">
        <f aca="false">SUM(E81:P81)</f>
        <v>0</v>
      </c>
      <c r="R81" s="549"/>
    </row>
    <row r="82" customFormat="false" ht="12.75" hidden="false" customHeight="false" outlineLevel="0" collapsed="false">
      <c r="B82" s="0" t="s">
        <v>743</v>
      </c>
      <c r="C82" s="451" t="n">
        <f aca="false">C62</f>
        <v>0</v>
      </c>
      <c r="D82" s="1330" t="n">
        <f aca="false">D62</f>
        <v>0</v>
      </c>
      <c r="E82" s="1026" t="n">
        <f aca="true">IF($C82&gt;=E$1,IF($C82&gt;12+D$1,0,OFFSET($Q$55,0,-$C82+D$1)*$D82),OFFSET(E$75,0,-$C82)*$D82)</f>
        <v>0</v>
      </c>
      <c r="F82" s="1026" t="n">
        <f aca="true">IF($C82&gt;=F$1,IF($C82&gt;12+E$1,0,OFFSET($Q$55,0,-$C82+E$1)*$D82),OFFSET(F$75,0,-$C82)*$D82)</f>
        <v>0</v>
      </c>
      <c r="G82" s="1026" t="n">
        <f aca="true">IF($C82&gt;=G$1,IF($C82&gt;12+F$1,0,OFFSET($Q$55,0,-$C82+F$1)*$D82),OFFSET(G$75,0,-$C82)*$D82)</f>
        <v>0</v>
      </c>
      <c r="H82" s="1026" t="n">
        <f aca="true">IF($C82&gt;=H$1,IF($C82&gt;12+G$1,0,OFFSET($Q$55,0,-$C82+G$1)*$D82),OFFSET(H$75,0,-$C82)*$D82)</f>
        <v>0</v>
      </c>
      <c r="I82" s="1026" t="n">
        <f aca="true">IF($C82&gt;=I$1,IF($C82&gt;12+H$1,0,OFFSET($Q$55,0,-$C82+H$1)*$D82),OFFSET(I$75,0,-$C82)*$D82)</f>
        <v>0</v>
      </c>
      <c r="J82" s="1026" t="n">
        <f aca="true">IF($C82&gt;=J$1,IF($C82&gt;12+I$1,0,OFFSET($Q$55,0,-$C82+I$1)*$D82),OFFSET(J$75,0,-$C82)*$D82)</f>
        <v>0</v>
      </c>
      <c r="K82" s="1026" t="n">
        <f aca="true">IF($C82&gt;=K$1,IF($C82&gt;12+J$1,0,OFFSET($Q$55,0,-$C82+J$1)*$D82),OFFSET(K$75,0,-$C82)*$D82)</f>
        <v>0</v>
      </c>
      <c r="L82" s="1026" t="n">
        <f aca="true">IF($C82&gt;=L$1,IF($C82&gt;12+K$1,0,OFFSET($Q$55,0,-$C82+K$1)*$D82),OFFSET(L$75,0,-$C82)*$D82)</f>
        <v>0</v>
      </c>
      <c r="M82" s="1026" t="n">
        <f aca="true">IF($C82&gt;=M$1,IF($C82&gt;12+L$1,0,OFFSET($Q$55,0,-$C82+L$1)*$D82),OFFSET(M$75,0,-$C82)*$D82)</f>
        <v>0</v>
      </c>
      <c r="N82" s="1026" t="n">
        <f aca="true">IF($C82&gt;=N$1,IF($C82&gt;12+M$1,0,OFFSET($Q$55,0,-$C82+M$1)*$D82),OFFSET(N$75,0,-$C82)*$D82)</f>
        <v>0</v>
      </c>
      <c r="O82" s="1026" t="n">
        <f aca="true">IF($C82&gt;=O$1,IF($C82&gt;12+N$1,0,OFFSET($Q$55,0,-$C82+N$1)*$D82),OFFSET(O$75,0,-$C82)*$D82)</f>
        <v>0</v>
      </c>
      <c r="P82" s="1026" t="n">
        <f aca="true">IF($C82&gt;=P$1,IF($C82&gt;12+O$1,0,OFFSET($Q$55,0,-$C82+O$1)*$D82),OFFSET(P$75,0,-$C82)*$D82)</f>
        <v>0</v>
      </c>
      <c r="Q82" s="976" t="n">
        <f aca="false">SUM(E82:P82)</f>
        <v>0</v>
      </c>
      <c r="R82" s="549"/>
    </row>
    <row r="83" customFormat="false" ht="12.75" hidden="false" customHeight="false" outlineLevel="0" collapsed="false">
      <c r="B83" s="0" t="s">
        <v>743</v>
      </c>
      <c r="C83" s="451" t="n">
        <f aca="false">C63</f>
        <v>0</v>
      </c>
      <c r="D83" s="1330" t="n">
        <f aca="false">D63</f>
        <v>0</v>
      </c>
      <c r="E83" s="1026" t="n">
        <f aca="true">IF($C83&gt;=E$1,IF($C83&gt;12+D$1,0,OFFSET($Q$55,0,-$C83+D$1)*$D83),OFFSET(E$75,0,-$C83)*$D83)</f>
        <v>0</v>
      </c>
      <c r="F83" s="1026" t="n">
        <f aca="true">IF($C83&gt;=F$1,IF($C83&gt;12+E$1,0,OFFSET($Q$55,0,-$C83+E$1)*$D83),OFFSET(F$75,0,-$C83)*$D83)</f>
        <v>0</v>
      </c>
      <c r="G83" s="1026" t="n">
        <f aca="true">IF($C83&gt;=G$1,IF($C83&gt;12+F$1,0,OFFSET($Q$55,0,-$C83+F$1)*$D83),OFFSET(G$75,0,-$C83)*$D83)</f>
        <v>0</v>
      </c>
      <c r="H83" s="1026" t="n">
        <f aca="true">IF($C83&gt;=H$1,IF($C83&gt;12+G$1,0,OFFSET($Q$55,0,-$C83+G$1)*$D83),OFFSET(H$75,0,-$C83)*$D83)</f>
        <v>0</v>
      </c>
      <c r="I83" s="1026" t="n">
        <f aca="true">IF($C83&gt;=I$1,IF($C83&gt;12+H$1,0,OFFSET($Q$55,0,-$C83+H$1)*$D83),OFFSET(I$75,0,-$C83)*$D83)</f>
        <v>0</v>
      </c>
      <c r="J83" s="1026" t="n">
        <f aca="true">IF($C83&gt;=J$1,IF($C83&gt;12+I$1,0,OFFSET($Q$55,0,-$C83+I$1)*$D83),OFFSET(J$75,0,-$C83)*$D83)</f>
        <v>0</v>
      </c>
      <c r="K83" s="1026" t="n">
        <f aca="true">IF($C83&gt;=K$1,IF($C83&gt;12+J$1,0,OFFSET($Q$55,0,-$C83+J$1)*$D83),OFFSET(K$75,0,-$C83)*$D83)</f>
        <v>0</v>
      </c>
      <c r="L83" s="1026" t="n">
        <f aca="true">IF($C83&gt;=L$1,IF($C83&gt;12+K$1,0,OFFSET($Q$55,0,-$C83+K$1)*$D83),OFFSET(L$75,0,-$C83)*$D83)</f>
        <v>0</v>
      </c>
      <c r="M83" s="1026" t="n">
        <f aca="true">IF($C83&gt;=M$1,IF($C83&gt;12+L$1,0,OFFSET($Q$55,0,-$C83+L$1)*$D83),OFFSET(M$75,0,-$C83)*$D83)</f>
        <v>0</v>
      </c>
      <c r="N83" s="1026" t="n">
        <f aca="true">IF($C83&gt;=N$1,IF($C83&gt;12+M$1,0,OFFSET($Q$55,0,-$C83+M$1)*$D83),OFFSET(N$75,0,-$C83)*$D83)</f>
        <v>0</v>
      </c>
      <c r="O83" s="1026" t="n">
        <f aca="true">IF($C83&gt;=O$1,IF($C83&gt;12+N$1,0,OFFSET($Q$55,0,-$C83+N$1)*$D83),OFFSET(O$75,0,-$C83)*$D83)</f>
        <v>0</v>
      </c>
      <c r="P83" s="1026" t="n">
        <f aca="true">IF($C83&gt;=P$1,IF($C83&gt;12+O$1,0,OFFSET($Q$55,0,-$C83+O$1)*$D83),OFFSET(P$75,0,-$C83)*$D83)</f>
        <v>0</v>
      </c>
      <c r="Q83" s="976" t="n">
        <f aca="false">SUM(E83:P83)</f>
        <v>0</v>
      </c>
      <c r="R83" s="549"/>
    </row>
    <row r="84" customFormat="false" ht="13.5" hidden="false" customHeight="false" outlineLevel="0" collapsed="false">
      <c r="B84" s="0" t="s">
        <v>743</v>
      </c>
      <c r="C84" s="451" t="n">
        <f aca="false">C64</f>
        <v>0</v>
      </c>
      <c r="D84" s="1330" t="n">
        <f aca="false">D64</f>
        <v>0</v>
      </c>
      <c r="E84" s="1026" t="n">
        <f aca="true">IF($C84&gt;=E$1,IF($C84&gt;12+D$1,0,OFFSET($Q$55,0,-$C84+D$1)*$D84),OFFSET(E$75,0,-$C84)*$D84)</f>
        <v>0</v>
      </c>
      <c r="F84" s="1026" t="n">
        <f aca="true">IF($C84&gt;=F$1,IF($C84&gt;12+E$1,0,OFFSET($Q$55,0,-$C84+E$1)*$D84),OFFSET(F$75,0,-$C84)*$D84)</f>
        <v>0</v>
      </c>
      <c r="G84" s="1026" t="n">
        <f aca="true">IF($C84&gt;=G$1,IF($C84&gt;12+F$1,0,OFFSET($Q$55,0,-$C84+F$1)*$D84),OFFSET(G$75,0,-$C84)*$D84)</f>
        <v>0</v>
      </c>
      <c r="H84" s="1026" t="n">
        <f aca="true">IF($C84&gt;=H$1,IF($C84&gt;12+G$1,0,OFFSET($Q$55,0,-$C84+G$1)*$D84),OFFSET(H$75,0,-$C84)*$D84)</f>
        <v>0</v>
      </c>
      <c r="I84" s="1026" t="n">
        <f aca="true">IF($C84&gt;=I$1,IF($C84&gt;12+H$1,0,OFFSET($Q$55,0,-$C84+H$1)*$D84),OFFSET(I$75,0,-$C84)*$D84)</f>
        <v>0</v>
      </c>
      <c r="J84" s="1026" t="n">
        <f aca="true">IF($C84&gt;=J$1,IF($C84&gt;12+I$1,0,OFFSET($Q$55,0,-$C84+I$1)*$D84),OFFSET(J$75,0,-$C84)*$D84)</f>
        <v>0</v>
      </c>
      <c r="K84" s="1026" t="n">
        <f aca="true">IF($C84&gt;=K$1,IF($C84&gt;12+J$1,0,OFFSET($Q$55,0,-$C84+J$1)*$D84),OFFSET(K$75,0,-$C84)*$D84)</f>
        <v>0</v>
      </c>
      <c r="L84" s="1026" t="n">
        <f aca="true">IF($C84&gt;=L$1,IF($C84&gt;12+K$1,0,OFFSET($Q$55,0,-$C84+K$1)*$D84),OFFSET(L$75,0,-$C84)*$D84)</f>
        <v>0</v>
      </c>
      <c r="M84" s="1026" t="n">
        <f aca="true">IF($C84&gt;=M$1,IF($C84&gt;12+L$1,0,OFFSET($Q$55,0,-$C84+L$1)*$D84),OFFSET(M$75,0,-$C84)*$D84)</f>
        <v>0</v>
      </c>
      <c r="N84" s="1026" t="n">
        <f aca="true">IF($C84&gt;=N$1,IF($C84&gt;12+M$1,0,OFFSET($Q$55,0,-$C84+M$1)*$D84),OFFSET(N$75,0,-$C84)*$D84)</f>
        <v>0</v>
      </c>
      <c r="O84" s="1026" t="n">
        <f aca="true">IF($C84&gt;=O$1,IF($C84&gt;12+N$1,0,OFFSET($Q$55,0,-$C84+N$1)*$D84),OFFSET(O$75,0,-$C84)*$D84)</f>
        <v>0</v>
      </c>
      <c r="P84" s="1026" t="n">
        <f aca="true">IF($C84&gt;=P$1,IF($C84&gt;12+O$1,0,OFFSET($Q$55,0,-$C84+O$1)*$D84),OFFSET(P$75,0,-$C84)*$D84)</f>
        <v>0</v>
      </c>
      <c r="Q84" s="1333" t="n">
        <f aca="false">SUM(E84:P84)</f>
        <v>0</v>
      </c>
      <c r="R84" s="549"/>
    </row>
    <row r="85" customFormat="false" ht="15" hidden="false" customHeight="false" outlineLevel="0" collapsed="false">
      <c r="B85" s="1317" t="str">
        <f aca="false">B65</f>
        <v>Total cobrado:</v>
      </c>
      <c r="C85" s="1318"/>
      <c r="D85" s="1334"/>
      <c r="E85" s="366" t="n">
        <f aca="false">SUM(E77:E84)</f>
        <v>26336.2</v>
      </c>
      <c r="F85" s="366" t="n">
        <f aca="false">SUM(F77:F84)</f>
        <v>26336.2</v>
      </c>
      <c r="G85" s="366" t="n">
        <f aca="false">SUM(G77:G84)</f>
        <v>26336.2</v>
      </c>
      <c r="H85" s="366" t="n">
        <f aca="false">SUM(H77:H84)</f>
        <v>26336.2</v>
      </c>
      <c r="I85" s="366" t="n">
        <f aca="false">SUM(I77:I84)</f>
        <v>26336.2</v>
      </c>
      <c r="J85" s="366" t="n">
        <f aca="false">SUM(J77:J84)</f>
        <v>26336.2</v>
      </c>
      <c r="K85" s="366" t="n">
        <f aca="false">SUM(K77:K84)</f>
        <v>26336.2</v>
      </c>
      <c r="L85" s="366" t="n">
        <f aca="false">SUM(L77:L84)</f>
        <v>26336.2</v>
      </c>
      <c r="M85" s="366" t="n">
        <f aca="false">SUM(M77:M84)</f>
        <v>26336.2</v>
      </c>
      <c r="N85" s="366" t="n">
        <f aca="false">SUM(N77:N84)</f>
        <v>26336.2</v>
      </c>
      <c r="O85" s="366" t="n">
        <f aca="false">SUM(O77:O84)</f>
        <v>26336.2</v>
      </c>
      <c r="P85" s="366" t="n">
        <f aca="false">SUM(P77:P84)</f>
        <v>26336.2</v>
      </c>
      <c r="Q85" s="417" t="n">
        <f aca="false">SUM(Q77:Q84)</f>
        <v>316034.4</v>
      </c>
    </row>
    <row r="86" customFormat="false" ht="6.75" hidden="false" customHeight="true" outlineLevel="0" collapsed="false">
      <c r="B86" s="70"/>
      <c r="C86" s="70"/>
      <c r="D86" s="1330"/>
      <c r="E86" s="223"/>
      <c r="F86" s="223"/>
      <c r="G86" s="223"/>
      <c r="H86" s="223"/>
      <c r="I86" s="223"/>
      <c r="J86" s="223"/>
      <c r="K86" s="223"/>
      <c r="L86" s="223"/>
      <c r="M86" s="223"/>
      <c r="N86" s="223"/>
      <c r="O86" s="223"/>
      <c r="P86" s="223"/>
    </row>
    <row r="87" customFormat="false" ht="15" hidden="false" customHeight="false" outlineLevel="0" collapsed="false">
      <c r="B87" s="1317" t="s">
        <v>753</v>
      </c>
      <c r="C87" s="1318"/>
      <c r="D87" s="1318"/>
      <c r="E87" s="366" t="n">
        <f aca="false">P67+E75-E85</f>
        <v>0</v>
      </c>
      <c r="F87" s="366" t="n">
        <f aca="false">E87+F75-F85</f>
        <v>0</v>
      </c>
      <c r="G87" s="366" t="n">
        <f aca="false">F87+G75-G85</f>
        <v>0</v>
      </c>
      <c r="H87" s="366" t="n">
        <f aca="false">G87+H75-H85</f>
        <v>0</v>
      </c>
      <c r="I87" s="366" t="n">
        <f aca="false">H87+I75-I85</f>
        <v>0</v>
      </c>
      <c r="J87" s="366" t="n">
        <f aca="false">I87+J75-J85</f>
        <v>0</v>
      </c>
      <c r="K87" s="366" t="n">
        <f aca="false">J87+K75-K85</f>
        <v>0</v>
      </c>
      <c r="L87" s="366" t="n">
        <f aca="false">K87+L75-L85</f>
        <v>0</v>
      </c>
      <c r="M87" s="366" t="n">
        <f aca="false">L87+M75-M85</f>
        <v>0</v>
      </c>
      <c r="N87" s="366" t="n">
        <f aca="false">M87+N75-N85</f>
        <v>0</v>
      </c>
      <c r="O87" s="366" t="n">
        <f aca="false">N87+O75-O85</f>
        <v>0</v>
      </c>
      <c r="P87" s="417" t="n">
        <f aca="false">O87+P75-P85</f>
        <v>0</v>
      </c>
      <c r="Q87" s="93"/>
    </row>
    <row r="88" customFormat="false" ht="12.75" hidden="false" customHeight="false" outlineLevel="0" collapsed="false">
      <c r="E88" s="93"/>
      <c r="F88" s="93"/>
      <c r="G88" s="93"/>
      <c r="H88" s="93"/>
      <c r="I88" s="93"/>
      <c r="J88" s="93"/>
      <c r="K88" s="93"/>
      <c r="L88" s="93"/>
      <c r="M88" s="93"/>
    </row>
    <row r="89" customFormat="false" ht="12.75" hidden="false" customHeight="false" outlineLevel="0" collapsed="false">
      <c r="E89" s="93"/>
      <c r="F89" s="93"/>
      <c r="G89" s="93"/>
      <c r="H89" s="93"/>
      <c r="I89" s="93"/>
      <c r="J89" s="93"/>
      <c r="K89" s="93"/>
      <c r="L89" s="93"/>
      <c r="M89" s="93"/>
    </row>
    <row r="90" customFormat="false" ht="14.25" hidden="false" customHeight="false" outlineLevel="0" collapsed="false">
      <c r="B90" s="51" t="s">
        <v>739</v>
      </c>
      <c r="C90" s="51"/>
      <c r="E90" s="1335" t="s">
        <v>476</v>
      </c>
      <c r="F90" s="93"/>
      <c r="G90" s="93"/>
      <c r="H90" s="93"/>
      <c r="I90" s="93"/>
      <c r="J90" s="93"/>
      <c r="K90" s="93"/>
      <c r="L90" s="93"/>
      <c r="M90" s="93"/>
      <c r="N90" s="93"/>
      <c r="O90" s="93"/>
      <c r="P90" s="93"/>
      <c r="Q90" s="93"/>
    </row>
    <row r="91" customFormat="false" ht="7.5" hidden="false" customHeight="true" outlineLevel="0" collapsed="false">
      <c r="E91" s="93"/>
      <c r="F91" s="93"/>
      <c r="G91" s="93"/>
      <c r="H91" s="93"/>
      <c r="I91" s="93"/>
      <c r="J91" s="93"/>
      <c r="K91" s="93"/>
      <c r="L91" s="93"/>
      <c r="M91" s="93"/>
    </row>
    <row r="92" customFormat="false" ht="14.25" hidden="false" customHeight="false" outlineLevel="0" collapsed="false">
      <c r="B92" s="451"/>
      <c r="C92" s="451"/>
      <c r="D92" s="336"/>
      <c r="E92" s="1328" t="s">
        <v>303</v>
      </c>
      <c r="F92" s="1328" t="s">
        <v>304</v>
      </c>
      <c r="G92" s="1328" t="s">
        <v>305</v>
      </c>
      <c r="H92" s="1328" t="s">
        <v>127</v>
      </c>
      <c r="I92" s="1328" t="s">
        <v>128</v>
      </c>
      <c r="J92" s="1328" t="s">
        <v>129</v>
      </c>
      <c r="K92" s="1328" t="s">
        <v>130</v>
      </c>
      <c r="L92" s="1328" t="s">
        <v>306</v>
      </c>
      <c r="M92" s="1328" t="s">
        <v>307</v>
      </c>
      <c r="N92" s="1328" t="s">
        <v>308</v>
      </c>
      <c r="O92" s="1328" t="s">
        <v>309</v>
      </c>
      <c r="P92" s="1328" t="s">
        <v>310</v>
      </c>
      <c r="Q92" s="1328" t="s">
        <v>750</v>
      </c>
    </row>
    <row r="93" customFormat="false" ht="15" hidden="false" customHeight="false" outlineLevel="0" collapsed="false">
      <c r="B93" s="1304" t="s">
        <v>751</v>
      </c>
      <c r="C93" s="1305"/>
      <c r="D93" s="1305"/>
      <c r="E93" s="1306" t="n">
        <f aca="false">'Presupuesto de ventas'!D112</f>
        <v>27409</v>
      </c>
      <c r="F93" s="1306" t="n">
        <f aca="false">'Presupuesto de ventas'!E112</f>
        <v>27409</v>
      </c>
      <c r="G93" s="1306" t="n">
        <f aca="false">'Presupuesto de ventas'!F112</f>
        <v>27409</v>
      </c>
      <c r="H93" s="1306" t="n">
        <f aca="false">'Presupuesto de ventas'!G112</f>
        <v>27409</v>
      </c>
      <c r="I93" s="1306" t="n">
        <f aca="false">'Presupuesto de ventas'!H112</f>
        <v>27409</v>
      </c>
      <c r="J93" s="1306" t="n">
        <f aca="false">'Presupuesto de ventas'!I112</f>
        <v>27409</v>
      </c>
      <c r="K93" s="1306" t="n">
        <f aca="false">'Presupuesto de ventas'!J112</f>
        <v>27409</v>
      </c>
      <c r="L93" s="1306" t="n">
        <f aca="false">'Presupuesto de ventas'!K112</f>
        <v>27409</v>
      </c>
      <c r="M93" s="1306" t="n">
        <f aca="false">'Presupuesto de ventas'!L112</f>
        <v>27409</v>
      </c>
      <c r="N93" s="1306" t="n">
        <f aca="false">'Presupuesto de ventas'!M112</f>
        <v>27409</v>
      </c>
      <c r="O93" s="1306" t="n">
        <f aca="false">'Presupuesto de ventas'!N112</f>
        <v>27409</v>
      </c>
      <c r="P93" s="1306" t="n">
        <f aca="false">'Presupuesto de ventas'!O112</f>
        <v>27409</v>
      </c>
      <c r="Q93" s="1307" t="n">
        <f aca="false">SUM(E93:P93)</f>
        <v>328908</v>
      </c>
      <c r="R93" s="93"/>
    </row>
    <row r="94" customFormat="false" ht="14.25" hidden="false" customHeight="false" outlineLevel="0" collapsed="false">
      <c r="B94" s="70" t="s">
        <v>715</v>
      </c>
      <c r="C94" s="70"/>
      <c r="D94" s="70"/>
      <c r="E94" s="223" t="n">
        <f aca="false">E93*'Datos generales'!$D$22</f>
        <v>2740.9</v>
      </c>
      <c r="F94" s="223" t="n">
        <f aca="false">F93*'Datos generales'!$D$22</f>
        <v>2740.9</v>
      </c>
      <c r="G94" s="223" t="n">
        <f aca="false">G93*'Datos generales'!$D$22</f>
        <v>2740.9</v>
      </c>
      <c r="H94" s="223" t="n">
        <f aca="false">H93*'Datos generales'!$D$22</f>
        <v>2740.9</v>
      </c>
      <c r="I94" s="223" t="n">
        <f aca="false">I93*'Datos generales'!$D$22</f>
        <v>2740.9</v>
      </c>
      <c r="J94" s="223" t="n">
        <f aca="false">J93*'Datos generales'!$D$22</f>
        <v>2740.9</v>
      </c>
      <c r="K94" s="223" t="n">
        <f aca="false">K93*'Datos generales'!$D$22</f>
        <v>2740.9</v>
      </c>
      <c r="L94" s="223" t="n">
        <f aca="false">L93*'Datos generales'!$D$22</f>
        <v>2740.9</v>
      </c>
      <c r="M94" s="223" t="n">
        <f aca="false">M93*'Datos generales'!$D$22</f>
        <v>2740.9</v>
      </c>
      <c r="N94" s="223" t="n">
        <f aca="false">N93*'Datos generales'!$D$22</f>
        <v>2740.9</v>
      </c>
      <c r="O94" s="223" t="n">
        <f aca="false">O93*'Datos generales'!$D$22</f>
        <v>2740.9</v>
      </c>
      <c r="P94" s="223" t="n">
        <f aca="false">P93*'Datos generales'!$D$22</f>
        <v>2740.9</v>
      </c>
      <c r="Q94" s="223" t="n">
        <f aca="false">SUM(E94:P94)</f>
        <v>32890.8</v>
      </c>
      <c r="R94" s="93"/>
    </row>
    <row r="95" customFormat="false" ht="14.25" hidden="false" customHeight="false" outlineLevel="0" collapsed="false">
      <c r="B95" s="70" t="s">
        <v>752</v>
      </c>
      <c r="C95" s="70"/>
      <c r="D95" s="70"/>
      <c r="E95" s="223" t="n">
        <f aca="false">SUM(E93:E94)</f>
        <v>30149.9</v>
      </c>
      <c r="F95" s="223" t="n">
        <f aca="false">SUM(F93:F94)</f>
        <v>30149.9</v>
      </c>
      <c r="G95" s="223" t="n">
        <f aca="false">SUM(G93:G94)</f>
        <v>30149.9</v>
      </c>
      <c r="H95" s="223" t="n">
        <f aca="false">SUM(H93:H94)</f>
        <v>30149.9</v>
      </c>
      <c r="I95" s="223" t="n">
        <f aca="false">SUM(I93:I94)</f>
        <v>30149.9</v>
      </c>
      <c r="J95" s="223" t="n">
        <f aca="false">SUM(J93:J94)</f>
        <v>30149.9</v>
      </c>
      <c r="K95" s="223" t="n">
        <f aca="false">SUM(K93:K94)</f>
        <v>30149.9</v>
      </c>
      <c r="L95" s="223" t="n">
        <f aca="false">SUM(L93:L94)</f>
        <v>30149.9</v>
      </c>
      <c r="M95" s="223" t="n">
        <f aca="false">SUM(M93:M94)</f>
        <v>30149.9</v>
      </c>
      <c r="N95" s="223" t="n">
        <f aca="false">SUM(N93:N94)</f>
        <v>30149.9</v>
      </c>
      <c r="O95" s="223" t="n">
        <f aca="false">SUM(O93:O94)</f>
        <v>30149.9</v>
      </c>
      <c r="P95" s="223" t="n">
        <f aca="false">SUM(P93:P94)</f>
        <v>30149.9</v>
      </c>
      <c r="Q95" s="223" t="n">
        <f aca="false">SUM(E95:P95)</f>
        <v>361798.8</v>
      </c>
      <c r="R95" s="93"/>
    </row>
    <row r="96" customFormat="false" ht="21.75" hidden="false" customHeight="true" outlineLevel="0" collapsed="false">
      <c r="B96" s="465" t="s">
        <v>164</v>
      </c>
      <c r="C96" s="465"/>
      <c r="D96" s="1329" t="s">
        <v>165</v>
      </c>
      <c r="E96" s="549"/>
      <c r="F96" s="549"/>
      <c r="G96" s="549"/>
      <c r="H96" s="549"/>
      <c r="I96" s="549"/>
      <c r="J96" s="549"/>
      <c r="K96" s="549"/>
      <c r="L96" s="549"/>
      <c r="M96" s="549"/>
      <c r="N96" s="549"/>
      <c r="O96" s="549"/>
      <c r="P96" s="549"/>
      <c r="Q96" s="93"/>
      <c r="R96" s="93"/>
    </row>
    <row r="97" customFormat="false" ht="12.75" hidden="false" customHeight="false" outlineLevel="0" collapsed="false">
      <c r="B97" s="451" t="str">
        <f aca="false">B77</f>
        <v>Contado</v>
      </c>
      <c r="C97" s="451"/>
      <c r="D97" s="1330" t="n">
        <f aca="false">D77</f>
        <v>1</v>
      </c>
      <c r="E97" s="1331" t="n">
        <f aca="false">+E95*$D$15</f>
        <v>30149.9</v>
      </c>
      <c r="F97" s="1331" t="n">
        <f aca="false">+F95*$D$15</f>
        <v>30149.9</v>
      </c>
      <c r="G97" s="1331" t="n">
        <f aca="false">+G95*$D$15</f>
        <v>30149.9</v>
      </c>
      <c r="H97" s="1331" t="n">
        <f aca="false">+H95*$D$15</f>
        <v>30149.9</v>
      </c>
      <c r="I97" s="1331" t="n">
        <f aca="false">+I95*$D$15</f>
        <v>30149.9</v>
      </c>
      <c r="J97" s="1331" t="n">
        <f aca="false">+J95*$D$15</f>
        <v>30149.9</v>
      </c>
      <c r="K97" s="1331" t="n">
        <f aca="false">+K95*$D$15</f>
        <v>30149.9</v>
      </c>
      <c r="L97" s="1331" t="n">
        <f aca="false">+L95*$D$15</f>
        <v>30149.9</v>
      </c>
      <c r="M97" s="1331" t="n">
        <f aca="false">+M95*$D$15</f>
        <v>30149.9</v>
      </c>
      <c r="N97" s="1331" t="n">
        <f aca="false">+N95*$D$15</f>
        <v>30149.9</v>
      </c>
      <c r="O97" s="1331" t="n">
        <f aca="false">+O95*$D$15</f>
        <v>30149.9</v>
      </c>
      <c r="P97" s="1331" t="n">
        <f aca="false">+P95*$D$15</f>
        <v>30149.9</v>
      </c>
      <c r="Q97" s="1332" t="n">
        <f aca="false">SUM(E97:P97)</f>
        <v>361798.8</v>
      </c>
      <c r="R97" s="549"/>
    </row>
    <row r="98" customFormat="false" ht="12.75" hidden="false" customHeight="false" outlineLevel="0" collapsed="false">
      <c r="B98" s="0" t="s">
        <v>743</v>
      </c>
      <c r="C98" s="451" t="n">
        <f aca="false">'Previsión de negocio'!D255</f>
        <v>1</v>
      </c>
      <c r="D98" s="1330" t="n">
        <f aca="false">D78</f>
        <v>0</v>
      </c>
      <c r="E98" s="1026" t="n">
        <f aca="true">IF($C98&gt;=E$1,IF($C98&gt;12+D$1,IF($C98&gt;24+D$1,0,OFFSET($Q$55,0,-$C98+12+D$1)*$D98),OFFSET($Q$75,0,-$C98+D$1)*$D98),OFFSET(E$95,0,-$C98)*$D98)</f>
        <v>0</v>
      </c>
      <c r="F98" s="1026" t="n">
        <f aca="true">IF($C98&gt;=F$1,IF($C98&gt;12+E$1,IF($C98&gt;24+E$1,0,OFFSET($Q$55,0,-$C98+12+E$1)*$D98),OFFSET($Q$75,0,-$C98+E$1)*$D98),OFFSET(F$95,0,-$C98)*$D98)</f>
        <v>0</v>
      </c>
      <c r="G98" s="1026" t="n">
        <f aca="true">IF($C98&gt;=G$1,IF($C98&gt;12+F$1,IF($C98&gt;24+F$1,0,OFFSET($Q$55,0,-$C98+12+F$1)*$D98),OFFSET($Q$75,0,-$C98+F$1)*$D98),OFFSET(G$95,0,-$C98)*$D98)</f>
        <v>0</v>
      </c>
      <c r="H98" s="1026" t="n">
        <f aca="true">IF($C98&gt;=H$1,IF($C98&gt;12+G$1,IF($C98&gt;24+G$1,0,OFFSET($Q$55,0,-$C98+12+G$1)*$D98),OFFSET($Q$75,0,-$C98+G$1)*$D98),OFFSET(H$95,0,-$C98)*$D98)</f>
        <v>0</v>
      </c>
      <c r="I98" s="1026" t="n">
        <f aca="true">IF($C98&gt;=I$1,IF($C98&gt;12+H$1,IF($C98&gt;24+H$1,0,OFFSET($Q$55,0,-$C98+12+H$1)*$D98),OFFSET($Q$75,0,-$C98+H$1)*$D98),OFFSET(I$95,0,-$C98)*$D98)</f>
        <v>0</v>
      </c>
      <c r="J98" s="1026" t="n">
        <f aca="true">IF($C98&gt;=J$1,IF($C98&gt;12+I$1,IF($C98&gt;24+I$1,0,OFFSET($Q$55,0,-$C98+12+I$1)*$D98),OFFSET($Q$75,0,-$C98+I$1)*$D98),OFFSET(J$95,0,-$C98)*$D98)</f>
        <v>0</v>
      </c>
      <c r="K98" s="1026" t="n">
        <f aca="true">IF($C98&gt;=K$1,IF($C98&gt;12+J$1,IF($C98&gt;24+J$1,0,OFFSET($Q$55,0,-$C98+12+J$1)*$D98),OFFSET($Q$75,0,-$C98+J$1)*$D98),OFFSET(K$95,0,-$C98)*$D98)</f>
        <v>0</v>
      </c>
      <c r="L98" s="1026" t="n">
        <f aca="true">IF($C98&gt;=L$1,IF($C98&gt;12+K$1,IF($C98&gt;24+K$1,0,OFFSET($Q$55,0,-$C98+12+K$1)*$D98),OFFSET($Q$75,0,-$C98+K$1)*$D98),OFFSET(L$95,0,-$C98)*$D98)</f>
        <v>0</v>
      </c>
      <c r="M98" s="1026" t="n">
        <f aca="true">IF($C98&gt;=M$1,IF($C98&gt;12+L$1,IF($C98&gt;24+L$1,0,OFFSET($Q$55,0,-$C98+12+L$1)*$D98),OFFSET($Q$75,0,-$C98+L$1)*$D98),OFFSET(M$95,0,-$C98)*$D98)</f>
        <v>0</v>
      </c>
      <c r="N98" s="1026" t="n">
        <f aca="true">IF($C98&gt;=N$1,IF($C98&gt;12+M$1,IF($C98&gt;24+M$1,0,OFFSET($Q$55,0,-$C98+12+M$1)*$D98),OFFSET($Q$75,0,-$C98+M$1)*$D98),OFFSET(N$95,0,-$C98)*$D98)</f>
        <v>0</v>
      </c>
      <c r="O98" s="1026" t="n">
        <f aca="true">IF($C98&gt;=O$1,IF($C98&gt;12+N$1,IF($C98&gt;24+N$1,0,OFFSET($Q$55,0,-$C98+12+N$1)*$D98),OFFSET($Q$75,0,-$C98+N$1)*$D98),OFFSET(O$95,0,-$C98)*$D98)</f>
        <v>0</v>
      </c>
      <c r="P98" s="1026" t="n">
        <f aca="true">IF($C98&gt;=P$1,IF($C98&gt;12+O$1,IF($C98&gt;24+O$1,0,OFFSET($Q$55,0,-$C98+12+O$1)*$D98),OFFSET($Q$75,0,-$C98+O$1)*$D98),OFFSET(P$95,0,-$C98)*$D98)</f>
        <v>0</v>
      </c>
      <c r="Q98" s="976" t="n">
        <f aca="false">SUM(E98:P98)</f>
        <v>0</v>
      </c>
      <c r="R98" s="549"/>
    </row>
    <row r="99" customFormat="false" ht="12.75" hidden="false" customHeight="false" outlineLevel="0" collapsed="false">
      <c r="B99" s="0" t="s">
        <v>743</v>
      </c>
      <c r="C99" s="451" t="n">
        <f aca="false">'Previsión de negocio'!D256</f>
        <v>2</v>
      </c>
      <c r="D99" s="1330" t="n">
        <f aca="false">D79</f>
        <v>0</v>
      </c>
      <c r="E99" s="1026" t="n">
        <f aca="true">IF($C99&gt;=E$1,IF($C99&gt;12+D$1,IF($C99&gt;24+D$1,0,OFFSET($Q$55,0,-$C99+12+D$1)*$D99),OFFSET($Q$75,0,-$C99+D$1)*$D99),OFFSET(E$95,0,-$C99)*$D99)</f>
        <v>0</v>
      </c>
      <c r="F99" s="1026" t="n">
        <f aca="true">IF($C99&gt;=F$1,IF($C99&gt;12+E$1,IF($C99&gt;24+E$1,0,OFFSET($Q$55,0,-$C99+12+E$1)*$D99),OFFSET($Q$75,0,-$C99+E$1)*$D99),OFFSET(F$95,0,-$C99)*$D99)</f>
        <v>0</v>
      </c>
      <c r="G99" s="1026" t="n">
        <f aca="true">IF($C99&gt;=G$1,IF($C99&gt;12+F$1,IF($C99&gt;24+F$1,0,OFFSET($Q$55,0,-$C99+12+F$1)*$D99),OFFSET($Q$75,0,-$C99+F$1)*$D99),OFFSET(G$95,0,-$C99)*$D99)</f>
        <v>0</v>
      </c>
      <c r="H99" s="1026" t="n">
        <f aca="true">IF($C99&gt;=H$1,IF($C99&gt;12+G$1,IF($C99&gt;24+G$1,0,OFFSET($Q$55,0,-$C99+12+G$1)*$D99),OFFSET($Q$75,0,-$C99+G$1)*$D99),OFFSET(H$95,0,-$C99)*$D99)</f>
        <v>0</v>
      </c>
      <c r="I99" s="1026" t="n">
        <f aca="true">IF($C99&gt;=I$1,IF($C99&gt;12+H$1,IF($C99&gt;24+H$1,0,OFFSET($Q$55,0,-$C99+12+H$1)*$D99),OFFSET($Q$75,0,-$C99+H$1)*$D99),OFFSET(I$95,0,-$C99)*$D99)</f>
        <v>0</v>
      </c>
      <c r="J99" s="1026" t="n">
        <f aca="true">IF($C99&gt;=J$1,IF($C99&gt;12+I$1,IF($C99&gt;24+I$1,0,OFFSET($Q$55,0,-$C99+12+I$1)*$D99),OFFSET($Q$75,0,-$C99+I$1)*$D99),OFFSET(J$95,0,-$C99)*$D99)</f>
        <v>0</v>
      </c>
      <c r="K99" s="1026" t="n">
        <f aca="true">IF($C99&gt;=K$1,IF($C99&gt;12+J$1,IF($C99&gt;24+J$1,0,OFFSET($Q$55,0,-$C99+12+J$1)*$D99),OFFSET($Q$75,0,-$C99+J$1)*$D99),OFFSET(K$95,0,-$C99)*$D99)</f>
        <v>0</v>
      </c>
      <c r="L99" s="1026" t="n">
        <f aca="true">IF($C99&gt;=L$1,IF($C99&gt;12+K$1,IF($C99&gt;24+K$1,0,OFFSET($Q$55,0,-$C99+12+K$1)*$D99),OFFSET($Q$75,0,-$C99+K$1)*$D99),OFFSET(L$95,0,-$C99)*$D99)</f>
        <v>0</v>
      </c>
      <c r="M99" s="1026" t="n">
        <f aca="true">IF($C99&gt;=M$1,IF($C99&gt;12+L$1,IF($C99&gt;24+L$1,0,OFFSET($Q$55,0,-$C99+12+L$1)*$D99),OFFSET($Q$75,0,-$C99+L$1)*$D99),OFFSET(M$95,0,-$C99)*$D99)</f>
        <v>0</v>
      </c>
      <c r="N99" s="1026" t="n">
        <f aca="true">IF($C99&gt;=N$1,IF($C99&gt;12+M$1,IF($C99&gt;24+M$1,0,OFFSET($Q$55,0,-$C99+12+M$1)*$D99),OFFSET($Q$75,0,-$C99+M$1)*$D99),OFFSET(N$95,0,-$C99)*$D99)</f>
        <v>0</v>
      </c>
      <c r="O99" s="1026" t="n">
        <f aca="true">IF($C99&gt;=O$1,IF($C99&gt;12+N$1,IF($C99&gt;24+N$1,0,OFFSET($Q$55,0,-$C99+12+N$1)*$D99),OFFSET($Q$75,0,-$C99+N$1)*$D99),OFFSET(O$95,0,-$C99)*$D99)</f>
        <v>0</v>
      </c>
      <c r="P99" s="1026" t="n">
        <f aca="true">IF($C99&gt;=P$1,IF($C99&gt;12+O$1,IF($C99&gt;24+O$1,0,OFFSET($Q$55,0,-$C99+12+O$1)*$D99),OFFSET($Q$75,0,-$C99+O$1)*$D99),OFFSET(P$95,0,-$C99)*$D99)</f>
        <v>0</v>
      </c>
      <c r="Q99" s="976" t="n">
        <f aca="false">SUM(E99:P99)</f>
        <v>0</v>
      </c>
      <c r="R99" s="549"/>
    </row>
    <row r="100" customFormat="false" ht="12.75" hidden="false" customHeight="false" outlineLevel="0" collapsed="false">
      <c r="B100" s="0" t="s">
        <v>743</v>
      </c>
      <c r="C100" s="451" t="n">
        <f aca="false">'Previsión de negocio'!D257</f>
        <v>3</v>
      </c>
      <c r="D100" s="1330" t="n">
        <f aca="false">D80</f>
        <v>0</v>
      </c>
      <c r="E100" s="1026" t="n">
        <f aca="true">IF($C100&gt;=E$1,IF($C100&gt;12+D$1,IF($C100&gt;24+D$1,0,OFFSET($Q$55,0,-$C100+12+D$1)*$D100),OFFSET($Q$75,0,-$C100+D$1)*$D100),OFFSET(E$95,0,-$C100)*$D100)</f>
        <v>0</v>
      </c>
      <c r="F100" s="1026" t="n">
        <f aca="true">IF($C100&gt;=F$1,IF($C100&gt;12+E$1,IF($C100&gt;24+E$1,0,OFFSET($Q$55,0,-$C100+12+E$1)*$D100),OFFSET($Q$75,0,-$C100+E$1)*$D100),OFFSET(F$95,0,-$C100)*$D100)</f>
        <v>0</v>
      </c>
      <c r="G100" s="1026" t="n">
        <f aca="true">IF($C100&gt;=G$1,IF($C100&gt;12+F$1,IF($C100&gt;24+F$1,0,OFFSET($Q$55,0,-$C100+12+F$1)*$D100),OFFSET($Q$75,0,-$C100+F$1)*$D100),OFFSET(G$95,0,-$C100)*$D100)</f>
        <v>0</v>
      </c>
      <c r="H100" s="1026" t="n">
        <f aca="true">IF($C100&gt;=H$1,IF($C100&gt;12+G$1,IF($C100&gt;24+G$1,0,OFFSET($Q$55,0,-$C100+12+G$1)*$D100),OFFSET($Q$75,0,-$C100+G$1)*$D100),OFFSET(H$95,0,-$C100)*$D100)</f>
        <v>0</v>
      </c>
      <c r="I100" s="1026" t="n">
        <f aca="true">IF($C100&gt;=I$1,IF($C100&gt;12+H$1,IF($C100&gt;24+H$1,0,OFFSET($Q$55,0,-$C100+12+H$1)*$D100),OFFSET($Q$75,0,-$C100+H$1)*$D100),OFFSET(I$95,0,-$C100)*$D100)</f>
        <v>0</v>
      </c>
      <c r="J100" s="1026" t="n">
        <f aca="true">IF($C100&gt;=J$1,IF($C100&gt;12+I$1,IF($C100&gt;24+I$1,0,OFFSET($Q$55,0,-$C100+12+I$1)*$D100),OFFSET($Q$75,0,-$C100+I$1)*$D100),OFFSET(J$95,0,-$C100)*$D100)</f>
        <v>0</v>
      </c>
      <c r="K100" s="1026" t="n">
        <f aca="true">IF($C100&gt;=K$1,IF($C100&gt;12+J$1,IF($C100&gt;24+J$1,0,OFFSET($Q$55,0,-$C100+12+J$1)*$D100),OFFSET($Q$75,0,-$C100+J$1)*$D100),OFFSET(K$95,0,-$C100)*$D100)</f>
        <v>0</v>
      </c>
      <c r="L100" s="1026" t="n">
        <f aca="true">IF($C100&gt;=L$1,IF($C100&gt;12+K$1,IF($C100&gt;24+K$1,0,OFFSET($Q$55,0,-$C100+12+K$1)*$D100),OFFSET($Q$75,0,-$C100+K$1)*$D100),OFFSET(L$95,0,-$C100)*$D100)</f>
        <v>0</v>
      </c>
      <c r="M100" s="1026" t="n">
        <f aca="true">IF($C100&gt;=M$1,IF($C100&gt;12+L$1,IF($C100&gt;24+L$1,0,OFFSET($Q$55,0,-$C100+12+L$1)*$D100),OFFSET($Q$75,0,-$C100+L$1)*$D100),OFFSET(M$95,0,-$C100)*$D100)</f>
        <v>0</v>
      </c>
      <c r="N100" s="1026" t="n">
        <f aca="true">IF($C100&gt;=N$1,IF($C100&gt;12+M$1,IF($C100&gt;24+M$1,0,OFFSET($Q$55,0,-$C100+12+M$1)*$D100),OFFSET($Q$75,0,-$C100+M$1)*$D100),OFFSET(N$95,0,-$C100)*$D100)</f>
        <v>0</v>
      </c>
      <c r="O100" s="1026" t="n">
        <f aca="true">IF($C100&gt;=O$1,IF($C100&gt;12+N$1,IF($C100&gt;24+N$1,0,OFFSET($Q$55,0,-$C100+12+N$1)*$D100),OFFSET($Q$75,0,-$C100+N$1)*$D100),OFFSET(O$95,0,-$C100)*$D100)</f>
        <v>0</v>
      </c>
      <c r="P100" s="1026" t="n">
        <f aca="true">IF($C100&gt;=P$1,IF($C100&gt;12+O$1,IF($C100&gt;24+O$1,0,OFFSET($Q$55,0,-$C100+12+O$1)*$D100),OFFSET($Q$75,0,-$C100+O$1)*$D100),OFFSET(P$95,0,-$C100)*$D100)</f>
        <v>0</v>
      </c>
      <c r="Q100" s="976" t="n">
        <f aca="false">SUM(E100:P100)</f>
        <v>0</v>
      </c>
      <c r="R100" s="549"/>
    </row>
    <row r="101" customFormat="false" ht="12.75" hidden="false" customHeight="false" outlineLevel="0" collapsed="false">
      <c r="B101" s="0" t="s">
        <v>743</v>
      </c>
      <c r="C101" s="451" t="n">
        <f aca="false">'Previsión de negocio'!D258</f>
        <v>0</v>
      </c>
      <c r="D101" s="1330" t="n">
        <f aca="false">D81</f>
        <v>0</v>
      </c>
      <c r="E101" s="1026" t="n">
        <f aca="true">IF($C101&gt;=E$1,IF($C101&gt;12+D$1,IF($C101&gt;24+D$1,0,OFFSET($Q$55,0,-$C101+12+D$1)*$D101),OFFSET($Q$75,0,-$C101+D$1)*$D101),OFFSET(E$95,0,-$C101)*$D101)</f>
        <v>0</v>
      </c>
      <c r="F101" s="1026" t="n">
        <f aca="true">IF($C101&gt;=F$1,IF($C101&gt;12+E$1,IF($C101&gt;24+E$1,0,OFFSET($Q$55,0,-$C101+12+E$1)*$D101),OFFSET($Q$75,0,-$C101+E$1)*$D101),OFFSET(F$95,0,-$C101)*$D101)</f>
        <v>0</v>
      </c>
      <c r="G101" s="1026" t="n">
        <f aca="true">IF($C101&gt;=G$1,IF($C101&gt;12+F$1,IF($C101&gt;24+F$1,0,OFFSET($Q$55,0,-$C101+12+F$1)*$D101),OFFSET($Q$75,0,-$C101+F$1)*$D101),OFFSET(G$95,0,-$C101)*$D101)</f>
        <v>0</v>
      </c>
      <c r="H101" s="1026" t="n">
        <f aca="true">IF($C101&gt;=H$1,IF($C101&gt;12+G$1,IF($C101&gt;24+G$1,0,OFFSET($Q$55,0,-$C101+12+G$1)*$D101),OFFSET($Q$75,0,-$C101+G$1)*$D101),OFFSET(H$95,0,-$C101)*$D101)</f>
        <v>0</v>
      </c>
      <c r="I101" s="1026" t="n">
        <f aca="true">IF($C101&gt;=I$1,IF($C101&gt;12+H$1,IF($C101&gt;24+H$1,0,OFFSET($Q$55,0,-$C101+12+H$1)*$D101),OFFSET($Q$75,0,-$C101+H$1)*$D101),OFFSET(I$95,0,-$C101)*$D101)</f>
        <v>0</v>
      </c>
      <c r="J101" s="1026" t="n">
        <f aca="true">IF($C101&gt;=J$1,IF($C101&gt;12+I$1,IF($C101&gt;24+I$1,0,OFFSET($Q$55,0,-$C101+12+I$1)*$D101),OFFSET($Q$75,0,-$C101+I$1)*$D101),OFFSET(J$95,0,-$C101)*$D101)</f>
        <v>0</v>
      </c>
      <c r="K101" s="1026" t="n">
        <f aca="true">IF($C101&gt;=K$1,IF($C101&gt;12+J$1,IF($C101&gt;24+J$1,0,OFFSET($Q$55,0,-$C101+12+J$1)*$D101),OFFSET($Q$75,0,-$C101+J$1)*$D101),OFFSET(K$95,0,-$C101)*$D101)</f>
        <v>0</v>
      </c>
      <c r="L101" s="1026" t="n">
        <f aca="true">IF($C101&gt;=L$1,IF($C101&gt;12+K$1,IF($C101&gt;24+K$1,0,OFFSET($Q$55,0,-$C101+12+K$1)*$D101),OFFSET($Q$75,0,-$C101+K$1)*$D101),OFFSET(L$95,0,-$C101)*$D101)</f>
        <v>0</v>
      </c>
      <c r="M101" s="1026" t="n">
        <f aca="true">IF($C101&gt;=M$1,IF($C101&gt;12+L$1,IF($C101&gt;24+L$1,0,OFFSET($Q$55,0,-$C101+12+L$1)*$D101),OFFSET($Q$75,0,-$C101+L$1)*$D101),OFFSET(M$95,0,-$C101)*$D101)</f>
        <v>0</v>
      </c>
      <c r="N101" s="1026" t="n">
        <f aca="true">IF($C101&gt;=N$1,IF($C101&gt;12+M$1,IF($C101&gt;24+M$1,0,OFFSET($Q$55,0,-$C101+12+M$1)*$D101),OFFSET($Q$75,0,-$C101+M$1)*$D101),OFFSET(N$95,0,-$C101)*$D101)</f>
        <v>0</v>
      </c>
      <c r="O101" s="1026" t="n">
        <f aca="true">IF($C101&gt;=O$1,IF($C101&gt;12+N$1,IF($C101&gt;24+N$1,0,OFFSET($Q$55,0,-$C101+12+N$1)*$D101),OFFSET($Q$75,0,-$C101+N$1)*$D101),OFFSET(O$95,0,-$C101)*$D101)</f>
        <v>0</v>
      </c>
      <c r="P101" s="1026" t="n">
        <f aca="true">IF($C101&gt;=P$1,IF($C101&gt;12+O$1,IF($C101&gt;24+O$1,0,OFFSET($Q$55,0,-$C101+12+O$1)*$D101),OFFSET($Q$75,0,-$C101+O$1)*$D101),OFFSET(P$95,0,-$C101)*$D101)</f>
        <v>0</v>
      </c>
      <c r="Q101" s="976" t="n">
        <f aca="false">SUM(E101:P101)</f>
        <v>0</v>
      </c>
      <c r="R101" s="549"/>
    </row>
    <row r="102" customFormat="false" ht="12.75" hidden="false" customHeight="false" outlineLevel="0" collapsed="false">
      <c r="B102" s="0" t="s">
        <v>743</v>
      </c>
      <c r="C102" s="451" t="n">
        <f aca="false">'Previsión de negocio'!D259</f>
        <v>0</v>
      </c>
      <c r="D102" s="1330" t="n">
        <f aca="false">D82</f>
        <v>0</v>
      </c>
      <c r="E102" s="1026" t="n">
        <f aca="true">IF($C102&gt;=E$1,IF($C102&gt;12+D$1,IF($C102&gt;24+D$1,0,OFFSET($Q$55,0,-$C102+12+D$1)*$D102),OFFSET($Q$75,0,-$C102+D$1)*$D102),OFFSET(E$95,0,-$C102)*$D102)</f>
        <v>0</v>
      </c>
      <c r="F102" s="1026" t="n">
        <f aca="true">IF($C102&gt;=F$1,IF($C102&gt;12+E$1,IF($C102&gt;24+E$1,0,OFFSET($Q$55,0,-$C102+12+E$1)*$D102),OFFSET($Q$75,0,-$C102+E$1)*$D102),OFFSET(F$95,0,-$C102)*$D102)</f>
        <v>0</v>
      </c>
      <c r="G102" s="1026" t="n">
        <f aca="true">IF($C102&gt;=G$1,IF($C102&gt;12+F$1,IF($C102&gt;24+F$1,0,OFFSET($Q$55,0,-$C102+12+F$1)*$D102),OFFSET($Q$75,0,-$C102+F$1)*$D102),OFFSET(G$95,0,-$C102)*$D102)</f>
        <v>0</v>
      </c>
      <c r="H102" s="1026" t="n">
        <f aca="true">IF($C102&gt;=H$1,IF($C102&gt;12+G$1,IF($C102&gt;24+G$1,0,OFFSET($Q$55,0,-$C102+12+G$1)*$D102),OFFSET($Q$75,0,-$C102+G$1)*$D102),OFFSET(H$95,0,-$C102)*$D102)</f>
        <v>0</v>
      </c>
      <c r="I102" s="1026" t="n">
        <f aca="true">IF($C102&gt;=I$1,IF($C102&gt;12+H$1,IF($C102&gt;24+H$1,0,OFFSET($Q$55,0,-$C102+12+H$1)*$D102),OFFSET($Q$75,0,-$C102+H$1)*$D102),OFFSET(I$95,0,-$C102)*$D102)</f>
        <v>0</v>
      </c>
      <c r="J102" s="1026" t="n">
        <f aca="true">IF($C102&gt;=J$1,IF($C102&gt;12+I$1,IF($C102&gt;24+I$1,0,OFFSET($Q$55,0,-$C102+12+I$1)*$D102),OFFSET($Q$75,0,-$C102+I$1)*$D102),OFFSET(J$95,0,-$C102)*$D102)</f>
        <v>0</v>
      </c>
      <c r="K102" s="1026" t="n">
        <f aca="true">IF($C102&gt;=K$1,IF($C102&gt;12+J$1,IF($C102&gt;24+J$1,0,OFFSET($Q$55,0,-$C102+12+J$1)*$D102),OFFSET($Q$75,0,-$C102+J$1)*$D102),OFFSET(K$95,0,-$C102)*$D102)</f>
        <v>0</v>
      </c>
      <c r="L102" s="1026" t="n">
        <f aca="true">IF($C102&gt;=L$1,IF($C102&gt;12+K$1,IF($C102&gt;24+K$1,0,OFFSET($Q$55,0,-$C102+12+K$1)*$D102),OFFSET($Q$75,0,-$C102+K$1)*$D102),OFFSET(L$95,0,-$C102)*$D102)</f>
        <v>0</v>
      </c>
      <c r="M102" s="1026" t="n">
        <f aca="true">IF($C102&gt;=M$1,IF($C102&gt;12+L$1,IF($C102&gt;24+L$1,0,OFFSET($Q$55,0,-$C102+12+L$1)*$D102),OFFSET($Q$75,0,-$C102+L$1)*$D102),OFFSET(M$95,0,-$C102)*$D102)</f>
        <v>0</v>
      </c>
      <c r="N102" s="1026" t="n">
        <f aca="true">IF($C102&gt;=N$1,IF($C102&gt;12+M$1,IF($C102&gt;24+M$1,0,OFFSET($Q$55,0,-$C102+12+M$1)*$D102),OFFSET($Q$75,0,-$C102+M$1)*$D102),OFFSET(N$95,0,-$C102)*$D102)</f>
        <v>0</v>
      </c>
      <c r="O102" s="1026" t="n">
        <f aca="true">IF($C102&gt;=O$1,IF($C102&gt;12+N$1,IF($C102&gt;24+N$1,0,OFFSET($Q$55,0,-$C102+12+N$1)*$D102),OFFSET($Q$75,0,-$C102+N$1)*$D102),OFFSET(O$95,0,-$C102)*$D102)</f>
        <v>0</v>
      </c>
      <c r="P102" s="1026" t="n">
        <f aca="true">IF($C102&gt;=P$1,IF($C102&gt;12+O$1,IF($C102&gt;24+O$1,0,OFFSET($Q$55,0,-$C102+12+O$1)*$D102),OFFSET($Q$75,0,-$C102+O$1)*$D102),OFFSET(P$95,0,-$C102)*$D102)</f>
        <v>0</v>
      </c>
      <c r="Q102" s="976" t="n">
        <f aca="false">SUM(E102:P102)</f>
        <v>0</v>
      </c>
      <c r="R102" s="549"/>
    </row>
    <row r="103" customFormat="false" ht="12.75" hidden="false" customHeight="false" outlineLevel="0" collapsed="false">
      <c r="B103" s="0" t="s">
        <v>743</v>
      </c>
      <c r="C103" s="451" t="n">
        <f aca="false">'Previsión de negocio'!D260</f>
        <v>0</v>
      </c>
      <c r="D103" s="1330" t="n">
        <f aca="false">D83</f>
        <v>0</v>
      </c>
      <c r="E103" s="1026" t="n">
        <f aca="true">IF($C103&gt;=E$1,IF($C103&gt;12+D$1,IF($C103&gt;24+D$1,0,OFFSET($Q$55,0,-$C103+12+D$1)*$D103),OFFSET($Q$75,0,-$C103+D$1)*$D103),OFFSET(E$95,0,-$C103)*$D103)</f>
        <v>0</v>
      </c>
      <c r="F103" s="1026" t="n">
        <f aca="true">IF($C103&gt;=F$1,IF($C103&gt;12+E$1,IF($C103&gt;24+E$1,0,OFFSET($Q$55,0,-$C103+12+E$1)*$D103),OFFSET($Q$75,0,-$C103+E$1)*$D103),OFFSET(F$95,0,-$C103)*$D103)</f>
        <v>0</v>
      </c>
      <c r="G103" s="1026" t="n">
        <f aca="true">IF($C103&gt;=G$1,IF($C103&gt;12+F$1,IF($C103&gt;24+F$1,0,OFFSET($Q$55,0,-$C103+12+F$1)*$D103),OFFSET($Q$75,0,-$C103+F$1)*$D103),OFFSET(G$95,0,-$C103)*$D103)</f>
        <v>0</v>
      </c>
      <c r="H103" s="1026" t="n">
        <f aca="true">IF($C103&gt;=H$1,IF($C103&gt;12+G$1,IF($C103&gt;24+G$1,0,OFFSET($Q$55,0,-$C103+12+G$1)*$D103),OFFSET($Q$75,0,-$C103+G$1)*$D103),OFFSET(H$95,0,-$C103)*$D103)</f>
        <v>0</v>
      </c>
      <c r="I103" s="1026" t="n">
        <f aca="true">IF($C103&gt;=I$1,IF($C103&gt;12+H$1,IF($C103&gt;24+H$1,0,OFFSET($Q$55,0,-$C103+12+H$1)*$D103),OFFSET($Q$75,0,-$C103+H$1)*$D103),OFFSET(I$95,0,-$C103)*$D103)</f>
        <v>0</v>
      </c>
      <c r="J103" s="1026" t="n">
        <f aca="true">IF($C103&gt;=J$1,IF($C103&gt;12+I$1,IF($C103&gt;24+I$1,0,OFFSET($Q$55,0,-$C103+12+I$1)*$D103),OFFSET($Q$75,0,-$C103+I$1)*$D103),OFFSET(J$95,0,-$C103)*$D103)</f>
        <v>0</v>
      </c>
      <c r="K103" s="1026" t="n">
        <f aca="true">IF($C103&gt;=K$1,IF($C103&gt;12+J$1,IF($C103&gt;24+J$1,0,OFFSET($Q$55,0,-$C103+12+J$1)*$D103),OFFSET($Q$75,0,-$C103+J$1)*$D103),OFFSET(K$95,0,-$C103)*$D103)</f>
        <v>0</v>
      </c>
      <c r="L103" s="1026" t="n">
        <f aca="true">IF($C103&gt;=L$1,IF($C103&gt;12+K$1,IF($C103&gt;24+K$1,0,OFFSET($Q$55,0,-$C103+12+K$1)*$D103),OFFSET($Q$75,0,-$C103+K$1)*$D103),OFFSET(L$95,0,-$C103)*$D103)</f>
        <v>0</v>
      </c>
      <c r="M103" s="1026" t="n">
        <f aca="true">IF($C103&gt;=M$1,IF($C103&gt;12+L$1,IF($C103&gt;24+L$1,0,OFFSET($Q$55,0,-$C103+12+L$1)*$D103),OFFSET($Q$75,0,-$C103+L$1)*$D103),OFFSET(M$95,0,-$C103)*$D103)</f>
        <v>0</v>
      </c>
      <c r="N103" s="1026" t="n">
        <f aca="true">IF($C103&gt;=N$1,IF($C103&gt;12+M$1,IF($C103&gt;24+M$1,0,OFFSET($Q$55,0,-$C103+12+M$1)*$D103),OFFSET($Q$75,0,-$C103+M$1)*$D103),OFFSET(N$95,0,-$C103)*$D103)</f>
        <v>0</v>
      </c>
      <c r="O103" s="1026" t="n">
        <f aca="true">IF($C103&gt;=O$1,IF($C103&gt;12+N$1,IF($C103&gt;24+N$1,0,OFFSET($Q$55,0,-$C103+12+N$1)*$D103),OFFSET($Q$75,0,-$C103+N$1)*$D103),OFFSET(O$95,0,-$C103)*$D103)</f>
        <v>0</v>
      </c>
      <c r="P103" s="1026" t="n">
        <f aca="true">IF($C103&gt;=P$1,IF($C103&gt;12+O$1,IF($C103&gt;24+O$1,0,OFFSET($Q$55,0,-$C103+12+O$1)*$D103),OFFSET($Q$75,0,-$C103+O$1)*$D103),OFFSET(P$95,0,-$C103)*$D103)</f>
        <v>0</v>
      </c>
      <c r="Q103" s="976" t="n">
        <f aca="false">SUM(E103:P103)</f>
        <v>0</v>
      </c>
      <c r="R103" s="549"/>
    </row>
    <row r="104" customFormat="false" ht="13.5" hidden="false" customHeight="false" outlineLevel="0" collapsed="false">
      <c r="B104" s="0" t="s">
        <v>743</v>
      </c>
      <c r="C104" s="451" t="n">
        <f aca="false">'Previsión de negocio'!D261</f>
        <v>0</v>
      </c>
      <c r="D104" s="1330" t="n">
        <f aca="false">D84</f>
        <v>0</v>
      </c>
      <c r="E104" s="1026" t="n">
        <f aca="true">IF($C104&gt;=E$1,IF($C104&gt;12+D$1,IF($C104&gt;24+D$1,0,OFFSET($Q$55,0,-$C104+12+D$1)*$D104),OFFSET($Q$75,0,-$C104+D$1)*$D104),OFFSET(E$95,0,-$C104)*$D104)</f>
        <v>0</v>
      </c>
      <c r="F104" s="1026" t="n">
        <f aca="true">IF($C104&gt;=F$1,IF($C104&gt;12+E$1,IF($C104&gt;24+E$1,0,OFFSET($Q$55,0,-$C104+12+E$1)*$D104),OFFSET($Q$75,0,-$C104+E$1)*$D104),OFFSET(F$95,0,-$C104)*$D104)</f>
        <v>0</v>
      </c>
      <c r="G104" s="1026" t="n">
        <f aca="true">IF($C104&gt;=G$1,IF($C104&gt;12+F$1,IF($C104&gt;24+F$1,0,OFFSET($Q$55,0,-$C104+12+F$1)*$D104),OFFSET($Q$75,0,-$C104+F$1)*$D104),OFFSET(G$95,0,-$C104)*$D104)</f>
        <v>0</v>
      </c>
      <c r="H104" s="1026" t="n">
        <f aca="true">IF($C104&gt;=H$1,IF($C104&gt;12+G$1,IF($C104&gt;24+G$1,0,OFFSET($Q$55,0,-$C104+12+G$1)*$D104),OFFSET($Q$75,0,-$C104+G$1)*$D104),OFFSET(H$95,0,-$C104)*$D104)</f>
        <v>0</v>
      </c>
      <c r="I104" s="1026" t="n">
        <f aca="true">IF($C104&gt;=I$1,IF($C104&gt;12+H$1,IF($C104&gt;24+H$1,0,OFFSET($Q$55,0,-$C104+12+H$1)*$D104),OFFSET($Q$75,0,-$C104+H$1)*$D104),OFFSET(I$95,0,-$C104)*$D104)</f>
        <v>0</v>
      </c>
      <c r="J104" s="1026" t="n">
        <f aca="true">IF($C104&gt;=J$1,IF($C104&gt;12+I$1,IF($C104&gt;24+I$1,0,OFFSET($Q$55,0,-$C104+12+I$1)*$D104),OFFSET($Q$75,0,-$C104+I$1)*$D104),OFFSET(J$95,0,-$C104)*$D104)</f>
        <v>0</v>
      </c>
      <c r="K104" s="1026" t="n">
        <f aca="true">IF($C104&gt;=K$1,IF($C104&gt;12+J$1,IF($C104&gt;24+J$1,0,OFFSET($Q$55,0,-$C104+12+J$1)*$D104),OFFSET($Q$75,0,-$C104+J$1)*$D104),OFFSET(K$95,0,-$C104)*$D104)</f>
        <v>0</v>
      </c>
      <c r="L104" s="1026" t="n">
        <f aca="true">IF($C104&gt;=L$1,IF($C104&gt;12+K$1,IF($C104&gt;24+K$1,0,OFFSET($Q$55,0,-$C104+12+K$1)*$D104),OFFSET($Q$75,0,-$C104+K$1)*$D104),OFFSET(L$95,0,-$C104)*$D104)</f>
        <v>0</v>
      </c>
      <c r="M104" s="1026" t="n">
        <f aca="true">IF($C104&gt;=M$1,IF($C104&gt;12+L$1,IF($C104&gt;24+L$1,0,OFFSET($Q$55,0,-$C104+12+L$1)*$D104),OFFSET($Q$75,0,-$C104+L$1)*$D104),OFFSET(M$95,0,-$C104)*$D104)</f>
        <v>0</v>
      </c>
      <c r="N104" s="1026" t="n">
        <f aca="true">IF($C104&gt;=N$1,IF($C104&gt;12+M$1,IF($C104&gt;24+M$1,0,OFFSET($Q$55,0,-$C104+12+M$1)*$D104),OFFSET($Q$75,0,-$C104+M$1)*$D104),OFFSET(N$95,0,-$C104)*$D104)</f>
        <v>0</v>
      </c>
      <c r="O104" s="1026" t="n">
        <f aca="true">IF($C104&gt;=O$1,IF($C104&gt;12+N$1,IF($C104&gt;24+N$1,0,OFFSET($Q$55,0,-$C104+12+N$1)*$D104),OFFSET($Q$75,0,-$C104+N$1)*$D104),OFFSET(O$95,0,-$C104)*$D104)</f>
        <v>0</v>
      </c>
      <c r="P104" s="1026" t="n">
        <f aca="true">IF($C104&gt;=P$1,IF($C104&gt;12+O$1,IF($C104&gt;24+O$1,0,OFFSET($Q$55,0,-$C104+12+O$1)*$D104),OFFSET($Q$75,0,-$C104+O$1)*$D104),OFFSET(P$95,0,-$C104)*$D104)</f>
        <v>0</v>
      </c>
      <c r="Q104" s="1333" t="n">
        <f aca="false">SUM(E104:P104)</f>
        <v>0</v>
      </c>
      <c r="R104" s="549"/>
    </row>
    <row r="105" customFormat="false" ht="15" hidden="false" customHeight="false" outlineLevel="0" collapsed="false">
      <c r="B105" s="1317" t="str">
        <f aca="false">B85</f>
        <v>Total cobrado:</v>
      </c>
      <c r="C105" s="1318"/>
      <c r="D105" s="1334"/>
      <c r="E105" s="366" t="n">
        <f aca="false">SUM(E97:E104)</f>
        <v>30149.9</v>
      </c>
      <c r="F105" s="366" t="n">
        <f aca="false">SUM(F97:F104)</f>
        <v>30149.9</v>
      </c>
      <c r="G105" s="366" t="n">
        <f aca="false">SUM(G97:G104)</f>
        <v>30149.9</v>
      </c>
      <c r="H105" s="366" t="n">
        <f aca="false">SUM(H97:H104)</f>
        <v>30149.9</v>
      </c>
      <c r="I105" s="366" t="n">
        <f aca="false">SUM(I97:I104)</f>
        <v>30149.9</v>
      </c>
      <c r="J105" s="366" t="n">
        <f aca="false">SUM(J97:J104)</f>
        <v>30149.9</v>
      </c>
      <c r="K105" s="366" t="n">
        <f aca="false">SUM(K97:K104)</f>
        <v>30149.9</v>
      </c>
      <c r="L105" s="366" t="n">
        <f aca="false">SUM(L97:L104)</f>
        <v>30149.9</v>
      </c>
      <c r="M105" s="366" t="n">
        <f aca="false">SUM(M97:M104)</f>
        <v>30149.9</v>
      </c>
      <c r="N105" s="366" t="n">
        <f aca="false">SUM(N97:N104)</f>
        <v>30149.9</v>
      </c>
      <c r="O105" s="366" t="n">
        <f aca="false">SUM(O97:O104)</f>
        <v>30149.9</v>
      </c>
      <c r="P105" s="366" t="n">
        <f aca="false">SUM(P97:P104)</f>
        <v>30149.9</v>
      </c>
      <c r="Q105" s="417" t="n">
        <f aca="false">SUM(Q97:Q104)</f>
        <v>361798.8</v>
      </c>
      <c r="R105" s="93"/>
    </row>
    <row r="106" customFormat="false" ht="6.75" hidden="false" customHeight="true" outlineLevel="0" collapsed="false">
      <c r="B106" s="70"/>
      <c r="C106" s="70"/>
      <c r="D106" s="1330"/>
      <c r="E106" s="223"/>
      <c r="F106" s="223"/>
      <c r="G106" s="223"/>
      <c r="H106" s="223"/>
      <c r="I106" s="223"/>
      <c r="J106" s="223"/>
      <c r="K106" s="223"/>
      <c r="L106" s="223"/>
      <c r="M106" s="223"/>
      <c r="N106" s="223"/>
      <c r="O106" s="223"/>
      <c r="P106" s="223"/>
      <c r="Q106" s="223"/>
    </row>
    <row r="107" customFormat="false" ht="15" hidden="false" customHeight="false" outlineLevel="0" collapsed="false">
      <c r="B107" s="1317" t="s">
        <v>753</v>
      </c>
      <c r="C107" s="1318"/>
      <c r="D107" s="1318"/>
      <c r="E107" s="366" t="n">
        <f aca="false">P87+E95-E105</f>
        <v>0</v>
      </c>
      <c r="F107" s="366" t="n">
        <f aca="false">E107+F95-F105</f>
        <v>0</v>
      </c>
      <c r="G107" s="366" t="n">
        <f aca="false">F107+G95-G105</f>
        <v>0</v>
      </c>
      <c r="H107" s="366" t="n">
        <f aca="false">G107+H95-H105</f>
        <v>0</v>
      </c>
      <c r="I107" s="366" t="n">
        <f aca="false">H107+I95-I105</f>
        <v>0</v>
      </c>
      <c r="J107" s="366" t="n">
        <f aca="false">I107+J95-J105</f>
        <v>0</v>
      </c>
      <c r="K107" s="366" t="n">
        <f aca="false">J107+K95-K105</f>
        <v>0</v>
      </c>
      <c r="L107" s="366" t="n">
        <f aca="false">K107+L95-L105</f>
        <v>0</v>
      </c>
      <c r="M107" s="366" t="n">
        <f aca="false">L107+M95-M105</f>
        <v>0</v>
      </c>
      <c r="N107" s="366" t="n">
        <f aca="false">M107+N95-N105</f>
        <v>0</v>
      </c>
      <c r="O107" s="366" t="n">
        <f aca="false">N107+O95-O105</f>
        <v>0</v>
      </c>
      <c r="P107" s="417" t="n">
        <f aca="false">O107+P95-P105</f>
        <v>0</v>
      </c>
      <c r="Q107" s="93"/>
    </row>
    <row r="108" customFormat="false" ht="12.75" hidden="false" customHeight="false" outlineLevel="0" collapsed="false">
      <c r="E108" s="93"/>
      <c r="F108" s="93"/>
      <c r="G108" s="93"/>
      <c r="H108" s="93"/>
      <c r="I108" s="93"/>
      <c r="J108" s="93"/>
      <c r="K108" s="93"/>
      <c r="L108" s="93"/>
      <c r="M108" s="93"/>
    </row>
    <row r="109" customFormat="false" ht="12.75" hidden="false" customHeight="false" outlineLevel="0" collapsed="false">
      <c r="E109" s="93"/>
      <c r="F109" s="93"/>
      <c r="G109" s="93"/>
      <c r="H109" s="93"/>
      <c r="I109" s="93"/>
      <c r="J109" s="93"/>
      <c r="K109" s="93"/>
      <c r="L109" s="93"/>
      <c r="M109" s="93"/>
    </row>
    <row r="110" customFormat="false" ht="14.25" hidden="false" customHeight="false" outlineLevel="0" collapsed="false">
      <c r="B110" s="70"/>
      <c r="C110" s="70"/>
      <c r="D110" s="223"/>
      <c r="E110" s="549"/>
      <c r="F110" s="549"/>
      <c r="G110" s="549"/>
      <c r="H110" s="549"/>
      <c r="I110" s="549"/>
      <c r="J110" s="549"/>
      <c r="K110" s="549"/>
      <c r="L110" s="549"/>
      <c r="M110" s="549"/>
      <c r="N110" s="549"/>
      <c r="O110" s="549"/>
      <c r="P110" s="549"/>
      <c r="Q110" s="549"/>
    </row>
    <row r="111" customFormat="false" ht="12.75" hidden="false" customHeight="false" outlineLevel="0" collapsed="false">
      <c r="E111" s="93"/>
      <c r="F111" s="93"/>
      <c r="G111" s="93"/>
      <c r="H111" s="93"/>
      <c r="I111" s="93"/>
      <c r="J111" s="93"/>
      <c r="K111" s="93"/>
      <c r="L111" s="93"/>
      <c r="M111" s="93"/>
    </row>
    <row r="112" customFormat="false" ht="12.75" hidden="false" customHeight="false" outlineLevel="0" collapsed="false">
      <c r="E112" s="93"/>
      <c r="F112" s="93"/>
      <c r="G112" s="93"/>
      <c r="H112" s="93"/>
      <c r="I112" s="93"/>
      <c r="J112" s="93"/>
      <c r="K112" s="93"/>
      <c r="L112" s="93"/>
      <c r="M112" s="93"/>
    </row>
    <row r="113" customFormat="false" ht="14.25" hidden="false" customHeight="false" outlineLevel="0" collapsed="false">
      <c r="B113" s="51" t="s">
        <v>754</v>
      </c>
      <c r="C113" s="70"/>
      <c r="D113" s="451"/>
      <c r="E113" s="1335" t="s">
        <v>466</v>
      </c>
      <c r="F113" s="93"/>
      <c r="G113" s="93"/>
      <c r="H113" s="93"/>
      <c r="I113" s="93"/>
      <c r="J113" s="93"/>
      <c r="K113" s="93"/>
      <c r="L113" s="93"/>
      <c r="M113" s="93"/>
      <c r="N113" s="93"/>
      <c r="O113" s="93"/>
      <c r="P113" s="93"/>
      <c r="Q113" s="93"/>
    </row>
    <row r="114" customFormat="false" ht="14.25" hidden="false" customHeight="false" outlineLevel="0" collapsed="false">
      <c r="B114" s="70"/>
      <c r="C114" s="70"/>
      <c r="D114" s="451"/>
      <c r="E114" s="93"/>
      <c r="F114" s="93"/>
      <c r="G114" s="93"/>
      <c r="H114" s="93"/>
      <c r="I114" s="93"/>
      <c r="J114" s="93"/>
      <c r="K114" s="93"/>
      <c r="L114" s="93"/>
      <c r="M114" s="93"/>
      <c r="N114" s="93"/>
      <c r="O114" s="93"/>
      <c r="P114" s="93"/>
    </row>
    <row r="115" customFormat="false" ht="14.25" hidden="false" customHeight="false" outlineLevel="0" collapsed="false">
      <c r="B115" s="451"/>
      <c r="C115" s="451"/>
      <c r="D115" s="336"/>
      <c r="E115" s="1328" t="s">
        <v>303</v>
      </c>
      <c r="F115" s="1328" t="s">
        <v>304</v>
      </c>
      <c r="G115" s="1328" t="s">
        <v>305</v>
      </c>
      <c r="H115" s="1328" t="s">
        <v>127</v>
      </c>
      <c r="I115" s="1328" t="s">
        <v>128</v>
      </c>
      <c r="J115" s="1328" t="s">
        <v>129</v>
      </c>
      <c r="K115" s="1328" t="s">
        <v>130</v>
      </c>
      <c r="L115" s="1328" t="s">
        <v>306</v>
      </c>
      <c r="M115" s="1328" t="s">
        <v>307</v>
      </c>
      <c r="N115" s="1328" t="s">
        <v>308</v>
      </c>
      <c r="O115" s="1328" t="s">
        <v>309</v>
      </c>
      <c r="P115" s="1328" t="s">
        <v>310</v>
      </c>
      <c r="Q115" s="1328" t="s">
        <v>136</v>
      </c>
    </row>
    <row r="116" customFormat="false" ht="15" hidden="false" customHeight="false" outlineLevel="0" collapsed="false">
      <c r="B116" s="1304" t="s">
        <v>755</v>
      </c>
      <c r="C116" s="1305"/>
      <c r="D116" s="1305"/>
      <c r="E116" s="1306" t="n">
        <f aca="false">+'Margen B'!D102</f>
        <v>12733</v>
      </c>
      <c r="F116" s="1306" t="n">
        <f aca="false">+'Margen B'!E102</f>
        <v>12733</v>
      </c>
      <c r="G116" s="1306" t="n">
        <f aca="false">+'Margen B'!F102</f>
        <v>12733</v>
      </c>
      <c r="H116" s="1306" t="n">
        <f aca="false">+'Margen B'!G102</f>
        <v>12733</v>
      </c>
      <c r="I116" s="1306" t="n">
        <f aca="false">+'Margen B'!H102</f>
        <v>12733</v>
      </c>
      <c r="J116" s="1306" t="n">
        <f aca="false">+'Margen B'!I102</f>
        <v>12733</v>
      </c>
      <c r="K116" s="1306" t="n">
        <f aca="false">+'Margen B'!J102</f>
        <v>12733</v>
      </c>
      <c r="L116" s="1306" t="n">
        <f aca="false">+'Margen B'!K102</f>
        <v>12733</v>
      </c>
      <c r="M116" s="1306" t="n">
        <f aca="false">+'Margen B'!L102</f>
        <v>12733</v>
      </c>
      <c r="N116" s="1306" t="n">
        <f aca="false">+'Margen B'!M102</f>
        <v>12733</v>
      </c>
      <c r="O116" s="1306" t="n">
        <f aca="false">+'Margen B'!N102</f>
        <v>12733</v>
      </c>
      <c r="P116" s="1306" t="n">
        <f aca="false">+'Margen B'!O102</f>
        <v>12733</v>
      </c>
      <c r="Q116" s="1307" t="n">
        <f aca="false">SUM(E116:P116)</f>
        <v>152796</v>
      </c>
    </row>
    <row r="117" customFormat="false" ht="14.25" hidden="false" customHeight="false" outlineLevel="0" collapsed="false">
      <c r="B117" s="70" t="s">
        <v>756</v>
      </c>
      <c r="C117" s="70"/>
      <c r="D117" s="70"/>
      <c r="E117" s="223" t="n">
        <f aca="false">E116*'Datos generales'!$D$16</f>
        <v>1273.3</v>
      </c>
      <c r="F117" s="223" t="n">
        <f aca="false">F116*'Datos generales'!$D$16</f>
        <v>1273.3</v>
      </c>
      <c r="G117" s="223" t="n">
        <f aca="false">G116*'Datos generales'!$D$16</f>
        <v>1273.3</v>
      </c>
      <c r="H117" s="223" t="n">
        <f aca="false">H116*'Datos generales'!$D$16</f>
        <v>1273.3</v>
      </c>
      <c r="I117" s="223" t="n">
        <f aca="false">I116*'Datos generales'!$D$16</f>
        <v>1273.3</v>
      </c>
      <c r="J117" s="223" t="n">
        <f aca="false">J116*'Datos generales'!$D$16</f>
        <v>1273.3</v>
      </c>
      <c r="K117" s="223" t="n">
        <f aca="false">K116*'Datos generales'!$D$16</f>
        <v>1273.3</v>
      </c>
      <c r="L117" s="223" t="n">
        <f aca="false">L116*'Datos generales'!$D$16</f>
        <v>1273.3</v>
      </c>
      <c r="M117" s="223" t="n">
        <f aca="false">M116*'Datos generales'!$D$16</f>
        <v>1273.3</v>
      </c>
      <c r="N117" s="223" t="n">
        <f aca="false">N116*'Datos generales'!$D$16</f>
        <v>1273.3</v>
      </c>
      <c r="O117" s="223" t="n">
        <f aca="false">O116*'Datos generales'!$D$16</f>
        <v>1273.3</v>
      </c>
      <c r="P117" s="223" t="n">
        <f aca="false">P116*'Datos generales'!$D$16</f>
        <v>1273.3</v>
      </c>
      <c r="Q117" s="223" t="n">
        <f aca="false">SUM(E117:P117)</f>
        <v>15279.6</v>
      </c>
    </row>
    <row r="118" customFormat="false" ht="14.25" hidden="false" customHeight="false" outlineLevel="0" collapsed="false">
      <c r="B118" s="70" t="s">
        <v>757</v>
      </c>
      <c r="C118" s="70"/>
      <c r="D118" s="70"/>
      <c r="E118" s="223" t="n">
        <f aca="false">SUM(E116:E117)</f>
        <v>14006.3</v>
      </c>
      <c r="F118" s="223" t="n">
        <f aca="false">SUM(F116:F117)</f>
        <v>14006.3</v>
      </c>
      <c r="G118" s="223" t="n">
        <f aca="false">SUM(G116:G117)</f>
        <v>14006.3</v>
      </c>
      <c r="H118" s="223" t="n">
        <f aca="false">SUM(H116:H117)</f>
        <v>14006.3</v>
      </c>
      <c r="I118" s="223" t="n">
        <f aca="false">SUM(I116:I117)</f>
        <v>14006.3</v>
      </c>
      <c r="J118" s="223" t="n">
        <f aca="false">SUM(J116:J117)</f>
        <v>14006.3</v>
      </c>
      <c r="K118" s="223" t="n">
        <f aca="false">SUM(K116:K117)</f>
        <v>14006.3</v>
      </c>
      <c r="L118" s="223" t="n">
        <f aca="false">SUM(L116:L117)</f>
        <v>14006.3</v>
      </c>
      <c r="M118" s="223" t="n">
        <f aca="false">SUM(M116:M117)</f>
        <v>14006.3</v>
      </c>
      <c r="N118" s="223" t="n">
        <f aca="false">SUM(N116:N117)</f>
        <v>14006.3</v>
      </c>
      <c r="O118" s="223" t="n">
        <f aca="false">SUM(O116:O117)</f>
        <v>14006.3</v>
      </c>
      <c r="P118" s="223" t="n">
        <f aca="false">SUM(P116:P117)</f>
        <v>14006.3</v>
      </c>
      <c r="Q118" s="223" t="n">
        <f aca="false">SUM(E118:P118)</f>
        <v>168075.6</v>
      </c>
    </row>
    <row r="119" customFormat="false" ht="19.5" hidden="false" customHeight="true" outlineLevel="0" collapsed="false">
      <c r="B119" s="465" t="s">
        <v>170</v>
      </c>
      <c r="C119" s="465"/>
      <c r="D119" s="1329" t="s">
        <v>165</v>
      </c>
      <c r="E119" s="549"/>
      <c r="F119" s="549"/>
      <c r="G119" s="549"/>
      <c r="H119" s="549"/>
      <c r="I119" s="549"/>
      <c r="J119" s="549"/>
      <c r="K119" s="549"/>
      <c r="L119" s="549"/>
      <c r="M119" s="549"/>
      <c r="N119" s="549"/>
      <c r="O119" s="549"/>
      <c r="P119" s="549"/>
      <c r="Q119" s="93"/>
    </row>
    <row r="120" customFormat="false" ht="12.75" hidden="false" customHeight="false" outlineLevel="0" collapsed="false">
      <c r="B120" s="451" t="s">
        <v>742</v>
      </c>
      <c r="C120" s="451"/>
      <c r="D120" s="1330" t="n">
        <f aca="false">D33</f>
        <v>0.25</v>
      </c>
      <c r="E120" s="1331" t="n">
        <f aca="false">+E118*$D$120</f>
        <v>3501.575</v>
      </c>
      <c r="F120" s="1331" t="n">
        <f aca="false">+F118*$D$120</f>
        <v>3501.575</v>
      </c>
      <c r="G120" s="1331" t="n">
        <f aca="false">+G118*$D$120</f>
        <v>3501.575</v>
      </c>
      <c r="H120" s="1331" t="n">
        <f aca="false">+H118*$D$120</f>
        <v>3501.575</v>
      </c>
      <c r="I120" s="1331" t="n">
        <f aca="false">+I118*$D$120</f>
        <v>3501.575</v>
      </c>
      <c r="J120" s="1331" t="n">
        <f aca="false">+J118*$D$120</f>
        <v>3501.575</v>
      </c>
      <c r="K120" s="1331" t="n">
        <f aca="false">+K118*$D$120</f>
        <v>3501.575</v>
      </c>
      <c r="L120" s="1331" t="n">
        <f aca="false">+L118*$D$120</f>
        <v>3501.575</v>
      </c>
      <c r="M120" s="1331" t="n">
        <f aca="false">+M118*$D$120</f>
        <v>3501.575</v>
      </c>
      <c r="N120" s="1331" t="n">
        <f aca="false">+N118*$D$120</f>
        <v>3501.575</v>
      </c>
      <c r="O120" s="1331" t="n">
        <f aca="false">+O118*$D$120</f>
        <v>3501.575</v>
      </c>
      <c r="P120" s="1331" t="n">
        <f aca="false">+P118*$D$120</f>
        <v>3501.575</v>
      </c>
      <c r="Q120" s="1332" t="n">
        <f aca="false">SUM(E120:P120)</f>
        <v>42018.9</v>
      </c>
      <c r="R120" s="549"/>
    </row>
    <row r="121" customFormat="false" ht="12.75" hidden="false" customHeight="false" outlineLevel="0" collapsed="false">
      <c r="B121" s="0" t="s">
        <v>743</v>
      </c>
      <c r="C121" s="451" t="n">
        <f aca="false">C34</f>
        <v>1</v>
      </c>
      <c r="D121" s="1330" t="n">
        <f aca="false">D34</f>
        <v>0.25</v>
      </c>
      <c r="E121" s="1026" t="n">
        <f aca="true">IF(ISERROR(OFFSET(E$118,0,-$C121)*$D121)=TRUE(),0,OFFSET(E$118,0,-$C121)*$D121)</f>
        <v>0</v>
      </c>
      <c r="F121" s="1026" t="n">
        <f aca="true">IF(ISERROR(OFFSET(F$118,0,-$C121)*$D121)=TRUE(),0,OFFSET(F$118,0,-$C121)*$D121)</f>
        <v>3501.575</v>
      </c>
      <c r="G121" s="1026" t="n">
        <f aca="true">IF(ISERROR(OFFSET(G$118,0,-$C121)*$D121)=TRUE(),0,OFFSET(G$118,0,-$C121)*$D121)</f>
        <v>3501.575</v>
      </c>
      <c r="H121" s="1026" t="n">
        <f aca="true">IF(ISERROR(OFFSET(H$118,0,-$C121)*$D121)=TRUE(),0,OFFSET(H$118,0,-$C121)*$D121)</f>
        <v>3501.575</v>
      </c>
      <c r="I121" s="1026" t="n">
        <f aca="true">IF(ISERROR(OFFSET(I$118,0,-$C121)*$D121)=TRUE(),0,OFFSET(I$118,0,-$C121)*$D121)</f>
        <v>3501.575</v>
      </c>
      <c r="J121" s="1026" t="n">
        <f aca="true">IF(ISERROR(OFFSET(J$118,0,-$C121)*$D121)=TRUE(),0,OFFSET(J$118,0,-$C121)*$D121)</f>
        <v>3501.575</v>
      </c>
      <c r="K121" s="1026" t="n">
        <f aca="true">IF(ISERROR(OFFSET(K$118,0,-$C121)*$D121)=TRUE(),0,OFFSET(K$118,0,-$C121)*$D121)</f>
        <v>3501.575</v>
      </c>
      <c r="L121" s="1026" t="n">
        <f aca="true">IF(ISERROR(OFFSET(L$118,0,-$C121)*$D121)=TRUE(),0,OFFSET(L$118,0,-$C121)*$D121)</f>
        <v>3501.575</v>
      </c>
      <c r="M121" s="1026" t="n">
        <f aca="true">IF(ISERROR(OFFSET(M$118,0,-$C121)*$D121)=TRUE(),0,OFFSET(M$118,0,-$C121)*$D121)</f>
        <v>3501.575</v>
      </c>
      <c r="N121" s="1026" t="n">
        <f aca="true">IF(ISERROR(OFFSET(N$118,0,-$C121)*$D121)=TRUE(),0,OFFSET(N$118,0,-$C121)*$D121)</f>
        <v>3501.575</v>
      </c>
      <c r="O121" s="1026" t="n">
        <f aca="true">IF(ISERROR(OFFSET(O$118,0,-$C121)*$D121)=TRUE(),0,OFFSET(O$118,0,-$C121)*$D121)</f>
        <v>3501.575</v>
      </c>
      <c r="P121" s="1026" t="n">
        <f aca="true">IF(ISERROR(OFFSET(P$118,0,-$C121)*$D121)=TRUE(),0,OFFSET(P$118,0,-$C121)*$D121)</f>
        <v>3501.575</v>
      </c>
      <c r="Q121" s="976" t="n">
        <f aca="false">SUM(E121:P121)</f>
        <v>38517.325</v>
      </c>
      <c r="R121" s="549"/>
    </row>
    <row r="122" customFormat="false" ht="12.75" hidden="false" customHeight="false" outlineLevel="0" collapsed="false">
      <c r="B122" s="0" t="s">
        <v>743</v>
      </c>
      <c r="C122" s="451" t="n">
        <f aca="false">C35</f>
        <v>2</v>
      </c>
      <c r="D122" s="1330" t="n">
        <f aca="false">D35</f>
        <v>0.25</v>
      </c>
      <c r="E122" s="1026" t="n">
        <f aca="true">IF(ISERROR(OFFSET(E$118,0,-$C122)*$D122)=TRUE(),0,OFFSET(E$118,0,-$C122)*$D122)</f>
        <v>0</v>
      </c>
      <c r="F122" s="1026" t="n">
        <f aca="true">IF(ISERROR(OFFSET(F$118,0,-$C122)*$D122)=TRUE(),0,OFFSET(F$118,0,-$C122)*$D122)</f>
        <v>0</v>
      </c>
      <c r="G122" s="1026" t="n">
        <f aca="true">IF(ISERROR(OFFSET(G$118,0,-$C122)*$D122)=TRUE(),0,OFFSET(G$118,0,-$C122)*$D122)</f>
        <v>3501.575</v>
      </c>
      <c r="H122" s="1026" t="n">
        <f aca="true">IF(ISERROR(OFFSET(H$118,0,-$C122)*$D122)=TRUE(),0,OFFSET(H$118,0,-$C122)*$D122)</f>
        <v>3501.575</v>
      </c>
      <c r="I122" s="1026" t="n">
        <f aca="true">IF(ISERROR(OFFSET(I$118,0,-$C122)*$D122)=TRUE(),0,OFFSET(I$118,0,-$C122)*$D122)</f>
        <v>3501.575</v>
      </c>
      <c r="J122" s="1026" t="n">
        <f aca="true">IF(ISERROR(OFFSET(J$118,0,-$C122)*$D122)=TRUE(),0,OFFSET(J$118,0,-$C122)*$D122)</f>
        <v>3501.575</v>
      </c>
      <c r="K122" s="1026" t="n">
        <f aca="true">IF(ISERROR(OFFSET(K$118,0,-$C122)*$D122)=TRUE(),0,OFFSET(K$118,0,-$C122)*$D122)</f>
        <v>3501.575</v>
      </c>
      <c r="L122" s="1026" t="n">
        <f aca="true">IF(ISERROR(OFFSET(L$118,0,-$C122)*$D122)=TRUE(),0,OFFSET(L$118,0,-$C122)*$D122)</f>
        <v>3501.575</v>
      </c>
      <c r="M122" s="1026" t="n">
        <f aca="true">IF(ISERROR(OFFSET(M$118,0,-$C122)*$D122)=TRUE(),0,OFFSET(M$118,0,-$C122)*$D122)</f>
        <v>3501.575</v>
      </c>
      <c r="N122" s="1026" t="n">
        <f aca="true">IF(ISERROR(OFFSET(N$118,0,-$C122)*$D122)=TRUE(),0,OFFSET(N$118,0,-$C122)*$D122)</f>
        <v>3501.575</v>
      </c>
      <c r="O122" s="1026" t="n">
        <f aca="true">IF(ISERROR(OFFSET(O$118,0,-$C122)*$D122)=TRUE(),0,OFFSET(O$118,0,-$C122)*$D122)</f>
        <v>3501.575</v>
      </c>
      <c r="P122" s="1026" t="n">
        <f aca="true">IF(ISERROR(OFFSET(P$118,0,-$C122)*$D122)=TRUE(),0,OFFSET(P$118,0,-$C122)*$D122)</f>
        <v>3501.575</v>
      </c>
      <c r="Q122" s="976" t="n">
        <f aca="false">SUM(E122:P122)</f>
        <v>35015.75</v>
      </c>
      <c r="R122" s="549"/>
    </row>
    <row r="123" customFormat="false" ht="12.75" hidden="false" customHeight="false" outlineLevel="0" collapsed="false">
      <c r="B123" s="0" t="s">
        <v>743</v>
      </c>
      <c r="C123" s="451" t="n">
        <f aca="false">C36</f>
        <v>3</v>
      </c>
      <c r="D123" s="1330" t="n">
        <f aca="false">D36</f>
        <v>0.25</v>
      </c>
      <c r="E123" s="1026" t="n">
        <f aca="true">IF(ISERROR(OFFSET(E$118,0,-$C123)*$D123)=TRUE(),0,OFFSET(E$118,0,-$C123)*$D123)</f>
        <v>0</v>
      </c>
      <c r="F123" s="1026" t="n">
        <f aca="true">IF(ISERROR(OFFSET(F$118,0,-$C123)*$D123)=TRUE(),0,OFFSET(F$118,0,-$C123)*$D123)</f>
        <v>0</v>
      </c>
      <c r="G123" s="1026" t="n">
        <f aca="true">IF(ISERROR(OFFSET(G$118,0,-$C123)*$D123)=TRUE(),0,OFFSET(G$118,0,-$C123)*$D123)</f>
        <v>0</v>
      </c>
      <c r="H123" s="1026" t="n">
        <f aca="true">IF(ISERROR(OFFSET(H$118,0,-$C123)*$D123)=TRUE(),0,OFFSET(H$118,0,-$C123)*$D123)</f>
        <v>3501.575</v>
      </c>
      <c r="I123" s="1026" t="n">
        <f aca="true">IF(ISERROR(OFFSET(I$118,0,-$C123)*$D123)=TRUE(),0,OFFSET(I$118,0,-$C123)*$D123)</f>
        <v>3501.575</v>
      </c>
      <c r="J123" s="1026" t="n">
        <f aca="true">IF(ISERROR(OFFSET(J$118,0,-$C123)*$D123)=TRUE(),0,OFFSET(J$118,0,-$C123)*$D123)</f>
        <v>3501.575</v>
      </c>
      <c r="K123" s="1026" t="n">
        <f aca="true">IF(ISERROR(OFFSET(K$118,0,-$C123)*$D123)=TRUE(),0,OFFSET(K$118,0,-$C123)*$D123)</f>
        <v>3501.575</v>
      </c>
      <c r="L123" s="1026" t="n">
        <f aca="true">IF(ISERROR(OFFSET(L$118,0,-$C123)*$D123)=TRUE(),0,OFFSET(L$118,0,-$C123)*$D123)</f>
        <v>3501.575</v>
      </c>
      <c r="M123" s="1026" t="n">
        <f aca="true">IF(ISERROR(OFFSET(M$118,0,-$C123)*$D123)=TRUE(),0,OFFSET(M$118,0,-$C123)*$D123)</f>
        <v>3501.575</v>
      </c>
      <c r="N123" s="1026" t="n">
        <f aca="true">IF(ISERROR(OFFSET(N$118,0,-$C123)*$D123)=TRUE(),0,OFFSET(N$118,0,-$C123)*$D123)</f>
        <v>3501.575</v>
      </c>
      <c r="O123" s="1026" t="n">
        <f aca="true">IF(ISERROR(OFFSET(O$118,0,-$C123)*$D123)=TRUE(),0,OFFSET(O$118,0,-$C123)*$D123)</f>
        <v>3501.575</v>
      </c>
      <c r="P123" s="1026" t="n">
        <f aca="true">IF(ISERROR(OFFSET(P$118,0,-$C123)*$D123)=TRUE(),0,OFFSET(P$118,0,-$C123)*$D123)</f>
        <v>3501.575</v>
      </c>
      <c r="Q123" s="976" t="n">
        <f aca="false">SUM(E123:P123)</f>
        <v>31514.175</v>
      </c>
      <c r="R123" s="549"/>
    </row>
    <row r="124" customFormat="false" ht="12.75" hidden="false" customHeight="false" outlineLevel="0" collapsed="false">
      <c r="B124" s="0" t="s">
        <v>743</v>
      </c>
      <c r="C124" s="451" t="n">
        <f aca="false">C37</f>
        <v>0</v>
      </c>
      <c r="D124" s="1330" t="n">
        <f aca="false">D37</f>
        <v>0</v>
      </c>
      <c r="E124" s="1026" t="n">
        <f aca="true">IF(ISERROR(OFFSET(E$118,0,-$C124)*$D124)=TRUE(),0,OFFSET(E$118,0,-$C124)*$D124)</f>
        <v>0</v>
      </c>
      <c r="F124" s="1026" t="n">
        <f aca="true">IF(ISERROR(OFFSET(F$118,0,-$C124)*$D124)=TRUE(),0,OFFSET(F$118,0,-$C124)*$D124)</f>
        <v>0</v>
      </c>
      <c r="G124" s="1026" t="n">
        <f aca="true">IF(ISERROR(OFFSET(G$118,0,-$C124)*$D124)=TRUE(),0,OFFSET(G$118,0,-$C124)*$D124)</f>
        <v>0</v>
      </c>
      <c r="H124" s="1026" t="n">
        <f aca="true">IF(ISERROR(OFFSET(H$118,0,-$C124)*$D124)=TRUE(),0,OFFSET(H$118,0,-$C124)*$D124)</f>
        <v>0</v>
      </c>
      <c r="I124" s="1026" t="n">
        <f aca="true">IF(ISERROR(OFFSET(I$118,0,-$C124)*$D124)=TRUE(),0,OFFSET(I$118,0,-$C124)*$D124)</f>
        <v>0</v>
      </c>
      <c r="J124" s="1026" t="n">
        <f aca="true">IF(ISERROR(OFFSET(J$118,0,-$C124)*$D124)=TRUE(),0,OFFSET(J$118,0,-$C124)*$D124)</f>
        <v>0</v>
      </c>
      <c r="K124" s="1026" t="n">
        <f aca="true">IF(ISERROR(OFFSET(K$118,0,-$C124)*$D124)=TRUE(),0,OFFSET(K$118,0,-$C124)*$D124)</f>
        <v>0</v>
      </c>
      <c r="L124" s="1026" t="n">
        <f aca="true">IF(ISERROR(OFFSET(L$118,0,-$C124)*$D124)=TRUE(),0,OFFSET(L$118,0,-$C124)*$D124)</f>
        <v>0</v>
      </c>
      <c r="M124" s="1026" t="n">
        <f aca="true">IF(ISERROR(OFFSET(M$118,0,-$C124)*$D124)=TRUE(),0,OFFSET(M$118,0,-$C124)*$D124)</f>
        <v>0</v>
      </c>
      <c r="N124" s="1026" t="n">
        <f aca="true">IF(ISERROR(OFFSET(N$118,0,-$C124)*$D124)=TRUE(),0,OFFSET(N$118,0,-$C124)*$D124)</f>
        <v>0</v>
      </c>
      <c r="O124" s="1026" t="n">
        <f aca="true">IF(ISERROR(OFFSET(O$118,0,-$C124)*$D124)=TRUE(),0,OFFSET(O$118,0,-$C124)*$D124)</f>
        <v>0</v>
      </c>
      <c r="P124" s="1026" t="n">
        <f aca="true">IF(ISERROR(OFFSET(P$118,0,-$C124)*$D124)=TRUE(),0,OFFSET(P$118,0,-$C124)*$D124)</f>
        <v>0</v>
      </c>
      <c r="Q124" s="976" t="n">
        <f aca="false">SUM(E124:P124)</f>
        <v>0</v>
      </c>
      <c r="R124" s="549"/>
    </row>
    <row r="125" customFormat="false" ht="12.75" hidden="false" customHeight="false" outlineLevel="0" collapsed="false">
      <c r="B125" s="0" t="s">
        <v>743</v>
      </c>
      <c r="C125" s="451" t="n">
        <f aca="false">C38</f>
        <v>0</v>
      </c>
      <c r="D125" s="1330" t="n">
        <f aca="false">D38</f>
        <v>0</v>
      </c>
      <c r="E125" s="1026" t="n">
        <f aca="true">IF(ISERROR(OFFSET(E$118,0,-$C125)*$D125)=TRUE(),0,OFFSET(E$118,0,-$C125)*$D125)</f>
        <v>0</v>
      </c>
      <c r="F125" s="1026" t="n">
        <f aca="true">IF(ISERROR(OFFSET(F$118,0,-$C125)*$D125)=TRUE(),0,OFFSET(F$118,0,-$C125)*$D125)</f>
        <v>0</v>
      </c>
      <c r="G125" s="1026" t="n">
        <f aca="true">IF(ISERROR(OFFSET(G$118,0,-$C125)*$D125)=TRUE(),0,OFFSET(G$118,0,-$C125)*$D125)</f>
        <v>0</v>
      </c>
      <c r="H125" s="1026" t="n">
        <f aca="true">IF(ISERROR(OFFSET(H$118,0,-$C125)*$D125)=TRUE(),0,OFFSET(H$118,0,-$C125)*$D125)</f>
        <v>0</v>
      </c>
      <c r="I125" s="1026" t="n">
        <f aca="true">IF(ISERROR(OFFSET(I$118,0,-$C125)*$D125)=TRUE(),0,OFFSET(I$118,0,-$C125)*$D125)</f>
        <v>0</v>
      </c>
      <c r="J125" s="1026" t="n">
        <f aca="true">IF(ISERROR(OFFSET(J$118,0,-$C125)*$D125)=TRUE(),0,OFFSET(J$118,0,-$C125)*$D125)</f>
        <v>0</v>
      </c>
      <c r="K125" s="1026" t="n">
        <f aca="true">IF(ISERROR(OFFSET(K$118,0,-$C125)*$D125)=TRUE(),0,OFFSET(K$118,0,-$C125)*$D125)</f>
        <v>0</v>
      </c>
      <c r="L125" s="1026" t="n">
        <f aca="true">IF(ISERROR(OFFSET(L$118,0,-$C125)*$D125)=TRUE(),0,OFFSET(L$118,0,-$C125)*$D125)</f>
        <v>0</v>
      </c>
      <c r="M125" s="1026" t="n">
        <f aca="true">IF(ISERROR(OFFSET(M$118,0,-$C125)*$D125)=TRUE(),0,OFFSET(M$118,0,-$C125)*$D125)</f>
        <v>0</v>
      </c>
      <c r="N125" s="1026" t="n">
        <f aca="true">IF(ISERROR(OFFSET(N$118,0,-$C125)*$D125)=TRUE(),0,OFFSET(N$118,0,-$C125)*$D125)</f>
        <v>0</v>
      </c>
      <c r="O125" s="1026" t="n">
        <f aca="true">IF(ISERROR(OFFSET(O$118,0,-$C125)*$D125)=TRUE(),0,OFFSET(O$118,0,-$C125)*$D125)</f>
        <v>0</v>
      </c>
      <c r="P125" s="1026" t="n">
        <f aca="true">IF(ISERROR(OFFSET(P$118,0,-$C125)*$D125)=TRUE(),0,OFFSET(P$118,0,-$C125)*$D125)</f>
        <v>0</v>
      </c>
      <c r="Q125" s="976" t="n">
        <f aca="false">SUM(E125:P125)</f>
        <v>0</v>
      </c>
      <c r="R125" s="549"/>
    </row>
    <row r="126" customFormat="false" ht="12.75" hidden="false" customHeight="false" outlineLevel="0" collapsed="false">
      <c r="B126" s="0" t="s">
        <v>743</v>
      </c>
      <c r="C126" s="451" t="n">
        <f aca="false">C39</f>
        <v>0</v>
      </c>
      <c r="D126" s="1330" t="n">
        <f aca="false">D39</f>
        <v>0</v>
      </c>
      <c r="E126" s="1026" t="n">
        <f aca="true">IF(ISERROR(OFFSET(E$118,0,-$C126)*$D126)=TRUE(),0,OFFSET(E$118,0,-$C126)*$D126)</f>
        <v>0</v>
      </c>
      <c r="F126" s="1026" t="n">
        <f aca="true">IF(ISERROR(OFFSET(F$118,0,-$C126)*$D126)=TRUE(),0,OFFSET(F$118,0,-$C126)*$D126)</f>
        <v>0</v>
      </c>
      <c r="G126" s="1026" t="n">
        <f aca="true">IF(ISERROR(OFFSET(G$118,0,-$C126)*$D126)=TRUE(),0,OFFSET(G$118,0,-$C126)*$D126)</f>
        <v>0</v>
      </c>
      <c r="H126" s="1026" t="n">
        <f aca="true">IF(ISERROR(OFFSET(H$118,0,-$C126)*$D126)=TRUE(),0,OFFSET(H$118,0,-$C126)*$D126)</f>
        <v>0</v>
      </c>
      <c r="I126" s="1026" t="n">
        <f aca="true">IF(ISERROR(OFFSET(I$118,0,-$C126)*$D126)=TRUE(),0,OFFSET(I$118,0,-$C126)*$D126)</f>
        <v>0</v>
      </c>
      <c r="J126" s="1026" t="n">
        <f aca="true">IF(ISERROR(OFFSET(J$118,0,-$C126)*$D126)=TRUE(),0,OFFSET(J$118,0,-$C126)*$D126)</f>
        <v>0</v>
      </c>
      <c r="K126" s="1026" t="n">
        <f aca="true">IF(ISERROR(OFFSET(K$118,0,-$C126)*$D126)=TRUE(),0,OFFSET(K$118,0,-$C126)*$D126)</f>
        <v>0</v>
      </c>
      <c r="L126" s="1026" t="n">
        <f aca="true">IF(ISERROR(OFFSET(L$118,0,-$C126)*$D126)=TRUE(),0,OFFSET(L$118,0,-$C126)*$D126)</f>
        <v>0</v>
      </c>
      <c r="M126" s="1026" t="n">
        <f aca="true">IF(ISERROR(OFFSET(M$118,0,-$C126)*$D126)=TRUE(),0,OFFSET(M$118,0,-$C126)*$D126)</f>
        <v>0</v>
      </c>
      <c r="N126" s="1026" t="n">
        <f aca="true">IF(ISERROR(OFFSET(N$118,0,-$C126)*$D126)=TRUE(),0,OFFSET(N$118,0,-$C126)*$D126)</f>
        <v>0</v>
      </c>
      <c r="O126" s="1026" t="n">
        <f aca="true">IF(ISERROR(OFFSET(O$118,0,-$C126)*$D126)=TRUE(),0,OFFSET(O$118,0,-$C126)*$D126)</f>
        <v>0</v>
      </c>
      <c r="P126" s="1026" t="n">
        <f aca="true">IF(ISERROR(OFFSET(P$118,0,-$C126)*$D126)=TRUE(),0,OFFSET(P$118,0,-$C126)*$D126)</f>
        <v>0</v>
      </c>
      <c r="Q126" s="976" t="n">
        <f aca="false">SUM(E126:P126)</f>
        <v>0</v>
      </c>
      <c r="R126" s="549"/>
    </row>
    <row r="127" customFormat="false" ht="13.5" hidden="false" customHeight="false" outlineLevel="0" collapsed="false">
      <c r="B127" s="0" t="s">
        <v>743</v>
      </c>
      <c r="C127" s="451" t="n">
        <f aca="false">C40</f>
        <v>0</v>
      </c>
      <c r="D127" s="1330" t="n">
        <f aca="false">D40</f>
        <v>0</v>
      </c>
      <c r="E127" s="1026" t="n">
        <f aca="true">IF(ISERROR(OFFSET(E$118,0,-$C127)*$D127)=TRUE(),0,OFFSET(E$118,0,-$C127)*$D127)</f>
        <v>0</v>
      </c>
      <c r="F127" s="1026" t="n">
        <f aca="true">IF(ISERROR(OFFSET(F$118,0,-$C127)*$D127)=TRUE(),0,OFFSET(F$118,0,-$C127)*$D127)</f>
        <v>0</v>
      </c>
      <c r="G127" s="1026" t="n">
        <f aca="true">IF(ISERROR(OFFSET(G$118,0,-$C127)*$D127)=TRUE(),0,OFFSET(G$118,0,-$C127)*$D127)</f>
        <v>0</v>
      </c>
      <c r="H127" s="1026" t="n">
        <f aca="true">IF(ISERROR(OFFSET(H$118,0,-$C127)*$D127)=TRUE(),0,OFFSET(H$118,0,-$C127)*$D127)</f>
        <v>0</v>
      </c>
      <c r="I127" s="1026" t="n">
        <f aca="true">IF(ISERROR(OFFSET(I$118,0,-$C127)*$D127)=TRUE(),0,OFFSET(I$118,0,-$C127)*$D127)</f>
        <v>0</v>
      </c>
      <c r="J127" s="1026" t="n">
        <f aca="true">IF(ISERROR(OFFSET(J$118,0,-$C127)*$D127)=TRUE(),0,OFFSET(J$118,0,-$C127)*$D127)</f>
        <v>0</v>
      </c>
      <c r="K127" s="1026" t="n">
        <f aca="true">IF(ISERROR(OFFSET(K$118,0,-$C127)*$D127)=TRUE(),0,OFFSET(K$118,0,-$C127)*$D127)</f>
        <v>0</v>
      </c>
      <c r="L127" s="1026" t="n">
        <f aca="true">IF(ISERROR(OFFSET(L$118,0,-$C127)*$D127)=TRUE(),0,OFFSET(L$118,0,-$C127)*$D127)</f>
        <v>0</v>
      </c>
      <c r="M127" s="1026" t="n">
        <f aca="true">IF(ISERROR(OFFSET(M$118,0,-$C127)*$D127)=TRUE(),0,OFFSET(M$118,0,-$C127)*$D127)</f>
        <v>0</v>
      </c>
      <c r="N127" s="1026" t="n">
        <f aca="true">IF(ISERROR(OFFSET(N$118,0,-$C127)*$D127)=TRUE(),0,OFFSET(N$118,0,-$C127)*$D127)</f>
        <v>0</v>
      </c>
      <c r="O127" s="1026" t="n">
        <f aca="true">IF(ISERROR(OFFSET(O$118,0,-$C127)*$D127)=TRUE(),0,OFFSET(O$118,0,-$C127)*$D127)</f>
        <v>0</v>
      </c>
      <c r="P127" s="1026" t="n">
        <f aca="true">IF(ISERROR(OFFSET(P$118,0,-$C127)*$D127)=TRUE(),0,OFFSET(P$118,0,-$C127)*$D127)</f>
        <v>0</v>
      </c>
      <c r="Q127" s="1333" t="n">
        <f aca="false">SUM(E127:P127)</f>
        <v>0</v>
      </c>
      <c r="R127" s="549"/>
    </row>
    <row r="128" customFormat="false" ht="15" hidden="false" customHeight="false" outlineLevel="0" collapsed="false">
      <c r="B128" s="1317" t="str">
        <f aca="false">B41</f>
        <v>Total pagado:</v>
      </c>
      <c r="C128" s="1318"/>
      <c r="D128" s="1334" t="n">
        <f aca="false">D41</f>
        <v>1</v>
      </c>
      <c r="E128" s="366" t="n">
        <f aca="false">SUM(E120:E127)</f>
        <v>3501.575</v>
      </c>
      <c r="F128" s="366" t="n">
        <f aca="false">SUM(F120:F127)</f>
        <v>7003.15</v>
      </c>
      <c r="G128" s="366" t="n">
        <f aca="false">SUM(G120:G127)</f>
        <v>10504.725</v>
      </c>
      <c r="H128" s="366" t="n">
        <f aca="false">SUM(H120:H127)</f>
        <v>14006.3</v>
      </c>
      <c r="I128" s="366" t="n">
        <f aca="false">SUM(I120:I127)</f>
        <v>14006.3</v>
      </c>
      <c r="J128" s="366" t="n">
        <f aca="false">SUM(J120:J127)</f>
        <v>14006.3</v>
      </c>
      <c r="K128" s="366" t="n">
        <f aca="false">SUM(K120:K127)</f>
        <v>14006.3</v>
      </c>
      <c r="L128" s="366" t="n">
        <f aca="false">SUM(L120:L127)</f>
        <v>14006.3</v>
      </c>
      <c r="M128" s="366" t="n">
        <f aca="false">SUM(M120:M127)</f>
        <v>14006.3</v>
      </c>
      <c r="N128" s="366" t="n">
        <f aca="false">SUM(N120:N127)</f>
        <v>14006.3</v>
      </c>
      <c r="O128" s="366" t="n">
        <f aca="false">SUM(O120:O127)</f>
        <v>14006.3</v>
      </c>
      <c r="P128" s="366" t="n">
        <f aca="false">SUM(P120:P127)</f>
        <v>14006.3</v>
      </c>
      <c r="Q128" s="417" t="n">
        <f aca="false">SUM(E128:P128)</f>
        <v>147066.15</v>
      </c>
    </row>
    <row r="129" customFormat="false" ht="23.25" hidden="false" customHeight="true" outlineLevel="0" collapsed="false">
      <c r="B129" s="1336" t="s">
        <v>747</v>
      </c>
      <c r="C129" s="1337"/>
      <c r="D129" s="1338" t="n">
        <f aca="false">'Entrada Inver_Finan'!D134+'Entrada Inver_Finan'!D134*'Datos generales'!D16</f>
        <v>0</v>
      </c>
      <c r="E129" s="1338" t="n">
        <f aca="true">OFFSET('Otra financiación'!$K$84,D1,0,1,1)</f>
        <v>0</v>
      </c>
      <c r="F129" s="1338" t="n">
        <f aca="true">OFFSET('Otra financiación'!$K$84,E1,0,1,1)</f>
        <v>0</v>
      </c>
      <c r="G129" s="1338" t="n">
        <f aca="true">OFFSET('Otra financiación'!$K$84,F1,0,1,1)</f>
        <v>0</v>
      </c>
      <c r="H129" s="1338" t="n">
        <f aca="true">OFFSET('Otra financiación'!$K$84,G1,0,1,1)</f>
        <v>0</v>
      </c>
      <c r="I129" s="1338" t="n">
        <f aca="true">OFFSET('Otra financiación'!$K$84,H1,0,1,1)</f>
        <v>0</v>
      </c>
      <c r="J129" s="1338" t="n">
        <f aca="true">OFFSET('Otra financiación'!$K$84,I1,0,1,1)</f>
        <v>0</v>
      </c>
      <c r="K129" s="1338" t="n">
        <f aca="true">OFFSET('Otra financiación'!$K$84,J1,0,1,1)</f>
        <v>0</v>
      </c>
      <c r="L129" s="1338" t="n">
        <f aca="true">OFFSET('Otra financiación'!$K$84,K1,0,1,1)</f>
        <v>0</v>
      </c>
      <c r="M129" s="1338" t="n">
        <f aca="true">OFFSET('Otra financiación'!$K$84,L1,0,1,1)</f>
        <v>0</v>
      </c>
      <c r="N129" s="1338" t="n">
        <f aca="true">OFFSET('Otra financiación'!$K$84,M1,0,1,1)</f>
        <v>0</v>
      </c>
      <c r="O129" s="1338" t="n">
        <f aca="true">OFFSET('Otra financiación'!$K$84,N1,0,1,1)</f>
        <v>0</v>
      </c>
      <c r="P129" s="1338" t="n">
        <f aca="true">OFFSET('Otra financiación'!$K$84,O1,0,1,1)</f>
        <v>0</v>
      </c>
      <c r="Q129" s="1338"/>
      <c r="R129" s="549"/>
    </row>
    <row r="130" customFormat="false" ht="6.75" hidden="false" customHeight="true" outlineLevel="0" collapsed="false">
      <c r="B130" s="23"/>
      <c r="C130" s="70"/>
      <c r="D130" s="267"/>
      <c r="E130" s="267"/>
      <c r="F130" s="267"/>
      <c r="G130" s="267"/>
      <c r="H130" s="267"/>
      <c r="I130" s="267"/>
      <c r="J130" s="267"/>
      <c r="K130" s="267"/>
      <c r="L130" s="267"/>
      <c r="M130" s="267"/>
      <c r="N130" s="267"/>
      <c r="O130" s="267"/>
      <c r="P130" s="267"/>
      <c r="Q130" s="267"/>
    </row>
    <row r="131" customFormat="false" ht="16.5" hidden="false" customHeight="true" outlineLevel="0" collapsed="false">
      <c r="B131" s="1317" t="s">
        <v>758</v>
      </c>
      <c r="C131" s="1318"/>
      <c r="D131" s="1318"/>
      <c r="E131" s="366" t="n">
        <f aca="false">D129+E118-E128-E129</f>
        <v>10504.725</v>
      </c>
      <c r="F131" s="366" t="n">
        <f aca="false">E131+F118-F128-F129</f>
        <v>17507.875</v>
      </c>
      <c r="G131" s="366" t="n">
        <f aca="false">F131+G118-G128-G129</f>
        <v>21009.45</v>
      </c>
      <c r="H131" s="366" t="n">
        <f aca="false">G131+H118-H128-H129</f>
        <v>21009.45</v>
      </c>
      <c r="I131" s="366" t="n">
        <f aca="false">H131+I118-I128-I129</f>
        <v>21009.45</v>
      </c>
      <c r="J131" s="366" t="n">
        <f aca="false">I131+J118-J128-J129</f>
        <v>21009.45</v>
      </c>
      <c r="K131" s="366" t="n">
        <f aca="false">J131+K118-K128-K129</f>
        <v>21009.45</v>
      </c>
      <c r="L131" s="366" t="n">
        <f aca="false">K131+L118-L128-L129</f>
        <v>21009.45</v>
      </c>
      <c r="M131" s="366" t="n">
        <f aca="false">L131+M118-M128-M129</f>
        <v>21009.45</v>
      </c>
      <c r="N131" s="366" t="n">
        <f aca="false">M131+N118-N128-N129</f>
        <v>21009.45</v>
      </c>
      <c r="O131" s="366" t="n">
        <f aca="false">N131+O118-O128-O129</f>
        <v>21009.45</v>
      </c>
      <c r="P131" s="417" t="n">
        <f aca="false">O131+P118-P128-P129</f>
        <v>21009.45</v>
      </c>
      <c r="Q131" s="93"/>
    </row>
    <row r="132" customFormat="false" ht="14.25" hidden="false" customHeight="false" outlineLevel="0" collapsed="false">
      <c r="B132" s="70"/>
      <c r="C132" s="70"/>
      <c r="D132" s="223"/>
      <c r="E132" s="93"/>
      <c r="F132" s="93"/>
      <c r="G132" s="93"/>
      <c r="H132" s="93"/>
      <c r="I132" s="93"/>
      <c r="J132" s="93"/>
      <c r="K132" s="93"/>
      <c r="L132" s="93"/>
      <c r="M132" s="93"/>
      <c r="N132" s="93"/>
      <c r="O132" s="93"/>
      <c r="P132" s="93"/>
    </row>
    <row r="133" customFormat="false" ht="14.25" hidden="false" customHeight="false" outlineLevel="0" collapsed="false">
      <c r="B133" s="70"/>
      <c r="C133" s="70"/>
      <c r="D133" s="223"/>
      <c r="E133" s="93"/>
      <c r="F133" s="93"/>
      <c r="G133" s="93"/>
      <c r="H133" s="93"/>
      <c r="I133" s="93"/>
      <c r="J133" s="93"/>
      <c r="K133" s="93"/>
      <c r="L133" s="93"/>
      <c r="M133" s="93"/>
      <c r="N133" s="93"/>
      <c r="O133" s="93"/>
      <c r="P133" s="93"/>
    </row>
    <row r="134" customFormat="false" ht="14.25" hidden="false" customHeight="false" outlineLevel="0" collapsed="false">
      <c r="B134" s="51" t="s">
        <v>754</v>
      </c>
      <c r="E134" s="1335" t="s">
        <v>475</v>
      </c>
      <c r="F134" s="93"/>
      <c r="G134" s="93"/>
      <c r="H134" s="93"/>
      <c r="I134" s="93"/>
      <c r="J134" s="93"/>
      <c r="K134" s="93"/>
      <c r="L134" s="93"/>
      <c r="M134" s="93"/>
      <c r="N134" s="93"/>
      <c r="O134" s="93"/>
      <c r="P134" s="93"/>
      <c r="Q134" s="93"/>
    </row>
    <row r="135" customFormat="false" ht="12.75" hidden="false" customHeight="false" outlineLevel="0" collapsed="false">
      <c r="E135" s="93"/>
      <c r="F135" s="93"/>
      <c r="G135" s="93"/>
      <c r="H135" s="93"/>
      <c r="I135" s="93"/>
      <c r="J135" s="93"/>
      <c r="K135" s="93"/>
      <c r="L135" s="93"/>
      <c r="M135" s="93"/>
    </row>
    <row r="136" customFormat="false" ht="14.25" hidden="false" customHeight="false" outlineLevel="0" collapsed="false">
      <c r="B136" s="451"/>
      <c r="C136" s="451"/>
      <c r="D136" s="336"/>
      <c r="E136" s="1328" t="s">
        <v>303</v>
      </c>
      <c r="F136" s="1328" t="s">
        <v>304</v>
      </c>
      <c r="G136" s="1328" t="s">
        <v>305</v>
      </c>
      <c r="H136" s="1328" t="s">
        <v>127</v>
      </c>
      <c r="I136" s="1328" t="s">
        <v>128</v>
      </c>
      <c r="J136" s="1328" t="s">
        <v>129</v>
      </c>
      <c r="K136" s="1328" t="s">
        <v>130</v>
      </c>
      <c r="L136" s="1328" t="s">
        <v>306</v>
      </c>
      <c r="M136" s="1328" t="s">
        <v>307</v>
      </c>
      <c r="N136" s="1328" t="s">
        <v>308</v>
      </c>
      <c r="O136" s="1328" t="s">
        <v>309</v>
      </c>
      <c r="P136" s="1328" t="s">
        <v>310</v>
      </c>
      <c r="Q136" s="1328" t="s">
        <v>136</v>
      </c>
    </row>
    <row r="137" customFormat="false" ht="15" hidden="false" customHeight="false" outlineLevel="0" collapsed="false">
      <c r="B137" s="1304" t="s">
        <v>755</v>
      </c>
      <c r="C137" s="1305"/>
      <c r="D137" s="1305"/>
      <c r="E137" s="1306" t="n">
        <f aca="false">'Margen B'!D160</f>
        <v>17426</v>
      </c>
      <c r="F137" s="1306" t="n">
        <f aca="false">'Margen B'!E160</f>
        <v>17426</v>
      </c>
      <c r="G137" s="1306" t="n">
        <f aca="false">'Margen B'!F160</f>
        <v>17426</v>
      </c>
      <c r="H137" s="1306" t="n">
        <f aca="false">'Margen B'!G160</f>
        <v>17426</v>
      </c>
      <c r="I137" s="1306" t="n">
        <f aca="false">'Margen B'!H160</f>
        <v>17426</v>
      </c>
      <c r="J137" s="1306" t="n">
        <f aca="false">'Margen B'!I160</f>
        <v>17426</v>
      </c>
      <c r="K137" s="1306" t="n">
        <f aca="false">'Margen B'!J160</f>
        <v>17426</v>
      </c>
      <c r="L137" s="1306" t="n">
        <f aca="false">'Margen B'!K160</f>
        <v>17426</v>
      </c>
      <c r="M137" s="1306" t="n">
        <f aca="false">'Margen B'!L160</f>
        <v>17426</v>
      </c>
      <c r="N137" s="1306" t="n">
        <f aca="false">'Margen B'!M160</f>
        <v>17426</v>
      </c>
      <c r="O137" s="1306" t="n">
        <f aca="false">'Margen B'!N160</f>
        <v>17426</v>
      </c>
      <c r="P137" s="1306" t="n">
        <f aca="false">'Margen B'!O160</f>
        <v>17426</v>
      </c>
      <c r="Q137" s="1307" t="n">
        <f aca="false">SUM(E137:P137)</f>
        <v>209112</v>
      </c>
    </row>
    <row r="138" customFormat="false" ht="14.25" hidden="false" customHeight="false" outlineLevel="0" collapsed="false">
      <c r="B138" s="70" t="s">
        <v>756</v>
      </c>
      <c r="C138" s="70"/>
      <c r="D138" s="70"/>
      <c r="E138" s="223" t="n">
        <f aca="false">E137*'Datos generales'!$D$16</f>
        <v>1742.6</v>
      </c>
      <c r="F138" s="223" t="n">
        <f aca="false">F137*'Datos generales'!$D$16</f>
        <v>1742.6</v>
      </c>
      <c r="G138" s="223" t="n">
        <f aca="false">G137*'Datos generales'!$D$16</f>
        <v>1742.6</v>
      </c>
      <c r="H138" s="223" t="n">
        <f aca="false">H137*'Datos generales'!$D$16</f>
        <v>1742.6</v>
      </c>
      <c r="I138" s="223" t="n">
        <f aca="false">I137*'Datos generales'!$D$16</f>
        <v>1742.6</v>
      </c>
      <c r="J138" s="223" t="n">
        <f aca="false">J137*'Datos generales'!$D$16</f>
        <v>1742.6</v>
      </c>
      <c r="K138" s="223" t="n">
        <f aca="false">K137*'Datos generales'!$D$16</f>
        <v>1742.6</v>
      </c>
      <c r="L138" s="223" t="n">
        <f aca="false">L137*'Datos generales'!$D$16</f>
        <v>1742.6</v>
      </c>
      <c r="M138" s="223" t="n">
        <f aca="false">M137*'Datos generales'!$D$16</f>
        <v>1742.6</v>
      </c>
      <c r="N138" s="223" t="n">
        <f aca="false">N137*'Datos generales'!$D$16</f>
        <v>1742.6</v>
      </c>
      <c r="O138" s="223" t="n">
        <f aca="false">O137*'Datos generales'!$D$16</f>
        <v>1742.6</v>
      </c>
      <c r="P138" s="223" t="n">
        <f aca="false">P137*'Datos generales'!$D$16</f>
        <v>1742.6</v>
      </c>
      <c r="Q138" s="223" t="n">
        <f aca="false">SUM(E138:P138)</f>
        <v>20911.2</v>
      </c>
    </row>
    <row r="139" customFormat="false" ht="14.25" hidden="false" customHeight="false" outlineLevel="0" collapsed="false">
      <c r="B139" s="70" t="s">
        <v>757</v>
      </c>
      <c r="C139" s="70"/>
      <c r="D139" s="70"/>
      <c r="E139" s="223" t="n">
        <f aca="false">SUM(E137:E138)</f>
        <v>19168.6</v>
      </c>
      <c r="F139" s="223" t="n">
        <f aca="false">SUM(F137:F138)</f>
        <v>19168.6</v>
      </c>
      <c r="G139" s="223" t="n">
        <f aca="false">SUM(G137:G138)</f>
        <v>19168.6</v>
      </c>
      <c r="H139" s="223" t="n">
        <f aca="false">SUM(H137:H138)</f>
        <v>19168.6</v>
      </c>
      <c r="I139" s="223" t="n">
        <f aca="false">SUM(I137:I138)</f>
        <v>19168.6</v>
      </c>
      <c r="J139" s="223" t="n">
        <f aca="false">SUM(J137:J138)</f>
        <v>19168.6</v>
      </c>
      <c r="K139" s="223" t="n">
        <f aca="false">SUM(K137:K138)</f>
        <v>19168.6</v>
      </c>
      <c r="L139" s="223" t="n">
        <f aca="false">SUM(L137:L138)</f>
        <v>19168.6</v>
      </c>
      <c r="M139" s="223" t="n">
        <f aca="false">SUM(M137:M138)</f>
        <v>19168.6</v>
      </c>
      <c r="N139" s="223" t="n">
        <f aca="false">SUM(N137:N138)</f>
        <v>19168.6</v>
      </c>
      <c r="O139" s="223" t="n">
        <f aca="false">SUM(O137:O138)</f>
        <v>19168.6</v>
      </c>
      <c r="P139" s="223" t="n">
        <f aca="false">SUM(P137:P138)</f>
        <v>19168.6</v>
      </c>
      <c r="Q139" s="223" t="n">
        <f aca="false">SUM(E139:P139)</f>
        <v>230023.2</v>
      </c>
    </row>
    <row r="140" customFormat="false" ht="21.75" hidden="false" customHeight="true" outlineLevel="0" collapsed="false">
      <c r="B140" s="465" t="s">
        <v>170</v>
      </c>
      <c r="C140" s="465"/>
      <c r="D140" s="1329" t="s">
        <v>165</v>
      </c>
      <c r="E140" s="549"/>
      <c r="F140" s="549"/>
      <c r="G140" s="549"/>
      <c r="H140" s="549"/>
      <c r="I140" s="549"/>
      <c r="J140" s="549"/>
      <c r="K140" s="549"/>
      <c r="L140" s="549"/>
      <c r="M140" s="549"/>
      <c r="N140" s="549"/>
      <c r="O140" s="549"/>
      <c r="P140" s="549"/>
      <c r="Q140" s="93"/>
    </row>
    <row r="141" customFormat="false" ht="12.75" hidden="false" customHeight="false" outlineLevel="0" collapsed="false">
      <c r="B141" s="451" t="s">
        <v>742</v>
      </c>
      <c r="C141" s="451"/>
      <c r="D141" s="1330" t="n">
        <f aca="false">D120</f>
        <v>0.25</v>
      </c>
      <c r="E141" s="1331" t="n">
        <f aca="false">+E139*$D$120</f>
        <v>4792.15</v>
      </c>
      <c r="F141" s="1331" t="n">
        <f aca="false">+F139*$D$120</f>
        <v>4792.15</v>
      </c>
      <c r="G141" s="1331" t="n">
        <f aca="false">+G139*$D$120</f>
        <v>4792.15</v>
      </c>
      <c r="H141" s="1331" t="n">
        <f aca="false">+H139*$D$120</f>
        <v>4792.15</v>
      </c>
      <c r="I141" s="1331" t="n">
        <f aca="false">+I139*$D$120</f>
        <v>4792.15</v>
      </c>
      <c r="J141" s="1331" t="n">
        <f aca="false">+J139*$D$120</f>
        <v>4792.15</v>
      </c>
      <c r="K141" s="1331" t="n">
        <f aca="false">+K139*$D$120</f>
        <v>4792.15</v>
      </c>
      <c r="L141" s="1331" t="n">
        <f aca="false">+L139*$D$120</f>
        <v>4792.15</v>
      </c>
      <c r="M141" s="1331" t="n">
        <f aca="false">+M139*$D$120</f>
        <v>4792.15</v>
      </c>
      <c r="N141" s="1331" t="n">
        <f aca="false">+N139*$D$120</f>
        <v>4792.15</v>
      </c>
      <c r="O141" s="1331" t="n">
        <f aca="false">+O139*$D$120</f>
        <v>4792.15</v>
      </c>
      <c r="P141" s="1331" t="n">
        <f aca="false">+P139*$D$120</f>
        <v>4792.15</v>
      </c>
      <c r="Q141" s="1332" t="n">
        <f aca="false">SUM(E141:P141)</f>
        <v>57505.8</v>
      </c>
      <c r="R141" s="549"/>
    </row>
    <row r="142" customFormat="false" ht="12.75" hidden="false" customHeight="false" outlineLevel="0" collapsed="false">
      <c r="B142" s="0" t="s">
        <v>743</v>
      </c>
      <c r="C142" s="451" t="n">
        <f aca="false">C121</f>
        <v>1</v>
      </c>
      <c r="D142" s="1330" t="n">
        <f aca="false">D121</f>
        <v>0.25</v>
      </c>
      <c r="E142" s="1026" t="n">
        <f aca="true">IF($C142&gt;=E$1,IF($C142&gt;12+D$1,0,OFFSET($Q$118,0,-$C142+D$1)*$D142),OFFSET(E$139,0,-$C142)*$D142)</f>
        <v>3501.575</v>
      </c>
      <c r="F142" s="1026" t="n">
        <f aca="true">IF($C142&gt;=F$1,IF($C142&gt;12+E$1,0,OFFSET($Q$118,0,-$C142+E$1)*$D142),OFFSET(F$139,0,-$C142)*$D142)</f>
        <v>4792.15</v>
      </c>
      <c r="G142" s="1026" t="n">
        <f aca="true">IF($C142&gt;=G$1,IF($C142&gt;12+F$1,0,OFFSET($Q$118,0,-$C142+F$1)*$D142),OFFSET(G$139,0,-$C142)*$D142)</f>
        <v>4792.15</v>
      </c>
      <c r="H142" s="1026" t="n">
        <f aca="true">IF($C142&gt;=H$1,IF($C142&gt;12+G$1,0,OFFSET($Q$118,0,-$C142+G$1)*$D142),OFFSET(H$139,0,-$C142)*$D142)</f>
        <v>4792.15</v>
      </c>
      <c r="I142" s="1026" t="n">
        <f aca="true">IF($C142&gt;=I$1,IF($C142&gt;12+H$1,0,OFFSET($Q$118,0,-$C142+H$1)*$D142),OFFSET(I$139,0,-$C142)*$D142)</f>
        <v>4792.15</v>
      </c>
      <c r="J142" s="1026" t="n">
        <f aca="true">IF($C142&gt;=J$1,IF($C142&gt;12+I$1,0,OFFSET($Q$118,0,-$C142+I$1)*$D142),OFFSET(J$139,0,-$C142)*$D142)</f>
        <v>4792.15</v>
      </c>
      <c r="K142" s="1026" t="n">
        <f aca="true">IF($C142&gt;=K$1,IF($C142&gt;12+J$1,0,OFFSET($Q$118,0,-$C142+J$1)*$D142),OFFSET(K$139,0,-$C142)*$D142)</f>
        <v>4792.15</v>
      </c>
      <c r="L142" s="1026" t="n">
        <f aca="true">IF($C142&gt;=L$1,IF($C142&gt;12+K$1,0,OFFSET($Q$118,0,-$C142+K$1)*$D142),OFFSET(L$139,0,-$C142)*$D142)</f>
        <v>4792.15</v>
      </c>
      <c r="M142" s="1026" t="n">
        <f aca="true">IF($C142&gt;=M$1,IF($C142&gt;12+L$1,0,OFFSET($Q$118,0,-$C142+L$1)*$D142),OFFSET(M$139,0,-$C142)*$D142)</f>
        <v>4792.15</v>
      </c>
      <c r="N142" s="1026" t="n">
        <f aca="true">IF($C142&gt;=N$1,IF($C142&gt;12+M$1,0,OFFSET($Q$118,0,-$C142+M$1)*$D142),OFFSET(N$139,0,-$C142)*$D142)</f>
        <v>4792.15</v>
      </c>
      <c r="O142" s="1026" t="n">
        <f aca="true">IF($C142&gt;=O$1,IF($C142&gt;12+N$1,0,OFFSET($Q$118,0,-$C142+N$1)*$D142),OFFSET(O$139,0,-$C142)*$D142)</f>
        <v>4792.15</v>
      </c>
      <c r="P142" s="1026" t="n">
        <f aca="true">IF($C142&gt;=P$1,IF($C142&gt;12+O$1,0,OFFSET($Q$118,0,-$C142+O$1)*$D142),OFFSET(P$139,0,-$C142)*$D142)</f>
        <v>4792.15</v>
      </c>
      <c r="Q142" s="976" t="n">
        <f aca="false">SUM(E142:P142)</f>
        <v>56215.225</v>
      </c>
      <c r="R142" s="549"/>
    </row>
    <row r="143" customFormat="false" ht="12.75" hidden="false" customHeight="false" outlineLevel="0" collapsed="false">
      <c r="B143" s="0" t="s">
        <v>743</v>
      </c>
      <c r="C143" s="451" t="n">
        <f aca="false">C122</f>
        <v>2</v>
      </c>
      <c r="D143" s="1330" t="n">
        <f aca="false">D122</f>
        <v>0.25</v>
      </c>
      <c r="E143" s="1026" t="n">
        <f aca="true">IF($C143&gt;=E$1,IF($C143&gt;12+D$1,0,OFFSET($Q$118,0,-$C143+D$1)*$D143),OFFSET(E$139,0,-$C143)*$D143)</f>
        <v>3501.575</v>
      </c>
      <c r="F143" s="1026" t="n">
        <f aca="true">IF($C143&gt;=F$1,IF($C143&gt;12+E$1,0,OFFSET($Q$118,0,-$C143+E$1)*$D143),OFFSET(F$139,0,-$C143)*$D143)</f>
        <v>3501.575</v>
      </c>
      <c r="G143" s="1026" t="n">
        <f aca="true">IF($C143&gt;=G$1,IF($C143&gt;12+F$1,0,OFFSET($Q$118,0,-$C143+F$1)*$D143),OFFSET(G$139,0,-$C143)*$D143)</f>
        <v>4792.15</v>
      </c>
      <c r="H143" s="1026" t="n">
        <f aca="true">IF($C143&gt;=H$1,IF($C143&gt;12+G$1,0,OFFSET($Q$118,0,-$C143+G$1)*$D143),OFFSET(H$139,0,-$C143)*$D143)</f>
        <v>4792.15</v>
      </c>
      <c r="I143" s="1026" t="n">
        <f aca="true">IF($C143&gt;=I$1,IF($C143&gt;12+H$1,0,OFFSET($Q$118,0,-$C143+H$1)*$D143),OFFSET(I$139,0,-$C143)*$D143)</f>
        <v>4792.15</v>
      </c>
      <c r="J143" s="1026" t="n">
        <f aca="true">IF($C143&gt;=J$1,IF($C143&gt;12+I$1,0,OFFSET($Q$118,0,-$C143+I$1)*$D143),OFFSET(J$139,0,-$C143)*$D143)</f>
        <v>4792.15</v>
      </c>
      <c r="K143" s="1026" t="n">
        <f aca="true">IF($C143&gt;=K$1,IF($C143&gt;12+J$1,0,OFFSET($Q$118,0,-$C143+J$1)*$D143),OFFSET(K$139,0,-$C143)*$D143)</f>
        <v>4792.15</v>
      </c>
      <c r="L143" s="1026" t="n">
        <f aca="true">IF($C143&gt;=L$1,IF($C143&gt;12+K$1,0,OFFSET($Q$118,0,-$C143+K$1)*$D143),OFFSET(L$139,0,-$C143)*$D143)</f>
        <v>4792.15</v>
      </c>
      <c r="M143" s="1026" t="n">
        <f aca="true">IF($C143&gt;=M$1,IF($C143&gt;12+L$1,0,OFFSET($Q$118,0,-$C143+L$1)*$D143),OFFSET(M$139,0,-$C143)*$D143)</f>
        <v>4792.15</v>
      </c>
      <c r="N143" s="1026" t="n">
        <f aca="true">IF($C143&gt;=N$1,IF($C143&gt;12+M$1,0,OFFSET($Q$118,0,-$C143+M$1)*$D143),OFFSET(N$139,0,-$C143)*$D143)</f>
        <v>4792.15</v>
      </c>
      <c r="O143" s="1026" t="n">
        <f aca="true">IF($C143&gt;=O$1,IF($C143&gt;12+N$1,0,OFFSET($Q$118,0,-$C143+N$1)*$D143),OFFSET(O$139,0,-$C143)*$D143)</f>
        <v>4792.15</v>
      </c>
      <c r="P143" s="1026" t="n">
        <f aca="true">IF($C143&gt;=P$1,IF($C143&gt;12+O$1,0,OFFSET($Q$118,0,-$C143+O$1)*$D143),OFFSET(P$139,0,-$C143)*$D143)</f>
        <v>4792.15</v>
      </c>
      <c r="Q143" s="976" t="n">
        <f aca="false">SUM(E143:P143)</f>
        <v>54924.65</v>
      </c>
      <c r="R143" s="549"/>
    </row>
    <row r="144" customFormat="false" ht="12.75" hidden="false" customHeight="false" outlineLevel="0" collapsed="false">
      <c r="B144" s="0" t="s">
        <v>743</v>
      </c>
      <c r="C144" s="451" t="n">
        <f aca="false">C123</f>
        <v>3</v>
      </c>
      <c r="D144" s="1330" t="n">
        <f aca="false">D123</f>
        <v>0.25</v>
      </c>
      <c r="E144" s="1026" t="n">
        <f aca="true">IF($C144&gt;=E$1,IF($C144&gt;12+D$1,0,OFFSET($Q$118,0,-$C144+D$1)*$D144),OFFSET(E$139,0,-$C144)*$D144)</f>
        <v>3501.575</v>
      </c>
      <c r="F144" s="1026" t="n">
        <f aca="true">IF($C144&gt;=F$1,IF($C144&gt;12+E$1,0,OFFSET($Q$118,0,-$C144+E$1)*$D144),OFFSET(F$139,0,-$C144)*$D144)</f>
        <v>3501.575</v>
      </c>
      <c r="G144" s="1026" t="n">
        <f aca="true">IF($C144&gt;=G$1,IF($C144&gt;12+F$1,0,OFFSET($Q$118,0,-$C144+F$1)*$D144),OFFSET(G$139,0,-$C144)*$D144)</f>
        <v>3501.575</v>
      </c>
      <c r="H144" s="1026" t="n">
        <f aca="true">IF($C144&gt;=H$1,IF($C144&gt;12+G$1,0,OFFSET($Q$118,0,-$C144+G$1)*$D144),OFFSET(H$139,0,-$C144)*$D144)</f>
        <v>4792.15</v>
      </c>
      <c r="I144" s="1026" t="n">
        <f aca="true">IF($C144&gt;=I$1,IF($C144&gt;12+H$1,0,OFFSET($Q$118,0,-$C144+H$1)*$D144),OFFSET(I$139,0,-$C144)*$D144)</f>
        <v>4792.15</v>
      </c>
      <c r="J144" s="1026" t="n">
        <f aca="true">IF($C144&gt;=J$1,IF($C144&gt;12+I$1,0,OFFSET($Q$118,0,-$C144+I$1)*$D144),OFFSET(J$139,0,-$C144)*$D144)</f>
        <v>4792.15</v>
      </c>
      <c r="K144" s="1026" t="n">
        <f aca="true">IF($C144&gt;=K$1,IF($C144&gt;12+J$1,0,OFFSET($Q$118,0,-$C144+J$1)*$D144),OFFSET(K$139,0,-$C144)*$D144)</f>
        <v>4792.15</v>
      </c>
      <c r="L144" s="1026" t="n">
        <f aca="true">IF($C144&gt;=L$1,IF($C144&gt;12+K$1,0,OFFSET($Q$118,0,-$C144+K$1)*$D144),OFFSET(L$139,0,-$C144)*$D144)</f>
        <v>4792.15</v>
      </c>
      <c r="M144" s="1026" t="n">
        <f aca="true">IF($C144&gt;=M$1,IF($C144&gt;12+L$1,0,OFFSET($Q$118,0,-$C144+L$1)*$D144),OFFSET(M$139,0,-$C144)*$D144)</f>
        <v>4792.15</v>
      </c>
      <c r="N144" s="1026" t="n">
        <f aca="true">IF($C144&gt;=N$1,IF($C144&gt;12+M$1,0,OFFSET($Q$118,0,-$C144+M$1)*$D144),OFFSET(N$139,0,-$C144)*$D144)</f>
        <v>4792.15</v>
      </c>
      <c r="O144" s="1026" t="n">
        <f aca="true">IF($C144&gt;=O$1,IF($C144&gt;12+N$1,0,OFFSET($Q$118,0,-$C144+N$1)*$D144),OFFSET(O$139,0,-$C144)*$D144)</f>
        <v>4792.15</v>
      </c>
      <c r="P144" s="1026" t="n">
        <f aca="true">IF($C144&gt;=P$1,IF($C144&gt;12+O$1,0,OFFSET($Q$118,0,-$C144+O$1)*$D144),OFFSET(P$139,0,-$C144)*$D144)</f>
        <v>4792.15</v>
      </c>
      <c r="Q144" s="976" t="n">
        <f aca="false">SUM(E144:P144)</f>
        <v>53634.075</v>
      </c>
      <c r="R144" s="549"/>
    </row>
    <row r="145" customFormat="false" ht="12.75" hidden="false" customHeight="false" outlineLevel="0" collapsed="false">
      <c r="B145" s="0" t="s">
        <v>743</v>
      </c>
      <c r="C145" s="451" t="n">
        <f aca="false">C124</f>
        <v>0</v>
      </c>
      <c r="D145" s="1330" t="n">
        <f aca="false">D124</f>
        <v>0</v>
      </c>
      <c r="E145" s="1026" t="n">
        <f aca="true">IF($C145&gt;=E$1,IF($C145&gt;12+D$1,0,OFFSET($Q$118,0,-$C145+D$1)*$D145),OFFSET(E$139,0,-$C145)*$D145)</f>
        <v>0</v>
      </c>
      <c r="F145" s="1026" t="n">
        <f aca="true">IF($C145&gt;=F$1,IF($C145&gt;12+E$1,0,OFFSET($Q$118,0,-$C145+E$1)*$D145),OFFSET(F$139,0,-$C145)*$D145)</f>
        <v>0</v>
      </c>
      <c r="G145" s="1026" t="n">
        <f aca="true">IF($C145&gt;=G$1,IF($C145&gt;12+F$1,0,OFFSET($Q$118,0,-$C145+F$1)*$D145),OFFSET(G$139,0,-$C145)*$D145)</f>
        <v>0</v>
      </c>
      <c r="H145" s="1026" t="n">
        <f aca="true">IF($C145&gt;=H$1,IF($C145&gt;12+G$1,0,OFFSET($Q$118,0,-$C145+G$1)*$D145),OFFSET(H$139,0,-$C145)*$D145)</f>
        <v>0</v>
      </c>
      <c r="I145" s="1026" t="n">
        <f aca="true">IF($C145&gt;=I$1,IF($C145&gt;12+H$1,0,OFFSET($Q$118,0,-$C145+H$1)*$D145),OFFSET(I$139,0,-$C145)*$D145)</f>
        <v>0</v>
      </c>
      <c r="J145" s="1026" t="n">
        <f aca="true">IF($C145&gt;=J$1,IF($C145&gt;12+I$1,0,OFFSET($Q$118,0,-$C145+I$1)*$D145),OFFSET(J$139,0,-$C145)*$D145)</f>
        <v>0</v>
      </c>
      <c r="K145" s="1026" t="n">
        <f aca="true">IF($C145&gt;=K$1,IF($C145&gt;12+J$1,0,OFFSET($Q$118,0,-$C145+J$1)*$D145),OFFSET(K$139,0,-$C145)*$D145)</f>
        <v>0</v>
      </c>
      <c r="L145" s="1026" t="n">
        <f aca="true">IF($C145&gt;=L$1,IF($C145&gt;12+K$1,0,OFFSET($Q$118,0,-$C145+K$1)*$D145),OFFSET(L$139,0,-$C145)*$D145)</f>
        <v>0</v>
      </c>
      <c r="M145" s="1026" t="n">
        <f aca="true">IF($C145&gt;=M$1,IF($C145&gt;12+L$1,0,OFFSET($Q$118,0,-$C145+L$1)*$D145),OFFSET(M$139,0,-$C145)*$D145)</f>
        <v>0</v>
      </c>
      <c r="N145" s="1026" t="n">
        <f aca="true">IF($C145&gt;=N$1,IF($C145&gt;12+M$1,0,OFFSET($Q$118,0,-$C145+M$1)*$D145),OFFSET(N$139,0,-$C145)*$D145)</f>
        <v>0</v>
      </c>
      <c r="O145" s="1026" t="n">
        <f aca="true">IF($C145&gt;=O$1,IF($C145&gt;12+N$1,0,OFFSET($Q$118,0,-$C145+N$1)*$D145),OFFSET(O$139,0,-$C145)*$D145)</f>
        <v>0</v>
      </c>
      <c r="P145" s="1026" t="n">
        <f aca="true">IF($C145&gt;=P$1,IF($C145&gt;12+O$1,0,OFFSET($Q$118,0,-$C145+O$1)*$D145),OFFSET(P$139,0,-$C145)*$D145)</f>
        <v>0</v>
      </c>
      <c r="Q145" s="976" t="n">
        <f aca="false">SUM(E145:P145)</f>
        <v>0</v>
      </c>
      <c r="R145" s="549"/>
    </row>
    <row r="146" customFormat="false" ht="12.75" hidden="false" customHeight="false" outlineLevel="0" collapsed="false">
      <c r="B146" s="0" t="s">
        <v>743</v>
      </c>
      <c r="C146" s="451" t="n">
        <f aca="false">C125</f>
        <v>0</v>
      </c>
      <c r="D146" s="1330" t="n">
        <f aca="false">D125</f>
        <v>0</v>
      </c>
      <c r="E146" s="1026" t="n">
        <f aca="true">IF($C146&gt;=E$1,IF($C146&gt;12+D$1,0,OFFSET($Q$118,0,-$C146+D$1)*$D146),OFFSET(E$139,0,-$C146)*$D146)</f>
        <v>0</v>
      </c>
      <c r="F146" s="1026" t="n">
        <f aca="true">IF($C146&gt;=F$1,IF($C146&gt;12+E$1,0,OFFSET($Q$118,0,-$C146+E$1)*$D146),OFFSET(F$139,0,-$C146)*$D146)</f>
        <v>0</v>
      </c>
      <c r="G146" s="1026" t="n">
        <f aca="true">IF($C146&gt;=G$1,IF($C146&gt;12+F$1,0,OFFSET($Q$118,0,-$C146+F$1)*$D146),OFFSET(G$139,0,-$C146)*$D146)</f>
        <v>0</v>
      </c>
      <c r="H146" s="1026" t="n">
        <f aca="true">IF($C146&gt;=H$1,IF($C146&gt;12+G$1,0,OFFSET($Q$118,0,-$C146+G$1)*$D146),OFFSET(H$139,0,-$C146)*$D146)</f>
        <v>0</v>
      </c>
      <c r="I146" s="1026" t="n">
        <f aca="true">IF($C146&gt;=I$1,IF($C146&gt;12+H$1,0,OFFSET($Q$118,0,-$C146+H$1)*$D146),OFFSET(I$139,0,-$C146)*$D146)</f>
        <v>0</v>
      </c>
      <c r="J146" s="1026" t="n">
        <f aca="true">IF($C146&gt;=J$1,IF($C146&gt;12+I$1,0,OFFSET($Q$118,0,-$C146+I$1)*$D146),OFFSET(J$139,0,-$C146)*$D146)</f>
        <v>0</v>
      </c>
      <c r="K146" s="1026" t="n">
        <f aca="true">IF($C146&gt;=K$1,IF($C146&gt;12+J$1,0,OFFSET($Q$118,0,-$C146+J$1)*$D146),OFFSET(K$139,0,-$C146)*$D146)</f>
        <v>0</v>
      </c>
      <c r="L146" s="1026" t="n">
        <f aca="true">IF($C146&gt;=L$1,IF($C146&gt;12+K$1,0,OFFSET($Q$118,0,-$C146+K$1)*$D146),OFFSET(L$139,0,-$C146)*$D146)</f>
        <v>0</v>
      </c>
      <c r="M146" s="1026" t="n">
        <f aca="true">IF($C146&gt;=M$1,IF($C146&gt;12+L$1,0,OFFSET($Q$118,0,-$C146+L$1)*$D146),OFFSET(M$139,0,-$C146)*$D146)</f>
        <v>0</v>
      </c>
      <c r="N146" s="1026" t="n">
        <f aca="true">IF($C146&gt;=N$1,IF($C146&gt;12+M$1,0,OFFSET($Q$118,0,-$C146+M$1)*$D146),OFFSET(N$139,0,-$C146)*$D146)</f>
        <v>0</v>
      </c>
      <c r="O146" s="1026" t="n">
        <f aca="true">IF($C146&gt;=O$1,IF($C146&gt;12+N$1,0,OFFSET($Q$118,0,-$C146+N$1)*$D146),OFFSET(O$139,0,-$C146)*$D146)</f>
        <v>0</v>
      </c>
      <c r="P146" s="1026" t="n">
        <f aca="true">IF($C146&gt;=P$1,IF($C146&gt;12+O$1,0,OFFSET($Q$118,0,-$C146+O$1)*$D146),OFFSET(P$139,0,-$C146)*$D146)</f>
        <v>0</v>
      </c>
      <c r="Q146" s="976" t="n">
        <f aca="false">SUM(E146:P146)</f>
        <v>0</v>
      </c>
      <c r="R146" s="549"/>
    </row>
    <row r="147" customFormat="false" ht="12.75" hidden="false" customHeight="false" outlineLevel="0" collapsed="false">
      <c r="B147" s="0" t="s">
        <v>743</v>
      </c>
      <c r="C147" s="451" t="n">
        <f aca="false">C126</f>
        <v>0</v>
      </c>
      <c r="D147" s="1330" t="n">
        <f aca="false">D126</f>
        <v>0</v>
      </c>
      <c r="E147" s="1026" t="n">
        <f aca="true">IF($C147&gt;=E$1,IF($C147&gt;12+D$1,0,OFFSET($Q$118,0,-$C147+D$1)*$D147),OFFSET(E$139,0,-$C147)*$D147)</f>
        <v>0</v>
      </c>
      <c r="F147" s="1026" t="n">
        <f aca="true">IF($C147&gt;=F$1,IF($C147&gt;12+E$1,0,OFFSET($Q$118,0,-$C147+E$1)*$D147),OFFSET(F$139,0,-$C147)*$D147)</f>
        <v>0</v>
      </c>
      <c r="G147" s="1026" t="n">
        <f aca="true">IF($C147&gt;=G$1,IF($C147&gt;12+F$1,0,OFFSET($Q$118,0,-$C147+F$1)*$D147),OFFSET(G$139,0,-$C147)*$D147)</f>
        <v>0</v>
      </c>
      <c r="H147" s="1026" t="n">
        <f aca="true">IF($C147&gt;=H$1,IF($C147&gt;12+G$1,0,OFFSET($Q$118,0,-$C147+G$1)*$D147),OFFSET(H$139,0,-$C147)*$D147)</f>
        <v>0</v>
      </c>
      <c r="I147" s="1026" t="n">
        <f aca="true">IF($C147&gt;=I$1,IF($C147&gt;12+H$1,0,OFFSET($Q$118,0,-$C147+H$1)*$D147),OFFSET(I$139,0,-$C147)*$D147)</f>
        <v>0</v>
      </c>
      <c r="J147" s="1026" t="n">
        <f aca="true">IF($C147&gt;=J$1,IF($C147&gt;12+I$1,0,OFFSET($Q$118,0,-$C147+I$1)*$D147),OFFSET(J$139,0,-$C147)*$D147)</f>
        <v>0</v>
      </c>
      <c r="K147" s="1026" t="n">
        <f aca="true">IF($C147&gt;=K$1,IF($C147&gt;12+J$1,0,OFFSET($Q$118,0,-$C147+J$1)*$D147),OFFSET(K$139,0,-$C147)*$D147)</f>
        <v>0</v>
      </c>
      <c r="L147" s="1026" t="n">
        <f aca="true">IF($C147&gt;=L$1,IF($C147&gt;12+K$1,0,OFFSET($Q$118,0,-$C147+K$1)*$D147),OFFSET(L$139,0,-$C147)*$D147)</f>
        <v>0</v>
      </c>
      <c r="M147" s="1026" t="n">
        <f aca="true">IF($C147&gt;=M$1,IF($C147&gt;12+L$1,0,OFFSET($Q$118,0,-$C147+L$1)*$D147),OFFSET(M$139,0,-$C147)*$D147)</f>
        <v>0</v>
      </c>
      <c r="N147" s="1026" t="n">
        <f aca="true">IF($C147&gt;=N$1,IF($C147&gt;12+M$1,0,OFFSET($Q$118,0,-$C147+M$1)*$D147),OFFSET(N$139,0,-$C147)*$D147)</f>
        <v>0</v>
      </c>
      <c r="O147" s="1026" t="n">
        <f aca="true">IF($C147&gt;=O$1,IF($C147&gt;12+N$1,0,OFFSET($Q$118,0,-$C147+N$1)*$D147),OFFSET(O$139,0,-$C147)*$D147)</f>
        <v>0</v>
      </c>
      <c r="P147" s="1026" t="n">
        <f aca="true">IF($C147&gt;=P$1,IF($C147&gt;12+O$1,0,OFFSET($Q$118,0,-$C147+O$1)*$D147),OFFSET(P$139,0,-$C147)*$D147)</f>
        <v>0</v>
      </c>
      <c r="Q147" s="976" t="n">
        <f aca="false">SUM(E147:P147)</f>
        <v>0</v>
      </c>
      <c r="R147" s="549"/>
    </row>
    <row r="148" customFormat="false" ht="13.5" hidden="false" customHeight="false" outlineLevel="0" collapsed="false">
      <c r="B148" s="0" t="s">
        <v>743</v>
      </c>
      <c r="C148" s="451" t="n">
        <f aca="false">C127</f>
        <v>0</v>
      </c>
      <c r="D148" s="1330" t="n">
        <f aca="false">D127</f>
        <v>0</v>
      </c>
      <c r="E148" s="1026" t="n">
        <f aca="true">IF($C148&gt;=E$1,IF($C148&gt;12+D$1,0,OFFSET($Q$118,0,-$C148+D$1)*$D148),OFFSET(E$139,0,-$C148)*$D148)</f>
        <v>0</v>
      </c>
      <c r="F148" s="1026" t="n">
        <f aca="true">IF($C148&gt;=F$1,IF($C148&gt;12+E$1,0,OFFSET($Q$118,0,-$C148+E$1)*$D148),OFFSET(F$139,0,-$C148)*$D148)</f>
        <v>0</v>
      </c>
      <c r="G148" s="1026" t="n">
        <f aca="true">IF($C148&gt;=G$1,IF($C148&gt;12+F$1,0,OFFSET($Q$118,0,-$C148+F$1)*$D148),OFFSET(G$139,0,-$C148)*$D148)</f>
        <v>0</v>
      </c>
      <c r="H148" s="1026" t="n">
        <f aca="true">IF($C148&gt;=H$1,IF($C148&gt;12+G$1,0,OFFSET($Q$118,0,-$C148+G$1)*$D148),OFFSET(H$139,0,-$C148)*$D148)</f>
        <v>0</v>
      </c>
      <c r="I148" s="1026" t="n">
        <f aca="true">IF($C148&gt;=I$1,IF($C148&gt;12+H$1,0,OFFSET($Q$118,0,-$C148+H$1)*$D148),OFFSET(I$139,0,-$C148)*$D148)</f>
        <v>0</v>
      </c>
      <c r="J148" s="1026" t="n">
        <f aca="true">IF($C148&gt;=J$1,IF($C148&gt;12+I$1,0,OFFSET($Q$118,0,-$C148+I$1)*$D148),OFFSET(J$139,0,-$C148)*$D148)</f>
        <v>0</v>
      </c>
      <c r="K148" s="1026" t="n">
        <f aca="true">IF($C148&gt;=K$1,IF($C148&gt;12+J$1,0,OFFSET($Q$118,0,-$C148+J$1)*$D148),OFFSET(K$139,0,-$C148)*$D148)</f>
        <v>0</v>
      </c>
      <c r="L148" s="1026" t="n">
        <f aca="true">IF($C148&gt;=L$1,IF($C148&gt;12+K$1,0,OFFSET($Q$118,0,-$C148+K$1)*$D148),OFFSET(L$139,0,-$C148)*$D148)</f>
        <v>0</v>
      </c>
      <c r="M148" s="1026" t="n">
        <f aca="true">IF($C148&gt;=M$1,IF($C148&gt;12+L$1,0,OFFSET($Q$118,0,-$C148+L$1)*$D148),OFFSET(M$139,0,-$C148)*$D148)</f>
        <v>0</v>
      </c>
      <c r="N148" s="1026" t="n">
        <f aca="true">IF($C148&gt;=N$1,IF($C148&gt;12+M$1,0,OFFSET($Q$118,0,-$C148+M$1)*$D148),OFFSET(N$139,0,-$C148)*$D148)</f>
        <v>0</v>
      </c>
      <c r="O148" s="1026" t="n">
        <f aca="true">IF($C148&gt;=O$1,IF($C148&gt;12+N$1,0,OFFSET($Q$118,0,-$C148+N$1)*$D148),OFFSET(O$139,0,-$C148)*$D148)</f>
        <v>0</v>
      </c>
      <c r="P148" s="1026" t="n">
        <f aca="true">IF($C148&gt;=P$1,IF($C148&gt;12+O$1,0,OFFSET($Q$118,0,-$C148+O$1)*$D148),OFFSET(P$139,0,-$C148)*$D148)</f>
        <v>0</v>
      </c>
      <c r="Q148" s="1333" t="n">
        <f aca="false">SUM(E148:P148)</f>
        <v>0</v>
      </c>
      <c r="R148" s="549"/>
    </row>
    <row r="149" customFormat="false" ht="15" hidden="false" customHeight="false" outlineLevel="0" collapsed="false">
      <c r="B149" s="1317" t="str">
        <f aca="false">B128</f>
        <v>Total pagado:</v>
      </c>
      <c r="C149" s="1318"/>
      <c r="D149" s="1334" t="n">
        <f aca="false">D128</f>
        <v>1</v>
      </c>
      <c r="E149" s="366" t="n">
        <f aca="false">SUM(E141:E148)</f>
        <v>15296.875</v>
      </c>
      <c r="F149" s="366" t="n">
        <f aca="false">SUM(F141:F148)</f>
        <v>16587.45</v>
      </c>
      <c r="G149" s="366" t="n">
        <f aca="false">SUM(G141:G148)</f>
        <v>17878.025</v>
      </c>
      <c r="H149" s="366" t="n">
        <f aca="false">SUM(H141:H148)</f>
        <v>19168.6</v>
      </c>
      <c r="I149" s="366" t="n">
        <f aca="false">SUM(I141:I148)</f>
        <v>19168.6</v>
      </c>
      <c r="J149" s="366" t="n">
        <f aca="false">SUM(J141:J148)</f>
        <v>19168.6</v>
      </c>
      <c r="K149" s="366" t="n">
        <f aca="false">SUM(K141:K148)</f>
        <v>19168.6</v>
      </c>
      <c r="L149" s="366" t="n">
        <f aca="false">SUM(L141:L148)</f>
        <v>19168.6</v>
      </c>
      <c r="M149" s="366" t="n">
        <f aca="false">SUM(M141:M148)</f>
        <v>19168.6</v>
      </c>
      <c r="N149" s="366" t="n">
        <f aca="false">SUM(N141:N148)</f>
        <v>19168.6</v>
      </c>
      <c r="O149" s="366" t="n">
        <f aca="false">SUM(O141:O148)</f>
        <v>19168.6</v>
      </c>
      <c r="P149" s="366" t="n">
        <f aca="false">SUM(P141:P148)</f>
        <v>19168.6</v>
      </c>
      <c r="Q149" s="417" t="n">
        <f aca="false">SUM(Q141:Q148)</f>
        <v>222279.75</v>
      </c>
    </row>
    <row r="150" customFormat="false" ht="18" hidden="false" customHeight="true" outlineLevel="0" collapsed="false">
      <c r="B150" s="1336" t="s">
        <v>747</v>
      </c>
      <c r="C150" s="1337"/>
      <c r="D150" s="1338"/>
      <c r="E150" s="1338" t="n">
        <f aca="true">OFFSET('Otra financiación'!$K$96,D1,0,1,1)</f>
        <v>0</v>
      </c>
      <c r="F150" s="1338" t="n">
        <f aca="true">OFFSET('Otra financiación'!$K$96,E1,0,1,1)</f>
        <v>0</v>
      </c>
      <c r="G150" s="1338" t="n">
        <f aca="true">OFFSET('Otra financiación'!$K$96,F1,0,1,1)</f>
        <v>0</v>
      </c>
      <c r="H150" s="1338" t="n">
        <f aca="true">OFFSET('Otra financiación'!$K$96,G1,0,1,1)</f>
        <v>0</v>
      </c>
      <c r="I150" s="1338" t="n">
        <f aca="true">OFFSET('Otra financiación'!$K$96,H1,0,1,1)</f>
        <v>0</v>
      </c>
      <c r="J150" s="1338" t="n">
        <f aca="true">OFFSET('Otra financiación'!$K$96,I1,0,1,1)</f>
        <v>0</v>
      </c>
      <c r="K150" s="1338" t="n">
        <f aca="true">OFFSET('Otra financiación'!$K$96,J1,0,1,1)</f>
        <v>0</v>
      </c>
      <c r="L150" s="1338" t="n">
        <f aca="true">OFFSET('Otra financiación'!$K$96,K1,0,1,1)</f>
        <v>0</v>
      </c>
      <c r="M150" s="1338" t="n">
        <f aca="true">OFFSET('Otra financiación'!$K$96,L1,0,1,1)</f>
        <v>0</v>
      </c>
      <c r="N150" s="1338" t="n">
        <f aca="true">OFFSET('Otra financiación'!$K$96,M1,0,1,1)</f>
        <v>0</v>
      </c>
      <c r="O150" s="1338" t="n">
        <f aca="true">OFFSET('Otra financiación'!$K$96,N1,0,1,1)</f>
        <v>0</v>
      </c>
      <c r="P150" s="1338" t="n">
        <f aca="true">OFFSET('Otra financiación'!$K$96,O1,0,1,1)</f>
        <v>0</v>
      </c>
      <c r="Q150" s="1338" t="n">
        <f aca="false">SUM(E150:P150)</f>
        <v>0</v>
      </c>
      <c r="R150" s="549"/>
    </row>
    <row r="151" customFormat="false" ht="5.25" hidden="false" customHeight="true" outlineLevel="0" collapsed="false">
      <c r="B151" s="23"/>
      <c r="C151" s="70"/>
      <c r="D151" s="267"/>
      <c r="E151" s="267"/>
      <c r="F151" s="267"/>
      <c r="G151" s="267"/>
      <c r="H151" s="267"/>
      <c r="I151" s="267"/>
      <c r="J151" s="267"/>
      <c r="K151" s="267"/>
      <c r="L151" s="267"/>
      <c r="M151" s="267"/>
      <c r="N151" s="267"/>
      <c r="O151" s="267"/>
      <c r="P151" s="267"/>
      <c r="Q151" s="267"/>
    </row>
    <row r="152" customFormat="false" ht="15" hidden="false" customHeight="false" outlineLevel="0" collapsed="false">
      <c r="B152" s="1317" t="s">
        <v>759</v>
      </c>
      <c r="C152" s="1318"/>
      <c r="D152" s="1318"/>
      <c r="E152" s="366" t="n">
        <f aca="false">P131+E139-E149-E150</f>
        <v>24881.175</v>
      </c>
      <c r="F152" s="366" t="n">
        <f aca="false">E152+F139-F149-F150</f>
        <v>27462.325</v>
      </c>
      <c r="G152" s="366" t="n">
        <f aca="false">F152+G139-G149-G150</f>
        <v>28752.9</v>
      </c>
      <c r="H152" s="366" t="n">
        <f aca="false">G152+H139-H149-H150</f>
        <v>28752.9</v>
      </c>
      <c r="I152" s="366" t="n">
        <f aca="false">H152+I139-I149-I150</f>
        <v>28752.9</v>
      </c>
      <c r="J152" s="366" t="n">
        <f aca="false">I152+J139-J149-J150</f>
        <v>28752.9</v>
      </c>
      <c r="K152" s="366" t="n">
        <f aca="false">J152+K139-K149-K150</f>
        <v>28752.9</v>
      </c>
      <c r="L152" s="366" t="n">
        <f aca="false">K152+L139-L149-L150</f>
        <v>28752.9</v>
      </c>
      <c r="M152" s="366" t="n">
        <f aca="false">L152+M139-M149-M150</f>
        <v>28752.9</v>
      </c>
      <c r="N152" s="366" t="n">
        <f aca="false">M152+N139-N149-N150</f>
        <v>28752.9</v>
      </c>
      <c r="O152" s="366" t="n">
        <f aca="false">N152+O139-O149-O150</f>
        <v>28752.9</v>
      </c>
      <c r="P152" s="417" t="n">
        <f aca="false">O152+P139-P149-P150</f>
        <v>28752.9</v>
      </c>
      <c r="Q152" s="93"/>
    </row>
    <row r="153" customFormat="false" ht="12.75" hidden="false" customHeight="false" outlineLevel="0" collapsed="false">
      <c r="E153" s="93"/>
      <c r="F153" s="93"/>
      <c r="G153" s="93"/>
      <c r="H153" s="93"/>
      <c r="I153" s="93"/>
      <c r="J153" s="93"/>
      <c r="K153" s="93"/>
      <c r="L153" s="93"/>
      <c r="M153" s="93"/>
    </row>
    <row r="154" customFormat="false" ht="12.75" hidden="false" customHeight="false" outlineLevel="0" collapsed="false">
      <c r="E154" s="93"/>
      <c r="F154" s="93"/>
      <c r="G154" s="93"/>
      <c r="H154" s="93"/>
      <c r="I154" s="93"/>
      <c r="J154" s="93"/>
      <c r="K154" s="93"/>
      <c r="L154" s="93"/>
      <c r="M154" s="93"/>
    </row>
    <row r="155" customFormat="false" ht="14.25" hidden="false" customHeight="false" outlineLevel="0" collapsed="false">
      <c r="B155" s="51" t="s">
        <v>754</v>
      </c>
      <c r="E155" s="1335" t="s">
        <v>476</v>
      </c>
      <c r="F155" s="93"/>
      <c r="G155" s="93"/>
      <c r="H155" s="93"/>
      <c r="I155" s="93"/>
      <c r="J155" s="93"/>
      <c r="K155" s="93"/>
      <c r="L155" s="93"/>
      <c r="M155" s="93"/>
      <c r="N155" s="93"/>
      <c r="O155" s="93"/>
      <c r="P155" s="93"/>
      <c r="Q155" s="93"/>
    </row>
    <row r="156" customFormat="false" ht="12.75" hidden="false" customHeight="false" outlineLevel="0" collapsed="false">
      <c r="E156" s="93"/>
      <c r="F156" s="93"/>
      <c r="G156" s="93"/>
      <c r="H156" s="93"/>
      <c r="I156" s="93"/>
      <c r="J156" s="93"/>
      <c r="K156" s="93"/>
      <c r="L156" s="93"/>
      <c r="M156" s="93"/>
    </row>
    <row r="157" customFormat="false" ht="14.25" hidden="false" customHeight="false" outlineLevel="0" collapsed="false">
      <c r="B157" s="451"/>
      <c r="C157" s="451"/>
      <c r="D157" s="336"/>
      <c r="E157" s="1328" t="s">
        <v>303</v>
      </c>
      <c r="F157" s="1328" t="s">
        <v>304</v>
      </c>
      <c r="G157" s="1328" t="s">
        <v>305</v>
      </c>
      <c r="H157" s="1328" t="s">
        <v>127</v>
      </c>
      <c r="I157" s="1328" t="s">
        <v>128</v>
      </c>
      <c r="J157" s="1328" t="s">
        <v>129</v>
      </c>
      <c r="K157" s="1328" t="s">
        <v>130</v>
      </c>
      <c r="L157" s="1328" t="s">
        <v>306</v>
      </c>
      <c r="M157" s="1328" t="s">
        <v>307</v>
      </c>
      <c r="N157" s="1328" t="s">
        <v>308</v>
      </c>
      <c r="O157" s="1328" t="s">
        <v>309</v>
      </c>
      <c r="P157" s="1328" t="s">
        <v>310</v>
      </c>
      <c r="Q157" s="1328" t="s">
        <v>136</v>
      </c>
    </row>
    <row r="158" customFormat="false" ht="15" hidden="false" customHeight="false" outlineLevel="0" collapsed="false">
      <c r="B158" s="1304" t="s">
        <v>755</v>
      </c>
      <c r="C158" s="1305"/>
      <c r="D158" s="1305"/>
      <c r="E158" s="1306" t="n">
        <f aca="false">'Margen B'!D218</f>
        <v>19951</v>
      </c>
      <c r="F158" s="1306" t="n">
        <f aca="false">'Margen B'!E218</f>
        <v>19951</v>
      </c>
      <c r="G158" s="1306" t="n">
        <f aca="false">'Margen B'!F218</f>
        <v>19951</v>
      </c>
      <c r="H158" s="1306" t="n">
        <f aca="false">'Margen B'!G218</f>
        <v>19951</v>
      </c>
      <c r="I158" s="1306" t="n">
        <f aca="false">'Margen B'!H218</f>
        <v>19951</v>
      </c>
      <c r="J158" s="1306" t="n">
        <f aca="false">'Margen B'!I218</f>
        <v>19951</v>
      </c>
      <c r="K158" s="1306" t="n">
        <f aca="false">'Margen B'!J218</f>
        <v>19951</v>
      </c>
      <c r="L158" s="1306" t="n">
        <f aca="false">'Margen B'!K218</f>
        <v>19951</v>
      </c>
      <c r="M158" s="1306" t="n">
        <f aca="false">'Margen B'!L218</f>
        <v>19951</v>
      </c>
      <c r="N158" s="1306" t="n">
        <f aca="false">'Margen B'!M218</f>
        <v>19951</v>
      </c>
      <c r="O158" s="1306" t="n">
        <f aca="false">'Margen B'!N218</f>
        <v>19951</v>
      </c>
      <c r="P158" s="1306" t="n">
        <f aca="false">'Margen B'!O218</f>
        <v>19951</v>
      </c>
      <c r="Q158" s="1307" t="n">
        <f aca="false">SUM(E158:P158)</f>
        <v>239412</v>
      </c>
    </row>
    <row r="159" customFormat="false" ht="14.25" hidden="false" customHeight="false" outlineLevel="0" collapsed="false">
      <c r="B159" s="70" t="s">
        <v>756</v>
      </c>
      <c r="C159" s="70"/>
      <c r="D159" s="70"/>
      <c r="E159" s="223" t="n">
        <f aca="false">E158*'Datos generales'!$D$16</f>
        <v>1995.1</v>
      </c>
      <c r="F159" s="223" t="n">
        <f aca="false">F158*'Datos generales'!$D$16</f>
        <v>1995.1</v>
      </c>
      <c r="G159" s="223" t="n">
        <f aca="false">G158*'Datos generales'!$D$16</f>
        <v>1995.1</v>
      </c>
      <c r="H159" s="223" t="n">
        <f aca="false">H158*'Datos generales'!$D$16</f>
        <v>1995.1</v>
      </c>
      <c r="I159" s="223" t="n">
        <f aca="false">I158*'Datos generales'!$D$16</f>
        <v>1995.1</v>
      </c>
      <c r="J159" s="223" t="n">
        <f aca="false">J158*'Datos generales'!$D$16</f>
        <v>1995.1</v>
      </c>
      <c r="K159" s="223" t="n">
        <f aca="false">K158*'Datos generales'!$D$16</f>
        <v>1995.1</v>
      </c>
      <c r="L159" s="223" t="n">
        <f aca="false">L158*'Datos generales'!$D$16</f>
        <v>1995.1</v>
      </c>
      <c r="M159" s="223" t="n">
        <f aca="false">M158*'Datos generales'!$D$16</f>
        <v>1995.1</v>
      </c>
      <c r="N159" s="223" t="n">
        <f aca="false">N158*'Datos generales'!$D$16</f>
        <v>1995.1</v>
      </c>
      <c r="O159" s="223" t="n">
        <f aca="false">O158*'Datos generales'!$D$16</f>
        <v>1995.1</v>
      </c>
      <c r="P159" s="223" t="n">
        <f aca="false">P158*'Datos generales'!$D$16</f>
        <v>1995.1</v>
      </c>
      <c r="Q159" s="223" t="n">
        <f aca="false">SUM(E159:P159)</f>
        <v>23941.2</v>
      </c>
    </row>
    <row r="160" customFormat="false" ht="14.25" hidden="false" customHeight="false" outlineLevel="0" collapsed="false">
      <c r="B160" s="70" t="s">
        <v>757</v>
      </c>
      <c r="C160" s="70"/>
      <c r="D160" s="70"/>
      <c r="E160" s="223" t="n">
        <f aca="false">SUM(E158:E159)</f>
        <v>21946.1</v>
      </c>
      <c r="F160" s="223" t="n">
        <f aca="false">SUM(F158:F159)</f>
        <v>21946.1</v>
      </c>
      <c r="G160" s="223" t="n">
        <f aca="false">SUM(G158:G159)</f>
        <v>21946.1</v>
      </c>
      <c r="H160" s="223" t="n">
        <f aca="false">SUM(H158:H159)</f>
        <v>21946.1</v>
      </c>
      <c r="I160" s="223" t="n">
        <f aca="false">SUM(I158:I159)</f>
        <v>21946.1</v>
      </c>
      <c r="J160" s="223" t="n">
        <f aca="false">SUM(J158:J159)</f>
        <v>21946.1</v>
      </c>
      <c r="K160" s="223" t="n">
        <f aca="false">SUM(K158:K159)</f>
        <v>21946.1</v>
      </c>
      <c r="L160" s="223" t="n">
        <f aca="false">SUM(L158:L159)</f>
        <v>21946.1</v>
      </c>
      <c r="M160" s="223" t="n">
        <f aca="false">SUM(M158:M159)</f>
        <v>21946.1</v>
      </c>
      <c r="N160" s="223" t="n">
        <f aca="false">SUM(N158:N159)</f>
        <v>21946.1</v>
      </c>
      <c r="O160" s="223" t="n">
        <f aca="false">SUM(O158:O159)</f>
        <v>21946.1</v>
      </c>
      <c r="P160" s="223" t="n">
        <f aca="false">SUM(P158:P159)</f>
        <v>21946.1</v>
      </c>
      <c r="Q160" s="223" t="n">
        <f aca="false">SUM(E160:P160)</f>
        <v>263353.2</v>
      </c>
    </row>
    <row r="161" customFormat="false" ht="24" hidden="false" customHeight="true" outlineLevel="0" collapsed="false">
      <c r="B161" s="465" t="s">
        <v>170</v>
      </c>
      <c r="C161" s="465"/>
      <c r="D161" s="1329" t="s">
        <v>165</v>
      </c>
      <c r="E161" s="549"/>
      <c r="F161" s="549"/>
      <c r="G161" s="549"/>
      <c r="H161" s="549"/>
      <c r="I161" s="549"/>
      <c r="J161" s="549"/>
      <c r="K161" s="549"/>
      <c r="L161" s="549"/>
      <c r="M161" s="549"/>
      <c r="N161" s="549"/>
      <c r="O161" s="549"/>
      <c r="P161" s="549"/>
      <c r="Q161" s="93"/>
    </row>
    <row r="162" customFormat="false" ht="12.75" hidden="false" customHeight="false" outlineLevel="0" collapsed="false">
      <c r="B162" s="451" t="s">
        <v>742</v>
      </c>
      <c r="C162" s="451"/>
      <c r="D162" s="1330" t="n">
        <f aca="false">D141</f>
        <v>0.25</v>
      </c>
      <c r="E162" s="1331" t="n">
        <f aca="false">+E160*$D$120</f>
        <v>5486.525</v>
      </c>
      <c r="F162" s="1331" t="n">
        <f aca="false">+F160*$D$120</f>
        <v>5486.525</v>
      </c>
      <c r="G162" s="1331" t="n">
        <f aca="false">+G160*$D$120</f>
        <v>5486.525</v>
      </c>
      <c r="H162" s="1331" t="n">
        <f aca="false">+H160*$D$120</f>
        <v>5486.525</v>
      </c>
      <c r="I162" s="1331" t="n">
        <f aca="false">+I160*$D$120</f>
        <v>5486.525</v>
      </c>
      <c r="J162" s="1331" t="n">
        <f aca="false">+J160*$D$120</f>
        <v>5486.525</v>
      </c>
      <c r="K162" s="1331" t="n">
        <f aca="false">+K160*$D$120</f>
        <v>5486.525</v>
      </c>
      <c r="L162" s="1331" t="n">
        <f aca="false">+L160*$D$120</f>
        <v>5486.525</v>
      </c>
      <c r="M162" s="1331" t="n">
        <f aca="false">+M160*$D$120</f>
        <v>5486.525</v>
      </c>
      <c r="N162" s="1331" t="n">
        <f aca="false">+N160*$D$120</f>
        <v>5486.525</v>
      </c>
      <c r="O162" s="1331" t="n">
        <f aca="false">+O160*$D$120</f>
        <v>5486.525</v>
      </c>
      <c r="P162" s="1331" t="n">
        <f aca="false">+P160*$D$120</f>
        <v>5486.525</v>
      </c>
      <c r="Q162" s="1332" t="n">
        <f aca="false">SUM(E162:P162)</f>
        <v>65838.3</v>
      </c>
      <c r="R162" s="549"/>
    </row>
    <row r="163" customFormat="false" ht="12.75" hidden="false" customHeight="false" outlineLevel="0" collapsed="false">
      <c r="B163" s="0" t="s">
        <v>743</v>
      </c>
      <c r="C163" s="451" t="n">
        <f aca="false">C142</f>
        <v>1</v>
      </c>
      <c r="D163" s="1330" t="n">
        <f aca="false">D142</f>
        <v>0.25</v>
      </c>
      <c r="E163" s="1026" t="n">
        <f aca="true">IF($C163&gt;=E$1,IF($C163&gt;12+D$1,IF($C163&gt;24+D$1,0,OFFSET($Q$118,0,-$C163+12+D$1)*$D163),OFFSET($Q$139,0,-$C163+D$1)*$D163),OFFSET(E$160,0,-$C163)*$D163)</f>
        <v>4792.15</v>
      </c>
      <c r="F163" s="1026" t="n">
        <f aca="true">IF($C163&gt;=F$1,IF($C163&gt;12+E$1,IF($C163&gt;24+E$1,0,OFFSET($Q$118,0,-$C163+12+E$1)*$D163),OFFSET($Q$139,0,-$C163+E$1)*$D163),OFFSET(F$160,0,-$C163)*$D163)</f>
        <v>5486.525</v>
      </c>
      <c r="G163" s="1026" t="n">
        <f aca="true">IF($C163&gt;=G$1,IF($C163&gt;12+F$1,IF($C163&gt;24+F$1,0,OFFSET($Q$118,0,-$C163+12+F$1)*$D163),OFFSET($Q$139,0,-$C163+F$1)*$D163),OFFSET(G$160,0,-$C163)*$D163)</f>
        <v>5486.525</v>
      </c>
      <c r="H163" s="1026" t="n">
        <f aca="true">IF($C163&gt;=H$1,IF($C163&gt;12+G$1,IF($C163&gt;24+G$1,0,OFFSET($Q$118,0,-$C163+12+G$1)*$D163),OFFSET($Q$139,0,-$C163+G$1)*$D163),OFFSET(H$160,0,-$C163)*$D163)</f>
        <v>5486.525</v>
      </c>
      <c r="I163" s="1026" t="n">
        <f aca="true">IF($C163&gt;=I$1,IF($C163&gt;12+H$1,IF($C163&gt;24+H$1,0,OFFSET($Q$118,0,-$C163+12+H$1)*$D163),OFFSET($Q$139,0,-$C163+H$1)*$D163),OFFSET(I$160,0,-$C163)*$D163)</f>
        <v>5486.525</v>
      </c>
      <c r="J163" s="1026" t="n">
        <f aca="true">IF($C163&gt;=J$1,IF($C163&gt;12+I$1,IF($C163&gt;24+I$1,0,OFFSET($Q$118,0,-$C163+12+I$1)*$D163),OFFSET($Q$139,0,-$C163+I$1)*$D163),OFFSET(J$160,0,-$C163)*$D163)</f>
        <v>5486.525</v>
      </c>
      <c r="K163" s="1026" t="n">
        <f aca="true">IF($C163&gt;=K$1,IF($C163&gt;12+J$1,IF($C163&gt;24+J$1,0,OFFSET($Q$118,0,-$C163+12+J$1)*$D163),OFFSET($Q$139,0,-$C163+J$1)*$D163),OFFSET(K$160,0,-$C163)*$D163)</f>
        <v>5486.525</v>
      </c>
      <c r="L163" s="1026" t="n">
        <f aca="true">IF($C163&gt;=L$1,IF($C163&gt;12+K$1,IF($C163&gt;24+K$1,0,OFFSET($Q$118,0,-$C163+12+K$1)*$D163),OFFSET($Q$139,0,-$C163+K$1)*$D163),OFFSET(L$160,0,-$C163)*$D163)</f>
        <v>5486.525</v>
      </c>
      <c r="M163" s="1026" t="n">
        <f aca="true">IF($C163&gt;=M$1,IF($C163&gt;12+L$1,IF($C163&gt;24+L$1,0,OFFSET($Q$118,0,-$C163+12+L$1)*$D163),OFFSET($Q$139,0,-$C163+L$1)*$D163),OFFSET(M$160,0,-$C163)*$D163)</f>
        <v>5486.525</v>
      </c>
      <c r="N163" s="1026" t="n">
        <f aca="true">IF($C163&gt;=N$1,IF($C163&gt;12+M$1,IF($C163&gt;24+M$1,0,OFFSET($Q$118,0,-$C163+12+M$1)*$D163),OFFSET($Q$139,0,-$C163+M$1)*$D163),OFFSET(N$160,0,-$C163)*$D163)</f>
        <v>5486.525</v>
      </c>
      <c r="O163" s="1026" t="n">
        <f aca="true">IF($C163&gt;=O$1,IF($C163&gt;12+N$1,IF($C163&gt;24+N$1,0,OFFSET($Q$118,0,-$C163+12+N$1)*$D163),OFFSET($Q$139,0,-$C163+N$1)*$D163),OFFSET(O$160,0,-$C163)*$D163)</f>
        <v>5486.525</v>
      </c>
      <c r="P163" s="1026" t="n">
        <f aca="true">IF($C163&gt;=P$1,IF($C163&gt;12+O$1,IF($C163&gt;24+O$1,0,OFFSET($Q$118,0,-$C163+12+O$1)*$D163),OFFSET($Q$139,0,-$C163+O$1)*$D163),OFFSET(P$160,0,-$C163)*$D163)</f>
        <v>5486.525</v>
      </c>
      <c r="Q163" s="976" t="n">
        <f aca="false">SUM(E163:P163)</f>
        <v>65143.925</v>
      </c>
      <c r="R163" s="549"/>
    </row>
    <row r="164" customFormat="false" ht="12.75" hidden="false" customHeight="false" outlineLevel="0" collapsed="false">
      <c r="B164" s="0" t="s">
        <v>743</v>
      </c>
      <c r="C164" s="451" t="n">
        <f aca="false">C143</f>
        <v>2</v>
      </c>
      <c r="D164" s="1330" t="n">
        <f aca="false">D143</f>
        <v>0.25</v>
      </c>
      <c r="E164" s="1026" t="n">
        <f aca="true">IF($C164&gt;=E$1,IF($C164&gt;12+D$1,IF($C164&gt;24+D$1,0,OFFSET($Q$118,0,-$C164+12+D$1)*$D164),OFFSET($Q$139,0,-$C164+D$1)*$D164),OFFSET(E$160,0,-$C164)*$D164)</f>
        <v>4792.15</v>
      </c>
      <c r="F164" s="1026" t="n">
        <f aca="true">IF($C164&gt;=F$1,IF($C164&gt;12+E$1,IF($C164&gt;24+E$1,0,OFFSET($Q$118,0,-$C164+12+E$1)*$D164),OFFSET($Q$139,0,-$C164+E$1)*$D164),OFFSET(F$160,0,-$C164)*$D164)</f>
        <v>4792.15</v>
      </c>
      <c r="G164" s="1026" t="n">
        <f aca="true">IF($C164&gt;=G$1,IF($C164&gt;12+F$1,IF($C164&gt;24+F$1,0,OFFSET($Q$118,0,-$C164+12+F$1)*$D164),OFFSET($Q$139,0,-$C164+F$1)*$D164),OFFSET(G$160,0,-$C164)*$D164)</f>
        <v>5486.525</v>
      </c>
      <c r="H164" s="1026" t="n">
        <f aca="true">IF($C164&gt;=H$1,IF($C164&gt;12+G$1,IF($C164&gt;24+G$1,0,OFFSET($Q$118,0,-$C164+12+G$1)*$D164),OFFSET($Q$139,0,-$C164+G$1)*$D164),OFFSET(H$160,0,-$C164)*$D164)</f>
        <v>5486.525</v>
      </c>
      <c r="I164" s="1026" t="n">
        <f aca="true">IF($C164&gt;=I$1,IF($C164&gt;12+H$1,IF($C164&gt;24+H$1,0,OFFSET($Q$118,0,-$C164+12+H$1)*$D164),OFFSET($Q$139,0,-$C164+H$1)*$D164),OFFSET(I$160,0,-$C164)*$D164)</f>
        <v>5486.525</v>
      </c>
      <c r="J164" s="1026" t="n">
        <f aca="true">IF($C164&gt;=J$1,IF($C164&gt;12+I$1,IF($C164&gt;24+I$1,0,OFFSET($Q$118,0,-$C164+12+I$1)*$D164),OFFSET($Q$139,0,-$C164+I$1)*$D164),OFFSET(J$160,0,-$C164)*$D164)</f>
        <v>5486.525</v>
      </c>
      <c r="K164" s="1026" t="n">
        <f aca="true">IF($C164&gt;=K$1,IF($C164&gt;12+J$1,IF($C164&gt;24+J$1,0,OFFSET($Q$118,0,-$C164+12+J$1)*$D164),OFFSET($Q$139,0,-$C164+J$1)*$D164),OFFSET(K$160,0,-$C164)*$D164)</f>
        <v>5486.525</v>
      </c>
      <c r="L164" s="1026" t="n">
        <f aca="true">IF($C164&gt;=L$1,IF($C164&gt;12+K$1,IF($C164&gt;24+K$1,0,OFFSET($Q$118,0,-$C164+12+K$1)*$D164),OFFSET($Q$139,0,-$C164+K$1)*$D164),OFFSET(L$160,0,-$C164)*$D164)</f>
        <v>5486.525</v>
      </c>
      <c r="M164" s="1026" t="n">
        <f aca="true">IF($C164&gt;=M$1,IF($C164&gt;12+L$1,IF($C164&gt;24+L$1,0,OFFSET($Q$118,0,-$C164+12+L$1)*$D164),OFFSET($Q$139,0,-$C164+L$1)*$D164),OFFSET(M$160,0,-$C164)*$D164)</f>
        <v>5486.525</v>
      </c>
      <c r="N164" s="1026" t="n">
        <f aca="true">IF($C164&gt;=N$1,IF($C164&gt;12+M$1,IF($C164&gt;24+M$1,0,OFFSET($Q$118,0,-$C164+12+M$1)*$D164),OFFSET($Q$139,0,-$C164+M$1)*$D164),OFFSET(N$160,0,-$C164)*$D164)</f>
        <v>5486.525</v>
      </c>
      <c r="O164" s="1026" t="n">
        <f aca="true">IF($C164&gt;=O$1,IF($C164&gt;12+N$1,IF($C164&gt;24+N$1,0,OFFSET($Q$118,0,-$C164+12+N$1)*$D164),OFFSET($Q$139,0,-$C164+N$1)*$D164),OFFSET(O$160,0,-$C164)*$D164)</f>
        <v>5486.525</v>
      </c>
      <c r="P164" s="1026" t="n">
        <f aca="true">IF($C164&gt;=P$1,IF($C164&gt;12+O$1,IF($C164&gt;24+O$1,0,OFFSET($Q$118,0,-$C164+12+O$1)*$D164),OFFSET($Q$139,0,-$C164+O$1)*$D164),OFFSET(P$160,0,-$C164)*$D164)</f>
        <v>5486.525</v>
      </c>
      <c r="Q164" s="976" t="n">
        <f aca="false">SUM(E164:P164)</f>
        <v>64449.55</v>
      </c>
      <c r="R164" s="549"/>
    </row>
    <row r="165" customFormat="false" ht="12.75" hidden="false" customHeight="false" outlineLevel="0" collapsed="false">
      <c r="B165" s="0" t="s">
        <v>743</v>
      </c>
      <c r="C165" s="451" t="n">
        <f aca="false">C144</f>
        <v>3</v>
      </c>
      <c r="D165" s="1330" t="n">
        <f aca="false">D144</f>
        <v>0.25</v>
      </c>
      <c r="E165" s="1026" t="n">
        <f aca="true">IF($C165&gt;=E$1,IF($C165&gt;12+D$1,IF($C165&gt;24+D$1,0,OFFSET($Q$118,0,-$C165+12+D$1)*$D165),OFFSET($Q$139,0,-$C165+D$1)*$D165),OFFSET(E$160,0,-$C165)*$D165)</f>
        <v>4792.15</v>
      </c>
      <c r="F165" s="1026" t="n">
        <f aca="true">IF($C165&gt;=F$1,IF($C165&gt;12+E$1,IF($C165&gt;24+E$1,0,OFFSET($Q$118,0,-$C165+12+E$1)*$D165),OFFSET($Q$139,0,-$C165+E$1)*$D165),OFFSET(F$160,0,-$C165)*$D165)</f>
        <v>4792.15</v>
      </c>
      <c r="G165" s="1026" t="n">
        <f aca="true">IF($C165&gt;=G$1,IF($C165&gt;12+F$1,IF($C165&gt;24+F$1,0,OFFSET($Q$118,0,-$C165+12+F$1)*$D165),OFFSET($Q$139,0,-$C165+F$1)*$D165),OFFSET(G$160,0,-$C165)*$D165)</f>
        <v>4792.15</v>
      </c>
      <c r="H165" s="1026" t="n">
        <f aca="true">IF($C165&gt;=H$1,IF($C165&gt;12+G$1,IF($C165&gt;24+G$1,0,OFFSET($Q$118,0,-$C165+12+G$1)*$D165),OFFSET($Q$139,0,-$C165+G$1)*$D165),OFFSET(H$160,0,-$C165)*$D165)</f>
        <v>5486.525</v>
      </c>
      <c r="I165" s="1026" t="n">
        <f aca="true">IF($C165&gt;=I$1,IF($C165&gt;12+H$1,IF($C165&gt;24+H$1,0,OFFSET($Q$118,0,-$C165+12+H$1)*$D165),OFFSET($Q$139,0,-$C165+H$1)*$D165),OFFSET(I$160,0,-$C165)*$D165)</f>
        <v>5486.525</v>
      </c>
      <c r="J165" s="1026" t="n">
        <f aca="true">IF($C165&gt;=J$1,IF($C165&gt;12+I$1,IF($C165&gt;24+I$1,0,OFFSET($Q$118,0,-$C165+12+I$1)*$D165),OFFSET($Q$139,0,-$C165+I$1)*$D165),OFFSET(J$160,0,-$C165)*$D165)</f>
        <v>5486.525</v>
      </c>
      <c r="K165" s="1026" t="n">
        <f aca="true">IF($C165&gt;=K$1,IF($C165&gt;12+J$1,IF($C165&gt;24+J$1,0,OFFSET($Q$118,0,-$C165+12+J$1)*$D165),OFFSET($Q$139,0,-$C165+J$1)*$D165),OFFSET(K$160,0,-$C165)*$D165)</f>
        <v>5486.525</v>
      </c>
      <c r="L165" s="1026" t="n">
        <f aca="true">IF($C165&gt;=L$1,IF($C165&gt;12+K$1,IF($C165&gt;24+K$1,0,OFFSET($Q$118,0,-$C165+12+K$1)*$D165),OFFSET($Q$139,0,-$C165+K$1)*$D165),OFFSET(L$160,0,-$C165)*$D165)</f>
        <v>5486.525</v>
      </c>
      <c r="M165" s="1026" t="n">
        <f aca="true">IF($C165&gt;=M$1,IF($C165&gt;12+L$1,IF($C165&gt;24+L$1,0,OFFSET($Q$118,0,-$C165+12+L$1)*$D165),OFFSET($Q$139,0,-$C165+L$1)*$D165),OFFSET(M$160,0,-$C165)*$D165)</f>
        <v>5486.525</v>
      </c>
      <c r="N165" s="1026" t="n">
        <f aca="true">IF($C165&gt;=N$1,IF($C165&gt;12+M$1,IF($C165&gt;24+M$1,0,OFFSET($Q$118,0,-$C165+12+M$1)*$D165),OFFSET($Q$139,0,-$C165+M$1)*$D165),OFFSET(N$160,0,-$C165)*$D165)</f>
        <v>5486.525</v>
      </c>
      <c r="O165" s="1026" t="n">
        <f aca="true">IF($C165&gt;=O$1,IF($C165&gt;12+N$1,IF($C165&gt;24+N$1,0,OFFSET($Q$118,0,-$C165+12+N$1)*$D165),OFFSET($Q$139,0,-$C165+N$1)*$D165),OFFSET(O$160,0,-$C165)*$D165)</f>
        <v>5486.525</v>
      </c>
      <c r="P165" s="1026" t="n">
        <f aca="true">IF($C165&gt;=P$1,IF($C165&gt;12+O$1,IF($C165&gt;24+O$1,0,OFFSET($Q$118,0,-$C165+12+O$1)*$D165),OFFSET($Q$139,0,-$C165+O$1)*$D165),OFFSET(P$160,0,-$C165)*$D165)</f>
        <v>5486.525</v>
      </c>
      <c r="Q165" s="976" t="n">
        <f aca="false">SUM(E165:P165)</f>
        <v>63755.175</v>
      </c>
      <c r="R165" s="549"/>
    </row>
    <row r="166" customFormat="false" ht="12.75" hidden="false" customHeight="false" outlineLevel="0" collapsed="false">
      <c r="B166" s="0" t="s">
        <v>743</v>
      </c>
      <c r="C166" s="451" t="n">
        <f aca="false">C145</f>
        <v>0</v>
      </c>
      <c r="D166" s="1330" t="n">
        <f aca="false">D145</f>
        <v>0</v>
      </c>
      <c r="E166" s="1026" t="n">
        <f aca="true">IF($C166&gt;=E$1,IF($C166&gt;12+D$1,IF($C166&gt;24+D$1,0,OFFSET($Q$118,0,-$C166+12+D$1)*$D166),OFFSET($Q$139,0,-$C166+D$1)*$D166),OFFSET(E$160,0,-$C166)*$D166)</f>
        <v>0</v>
      </c>
      <c r="F166" s="1026" t="n">
        <f aca="true">IF($C166&gt;=F$1,IF($C166&gt;12+E$1,IF($C166&gt;24+E$1,0,OFFSET($Q$118,0,-$C166+12+E$1)*$D166),OFFSET($Q$139,0,-$C166+E$1)*$D166),OFFSET(F$160,0,-$C166)*$D166)</f>
        <v>0</v>
      </c>
      <c r="G166" s="1026" t="n">
        <f aca="true">IF($C166&gt;=G$1,IF($C166&gt;12+F$1,IF($C166&gt;24+F$1,0,OFFSET($Q$118,0,-$C166+12+F$1)*$D166),OFFSET($Q$139,0,-$C166+F$1)*$D166),OFFSET(G$160,0,-$C166)*$D166)</f>
        <v>0</v>
      </c>
      <c r="H166" s="1026" t="n">
        <f aca="true">IF($C166&gt;=H$1,IF($C166&gt;12+G$1,IF($C166&gt;24+G$1,0,OFFSET($Q$118,0,-$C166+12+G$1)*$D166),OFFSET($Q$139,0,-$C166+G$1)*$D166),OFFSET(H$160,0,-$C166)*$D166)</f>
        <v>0</v>
      </c>
      <c r="I166" s="1026" t="n">
        <f aca="true">IF($C166&gt;=I$1,IF($C166&gt;12+H$1,IF($C166&gt;24+H$1,0,OFFSET($Q$118,0,-$C166+12+H$1)*$D166),OFFSET($Q$139,0,-$C166+H$1)*$D166),OFFSET(I$160,0,-$C166)*$D166)</f>
        <v>0</v>
      </c>
      <c r="J166" s="1026" t="n">
        <f aca="true">IF($C166&gt;=J$1,IF($C166&gt;12+I$1,IF($C166&gt;24+I$1,0,OFFSET($Q$118,0,-$C166+12+I$1)*$D166),OFFSET($Q$139,0,-$C166+I$1)*$D166),OFFSET(J$160,0,-$C166)*$D166)</f>
        <v>0</v>
      </c>
      <c r="K166" s="1026" t="n">
        <f aca="true">IF($C166&gt;=K$1,IF($C166&gt;12+J$1,IF($C166&gt;24+J$1,0,OFFSET($Q$118,0,-$C166+12+J$1)*$D166),OFFSET($Q$139,0,-$C166+J$1)*$D166),OFFSET(K$160,0,-$C166)*$D166)</f>
        <v>0</v>
      </c>
      <c r="L166" s="1026" t="n">
        <f aca="true">IF($C166&gt;=L$1,IF($C166&gt;12+K$1,IF($C166&gt;24+K$1,0,OFFSET($Q$118,0,-$C166+12+K$1)*$D166),OFFSET($Q$139,0,-$C166+K$1)*$D166),OFFSET(L$160,0,-$C166)*$D166)</f>
        <v>0</v>
      </c>
      <c r="M166" s="1026" t="n">
        <f aca="true">IF($C166&gt;=M$1,IF($C166&gt;12+L$1,IF($C166&gt;24+L$1,0,OFFSET($Q$118,0,-$C166+12+L$1)*$D166),OFFSET($Q$139,0,-$C166+L$1)*$D166),OFFSET(M$160,0,-$C166)*$D166)</f>
        <v>0</v>
      </c>
      <c r="N166" s="1026" t="n">
        <f aca="true">IF($C166&gt;=N$1,IF($C166&gt;12+M$1,IF($C166&gt;24+M$1,0,OFFSET($Q$118,0,-$C166+12+M$1)*$D166),OFFSET($Q$139,0,-$C166+M$1)*$D166),OFFSET(N$160,0,-$C166)*$D166)</f>
        <v>0</v>
      </c>
      <c r="O166" s="1026" t="n">
        <f aca="true">IF($C166&gt;=O$1,IF($C166&gt;12+N$1,IF($C166&gt;24+N$1,0,OFFSET($Q$118,0,-$C166+12+N$1)*$D166),OFFSET($Q$139,0,-$C166+N$1)*$D166),OFFSET(O$160,0,-$C166)*$D166)</f>
        <v>0</v>
      </c>
      <c r="P166" s="1026" t="n">
        <f aca="true">IF($C166&gt;=P$1,IF($C166&gt;12+O$1,IF($C166&gt;24+O$1,0,OFFSET($Q$118,0,-$C166+12+O$1)*$D166),OFFSET($Q$139,0,-$C166+O$1)*$D166),OFFSET(P$160,0,-$C166)*$D166)</f>
        <v>0</v>
      </c>
      <c r="Q166" s="976" t="n">
        <f aca="false">SUM(E166:P166)</f>
        <v>0</v>
      </c>
      <c r="R166" s="549"/>
    </row>
    <row r="167" customFormat="false" ht="12.75" hidden="false" customHeight="false" outlineLevel="0" collapsed="false">
      <c r="B167" s="0" t="s">
        <v>743</v>
      </c>
      <c r="C167" s="451" t="n">
        <f aca="false">C146</f>
        <v>0</v>
      </c>
      <c r="D167" s="1330" t="n">
        <f aca="false">D146</f>
        <v>0</v>
      </c>
      <c r="E167" s="1026" t="n">
        <f aca="true">IF($C167&gt;=E$1,IF($C167&gt;12+D$1,IF($C167&gt;24+D$1,0,OFFSET($Q$118,0,-$C167+12+D$1)*$D167),OFFSET($Q$139,0,-$C167+D$1)*$D167),OFFSET(E$160,0,-$C167)*$D167)</f>
        <v>0</v>
      </c>
      <c r="F167" s="1026" t="n">
        <f aca="true">IF($C167&gt;=F$1,IF($C167&gt;12+E$1,IF($C167&gt;24+E$1,0,OFFSET($Q$118,0,-$C167+12+E$1)*$D167),OFFSET($Q$139,0,-$C167+E$1)*$D167),OFFSET(F$160,0,-$C167)*$D167)</f>
        <v>0</v>
      </c>
      <c r="G167" s="1026" t="n">
        <f aca="true">IF($C167&gt;=G$1,IF($C167&gt;12+F$1,IF($C167&gt;24+F$1,0,OFFSET($Q$118,0,-$C167+12+F$1)*$D167),OFFSET($Q$139,0,-$C167+F$1)*$D167),OFFSET(G$160,0,-$C167)*$D167)</f>
        <v>0</v>
      </c>
      <c r="H167" s="1026" t="n">
        <f aca="true">IF($C167&gt;=H$1,IF($C167&gt;12+G$1,IF($C167&gt;24+G$1,0,OFFSET($Q$118,0,-$C167+12+G$1)*$D167),OFFSET($Q$139,0,-$C167+G$1)*$D167),OFFSET(H$160,0,-$C167)*$D167)</f>
        <v>0</v>
      </c>
      <c r="I167" s="1026" t="n">
        <f aca="true">IF($C167&gt;=I$1,IF($C167&gt;12+H$1,IF($C167&gt;24+H$1,0,OFFSET($Q$118,0,-$C167+12+H$1)*$D167),OFFSET($Q$139,0,-$C167+H$1)*$D167),OFFSET(I$160,0,-$C167)*$D167)</f>
        <v>0</v>
      </c>
      <c r="J167" s="1026" t="n">
        <f aca="true">IF($C167&gt;=J$1,IF($C167&gt;12+I$1,IF($C167&gt;24+I$1,0,OFFSET($Q$118,0,-$C167+12+I$1)*$D167),OFFSET($Q$139,0,-$C167+I$1)*$D167),OFFSET(J$160,0,-$C167)*$D167)</f>
        <v>0</v>
      </c>
      <c r="K167" s="1026" t="n">
        <f aca="true">IF($C167&gt;=K$1,IF($C167&gt;12+J$1,IF($C167&gt;24+J$1,0,OFFSET($Q$118,0,-$C167+12+J$1)*$D167),OFFSET($Q$139,0,-$C167+J$1)*$D167),OFFSET(K$160,0,-$C167)*$D167)</f>
        <v>0</v>
      </c>
      <c r="L167" s="1026" t="n">
        <f aca="true">IF($C167&gt;=L$1,IF($C167&gt;12+K$1,IF($C167&gt;24+K$1,0,OFFSET($Q$118,0,-$C167+12+K$1)*$D167),OFFSET($Q$139,0,-$C167+K$1)*$D167),OFFSET(L$160,0,-$C167)*$D167)</f>
        <v>0</v>
      </c>
      <c r="M167" s="1026" t="n">
        <f aca="true">IF($C167&gt;=M$1,IF($C167&gt;12+L$1,IF($C167&gt;24+L$1,0,OFFSET($Q$118,0,-$C167+12+L$1)*$D167),OFFSET($Q$139,0,-$C167+L$1)*$D167),OFFSET(M$160,0,-$C167)*$D167)</f>
        <v>0</v>
      </c>
      <c r="N167" s="1026" t="n">
        <f aca="true">IF($C167&gt;=N$1,IF($C167&gt;12+M$1,IF($C167&gt;24+M$1,0,OFFSET($Q$118,0,-$C167+12+M$1)*$D167),OFFSET($Q$139,0,-$C167+M$1)*$D167),OFFSET(N$160,0,-$C167)*$D167)</f>
        <v>0</v>
      </c>
      <c r="O167" s="1026" t="n">
        <f aca="true">IF($C167&gt;=O$1,IF($C167&gt;12+N$1,IF($C167&gt;24+N$1,0,OFFSET($Q$118,0,-$C167+12+N$1)*$D167),OFFSET($Q$139,0,-$C167+N$1)*$D167),OFFSET(O$160,0,-$C167)*$D167)</f>
        <v>0</v>
      </c>
      <c r="P167" s="1026" t="n">
        <f aca="true">IF($C167&gt;=P$1,IF($C167&gt;12+O$1,IF($C167&gt;24+O$1,0,OFFSET($Q$118,0,-$C167+12+O$1)*$D167),OFFSET($Q$139,0,-$C167+O$1)*$D167),OFFSET(P$160,0,-$C167)*$D167)</f>
        <v>0</v>
      </c>
      <c r="Q167" s="976" t="n">
        <f aca="false">SUM(E167:P167)</f>
        <v>0</v>
      </c>
      <c r="R167" s="549"/>
    </row>
    <row r="168" customFormat="false" ht="12.75" hidden="false" customHeight="false" outlineLevel="0" collapsed="false">
      <c r="B168" s="0" t="s">
        <v>743</v>
      </c>
      <c r="C168" s="451" t="n">
        <f aca="false">C147</f>
        <v>0</v>
      </c>
      <c r="D168" s="1330" t="n">
        <f aca="false">D147</f>
        <v>0</v>
      </c>
      <c r="E168" s="1026" t="n">
        <f aca="true">IF($C168&gt;=E$1,IF($C168&gt;12+D$1,IF($C168&gt;24+D$1,0,OFFSET($Q$118,0,-$C168+12+D$1)*$D168),OFFSET($Q$139,0,-$C168+D$1)*$D168),OFFSET(E$160,0,-$C168)*$D168)</f>
        <v>0</v>
      </c>
      <c r="F168" s="1026" t="n">
        <f aca="true">IF($C168&gt;=F$1,IF($C168&gt;12+E$1,IF($C168&gt;24+E$1,0,OFFSET($Q$118,0,-$C168+12+E$1)*$D168),OFFSET($Q$139,0,-$C168+E$1)*$D168),OFFSET(F$160,0,-$C168)*$D168)</f>
        <v>0</v>
      </c>
      <c r="G168" s="1026" t="n">
        <f aca="true">IF($C168&gt;=G$1,IF($C168&gt;12+F$1,IF($C168&gt;24+F$1,0,OFFSET($Q$118,0,-$C168+12+F$1)*$D168),OFFSET($Q$139,0,-$C168+F$1)*$D168),OFFSET(G$160,0,-$C168)*$D168)</f>
        <v>0</v>
      </c>
      <c r="H168" s="1026" t="n">
        <f aca="true">IF($C168&gt;=H$1,IF($C168&gt;12+G$1,IF($C168&gt;24+G$1,0,OFFSET($Q$118,0,-$C168+12+G$1)*$D168),OFFSET($Q$139,0,-$C168+G$1)*$D168),OFFSET(H$160,0,-$C168)*$D168)</f>
        <v>0</v>
      </c>
      <c r="I168" s="1026" t="n">
        <f aca="true">IF($C168&gt;=I$1,IF($C168&gt;12+H$1,IF($C168&gt;24+H$1,0,OFFSET($Q$118,0,-$C168+12+H$1)*$D168),OFFSET($Q$139,0,-$C168+H$1)*$D168),OFFSET(I$160,0,-$C168)*$D168)</f>
        <v>0</v>
      </c>
      <c r="J168" s="1026" t="n">
        <f aca="true">IF($C168&gt;=J$1,IF($C168&gt;12+I$1,IF($C168&gt;24+I$1,0,OFFSET($Q$118,0,-$C168+12+I$1)*$D168),OFFSET($Q$139,0,-$C168+I$1)*$D168),OFFSET(J$160,0,-$C168)*$D168)</f>
        <v>0</v>
      </c>
      <c r="K168" s="1026" t="n">
        <f aca="true">IF($C168&gt;=K$1,IF($C168&gt;12+J$1,IF($C168&gt;24+J$1,0,OFFSET($Q$118,0,-$C168+12+J$1)*$D168),OFFSET($Q$139,0,-$C168+J$1)*$D168),OFFSET(K$160,0,-$C168)*$D168)</f>
        <v>0</v>
      </c>
      <c r="L168" s="1026" t="n">
        <f aca="true">IF($C168&gt;=L$1,IF($C168&gt;12+K$1,IF($C168&gt;24+K$1,0,OFFSET($Q$118,0,-$C168+12+K$1)*$D168),OFFSET($Q$139,0,-$C168+K$1)*$D168),OFFSET(L$160,0,-$C168)*$D168)</f>
        <v>0</v>
      </c>
      <c r="M168" s="1026" t="n">
        <f aca="true">IF($C168&gt;=M$1,IF($C168&gt;12+L$1,IF($C168&gt;24+L$1,0,OFFSET($Q$118,0,-$C168+12+L$1)*$D168),OFFSET($Q$139,0,-$C168+L$1)*$D168),OFFSET(M$160,0,-$C168)*$D168)</f>
        <v>0</v>
      </c>
      <c r="N168" s="1026" t="n">
        <f aca="true">IF($C168&gt;=N$1,IF($C168&gt;12+M$1,IF($C168&gt;24+M$1,0,OFFSET($Q$118,0,-$C168+12+M$1)*$D168),OFFSET($Q$139,0,-$C168+M$1)*$D168),OFFSET(N$160,0,-$C168)*$D168)</f>
        <v>0</v>
      </c>
      <c r="O168" s="1026" t="n">
        <f aca="true">IF($C168&gt;=O$1,IF($C168&gt;12+N$1,IF($C168&gt;24+N$1,0,OFFSET($Q$118,0,-$C168+12+N$1)*$D168),OFFSET($Q$139,0,-$C168+N$1)*$D168),OFFSET(O$160,0,-$C168)*$D168)</f>
        <v>0</v>
      </c>
      <c r="P168" s="1026" t="n">
        <f aca="true">IF($C168&gt;=P$1,IF($C168&gt;12+O$1,IF($C168&gt;24+O$1,0,OFFSET($Q$118,0,-$C168+12+O$1)*$D168),OFFSET($Q$139,0,-$C168+O$1)*$D168),OFFSET(P$160,0,-$C168)*$D168)</f>
        <v>0</v>
      </c>
      <c r="Q168" s="976" t="n">
        <f aca="false">SUM(E168:P168)</f>
        <v>0</v>
      </c>
      <c r="R168" s="549"/>
    </row>
    <row r="169" customFormat="false" ht="13.5" hidden="false" customHeight="false" outlineLevel="0" collapsed="false">
      <c r="B169" s="0" t="s">
        <v>743</v>
      </c>
      <c r="C169" s="451" t="n">
        <f aca="false">C148</f>
        <v>0</v>
      </c>
      <c r="D169" s="1330" t="n">
        <f aca="false">D148</f>
        <v>0</v>
      </c>
      <c r="E169" s="1026" t="n">
        <f aca="true">IF($C169&gt;=E$1,IF($C169&gt;12+D$1,IF($C169&gt;24+D$1,0,OFFSET($Q$118,0,-$C169+12+D$1)*$D169),OFFSET($Q$139,0,-$C169+D$1)*$D169),OFFSET(E$160,0,-$C169)*$D169)</f>
        <v>0</v>
      </c>
      <c r="F169" s="1026" t="n">
        <f aca="true">IF($C169&gt;=F$1,IF($C169&gt;12+E$1,IF($C169&gt;24+E$1,0,OFFSET($Q$118,0,-$C169+12+E$1)*$D169),OFFSET($Q$139,0,-$C169+E$1)*$D169),OFFSET(F$160,0,-$C169)*$D169)</f>
        <v>0</v>
      </c>
      <c r="G169" s="1026" t="n">
        <f aca="true">IF($C169&gt;=G$1,IF($C169&gt;12+F$1,IF($C169&gt;24+F$1,0,OFFSET($Q$118,0,-$C169+12+F$1)*$D169),OFFSET($Q$139,0,-$C169+F$1)*$D169),OFFSET(G$160,0,-$C169)*$D169)</f>
        <v>0</v>
      </c>
      <c r="H169" s="1026" t="n">
        <f aca="true">IF($C169&gt;=H$1,IF($C169&gt;12+G$1,IF($C169&gt;24+G$1,0,OFFSET($Q$118,0,-$C169+12+G$1)*$D169),OFFSET($Q$139,0,-$C169+G$1)*$D169),OFFSET(H$160,0,-$C169)*$D169)</f>
        <v>0</v>
      </c>
      <c r="I169" s="1026" t="n">
        <f aca="true">IF($C169&gt;=I$1,IF($C169&gt;12+H$1,IF($C169&gt;24+H$1,0,OFFSET($Q$118,0,-$C169+12+H$1)*$D169),OFFSET($Q$139,0,-$C169+H$1)*$D169),OFFSET(I$160,0,-$C169)*$D169)</f>
        <v>0</v>
      </c>
      <c r="J169" s="1026" t="n">
        <f aca="true">IF($C169&gt;=J$1,IF($C169&gt;12+I$1,IF($C169&gt;24+I$1,0,OFFSET($Q$118,0,-$C169+12+I$1)*$D169),OFFSET($Q$139,0,-$C169+I$1)*$D169),OFFSET(J$160,0,-$C169)*$D169)</f>
        <v>0</v>
      </c>
      <c r="K169" s="1026" t="n">
        <f aca="true">IF($C169&gt;=K$1,IF($C169&gt;12+J$1,IF($C169&gt;24+J$1,0,OFFSET($Q$118,0,-$C169+12+J$1)*$D169),OFFSET($Q$139,0,-$C169+J$1)*$D169),OFFSET(K$160,0,-$C169)*$D169)</f>
        <v>0</v>
      </c>
      <c r="L169" s="1026" t="n">
        <f aca="true">IF($C169&gt;=L$1,IF($C169&gt;12+K$1,IF($C169&gt;24+K$1,0,OFFSET($Q$118,0,-$C169+12+K$1)*$D169),OFFSET($Q$139,0,-$C169+K$1)*$D169),OFFSET(L$160,0,-$C169)*$D169)</f>
        <v>0</v>
      </c>
      <c r="M169" s="1026" t="n">
        <f aca="true">IF($C169&gt;=M$1,IF($C169&gt;12+L$1,IF($C169&gt;24+L$1,0,OFFSET($Q$118,0,-$C169+12+L$1)*$D169),OFFSET($Q$139,0,-$C169+L$1)*$D169),OFFSET(M$160,0,-$C169)*$D169)</f>
        <v>0</v>
      </c>
      <c r="N169" s="1026" t="n">
        <f aca="true">IF($C169&gt;=N$1,IF($C169&gt;12+M$1,IF($C169&gt;24+M$1,0,OFFSET($Q$118,0,-$C169+12+M$1)*$D169),OFFSET($Q$139,0,-$C169+M$1)*$D169),OFFSET(N$160,0,-$C169)*$D169)</f>
        <v>0</v>
      </c>
      <c r="O169" s="1026" t="n">
        <f aca="true">IF($C169&gt;=O$1,IF($C169&gt;12+N$1,IF($C169&gt;24+N$1,0,OFFSET($Q$118,0,-$C169+12+N$1)*$D169),OFFSET($Q$139,0,-$C169+N$1)*$D169),OFFSET(O$160,0,-$C169)*$D169)</f>
        <v>0</v>
      </c>
      <c r="P169" s="1026" t="n">
        <f aca="true">IF($C169&gt;=P$1,IF($C169&gt;12+O$1,IF($C169&gt;24+O$1,0,OFFSET($Q$118,0,-$C169+12+O$1)*$D169),OFFSET($Q$139,0,-$C169+O$1)*$D169),OFFSET(P$160,0,-$C169)*$D169)</f>
        <v>0</v>
      </c>
      <c r="Q169" s="1333" t="n">
        <f aca="false">SUM(E169:P169)</f>
        <v>0</v>
      </c>
      <c r="R169" s="549"/>
    </row>
    <row r="170" customFormat="false" ht="15" hidden="false" customHeight="false" outlineLevel="0" collapsed="false">
      <c r="B170" s="1317" t="str">
        <f aca="false">B149</f>
        <v>Total pagado:</v>
      </c>
      <c r="C170" s="1318"/>
      <c r="D170" s="1334" t="n">
        <f aca="false">D149</f>
        <v>1</v>
      </c>
      <c r="E170" s="366" t="n">
        <f aca="false">SUM(E162:E169)</f>
        <v>19862.975</v>
      </c>
      <c r="F170" s="366" t="n">
        <f aca="false">SUM(F162:F169)</f>
        <v>20557.35</v>
      </c>
      <c r="G170" s="366" t="n">
        <f aca="false">SUM(G162:G169)</f>
        <v>21251.725</v>
      </c>
      <c r="H170" s="366" t="n">
        <f aca="false">SUM(H162:H169)</f>
        <v>21946.1</v>
      </c>
      <c r="I170" s="366" t="n">
        <f aca="false">SUM(I162:I169)</f>
        <v>21946.1</v>
      </c>
      <c r="J170" s="366" t="n">
        <f aca="false">SUM(J162:J169)</f>
        <v>21946.1</v>
      </c>
      <c r="K170" s="366" t="n">
        <f aca="false">SUM(K162:K169)</f>
        <v>21946.1</v>
      </c>
      <c r="L170" s="366" t="n">
        <f aca="false">SUM(L162:L169)</f>
        <v>21946.1</v>
      </c>
      <c r="M170" s="366" t="n">
        <f aca="false">SUM(M162:M169)</f>
        <v>21946.1</v>
      </c>
      <c r="N170" s="366" t="n">
        <f aca="false">SUM(N162:N169)</f>
        <v>21946.1</v>
      </c>
      <c r="O170" s="366" t="n">
        <f aca="false">SUM(O162:O169)</f>
        <v>21946.1</v>
      </c>
      <c r="P170" s="366" t="n">
        <f aca="false">SUM(P162:P169)</f>
        <v>21946.1</v>
      </c>
      <c r="Q170" s="417" t="n">
        <f aca="false">SUM(Q162:Q169)</f>
        <v>259186.95</v>
      </c>
    </row>
    <row r="171" customFormat="false" ht="19.5" hidden="false" customHeight="true" outlineLevel="0" collapsed="false">
      <c r="B171" s="1336" t="s">
        <v>747</v>
      </c>
      <c r="C171" s="1337"/>
      <c r="D171" s="1338"/>
      <c r="E171" s="1338" t="n">
        <f aca="true">OFFSET('Otra financiación'!$K$108,D1,0,1,1)</f>
        <v>0</v>
      </c>
      <c r="F171" s="1338" t="n">
        <f aca="true">OFFSET('Otra financiación'!$K$108,E1,0,1,1)</f>
        <v>0</v>
      </c>
      <c r="G171" s="1338" t="n">
        <f aca="true">OFFSET('Otra financiación'!$K$108,F1,0,1,1)</f>
        <v>0</v>
      </c>
      <c r="H171" s="1338" t="n">
        <f aca="true">OFFSET('Otra financiación'!$K$108,G1,0,1,1)</f>
        <v>0</v>
      </c>
      <c r="I171" s="1338" t="n">
        <f aca="true">OFFSET('Otra financiación'!$K$108,H1,0,1,1)</f>
        <v>0</v>
      </c>
      <c r="J171" s="1338" t="n">
        <f aca="true">OFFSET('Otra financiación'!$K$108,I1,0,1,1)</f>
        <v>0</v>
      </c>
      <c r="K171" s="1338" t="n">
        <f aca="true">OFFSET('Otra financiación'!$K$108,J1,0,1,1)</f>
        <v>0</v>
      </c>
      <c r="L171" s="1338" t="n">
        <f aca="true">OFFSET('Otra financiación'!$K$108,K1,0,1,1)</f>
        <v>0</v>
      </c>
      <c r="M171" s="1338" t="n">
        <f aca="true">OFFSET('Otra financiación'!$K$108,L1,0,1,1)</f>
        <v>0</v>
      </c>
      <c r="N171" s="1338" t="n">
        <f aca="true">OFFSET('Otra financiación'!$K$108,M1,0,1,1)</f>
        <v>0</v>
      </c>
      <c r="O171" s="1338" t="n">
        <f aca="true">OFFSET('Otra financiación'!$K$108,N1,0,1,1)</f>
        <v>0</v>
      </c>
      <c r="P171" s="1338" t="n">
        <f aca="true">OFFSET('Otra financiación'!$K$108,O1,0,1,1)</f>
        <v>0</v>
      </c>
      <c r="Q171" s="1338" t="n">
        <f aca="false">SUM(E171:P171)</f>
        <v>0</v>
      </c>
      <c r="R171" s="549"/>
    </row>
    <row r="172" customFormat="false" ht="6" hidden="false" customHeight="true" outlineLevel="0" collapsed="false">
      <c r="B172" s="23"/>
      <c r="C172" s="70"/>
      <c r="D172" s="267"/>
      <c r="E172" s="267"/>
      <c r="F172" s="267"/>
      <c r="G172" s="267"/>
      <c r="H172" s="267"/>
      <c r="I172" s="267"/>
      <c r="J172" s="267"/>
      <c r="K172" s="267"/>
      <c r="L172" s="267"/>
      <c r="M172" s="267"/>
      <c r="N172" s="267"/>
      <c r="O172" s="267"/>
      <c r="P172" s="267"/>
      <c r="Q172" s="267"/>
    </row>
    <row r="173" customFormat="false" ht="15" hidden="false" customHeight="false" outlineLevel="0" collapsed="false">
      <c r="B173" s="1317" t="s">
        <v>759</v>
      </c>
      <c r="C173" s="1318"/>
      <c r="D173" s="1318"/>
      <c r="E173" s="366" t="n">
        <f aca="false">P152+E160-E170-E171</f>
        <v>30836.025</v>
      </c>
      <c r="F173" s="366" t="n">
        <f aca="false">E173+F160-F170-F171</f>
        <v>32224.775</v>
      </c>
      <c r="G173" s="366" t="n">
        <f aca="false">F173+G160-G170-G171</f>
        <v>32919.15</v>
      </c>
      <c r="H173" s="366" t="n">
        <f aca="false">G173+H160-H170-H171</f>
        <v>32919.15</v>
      </c>
      <c r="I173" s="366" t="n">
        <f aca="false">H173+I160-I170-I171</f>
        <v>32919.15</v>
      </c>
      <c r="J173" s="366" t="n">
        <f aca="false">I173+J160-J170-J171</f>
        <v>32919.15</v>
      </c>
      <c r="K173" s="366" t="n">
        <f aca="false">J173+K160-K170-K171</f>
        <v>32919.15</v>
      </c>
      <c r="L173" s="366" t="n">
        <f aca="false">K173+L160-L170-L171</f>
        <v>32919.15</v>
      </c>
      <c r="M173" s="366" t="n">
        <f aca="false">L173+M160-M170-M171</f>
        <v>32919.15</v>
      </c>
      <c r="N173" s="366" t="n">
        <f aca="false">M173+N160-N170-N171</f>
        <v>32919.15</v>
      </c>
      <c r="O173" s="366" t="n">
        <f aca="false">N173+O160-O170-O171</f>
        <v>32919.15</v>
      </c>
      <c r="P173" s="417" t="n">
        <f aca="false">O173+P160-P170-P171</f>
        <v>32919.15</v>
      </c>
      <c r="Q173" s="93"/>
    </row>
    <row r="174" customFormat="false" ht="12.75" hidden="false" customHeight="false" outlineLevel="0" collapsed="false">
      <c r="E174" s="93"/>
      <c r="F174" s="93"/>
      <c r="G174" s="93"/>
      <c r="H174" s="93"/>
      <c r="I174" s="93"/>
      <c r="J174" s="93"/>
      <c r="K174" s="93"/>
      <c r="L174" s="93"/>
      <c r="M174" s="93"/>
    </row>
    <row r="175" customFormat="false" ht="12.75" hidden="false" customHeight="false" outlineLevel="0" collapsed="false">
      <c r="E175" s="93"/>
      <c r="F175" s="93"/>
      <c r="G175" s="93"/>
      <c r="H175" s="93"/>
      <c r="I175" s="93"/>
      <c r="J175" s="93"/>
      <c r="K175" s="93"/>
      <c r="L175" s="93"/>
      <c r="M175" s="93"/>
    </row>
    <row r="176" customFormat="false" ht="12.75" hidden="false" customHeight="false" outlineLevel="0" collapsed="false">
      <c r="E176" s="93"/>
      <c r="F176" s="93"/>
      <c r="G176" s="93"/>
      <c r="H176" s="93"/>
      <c r="I176" s="93"/>
      <c r="J176" s="93"/>
      <c r="K176" s="93"/>
      <c r="L176" s="93"/>
      <c r="M176" s="93"/>
    </row>
    <row r="177" customFormat="false" ht="12.75" hidden="false" customHeight="false" outlineLevel="0" collapsed="false">
      <c r="E177" s="93"/>
      <c r="F177" s="93"/>
      <c r="G177" s="93"/>
      <c r="H177" s="93"/>
      <c r="I177" s="93"/>
      <c r="J177" s="93"/>
      <c r="K177" s="93"/>
      <c r="L177" s="93"/>
      <c r="M177" s="93"/>
    </row>
    <row r="178" customFormat="false" ht="12.75" hidden="false" customHeight="false" outlineLevel="0" collapsed="false">
      <c r="E178" s="93"/>
      <c r="F178" s="93"/>
      <c r="G178" s="93"/>
      <c r="H178" s="93"/>
      <c r="I178" s="93"/>
      <c r="J178" s="93"/>
      <c r="K178" s="93"/>
      <c r="L178" s="93"/>
      <c r="M178" s="93"/>
    </row>
    <row r="179" customFormat="false" ht="12.75" hidden="false" customHeight="false" outlineLevel="0" collapsed="false">
      <c r="E179" s="93"/>
      <c r="F179" s="93"/>
      <c r="G179" s="93"/>
      <c r="H179" s="93"/>
      <c r="I179" s="93"/>
      <c r="J179" s="93"/>
      <c r="K179" s="93"/>
      <c r="L179" s="93"/>
      <c r="M179" s="93"/>
    </row>
    <row r="180" customFormat="false" ht="12.75" hidden="false" customHeight="false" outlineLevel="0" collapsed="false">
      <c r="E180" s="93"/>
      <c r="F180" s="93"/>
      <c r="G180" s="93"/>
      <c r="H180" s="93"/>
      <c r="I180" s="93"/>
      <c r="J180" s="93"/>
      <c r="K180" s="93"/>
      <c r="L180" s="93"/>
      <c r="M180" s="93"/>
    </row>
    <row r="181" customFormat="false" ht="12.75" hidden="false" customHeight="false" outlineLevel="0" collapsed="false">
      <c r="E181" s="93"/>
      <c r="F181" s="93"/>
      <c r="G181" s="93"/>
      <c r="H181" s="93"/>
      <c r="I181" s="93"/>
      <c r="J181" s="93"/>
      <c r="K181" s="93"/>
      <c r="L181" s="93"/>
      <c r="M181" s="93"/>
    </row>
    <row r="182" customFormat="false" ht="12.75" hidden="false" customHeight="false" outlineLevel="0" collapsed="false">
      <c r="E182" s="93"/>
      <c r="F182" s="93"/>
      <c r="G182" s="93"/>
      <c r="H182" s="93"/>
      <c r="I182" s="93"/>
      <c r="J182" s="93"/>
      <c r="K182" s="93"/>
      <c r="L182" s="93"/>
      <c r="M182" s="93"/>
    </row>
  </sheetData>
  <sheetProtection sheet="true" password="cc4b"/>
  <mergeCells count="1">
    <mergeCell ref="B4:G4"/>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51"/>
  <sheetViews>
    <sheetView showFormulas="false" showGridLines="false" showRowColHeaders="true" showZeros="true" rightToLeft="false" tabSelected="false" showOutlineSymbols="true" defaultGridColor="true" view="normal" topLeftCell="A25" colorId="64" zoomScale="115" zoomScaleNormal="115" zoomScalePageLayoutView="100" workbookViewId="0">
      <selection pane="topLeft" activeCell="A1" activeCellId="0" sqref="A1"/>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3.64"/>
    <col collapsed="false" customWidth="true" hidden="false" outlineLevel="0" max="3" min="3" style="0" width="8.63"/>
    <col collapsed="false" customWidth="true" hidden="false" outlineLevel="0" max="4" min="4" style="0" width="5.93"/>
    <col collapsed="false" customWidth="true" hidden="false" outlineLevel="0" max="7" min="5" style="0" width="8.63"/>
    <col collapsed="false" customWidth="true" hidden="false" outlineLevel="0" max="8" min="8" style="0" width="3.64"/>
    <col collapsed="false" customWidth="true" hidden="false" outlineLevel="0" max="9" min="9" style="0" width="13.35"/>
    <col collapsed="false" customWidth="true" hidden="false" outlineLevel="0" max="10" min="10" style="0" width="9.58"/>
    <col collapsed="false" customWidth="true" hidden="false" outlineLevel="0" max="11" min="11" style="0" width="11.46"/>
    <col collapsed="false" customWidth="true" hidden="false" outlineLevel="0" max="12" min="12" style="0" width="3.64"/>
    <col collapsed="false" customWidth="true" hidden="false" outlineLevel="0" max="24" min="13" style="0" width="11.46"/>
    <col collapsed="false" customWidth="true" hidden="false" outlineLevel="0" max="25" min="25" style="0" width="14.3"/>
    <col collapsed="false" customWidth="true" hidden="false" outlineLevel="0" max="256" min="26" style="0" width="11.46"/>
  </cols>
  <sheetData>
    <row r="2" customFormat="false" ht="30" hidden="false" customHeight="false" outlineLevel="0" collapsed="false">
      <c r="B2" s="31" t="s">
        <v>46</v>
      </c>
      <c r="E2" s="32" t="s">
        <v>47</v>
      </c>
    </row>
    <row r="4" customFormat="false" ht="22.5" hidden="false" customHeight="false" outlineLevel="0" collapsed="false">
      <c r="B4" s="33" t="s">
        <v>48</v>
      </c>
      <c r="C4" s="33"/>
      <c r="D4" s="33"/>
      <c r="E4" s="33"/>
      <c r="F4" s="33"/>
      <c r="G4" s="33"/>
      <c r="H4" s="33"/>
      <c r="I4" s="33"/>
      <c r="J4" s="33"/>
      <c r="K4" s="33"/>
      <c r="L4" s="33"/>
      <c r="M4" s="33"/>
    </row>
    <row r="7" customFormat="false" ht="12.75" hidden="false" customHeight="false" outlineLevel="0" collapsed="false">
      <c r="B7" s="34" t="s">
        <v>49</v>
      </c>
      <c r="C7" s="35"/>
    </row>
    <row r="8" customFormat="false" ht="12.75" hidden="false" customHeight="false" outlineLevel="0" collapsed="false">
      <c r="B8" s="35"/>
      <c r="C8" s="36" t="s">
        <v>50</v>
      </c>
    </row>
    <row r="10" customFormat="false" ht="14.25" hidden="false" customHeight="false" outlineLevel="0" collapsed="false">
      <c r="B10" s="37" t="s">
        <v>51</v>
      </c>
    </row>
    <row r="12" customFormat="false" ht="12.75" hidden="false" customHeight="false" outlineLevel="0" collapsed="false">
      <c r="B12" s="0" t="s">
        <v>52</v>
      </c>
    </row>
    <row r="14" customFormat="false" ht="12.75" hidden="false" customHeight="true" outlineLevel="0" collapsed="false">
      <c r="B14" s="38" t="s">
        <v>53</v>
      </c>
      <c r="C14" s="38"/>
      <c r="D14" s="38"/>
      <c r="E14" s="38"/>
      <c r="F14" s="38"/>
      <c r="G14" s="38"/>
      <c r="H14" s="38"/>
      <c r="I14" s="38"/>
      <c r="J14" s="38"/>
      <c r="K14" s="38"/>
      <c r="L14" s="38"/>
      <c r="M14" s="38"/>
      <c r="N14" s="38"/>
    </row>
    <row r="15" customFormat="false" ht="12.75" hidden="false" customHeight="false" outlineLevel="0" collapsed="false">
      <c r="B15" s="38"/>
      <c r="C15" s="38"/>
      <c r="D15" s="38"/>
      <c r="E15" s="38"/>
      <c r="F15" s="38"/>
      <c r="G15" s="38"/>
      <c r="H15" s="38"/>
      <c r="I15" s="38"/>
      <c r="J15" s="38"/>
      <c r="K15" s="38"/>
      <c r="L15" s="38"/>
      <c r="M15" s="38"/>
    </row>
    <row r="16" customFormat="false" ht="12.75" hidden="false" customHeight="false" outlineLevel="0" collapsed="false">
      <c r="B16" s="38"/>
      <c r="C16" s="38"/>
      <c r="D16" s="38"/>
      <c r="E16" s="38"/>
      <c r="F16" s="38"/>
      <c r="G16" s="38"/>
      <c r="H16" s="38"/>
      <c r="I16" s="38"/>
      <c r="J16" s="38"/>
      <c r="K16" s="38"/>
      <c r="L16" s="38"/>
      <c r="M16" s="38"/>
    </row>
    <row r="17" customFormat="false" ht="12.75" hidden="false" customHeight="false" outlineLevel="0" collapsed="false">
      <c r="B17" s="38"/>
      <c r="C17" s="38"/>
      <c r="D17" s="38"/>
      <c r="E17" s="38"/>
      <c r="F17" s="38"/>
      <c r="G17" s="38"/>
      <c r="H17" s="38"/>
      <c r="I17" s="38"/>
      <c r="J17" s="38"/>
      <c r="K17" s="38"/>
      <c r="L17" s="38"/>
      <c r="M17" s="38"/>
    </row>
    <row r="18" customFormat="false" ht="12.75" hidden="false" customHeight="false" outlineLevel="0" collapsed="false">
      <c r="B18" s="38"/>
      <c r="C18" s="38"/>
      <c r="D18" s="38"/>
      <c r="E18" s="38"/>
      <c r="F18" s="38"/>
      <c r="G18" s="38"/>
      <c r="H18" s="38"/>
      <c r="I18" s="38"/>
      <c r="J18" s="38"/>
      <c r="K18" s="38"/>
      <c r="L18" s="38"/>
      <c r="M18" s="38"/>
    </row>
    <row r="19" customFormat="false" ht="12.75" hidden="false" customHeight="false" outlineLevel="0" collapsed="false">
      <c r="B19" s="38"/>
      <c r="C19" s="38"/>
      <c r="D19" s="38"/>
      <c r="E19" s="38"/>
      <c r="F19" s="38"/>
      <c r="G19" s="38"/>
      <c r="H19" s="38"/>
      <c r="I19" s="38"/>
      <c r="J19" s="38"/>
      <c r="K19" s="38"/>
      <c r="L19" s="38"/>
      <c r="M19" s="38"/>
    </row>
    <row r="20" customFormat="false" ht="12.75" hidden="false" customHeight="false" outlineLevel="0" collapsed="false">
      <c r="B20" s="38"/>
      <c r="C20" s="38"/>
      <c r="D20" s="38"/>
      <c r="E20" s="38"/>
      <c r="F20" s="38"/>
      <c r="G20" s="38"/>
      <c r="H20" s="38"/>
      <c r="I20" s="38"/>
      <c r="J20" s="38"/>
      <c r="K20" s="38"/>
      <c r="L20" s="38"/>
      <c r="M20" s="38"/>
    </row>
    <row r="21" customFormat="false" ht="12.75" hidden="false" customHeight="false" outlineLevel="0" collapsed="false">
      <c r="B21" s="38"/>
      <c r="C21" s="38"/>
      <c r="D21" s="38"/>
      <c r="E21" s="38"/>
      <c r="F21" s="38"/>
      <c r="G21" s="38"/>
      <c r="H21" s="38"/>
      <c r="I21" s="38"/>
      <c r="J21" s="38"/>
      <c r="K21" s="38"/>
      <c r="L21" s="38"/>
      <c r="M21" s="38"/>
    </row>
    <row r="22" customFormat="false" ht="12.75" hidden="false" customHeight="false" outlineLevel="0" collapsed="false">
      <c r="B22" s="38"/>
      <c r="C22" s="38"/>
      <c r="D22" s="38"/>
      <c r="E22" s="38"/>
      <c r="F22" s="38"/>
      <c r="G22" s="38"/>
      <c r="H22" s="38"/>
      <c r="I22" s="38"/>
      <c r="J22" s="38"/>
      <c r="K22" s="38"/>
      <c r="L22" s="38"/>
      <c r="M22" s="38"/>
    </row>
    <row r="23" customFormat="false" ht="12.75" hidden="false" customHeight="false" outlineLevel="0" collapsed="false">
      <c r="B23" s="38"/>
      <c r="C23" s="38"/>
      <c r="D23" s="38"/>
      <c r="E23" s="38"/>
      <c r="F23" s="38"/>
      <c r="G23" s="38"/>
      <c r="H23" s="38"/>
      <c r="I23" s="38"/>
      <c r="J23" s="38"/>
      <c r="K23" s="38"/>
      <c r="L23" s="38"/>
      <c r="M23" s="38"/>
    </row>
    <row r="24" customFormat="false" ht="12.75" hidden="false" customHeight="false" outlineLevel="0" collapsed="false">
      <c r="B24" s="38"/>
      <c r="C24" s="38"/>
      <c r="D24" s="38"/>
      <c r="E24" s="38"/>
      <c r="F24" s="38"/>
      <c r="G24" s="38"/>
      <c r="H24" s="38"/>
      <c r="I24" s="38"/>
      <c r="J24" s="38"/>
      <c r="K24" s="38"/>
      <c r="L24" s="38"/>
      <c r="M24" s="38"/>
    </row>
    <row r="25" customFormat="false" ht="12.75" hidden="false" customHeight="false" outlineLevel="0" collapsed="false">
      <c r="B25" s="38"/>
      <c r="C25" s="38"/>
      <c r="D25" s="38"/>
      <c r="E25" s="38"/>
      <c r="F25" s="38"/>
      <c r="G25" s="38"/>
      <c r="H25" s="38"/>
      <c r="I25" s="38"/>
      <c r="J25" s="38"/>
      <c r="K25" s="38"/>
      <c r="L25" s="38"/>
      <c r="M25" s="38"/>
    </row>
    <row r="26" customFormat="false" ht="12.75" hidden="false" customHeight="false" outlineLevel="0" collapsed="false">
      <c r="B26" s="38"/>
      <c r="C26" s="38"/>
      <c r="D26" s="38"/>
      <c r="E26" s="38"/>
      <c r="F26" s="38"/>
      <c r="G26" s="38"/>
      <c r="H26" s="38"/>
      <c r="I26" s="38"/>
      <c r="J26" s="38"/>
      <c r="K26" s="38"/>
      <c r="L26" s="38"/>
      <c r="M26" s="38"/>
    </row>
    <row r="27" customFormat="false" ht="12.75" hidden="false" customHeight="false" outlineLevel="0" collapsed="false">
      <c r="B27" s="38"/>
      <c r="C27" s="38"/>
      <c r="D27" s="38"/>
      <c r="E27" s="38"/>
      <c r="F27" s="38"/>
      <c r="G27" s="38"/>
      <c r="H27" s="38"/>
      <c r="I27" s="38"/>
      <c r="J27" s="38"/>
      <c r="K27" s="38"/>
      <c r="L27" s="38"/>
      <c r="M27" s="38"/>
    </row>
    <row r="28" customFormat="false" ht="12.75" hidden="false" customHeight="false" outlineLevel="0" collapsed="false">
      <c r="B28" s="38"/>
      <c r="C28" s="38"/>
      <c r="D28" s="38"/>
      <c r="E28" s="38"/>
      <c r="F28" s="38"/>
      <c r="G28" s="38"/>
      <c r="H28" s="38"/>
      <c r="I28" s="38"/>
      <c r="J28" s="38"/>
      <c r="K28" s="38"/>
      <c r="L28" s="38"/>
      <c r="M28" s="38"/>
    </row>
    <row r="29" customFormat="false" ht="12.75" hidden="false" customHeight="false" outlineLevel="0" collapsed="false">
      <c r="B29" s="38"/>
      <c r="C29" s="38"/>
      <c r="D29" s="38"/>
      <c r="E29" s="38"/>
      <c r="F29" s="38"/>
      <c r="G29" s="38"/>
      <c r="H29" s="38"/>
      <c r="I29" s="38"/>
      <c r="J29" s="38"/>
      <c r="K29" s="38"/>
      <c r="L29" s="38"/>
      <c r="M29" s="38"/>
    </row>
    <row r="30" customFormat="false" ht="12.75" hidden="false" customHeight="false" outlineLevel="0" collapsed="false">
      <c r="B30" s="38"/>
      <c r="C30" s="38"/>
      <c r="D30" s="38"/>
      <c r="E30" s="38"/>
      <c r="F30" s="38"/>
      <c r="G30" s="38"/>
      <c r="H30" s="38"/>
      <c r="I30" s="38"/>
      <c r="J30" s="38"/>
      <c r="K30" s="38"/>
      <c r="L30" s="38"/>
      <c r="M30" s="38"/>
    </row>
    <row r="31" customFormat="false" ht="12.75" hidden="false" customHeight="false" outlineLevel="0" collapsed="false">
      <c r="B31" s="38"/>
      <c r="C31" s="38"/>
      <c r="D31" s="38"/>
      <c r="E31" s="38"/>
      <c r="F31" s="38"/>
      <c r="G31" s="38"/>
      <c r="H31" s="38"/>
      <c r="I31" s="38"/>
      <c r="J31" s="38"/>
      <c r="K31" s="38"/>
      <c r="L31" s="38"/>
      <c r="M31" s="38"/>
    </row>
    <row r="32" customFormat="false" ht="12.75" hidden="false" customHeight="false" outlineLevel="0" collapsed="false">
      <c r="B32" s="38"/>
      <c r="C32" s="38"/>
      <c r="D32" s="38"/>
      <c r="E32" s="38"/>
      <c r="F32" s="38"/>
      <c r="G32" s="38"/>
      <c r="H32" s="38"/>
      <c r="I32" s="38"/>
      <c r="J32" s="38"/>
      <c r="K32" s="38"/>
      <c r="L32" s="38"/>
      <c r="M32" s="38"/>
    </row>
    <row r="33" customFormat="false" ht="12.75" hidden="false" customHeight="false" outlineLevel="0" collapsed="false">
      <c r="B33" s="38"/>
      <c r="C33" s="38"/>
      <c r="D33" s="38"/>
      <c r="E33" s="38"/>
      <c r="F33" s="38"/>
      <c r="G33" s="38"/>
      <c r="H33" s="38"/>
      <c r="I33" s="38"/>
      <c r="J33" s="38"/>
      <c r="K33" s="38"/>
      <c r="L33" s="38"/>
      <c r="M33" s="38"/>
    </row>
    <row r="34" customFormat="false" ht="12.75" hidden="false" customHeight="false" outlineLevel="0" collapsed="false">
      <c r="B34" s="39"/>
      <c r="C34" s="39"/>
      <c r="D34" s="39"/>
      <c r="E34" s="39"/>
      <c r="F34" s="39"/>
      <c r="G34" s="39"/>
      <c r="H34" s="39"/>
      <c r="I34" s="39"/>
      <c r="J34" s="39"/>
      <c r="K34" s="39"/>
      <c r="L34" s="39"/>
      <c r="M34" s="39"/>
    </row>
    <row r="35" customFormat="false" ht="12.75" hidden="false" customHeight="false" outlineLevel="0" collapsed="false">
      <c r="B35" s="39" t="s">
        <v>54</v>
      </c>
      <c r="C35" s="39"/>
      <c r="D35" s="39"/>
      <c r="E35" s="39"/>
      <c r="F35" s="39"/>
      <c r="G35" s="39"/>
      <c r="H35" s="39"/>
      <c r="I35" s="39"/>
      <c r="J35" s="39"/>
      <c r="K35" s="39"/>
      <c r="L35" s="39"/>
      <c r="M35" s="39"/>
      <c r="N35" s="39"/>
    </row>
    <row r="37" customFormat="false" ht="18.75" hidden="false" customHeight="true" outlineLevel="0" collapsed="false">
      <c r="B37" s="40" t="s">
        <v>55</v>
      </c>
      <c r="C37" s="40"/>
      <c r="D37" s="40"/>
      <c r="E37" s="40"/>
      <c r="H37" s="40" t="s">
        <v>56</v>
      </c>
      <c r="I37" s="40"/>
      <c r="J37" s="40"/>
      <c r="L37" s="41"/>
      <c r="M37" s="41"/>
    </row>
    <row r="38" customFormat="false" ht="12.75" hidden="false" customHeight="true" outlineLevel="0" collapsed="false">
      <c r="B38" s="40"/>
      <c r="C38" s="40"/>
      <c r="D38" s="40"/>
      <c r="E38" s="40"/>
      <c r="H38" s="40"/>
      <c r="I38" s="40"/>
      <c r="J38" s="40"/>
      <c r="L38" s="42" t="s">
        <v>57</v>
      </c>
      <c r="M38" s="42"/>
      <c r="N38" s="42"/>
    </row>
    <row r="39" customFormat="false" ht="6.75" hidden="false" customHeight="true" outlineLevel="0" collapsed="false"/>
    <row r="40" customFormat="false" ht="12.75" hidden="false" customHeight="false" outlineLevel="0" collapsed="false">
      <c r="A40" s="43"/>
      <c r="C40" s="44" t="s">
        <v>58</v>
      </c>
      <c r="D40" s="44"/>
      <c r="E40" s="44"/>
      <c r="H40" s="45" t="s">
        <v>59</v>
      </c>
      <c r="I40" s="45"/>
      <c r="J40" s="45"/>
      <c r="L40" s="46" t="s">
        <v>60</v>
      </c>
      <c r="M40" s="46"/>
      <c r="N40" s="46"/>
    </row>
    <row r="43" customFormat="false" ht="12.75" hidden="false" customHeight="true" outlineLevel="0" collapsed="false">
      <c r="A43" s="43"/>
      <c r="B43" s="47" t="s">
        <v>61</v>
      </c>
      <c r="C43" s="47"/>
      <c r="D43" s="47"/>
      <c r="E43" s="47"/>
      <c r="F43" s="47"/>
      <c r="G43" s="47"/>
      <c r="H43" s="47"/>
      <c r="I43" s="47"/>
      <c r="J43" s="47"/>
      <c r="K43" s="47"/>
      <c r="L43" s="47"/>
      <c r="M43" s="47"/>
      <c r="N43" s="47"/>
      <c r="O43" s="47"/>
    </row>
    <row r="44" customFormat="false" ht="12.75" hidden="false" customHeight="false" outlineLevel="0" collapsed="false">
      <c r="A44" s="43"/>
      <c r="B44" s="47"/>
      <c r="C44" s="47"/>
      <c r="D44" s="47"/>
      <c r="E44" s="47"/>
      <c r="F44" s="47"/>
      <c r="G44" s="47"/>
      <c r="H44" s="47"/>
      <c r="I44" s="47"/>
      <c r="J44" s="47"/>
      <c r="K44" s="47"/>
      <c r="L44" s="47"/>
      <c r="M44" s="47"/>
      <c r="N44" s="47"/>
      <c r="O44" s="47"/>
    </row>
    <row r="45" customFormat="false" ht="12.75" hidden="false" customHeight="false" outlineLevel="0" collapsed="false">
      <c r="A45" s="43"/>
      <c r="B45" s="47"/>
      <c r="C45" s="47"/>
      <c r="D45" s="47"/>
      <c r="E45" s="47"/>
      <c r="F45" s="47"/>
      <c r="G45" s="47"/>
      <c r="H45" s="47"/>
      <c r="I45" s="47"/>
      <c r="J45" s="47"/>
      <c r="K45" s="47"/>
      <c r="L45" s="47"/>
      <c r="M45" s="47"/>
      <c r="N45" s="47"/>
      <c r="O45" s="47"/>
    </row>
    <row r="46" customFormat="false" ht="12.75" hidden="false" customHeight="false" outlineLevel="0" collapsed="false">
      <c r="A46" s="43"/>
    </row>
    <row r="47" customFormat="false" ht="12.75" hidden="false" customHeight="false" outlineLevel="0" collapsed="false">
      <c r="A47" s="43"/>
    </row>
    <row r="48" customFormat="false" ht="12.75" hidden="false" customHeight="false" outlineLevel="0" collapsed="false">
      <c r="A48" s="43"/>
    </row>
    <row r="49" customFormat="false" ht="12.75" hidden="false" customHeight="false" outlineLevel="0" collapsed="false">
      <c r="A49" s="43"/>
    </row>
    <row r="50" customFormat="false" ht="12.75" hidden="false" customHeight="false" outlineLevel="0" collapsed="false">
      <c r="A50" s="43"/>
    </row>
    <row r="51" customFormat="false" ht="12.75" hidden="false" customHeight="false" outlineLevel="0" collapsed="false">
      <c r="A51" s="43"/>
    </row>
  </sheetData>
  <sheetProtection sheet="true" password="cc4b"/>
  <mergeCells count="9">
    <mergeCell ref="B4:M4"/>
    <mergeCell ref="B14:N33"/>
    <mergeCell ref="B37:E38"/>
    <mergeCell ref="H37:J38"/>
    <mergeCell ref="L38:N38"/>
    <mergeCell ref="C40:E40"/>
    <mergeCell ref="H40:J40"/>
    <mergeCell ref="L40:N40"/>
    <mergeCell ref="B43:O45"/>
  </mergeCells>
  <hyperlinks>
    <hyperlink ref="C8" r:id="rId1" display="https://sites.google.com/site/secotdelegacionmadrid/estudio-economico-financiero"/>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6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C63" activeCellId="0" sqref="C63"/>
    </sheetView>
  </sheetViews>
  <sheetFormatPr defaultColWidth="11.4609375" defaultRowHeight="10.5" zeroHeight="false" outlineLevelRow="0" outlineLevelCol="0"/>
  <cols>
    <col collapsed="false" customWidth="false" hidden="false" outlineLevel="0" max="1" min="1" style="35" width="11.46"/>
    <col collapsed="false" customWidth="true" hidden="false" outlineLevel="0" max="2" min="2" style="35" width="5.39"/>
    <col collapsed="false" customWidth="true" hidden="false" outlineLevel="0" max="3" min="3" style="35" width="46.93"/>
    <col collapsed="false" customWidth="true" hidden="false" outlineLevel="0" max="4" min="4" style="35" width="14.56"/>
    <col collapsed="false" customWidth="false" hidden="false" outlineLevel="0" max="5" min="5" style="48" width="11.46"/>
    <col collapsed="false" customWidth="true" hidden="false" outlineLevel="0" max="6" min="6" style="35" width="15.1"/>
    <col collapsed="false" customWidth="true" hidden="false" outlineLevel="0" max="7" min="7" style="35" width="7.82"/>
    <col collapsed="false" customWidth="true" hidden="false" outlineLevel="0" max="8" min="8" style="35" width="13.49"/>
    <col collapsed="false" customWidth="true" hidden="false" outlineLevel="0" max="9" min="9" style="35" width="7.28"/>
    <col collapsed="false" customWidth="true" hidden="false" outlineLevel="0" max="10" min="10" style="35" width="12.95"/>
    <col collapsed="false" customWidth="true" hidden="false" outlineLevel="0" max="11" min="11" style="35" width="7.55"/>
    <col collapsed="false" customWidth="true" hidden="false" outlineLevel="0" max="12" min="12" style="35" width="10.12"/>
    <col collapsed="false" customWidth="true" hidden="true" outlineLevel="0" max="13" min="13" style="35" width="28.05"/>
    <col collapsed="false" customWidth="true" hidden="true" outlineLevel="0" max="15" min="14" style="35" width="8.36"/>
    <col collapsed="false" customWidth="true" hidden="true" outlineLevel="0" max="16" min="16" style="35" width="10.65"/>
    <col collapsed="false" customWidth="true" hidden="false" outlineLevel="0" max="17" min="17" style="35" width="9.7"/>
    <col collapsed="false" customWidth="true" hidden="false" outlineLevel="0" max="18" min="18" style="35" width="8.36"/>
    <col collapsed="false" customWidth="true" hidden="false" outlineLevel="0" max="19" min="19" style="35" width="8.09"/>
    <col collapsed="false" customWidth="true" hidden="false" outlineLevel="0" max="20" min="20" style="35" width="7.82"/>
    <col collapsed="false" customWidth="true" hidden="false" outlineLevel="0" max="21" min="21" style="35" width="7.42"/>
    <col collapsed="false" customWidth="false" hidden="false" outlineLevel="0" max="16384" min="22" style="35" width="11.46"/>
  </cols>
  <sheetData>
    <row r="1" customFormat="false" ht="10.5" hidden="true" customHeight="false" outlineLevel="0" collapsed="false">
      <c r="A1" s="49"/>
      <c r="B1" s="49"/>
      <c r="D1" s="50" t="n">
        <v>0</v>
      </c>
      <c r="E1" s="50" t="n">
        <v>1</v>
      </c>
      <c r="F1" s="50" t="n">
        <v>2</v>
      </c>
      <c r="G1" s="50" t="n">
        <v>3</v>
      </c>
      <c r="H1" s="50" t="n">
        <v>4</v>
      </c>
      <c r="I1" s="50" t="n">
        <v>5</v>
      </c>
      <c r="J1" s="50" t="n">
        <v>6</v>
      </c>
      <c r="K1" s="50" t="n">
        <v>7</v>
      </c>
      <c r="L1" s="50" t="n">
        <v>8</v>
      </c>
      <c r="M1" s="50" t="n">
        <v>9</v>
      </c>
      <c r="N1" s="50" t="n">
        <v>10</v>
      </c>
      <c r="O1" s="50" t="n">
        <v>11</v>
      </c>
      <c r="P1" s="50" t="n">
        <v>12</v>
      </c>
    </row>
    <row r="2" customFormat="false" ht="15.75" hidden="false" customHeight="true" outlineLevel="0" collapsed="false">
      <c r="D2" s="50"/>
      <c r="E2" s="50"/>
      <c r="F2" s="50"/>
      <c r="G2" s="50"/>
      <c r="H2" s="50"/>
      <c r="I2" s="50"/>
      <c r="J2" s="50"/>
      <c r="K2" s="50"/>
      <c r="L2" s="50"/>
      <c r="M2" s="50"/>
      <c r="N2" s="50"/>
      <c r="O2" s="50"/>
      <c r="P2" s="50"/>
    </row>
    <row r="3" customFormat="false" ht="10.5" hidden="false" customHeight="false" outlineLevel="0" collapsed="false">
      <c r="D3" s="50"/>
      <c r="E3" s="50"/>
      <c r="F3" s="50"/>
      <c r="G3" s="50"/>
      <c r="H3" s="50"/>
      <c r="I3" s="50"/>
      <c r="J3" s="50"/>
      <c r="K3" s="50"/>
      <c r="L3" s="50"/>
      <c r="M3" s="50"/>
      <c r="N3" s="50"/>
      <c r="O3" s="50"/>
      <c r="P3" s="50"/>
    </row>
    <row r="4" customFormat="false" ht="14.25" hidden="false" customHeight="false" outlineLevel="0" collapsed="false">
      <c r="B4" s="51" t="s">
        <v>62</v>
      </c>
      <c r="D4" s="52"/>
    </row>
    <row r="5" customFormat="false" ht="15" hidden="false" customHeight="false" outlineLevel="0" collapsed="false">
      <c r="C5" s="51"/>
      <c r="D5" s="52"/>
    </row>
    <row r="6" customFormat="false" ht="22.5" hidden="false" customHeight="true" outlineLevel="0" collapsed="false">
      <c r="C6" s="53" t="s">
        <v>63</v>
      </c>
      <c r="D6" s="53"/>
      <c r="E6" s="54" t="s">
        <v>64</v>
      </c>
    </row>
    <row r="7" customFormat="false" ht="22.5" hidden="false" customHeight="true" outlineLevel="0" collapsed="false">
      <c r="C7" s="55"/>
      <c r="D7" s="55"/>
      <c r="E7" s="54"/>
    </row>
    <row r="8" customFormat="false" ht="15" hidden="true" customHeight="true" outlineLevel="0" collapsed="false">
      <c r="A8" s="56" t="s">
        <v>65</v>
      </c>
      <c r="C8" s="53" t="s">
        <v>66</v>
      </c>
      <c r="D8" s="53"/>
      <c r="E8" s="54" t="s">
        <v>67</v>
      </c>
    </row>
    <row r="9" customFormat="false" ht="22.5" hidden="false" customHeight="true" outlineLevel="0" collapsed="false">
      <c r="C9" s="55"/>
      <c r="D9" s="55"/>
      <c r="M9" s="57" t="s">
        <v>68</v>
      </c>
    </row>
    <row r="10" customFormat="false" ht="12" hidden="false" customHeight="true" outlineLevel="0" collapsed="false">
      <c r="C10" s="52" t="s">
        <v>69</v>
      </c>
      <c r="D10" s="58" t="n">
        <v>44927</v>
      </c>
      <c r="E10" s="59" t="s">
        <v>70</v>
      </c>
      <c r="F10" s="59"/>
      <c r="G10" s="59"/>
      <c r="H10" s="59"/>
      <c r="I10" s="59"/>
      <c r="J10" s="59"/>
      <c r="M10" s="60" t="s">
        <v>71</v>
      </c>
      <c r="N10" s="61" t="n">
        <f aca="false">DATE(YEAR(D10),MONTH(D10),DAY(1))</f>
        <v>44957</v>
      </c>
      <c r="O10" s="62" t="n">
        <f aca="false">MONTH(N10)</f>
        <v>1</v>
      </c>
      <c r="P10" s="63" t="n">
        <f aca="false">YEAR(N10)</f>
        <v>2023</v>
      </c>
    </row>
    <row r="11" customFormat="false" ht="11.25" hidden="false" customHeight="false" outlineLevel="0" collapsed="false">
      <c r="E11" s="59"/>
      <c r="F11" s="59"/>
      <c r="G11" s="59"/>
      <c r="H11" s="59"/>
      <c r="I11" s="59"/>
      <c r="J11" s="59"/>
      <c r="M11" s="64" t="s">
        <v>72</v>
      </c>
    </row>
    <row r="12" customFormat="false" ht="10.5" hidden="false" customHeight="false" outlineLevel="0" collapsed="false">
      <c r="E12" s="59"/>
      <c r="F12" s="59"/>
      <c r="G12" s="59"/>
      <c r="H12" s="59"/>
      <c r="I12" s="59"/>
      <c r="J12" s="59"/>
      <c r="M12" s="64" t="s">
        <v>73</v>
      </c>
    </row>
    <row r="13" customFormat="false" ht="10.5" hidden="false" customHeight="false" outlineLevel="0" collapsed="false">
      <c r="M13" s="64" t="s">
        <v>74</v>
      </c>
    </row>
    <row r="14" customFormat="false" ht="14.25" hidden="false" customHeight="false" outlineLevel="0" collapsed="false">
      <c r="B14" s="51" t="s">
        <v>75</v>
      </c>
      <c r="M14" s="64" t="s">
        <v>76</v>
      </c>
    </row>
    <row r="15" customFormat="false" ht="11.25" hidden="false" customHeight="false" outlineLevel="0" collapsed="false">
      <c r="E15" s="65" t="s">
        <v>77</v>
      </c>
      <c r="M15" s="64" t="s">
        <v>78</v>
      </c>
    </row>
    <row r="16" customFormat="false" ht="12" hidden="false" customHeight="false" outlineLevel="0" collapsed="false">
      <c r="C16" s="52" t="s">
        <v>79</v>
      </c>
      <c r="D16" s="66" t="n">
        <v>0.1</v>
      </c>
      <c r="E16" s="65" t="s">
        <v>80</v>
      </c>
      <c r="M16" s="64" t="s">
        <v>81</v>
      </c>
    </row>
    <row r="17" customFormat="false" ht="11.25" hidden="false" customHeight="false" outlineLevel="0" collapsed="false">
      <c r="C17" s="52"/>
      <c r="D17" s="67"/>
      <c r="M17" s="64"/>
    </row>
    <row r="18" customFormat="false" ht="11.25" hidden="false" customHeight="false" outlineLevel="0" collapsed="false">
      <c r="C18" s="52"/>
      <c r="D18" s="67"/>
      <c r="E18" s="65"/>
      <c r="M18" s="64"/>
    </row>
    <row r="19" customFormat="false" ht="12" hidden="false" customHeight="false" outlineLevel="0" collapsed="false">
      <c r="C19" s="52" t="s">
        <v>82</v>
      </c>
      <c r="D19" s="66" t="n">
        <v>0.12</v>
      </c>
      <c r="E19" s="65" t="s">
        <v>83</v>
      </c>
      <c r="M19" s="64"/>
    </row>
    <row r="20" customFormat="false" ht="11.25" hidden="false" customHeight="false" outlineLevel="0" collapsed="false">
      <c r="C20" s="52"/>
      <c r="D20" s="67"/>
      <c r="E20" s="65"/>
      <c r="M20" s="64"/>
    </row>
    <row r="21" customFormat="false" ht="11.25" hidden="false" customHeight="false" outlineLevel="0" collapsed="false">
      <c r="C21" s="52"/>
      <c r="D21" s="68"/>
      <c r="M21" s="64" t="s">
        <v>84</v>
      </c>
    </row>
    <row r="22" customFormat="false" ht="12" hidden="false" customHeight="false" outlineLevel="0" collapsed="false">
      <c r="C22" s="52" t="s">
        <v>85</v>
      </c>
      <c r="D22" s="66" t="n">
        <v>0.1</v>
      </c>
      <c r="E22" s="65" t="s">
        <v>86</v>
      </c>
      <c r="M22" s="64" t="s">
        <v>87</v>
      </c>
    </row>
    <row r="23" customFormat="false" ht="11.25" hidden="false" customHeight="false" outlineLevel="0" collapsed="false">
      <c r="D23" s="69"/>
      <c r="M23" s="64" t="s">
        <v>88</v>
      </c>
    </row>
    <row r="24" s="35" customFormat="true" ht="10.5" hidden="false" customHeight="false" outlineLevel="0" collapsed="false"/>
    <row r="25" s="35" customFormat="true" ht="10.5" hidden="false" customHeight="false" outlineLevel="0" collapsed="false"/>
    <row r="26" customFormat="false" ht="14.25" hidden="false" customHeight="false" outlineLevel="0" collapsed="false">
      <c r="B26" s="51" t="s">
        <v>89</v>
      </c>
    </row>
    <row r="27" customFormat="false" ht="30.75" hidden="false" customHeight="true" outlineLevel="0" collapsed="false">
      <c r="B27" s="51"/>
    </row>
    <row r="28" customFormat="false" ht="18.75" hidden="false" customHeight="true" outlineLevel="0" collapsed="false">
      <c r="C28" s="70"/>
      <c r="D28" s="71" t="s">
        <v>90</v>
      </c>
      <c r="E28" s="71"/>
      <c r="F28" s="71"/>
      <c r="G28" s="71" t="s">
        <v>91</v>
      </c>
    </row>
    <row r="29" customFormat="false" ht="19.5" hidden="false" customHeight="true" outlineLevel="0" collapsed="false">
      <c r="D29" s="72" t="n">
        <f aca="false">YEAR(D10)</f>
        <v>2023</v>
      </c>
      <c r="E29" s="72" t="n">
        <f aca="false">YEAR(D10)+1</f>
        <v>2024</v>
      </c>
      <c r="F29" s="72" t="n">
        <f aca="false">YEAR(D10)+2</f>
        <v>2025</v>
      </c>
      <c r="G29" s="71"/>
      <c r="H29" s="73"/>
      <c r="I29" s="74"/>
    </row>
    <row r="30" customFormat="false" ht="10.5" hidden="false" customHeight="false" outlineLevel="0" collapsed="false">
      <c r="C30" s="75" t="s">
        <v>92</v>
      </c>
      <c r="D30" s="76" t="n">
        <v>0.15</v>
      </c>
      <c r="E30" s="76" t="n">
        <v>0.15</v>
      </c>
      <c r="F30" s="76" t="n">
        <v>0.25</v>
      </c>
      <c r="G30" s="76" t="n">
        <v>0.18</v>
      </c>
      <c r="H30" s="77"/>
      <c r="I30" s="78"/>
    </row>
    <row r="31" customFormat="false" ht="10.5" hidden="false" customHeight="false" outlineLevel="0" collapsed="false">
      <c r="C31" s="79"/>
      <c r="E31" s="80"/>
      <c r="G31" s="80"/>
      <c r="I31" s="80"/>
    </row>
    <row r="32" customFormat="false" ht="10.5" hidden="false" customHeight="false" outlineLevel="0" collapsed="false">
      <c r="C32" s="79"/>
      <c r="E32" s="80"/>
      <c r="G32" s="80"/>
      <c r="I32" s="80"/>
    </row>
    <row r="33" customFormat="false" ht="38.25" hidden="false" customHeight="true" outlineLevel="0" collapsed="false">
      <c r="C33" s="70"/>
      <c r="D33" s="81" t="s">
        <v>93</v>
      </c>
      <c r="E33" s="81"/>
      <c r="F33" s="81"/>
      <c r="G33" s="81"/>
      <c r="H33" s="81"/>
      <c r="I33" s="81"/>
      <c r="J33" s="81"/>
    </row>
    <row r="34" customFormat="false" ht="10.5" hidden="false" customHeight="true" outlineLevel="0" collapsed="false">
      <c r="C34" s="82" t="s">
        <v>94</v>
      </c>
      <c r="D34" s="83" t="s">
        <v>95</v>
      </c>
      <c r="E34" s="83"/>
      <c r="F34" s="83" t="s">
        <v>96</v>
      </c>
      <c r="G34" s="83"/>
      <c r="H34" s="83" t="s">
        <v>97</v>
      </c>
      <c r="I34" s="83"/>
      <c r="J34" s="71" t="s">
        <v>98</v>
      </c>
      <c r="M34" s="73"/>
    </row>
    <row r="35" customFormat="false" ht="10.5" hidden="false" customHeight="false" outlineLevel="0" collapsed="false">
      <c r="C35" s="82"/>
      <c r="D35" s="83" t="s">
        <v>99</v>
      </c>
      <c r="E35" s="72" t="s">
        <v>100</v>
      </c>
      <c r="F35" s="83" t="s">
        <v>99</v>
      </c>
      <c r="G35" s="72" t="s">
        <v>100</v>
      </c>
      <c r="H35" s="83" t="s">
        <v>99</v>
      </c>
      <c r="I35" s="72" t="s">
        <v>100</v>
      </c>
      <c r="J35" s="71"/>
      <c r="M35" s="74"/>
    </row>
    <row r="36" customFormat="false" ht="10.5" hidden="false" customHeight="false" outlineLevel="0" collapsed="false">
      <c r="C36" s="84" t="s">
        <v>101</v>
      </c>
      <c r="D36" s="85"/>
      <c r="E36" s="76"/>
      <c r="F36" s="85"/>
      <c r="G36" s="76"/>
      <c r="H36" s="85"/>
      <c r="I36" s="76"/>
      <c r="J36" s="76" t="n">
        <v>0.2</v>
      </c>
      <c r="M36" s="78"/>
    </row>
    <row r="37" customFormat="false" ht="10.5" hidden="false" customHeight="false" outlineLevel="0" collapsed="false">
      <c r="C37" s="79"/>
      <c r="E37" s="80"/>
      <c r="G37" s="80"/>
      <c r="I37" s="80"/>
    </row>
    <row r="38" customFormat="false" ht="10.5" hidden="true" customHeight="false" outlineLevel="0" collapsed="false">
      <c r="C38" s="79"/>
      <c r="D38" s="49" t="n">
        <f aca="false">D36+F30</f>
        <v>0.25</v>
      </c>
      <c r="E38" s="49" t="n">
        <f aca="false">F30+E36</f>
        <v>0.25</v>
      </c>
      <c r="F38" s="49" t="n">
        <f aca="false">F36+F30</f>
        <v>0.25</v>
      </c>
      <c r="G38" s="49" t="n">
        <f aca="false">F30+G36</f>
        <v>0.25</v>
      </c>
      <c r="H38" s="49" t="n">
        <f aca="false">H36+F30</f>
        <v>0.25</v>
      </c>
      <c r="I38" s="49" t="n">
        <f aca="false">F30+I36</f>
        <v>0.25</v>
      </c>
    </row>
    <row r="39" customFormat="false" ht="10.5" hidden="false" customHeight="false" outlineLevel="0" collapsed="false">
      <c r="C39" s="79"/>
      <c r="E39" s="80"/>
      <c r="G39" s="80"/>
      <c r="I39" s="80"/>
    </row>
    <row r="40" customFormat="false" ht="10.5" hidden="false" customHeight="false" outlineLevel="0" collapsed="false">
      <c r="C40" s="79"/>
      <c r="E40" s="80"/>
      <c r="G40" s="80"/>
      <c r="I40" s="80"/>
    </row>
    <row r="41" customFormat="false" ht="10.5" hidden="false" customHeight="false" outlineLevel="0" collapsed="false">
      <c r="C41" s="79"/>
      <c r="D41" s="54" t="s">
        <v>102</v>
      </c>
      <c r="E41" s="80"/>
      <c r="G41" s="80"/>
      <c r="I41" s="80"/>
    </row>
    <row r="42" customFormat="false" ht="10.5" hidden="false" customHeight="false" outlineLevel="0" collapsed="false">
      <c r="C42" s="79"/>
      <c r="D42" s="83" t="s">
        <v>3</v>
      </c>
      <c r="E42" s="83"/>
      <c r="F42" s="86" t="s">
        <v>4</v>
      </c>
      <c r="G42" s="87"/>
      <c r="H42" s="86" t="s">
        <v>5</v>
      </c>
      <c r="I42" s="87"/>
    </row>
    <row r="43" customFormat="false" ht="10.5" hidden="false" customHeight="false" outlineLevel="0" collapsed="false">
      <c r="C43" s="75" t="s">
        <v>103</v>
      </c>
      <c r="D43" s="83" t="s">
        <v>99</v>
      </c>
      <c r="E43" s="72" t="s">
        <v>100</v>
      </c>
      <c r="F43" s="83" t="s">
        <v>99</v>
      </c>
      <c r="G43" s="72" t="s">
        <v>100</v>
      </c>
      <c r="H43" s="83" t="s">
        <v>99</v>
      </c>
      <c r="I43" s="72" t="s">
        <v>100</v>
      </c>
    </row>
    <row r="44" customFormat="false" ht="10.5" hidden="false" customHeight="false" outlineLevel="0" collapsed="false">
      <c r="C44" s="84" t="s">
        <v>104</v>
      </c>
      <c r="D44" s="88"/>
      <c r="E44" s="76" t="n">
        <v>0.5</v>
      </c>
      <c r="F44" s="88"/>
      <c r="G44" s="76" t="n">
        <v>0.5</v>
      </c>
      <c r="H44" s="88"/>
      <c r="I44" s="76" t="n">
        <v>0.5</v>
      </c>
    </row>
    <row r="45" customFormat="false" ht="10.5" hidden="false" customHeight="true" outlineLevel="0" collapsed="false">
      <c r="C45" s="89" t="s">
        <v>105</v>
      </c>
      <c r="D45" s="89"/>
      <c r="E45" s="89"/>
      <c r="F45" s="89"/>
      <c r="G45" s="89"/>
      <c r="H45" s="89"/>
      <c r="I45" s="89"/>
    </row>
    <row r="46" customFormat="false" ht="10.5" hidden="false" customHeight="false" outlineLevel="0" collapsed="false">
      <c r="C46" s="89"/>
      <c r="D46" s="89"/>
      <c r="E46" s="89"/>
      <c r="F46" s="89"/>
      <c r="G46" s="89"/>
      <c r="H46" s="89"/>
      <c r="I46" s="89"/>
    </row>
    <row r="47" customFormat="false" ht="12.75" hidden="false" customHeight="true" outlineLevel="0" collapsed="false">
      <c r="C47" s="89"/>
      <c r="D47" s="89"/>
      <c r="E47" s="89"/>
      <c r="F47" s="89"/>
      <c r="G47" s="89"/>
      <c r="H47" s="89"/>
      <c r="I47" s="89"/>
    </row>
    <row r="48" customFormat="false" ht="10.5" hidden="false" customHeight="false" outlineLevel="0" collapsed="false">
      <c r="C48" s="89"/>
      <c r="D48" s="89"/>
      <c r="E48" s="89"/>
      <c r="F48" s="89"/>
      <c r="G48" s="89"/>
      <c r="H48" s="89"/>
      <c r="I48" s="89"/>
    </row>
    <row r="49" customFormat="false" ht="10.5" hidden="false" customHeight="false" outlineLevel="0" collapsed="false">
      <c r="C49" s="89"/>
      <c r="D49" s="89"/>
      <c r="E49" s="89"/>
      <c r="F49" s="89"/>
      <c r="G49" s="89"/>
      <c r="H49" s="89"/>
      <c r="I49" s="89"/>
    </row>
    <row r="52" customFormat="false" ht="14.25" hidden="false" customHeight="false" outlineLevel="0" collapsed="false">
      <c r="B52" s="51" t="s">
        <v>106</v>
      </c>
    </row>
    <row r="53" customFormat="false" ht="14.25" hidden="false" customHeight="false" outlineLevel="0" collapsed="false">
      <c r="C53" s="51"/>
    </row>
    <row r="54" customFormat="false" ht="10.5" hidden="false" customHeight="true" outlineLevel="0" collapsed="false">
      <c r="C54" s="90" t="s">
        <v>107</v>
      </c>
      <c r="D54" s="91" t="s">
        <v>108</v>
      </c>
      <c r="E54" s="91"/>
      <c r="F54" s="91"/>
      <c r="G54" s="91"/>
      <c r="H54" s="91"/>
      <c r="I54" s="91"/>
    </row>
    <row r="55" customFormat="false" ht="10.5" hidden="false" customHeight="false" outlineLevel="0" collapsed="false">
      <c r="C55" s="90" t="s">
        <v>109</v>
      </c>
      <c r="D55" s="91"/>
      <c r="E55" s="91"/>
      <c r="F55" s="91"/>
      <c r="G55" s="91"/>
      <c r="H55" s="91"/>
      <c r="I55" s="91"/>
    </row>
    <row r="56" customFormat="false" ht="10.5" hidden="false" customHeight="false" outlineLevel="0" collapsed="false">
      <c r="C56" s="90" t="s">
        <v>110</v>
      </c>
      <c r="D56" s="91"/>
      <c r="E56" s="91"/>
      <c r="F56" s="91"/>
      <c r="G56" s="91"/>
      <c r="H56" s="91"/>
      <c r="I56" s="91"/>
    </row>
    <row r="57" customFormat="false" ht="10.5" hidden="false" customHeight="false" outlineLevel="0" collapsed="false">
      <c r="C57" s="90" t="s">
        <v>111</v>
      </c>
      <c r="D57" s="91"/>
      <c r="E57" s="91"/>
      <c r="F57" s="91"/>
      <c r="G57" s="91"/>
      <c r="H57" s="91"/>
      <c r="I57" s="91"/>
    </row>
    <row r="58" customFormat="false" ht="10.5" hidden="false" customHeight="false" outlineLevel="0" collapsed="false">
      <c r="C58" s="90" t="s">
        <v>112</v>
      </c>
      <c r="D58" s="91"/>
      <c r="E58" s="91"/>
      <c r="F58" s="91"/>
      <c r="G58" s="91"/>
      <c r="H58" s="91"/>
      <c r="I58" s="91"/>
    </row>
    <row r="59" customFormat="false" ht="10.5" hidden="false" customHeight="false" outlineLevel="0" collapsed="false">
      <c r="C59" s="90" t="s">
        <v>113</v>
      </c>
      <c r="D59" s="91"/>
      <c r="E59" s="91"/>
      <c r="F59" s="91"/>
      <c r="G59" s="91"/>
      <c r="H59" s="91"/>
      <c r="I59" s="91"/>
    </row>
    <row r="60" customFormat="false" ht="10.5" hidden="false" customHeight="false" outlineLevel="0" collapsed="false">
      <c r="C60" s="90" t="s">
        <v>114</v>
      </c>
      <c r="D60" s="91"/>
      <c r="E60" s="91"/>
      <c r="F60" s="91"/>
      <c r="G60" s="91"/>
      <c r="H60" s="91"/>
      <c r="I60" s="91"/>
    </row>
    <row r="61" customFormat="false" ht="10.5" hidden="false" customHeight="false" outlineLevel="0" collapsed="false">
      <c r="C61" s="90" t="s">
        <v>115</v>
      </c>
      <c r="D61" s="91"/>
      <c r="E61" s="91"/>
      <c r="F61" s="91"/>
      <c r="G61" s="91"/>
      <c r="H61" s="91"/>
      <c r="I61" s="91"/>
    </row>
    <row r="62" customFormat="false" ht="10.5" hidden="false" customHeight="false" outlineLevel="0" collapsed="false">
      <c r="C62" s="90" t="s">
        <v>116</v>
      </c>
      <c r="D62" s="91"/>
      <c r="E62" s="91"/>
      <c r="F62" s="91"/>
      <c r="G62" s="91"/>
      <c r="H62" s="91"/>
      <c r="I62" s="91"/>
    </row>
    <row r="63" customFormat="false" ht="11.25" hidden="false" customHeight="false" outlineLevel="0" collapsed="false">
      <c r="C63" s="92" t="s">
        <v>117</v>
      </c>
      <c r="D63" s="91"/>
      <c r="E63" s="91"/>
      <c r="F63" s="91"/>
      <c r="G63" s="91"/>
      <c r="H63" s="91"/>
      <c r="I63" s="91"/>
    </row>
    <row r="64" customFormat="false" ht="11.25" hidden="false" customHeight="false" outlineLevel="0" collapsed="false"/>
  </sheetData>
  <sheetProtection sheet="true" password="cc4b"/>
  <mergeCells count="14">
    <mergeCell ref="C6:D6"/>
    <mergeCell ref="C8:D8"/>
    <mergeCell ref="E10:J12"/>
    <mergeCell ref="D28:F28"/>
    <mergeCell ref="G28:G29"/>
    <mergeCell ref="D33:J33"/>
    <mergeCell ref="C34:C35"/>
    <mergeCell ref="D34:E34"/>
    <mergeCell ref="F34:G34"/>
    <mergeCell ref="H34:I34"/>
    <mergeCell ref="J34:J35"/>
    <mergeCell ref="D42:E42"/>
    <mergeCell ref="C45:I49"/>
    <mergeCell ref="D54:I63"/>
  </mergeCells>
  <dataValidations count="6">
    <dataValidation allowBlank="true" error="No puede indicar ninguna cifra ya que no es compatible con haber establecido un porcentaje en el Impuesto de Sociedades o como Estimación directa" errorStyle="stop" operator="between" showDropDown="false" showErrorMessage="true" showInputMessage="true" sqref="D36 F36 H36" type="custom">
      <formula1>E38=0</formula1>
      <formula2>0</formula2>
    </dataValidation>
    <dataValidation allowBlank="true" error="Ya ha indicado un porcentaje. Si mantiene ambas cifras, la distribución de resultados será la suma de ambas." errorStyle="warning" operator="between" showDropDown="false" showErrorMessage="true" showInputMessage="true" sqref="D44 F44 H44" type="custom">
      <formula1>I44=0</formula1>
      <formula2>0</formula2>
    </dataValidation>
    <dataValidation allowBlank="true" error="No puede indicar ningún porcentaje ya que no es compatible con haber establecido un porcentaje en el Impuesto de Sociedades o una cifra concreta como estimación" errorStyle="stop" operator="between" showDropDown="false" showErrorMessage="true" showInputMessage="true" sqref="E36 G36 I36" type="custom">
      <formula1>H38=0</formula1>
      <formula2>0</formula2>
    </dataValidation>
    <dataValidation allowBlank="true" error="Debe incluir un porcentaje" errorStyle="stop" operator="between" showDropDown="false" showErrorMessage="true" showInputMessage="true" sqref="D16:D20 D22 F30:G30 E44 G44 I44" type="decimal">
      <formula1>0</formula1>
      <formula2>100</formula2>
    </dataValidation>
    <dataValidation allowBlank="true" error="Debe incluir una fecha válida" errorStyle="stop" operator="between" showDropDown="false" showErrorMessage="true" showInputMessage="true" sqref="D10" type="date">
      <formula1>1</formula1>
      <formula2>401768</formula2>
    </dataValidation>
    <dataValidation allowBlank="true" errorStyle="stop" operator="between" showDropDown="false" showErrorMessage="true" showInputMessage="true" sqref="C8" type="list">
      <formula1>$M$10:$M$23</formula1>
      <formula2>0</formula2>
    </dataValidation>
  </dataValidation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7"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Y292"/>
  <sheetViews>
    <sheetView showFormulas="false" showGridLines="false" showRowColHeaders="true" showZeros="true" rightToLeft="false" tabSelected="false" showOutlineSymbols="true" defaultGridColor="true" view="normal" topLeftCell="A214" colorId="64" zoomScale="100" zoomScaleNormal="100" zoomScalePageLayoutView="100" workbookViewId="0">
      <selection pane="topLeft" activeCell="Q242" activeCellId="0" sqref="Q242"/>
    </sheetView>
  </sheetViews>
  <sheetFormatPr defaultColWidth="11.4609375" defaultRowHeight="12.75" zeroHeight="false" outlineLevelRow="0" outlineLevelCol="0"/>
  <cols>
    <col collapsed="false" customWidth="true" hidden="false" outlineLevel="0" max="1" min="1" style="0" width="6.47"/>
    <col collapsed="false" customWidth="true" hidden="false" outlineLevel="0" max="2" min="2" style="0" width="2.56"/>
    <col collapsed="false" customWidth="true" hidden="false" outlineLevel="0" max="3" min="3" style="0" width="40.85"/>
    <col collapsed="false" customWidth="true" hidden="false" outlineLevel="0" max="4" min="4" style="93" width="11.32"/>
    <col collapsed="false" customWidth="true" hidden="false" outlineLevel="0" max="5" min="5" style="0" width="12"/>
    <col collapsed="false" customWidth="true" hidden="false" outlineLevel="0" max="6" min="6" style="0" width="12.41"/>
    <col collapsed="false" customWidth="true" hidden="true" outlineLevel="0" max="18" min="18" style="0" width="14.03"/>
    <col collapsed="false" customWidth="true" hidden="true" outlineLevel="0" max="19" min="19" style="0" width="16.04"/>
    <col collapsed="false" customWidth="true" hidden="true" outlineLevel="0" max="20" min="20" style="0" width="9.04"/>
    <col collapsed="false" customWidth="true" hidden="true" outlineLevel="0" max="21" min="21" style="0" width="8.63"/>
    <col collapsed="false" customWidth="true" hidden="true" outlineLevel="0" max="22" min="22" style="0" width="8.09"/>
    <col collapsed="false" customWidth="true" hidden="true" outlineLevel="0" max="23" min="23" style="64" width="5.53"/>
    <col collapsed="false" customWidth="true" hidden="false" outlineLevel="0" max="24" min="24" style="0" width="5.53"/>
    <col collapsed="false" customWidth="true" hidden="false" outlineLevel="0" max="25" min="25" style="64" width="6.06"/>
    <col collapsed="false" customWidth="true" hidden="false" outlineLevel="0" max="26" min="26" style="0" width="3.91"/>
  </cols>
  <sheetData>
    <row r="1" s="94" customFormat="true" ht="12.75" hidden="false" customHeight="false" outlineLevel="0" collapsed="false">
      <c r="C1" s="95" t="n">
        <f aca="false">'Datos generales'!$O$10</f>
        <v>1</v>
      </c>
      <c r="D1" s="95" t="n">
        <v>1</v>
      </c>
      <c r="E1" s="94" t="n">
        <v>2</v>
      </c>
      <c r="F1" s="94" t="n">
        <v>3</v>
      </c>
      <c r="G1" s="94" t="n">
        <v>4</v>
      </c>
      <c r="H1" s="94" t="n">
        <v>5</v>
      </c>
      <c r="I1" s="94" t="n">
        <v>6</v>
      </c>
      <c r="J1" s="94" t="n">
        <v>7</v>
      </c>
      <c r="K1" s="94" t="n">
        <v>8</v>
      </c>
      <c r="L1" s="94" t="n">
        <v>9</v>
      </c>
      <c r="M1" s="94" t="n">
        <v>10</v>
      </c>
      <c r="N1" s="94" t="n">
        <v>11</v>
      </c>
      <c r="O1" s="94" t="n">
        <v>12</v>
      </c>
      <c r="W1" s="96"/>
      <c r="Y1" s="96"/>
    </row>
    <row r="5" customFormat="false" ht="12.75" hidden="true" customHeight="false" outlineLevel="0" collapsed="false">
      <c r="E5" s="35"/>
      <c r="F5" s="97" t="s">
        <v>118</v>
      </c>
      <c r="G5" s="98" t="s">
        <v>119</v>
      </c>
      <c r="H5" s="98" t="s">
        <v>120</v>
      </c>
    </row>
    <row r="6" customFormat="false" ht="12.75" hidden="true" customHeight="false" outlineLevel="0" collapsed="false">
      <c r="F6" s="99" t="n">
        <f aca="false">'Datos generales'!$D$10</f>
        <v>44927</v>
      </c>
      <c r="G6" s="100" t="n">
        <f aca="false">MONTH(F6)</f>
        <v>1</v>
      </c>
      <c r="H6" s="100" t="n">
        <f aca="false">YEAR(F6)</f>
        <v>2023</v>
      </c>
    </row>
    <row r="7" customFormat="false" ht="12.75" hidden="false" customHeight="true" outlineLevel="0" collapsed="false">
      <c r="C7" s="101" t="s">
        <v>121</v>
      </c>
      <c r="D7" s="101"/>
      <c r="E7" s="101"/>
      <c r="F7" s="101"/>
      <c r="G7" s="101"/>
      <c r="H7" s="101"/>
      <c r="I7" s="101"/>
      <c r="J7" s="101"/>
      <c r="K7" s="101"/>
      <c r="L7" s="101"/>
      <c r="M7" s="101"/>
      <c r="N7" s="101"/>
      <c r="O7" s="101"/>
      <c r="P7" s="101"/>
    </row>
    <row r="8" customFormat="false" ht="12.75" hidden="false" customHeight="false" outlineLevel="0" collapsed="false">
      <c r="C8" s="101"/>
      <c r="D8" s="101"/>
      <c r="E8" s="101"/>
      <c r="F8" s="101"/>
      <c r="G8" s="101"/>
      <c r="H8" s="101"/>
      <c r="I8" s="101"/>
      <c r="J8" s="101"/>
      <c r="K8" s="101"/>
      <c r="L8" s="101"/>
      <c r="M8" s="101"/>
      <c r="N8" s="101"/>
      <c r="O8" s="101"/>
      <c r="P8" s="101"/>
    </row>
    <row r="9" customFormat="false" ht="12.75" hidden="false" customHeight="false" outlineLevel="0" collapsed="false">
      <c r="C9" s="101"/>
      <c r="D9" s="101"/>
      <c r="E9" s="101"/>
      <c r="F9" s="101"/>
      <c r="G9" s="101"/>
      <c r="H9" s="101"/>
      <c r="I9" s="101"/>
      <c r="J9" s="101"/>
      <c r="K9" s="101"/>
      <c r="L9" s="101"/>
      <c r="M9" s="101"/>
      <c r="N9" s="101"/>
      <c r="O9" s="101"/>
      <c r="P9" s="101"/>
    </row>
    <row r="10" customFormat="false" ht="12.75" hidden="false" customHeight="false" outlineLevel="0" collapsed="false">
      <c r="C10" s="101"/>
      <c r="D10" s="101"/>
      <c r="E10" s="101"/>
      <c r="F10" s="101"/>
      <c r="G10" s="101"/>
      <c r="H10" s="101"/>
      <c r="I10" s="101"/>
      <c r="J10" s="101"/>
      <c r="K10" s="101"/>
      <c r="L10" s="101"/>
      <c r="M10" s="101"/>
      <c r="N10" s="101"/>
      <c r="O10" s="101"/>
      <c r="P10" s="101"/>
    </row>
    <row r="11" customFormat="false" ht="12.75" hidden="false" customHeight="false" outlineLevel="0" collapsed="false">
      <c r="C11" s="101"/>
      <c r="D11" s="101"/>
      <c r="E11" s="101"/>
      <c r="F11" s="101"/>
      <c r="G11" s="101"/>
      <c r="H11" s="101"/>
      <c r="I11" s="101"/>
      <c r="J11" s="101"/>
      <c r="K11" s="101"/>
      <c r="L11" s="101"/>
      <c r="M11" s="101"/>
      <c r="N11" s="101"/>
      <c r="O11" s="101"/>
      <c r="P11" s="101"/>
    </row>
    <row r="12" customFormat="false" ht="12.75" hidden="false" customHeight="false" outlineLevel="0" collapsed="false">
      <c r="C12" s="101"/>
      <c r="D12" s="101"/>
      <c r="E12" s="101"/>
      <c r="F12" s="101"/>
      <c r="G12" s="101"/>
      <c r="H12" s="101"/>
      <c r="I12" s="101"/>
      <c r="J12" s="101"/>
      <c r="K12" s="101"/>
      <c r="L12" s="101"/>
      <c r="M12" s="101"/>
      <c r="N12" s="101"/>
      <c r="O12" s="101"/>
      <c r="P12" s="101"/>
    </row>
    <row r="13" customFormat="false" ht="12.75" hidden="false" customHeight="false" outlineLevel="0" collapsed="false">
      <c r="C13" s="101"/>
      <c r="D13" s="101"/>
      <c r="E13" s="101"/>
      <c r="F13" s="101"/>
      <c r="G13" s="101"/>
      <c r="H13" s="101"/>
      <c r="I13" s="101"/>
      <c r="J13" s="101"/>
      <c r="K13" s="101"/>
      <c r="L13" s="101"/>
      <c r="M13" s="101"/>
      <c r="N13" s="101"/>
      <c r="O13" s="101"/>
      <c r="P13" s="101"/>
    </row>
    <row r="14" customFormat="false" ht="12.75" hidden="false" customHeight="false" outlineLevel="0" collapsed="false">
      <c r="C14" s="101"/>
      <c r="D14" s="101"/>
      <c r="E14" s="101"/>
      <c r="F14" s="101"/>
      <c r="G14" s="101"/>
      <c r="H14" s="101"/>
      <c r="I14" s="101"/>
      <c r="J14" s="101"/>
      <c r="K14" s="101"/>
      <c r="L14" s="101"/>
      <c r="M14" s="101"/>
      <c r="N14" s="101"/>
      <c r="O14" s="101"/>
      <c r="P14" s="101"/>
    </row>
    <row r="15" customFormat="false" ht="12.75" hidden="false" customHeight="false" outlineLevel="0" collapsed="false">
      <c r="C15" s="101"/>
      <c r="D15" s="101"/>
      <c r="E15" s="101"/>
      <c r="F15" s="101"/>
      <c r="G15" s="101"/>
      <c r="H15" s="101"/>
      <c r="I15" s="101"/>
      <c r="J15" s="101"/>
      <c r="K15" s="101"/>
      <c r="L15" s="101"/>
      <c r="M15" s="101"/>
      <c r="N15" s="101"/>
      <c r="O15" s="101"/>
      <c r="P15" s="101"/>
    </row>
    <row r="16" customFormat="false" ht="12.75" hidden="false" customHeight="false" outlineLevel="0" collapsed="false">
      <c r="C16" s="101"/>
      <c r="D16" s="101"/>
      <c r="E16" s="101"/>
      <c r="F16" s="101"/>
      <c r="G16" s="101"/>
      <c r="H16" s="101"/>
      <c r="I16" s="101"/>
      <c r="J16" s="101"/>
      <c r="K16" s="101"/>
      <c r="L16" s="101"/>
      <c r="M16" s="101"/>
      <c r="N16" s="101"/>
      <c r="O16" s="101"/>
      <c r="P16" s="101"/>
    </row>
    <row r="17" customFormat="false" ht="12.75" hidden="false" customHeight="false" outlineLevel="0" collapsed="false">
      <c r="C17" s="101"/>
      <c r="D17" s="101"/>
      <c r="E17" s="101"/>
      <c r="F17" s="101"/>
      <c r="G17" s="101"/>
      <c r="H17" s="101"/>
      <c r="I17" s="101"/>
      <c r="J17" s="101"/>
      <c r="K17" s="101"/>
      <c r="L17" s="101"/>
      <c r="M17" s="101"/>
      <c r="N17" s="101"/>
      <c r="O17" s="101"/>
      <c r="P17" s="101"/>
    </row>
    <row r="18" customFormat="false" ht="12.75" hidden="false" customHeight="false" outlineLevel="0" collapsed="false">
      <c r="C18" s="101"/>
      <c r="D18" s="101"/>
      <c r="E18" s="101"/>
      <c r="F18" s="101"/>
      <c r="G18" s="101"/>
      <c r="H18" s="101"/>
      <c r="I18" s="101"/>
      <c r="J18" s="101"/>
      <c r="K18" s="101"/>
      <c r="L18" s="101"/>
      <c r="M18" s="101"/>
      <c r="N18" s="101"/>
      <c r="O18" s="101"/>
      <c r="P18" s="101"/>
    </row>
    <row r="19" customFormat="false" ht="12.75" hidden="false" customHeight="false" outlineLevel="0" collapsed="false">
      <c r="C19" s="101"/>
      <c r="D19" s="101"/>
      <c r="E19" s="101"/>
      <c r="F19" s="101"/>
      <c r="G19" s="101"/>
      <c r="H19" s="101"/>
      <c r="I19" s="101"/>
      <c r="J19" s="101"/>
      <c r="K19" s="101"/>
      <c r="L19" s="101"/>
      <c r="M19" s="101"/>
      <c r="N19" s="101"/>
      <c r="O19" s="101"/>
      <c r="P19" s="101"/>
    </row>
    <row r="20" customFormat="false" ht="12.75" hidden="false" customHeight="false" outlineLevel="0" collapsed="false">
      <c r="C20" s="101"/>
      <c r="D20" s="101"/>
      <c r="E20" s="101"/>
      <c r="F20" s="101"/>
      <c r="G20" s="101"/>
      <c r="H20" s="101"/>
      <c r="I20" s="101"/>
      <c r="J20" s="101"/>
      <c r="K20" s="101"/>
      <c r="L20" s="101"/>
      <c r="M20" s="101"/>
      <c r="N20" s="101"/>
      <c r="O20" s="101"/>
      <c r="P20" s="101"/>
    </row>
    <row r="21" customFormat="false" ht="12.75" hidden="false" customHeight="false" outlineLevel="0" collapsed="false">
      <c r="C21" s="101"/>
      <c r="D21" s="101"/>
      <c r="E21" s="101"/>
      <c r="F21" s="101"/>
      <c r="G21" s="101"/>
      <c r="H21" s="101"/>
      <c r="I21" s="101"/>
      <c r="J21" s="101"/>
      <c r="K21" s="101"/>
      <c r="L21" s="101"/>
      <c r="M21" s="101"/>
      <c r="N21" s="101"/>
      <c r="O21" s="101"/>
      <c r="P21" s="101"/>
    </row>
    <row r="22" customFormat="false" ht="12.75" hidden="false" customHeight="false" outlineLevel="0" collapsed="false">
      <c r="C22" s="102"/>
      <c r="D22" s="102"/>
      <c r="E22" s="102"/>
      <c r="F22" s="102"/>
      <c r="G22" s="102"/>
      <c r="H22" s="102"/>
      <c r="I22" s="102"/>
      <c r="J22" s="102"/>
      <c r="K22" s="102"/>
      <c r="L22" s="102"/>
      <c r="M22" s="102"/>
      <c r="N22" s="102"/>
      <c r="O22" s="102"/>
      <c r="P22" s="102"/>
    </row>
    <row r="23" customFormat="false" ht="12.75" hidden="false" customHeight="false" outlineLevel="0" collapsed="false">
      <c r="C23" s="102"/>
      <c r="D23" s="102"/>
      <c r="E23" s="102"/>
      <c r="F23" s="102"/>
      <c r="G23" s="102"/>
      <c r="H23" s="102"/>
      <c r="I23" s="102"/>
      <c r="J23" s="102"/>
      <c r="K23" s="102"/>
      <c r="L23" s="102"/>
      <c r="M23" s="102"/>
      <c r="N23" s="102"/>
      <c r="O23" s="102"/>
      <c r="P23" s="102"/>
    </row>
    <row r="24" customFormat="false" ht="12.75" hidden="false" customHeight="false" outlineLevel="0" collapsed="false">
      <c r="G24" s="93"/>
    </row>
    <row r="25" customFormat="false" ht="14.25" hidden="false" customHeight="false" outlineLevel="0" collapsed="false">
      <c r="B25" s="51" t="s">
        <v>122</v>
      </c>
    </row>
    <row r="28" customFormat="false" ht="14.25" hidden="false" customHeight="false" outlineLevel="0" collapsed="false">
      <c r="B28" s="51" t="s">
        <v>3</v>
      </c>
      <c r="C28" s="51"/>
      <c r="E28" s="52"/>
      <c r="F28" s="103"/>
      <c r="G28" s="35"/>
      <c r="H28" s="35"/>
      <c r="I28" s="35"/>
      <c r="J28" s="35"/>
      <c r="K28" s="35"/>
      <c r="L28" s="35"/>
      <c r="M28" s="35"/>
      <c r="N28" s="35"/>
      <c r="O28" s="35"/>
      <c r="P28" s="35"/>
      <c r="R28" s="104"/>
    </row>
    <row r="29" customFormat="false" ht="12.75" hidden="false" customHeight="false" outlineLevel="0" collapsed="false">
      <c r="B29" s="105" t="s">
        <v>123</v>
      </c>
      <c r="C29" s="106"/>
      <c r="D29" s="83" t="s">
        <v>124</v>
      </c>
      <c r="E29" s="72" t="s">
        <v>125</v>
      </c>
      <c r="F29" s="83" t="s">
        <v>126</v>
      </c>
      <c r="G29" s="83" t="s">
        <v>127</v>
      </c>
      <c r="H29" s="83" t="s">
        <v>128</v>
      </c>
      <c r="I29" s="83" t="s">
        <v>129</v>
      </c>
      <c r="J29" s="83" t="s">
        <v>130</v>
      </c>
      <c r="K29" s="83" t="s">
        <v>131</v>
      </c>
      <c r="L29" s="83" t="s">
        <v>132</v>
      </c>
      <c r="M29" s="83" t="s">
        <v>133</v>
      </c>
      <c r="N29" s="83" t="s">
        <v>134</v>
      </c>
      <c r="O29" s="83" t="s">
        <v>135</v>
      </c>
      <c r="P29" s="83" t="s">
        <v>136</v>
      </c>
    </row>
    <row r="30" customFormat="false" ht="12.75" hidden="false" customHeight="false" outlineLevel="0" collapsed="false">
      <c r="B30" s="107" t="str">
        <f aca="false">'Datos generales'!C54</f>
        <v>Pienso para perro adulto 12 kg</v>
      </c>
      <c r="C30" s="108"/>
      <c r="D30" s="109"/>
      <c r="E30" s="109"/>
      <c r="F30" s="109"/>
      <c r="G30" s="109"/>
      <c r="H30" s="109"/>
      <c r="I30" s="109"/>
      <c r="J30" s="109"/>
      <c r="K30" s="109"/>
      <c r="L30" s="109"/>
      <c r="M30" s="109"/>
      <c r="N30" s="109"/>
      <c r="O30" s="109"/>
      <c r="P30" s="110"/>
    </row>
    <row r="31" customFormat="false" ht="12.75" hidden="false" customHeight="false" outlineLevel="0" collapsed="false">
      <c r="B31" s="111"/>
      <c r="C31" s="112" t="s">
        <v>137</v>
      </c>
      <c r="D31" s="88" t="n">
        <v>55</v>
      </c>
      <c r="E31" s="88" t="n">
        <v>55</v>
      </c>
      <c r="F31" s="88" t="n">
        <v>55</v>
      </c>
      <c r="G31" s="88" t="n">
        <v>55</v>
      </c>
      <c r="H31" s="88" t="n">
        <v>55</v>
      </c>
      <c r="I31" s="88" t="n">
        <v>55</v>
      </c>
      <c r="J31" s="88" t="n">
        <v>55</v>
      </c>
      <c r="K31" s="88" t="n">
        <v>55</v>
      </c>
      <c r="L31" s="88" t="n">
        <v>55</v>
      </c>
      <c r="M31" s="88" t="n">
        <v>55</v>
      </c>
      <c r="N31" s="88" t="n">
        <v>55</v>
      </c>
      <c r="O31" s="88" t="n">
        <v>55</v>
      </c>
      <c r="P31" s="113" t="n">
        <f aca="false">SUM(D31:O31)</f>
        <v>660</v>
      </c>
    </row>
    <row r="32" customFormat="false" ht="12.75" hidden="false" customHeight="false" outlineLevel="0" collapsed="false">
      <c r="B32" s="114"/>
      <c r="C32" s="115" t="s">
        <v>138</v>
      </c>
      <c r="D32" s="85" t="n">
        <v>60</v>
      </c>
      <c r="E32" s="85" t="n">
        <v>60</v>
      </c>
      <c r="F32" s="85" t="n">
        <v>60</v>
      </c>
      <c r="G32" s="85" t="n">
        <v>60</v>
      </c>
      <c r="H32" s="85" t="n">
        <v>60</v>
      </c>
      <c r="I32" s="85" t="n">
        <v>60</v>
      </c>
      <c r="J32" s="85" t="n">
        <v>60</v>
      </c>
      <c r="K32" s="85" t="n">
        <v>60</v>
      </c>
      <c r="L32" s="85" t="n">
        <v>60</v>
      </c>
      <c r="M32" s="85" t="n">
        <v>60</v>
      </c>
      <c r="N32" s="85" t="n">
        <v>60</v>
      </c>
      <c r="O32" s="85" t="n">
        <v>60</v>
      </c>
      <c r="P32" s="116"/>
    </row>
    <row r="33" customFormat="false" ht="12.75" hidden="false" customHeight="false" outlineLevel="0" collapsed="false">
      <c r="B33" s="117"/>
      <c r="C33" s="115" t="s">
        <v>139</v>
      </c>
      <c r="D33" s="118" t="n">
        <f aca="false">D31*D32</f>
        <v>3300</v>
      </c>
      <c r="E33" s="118" t="n">
        <f aca="false">E31*E32</f>
        <v>3300</v>
      </c>
      <c r="F33" s="118" t="n">
        <f aca="false">F31*F32</f>
        <v>3300</v>
      </c>
      <c r="G33" s="118" t="n">
        <f aca="false">G31*G32</f>
        <v>3300</v>
      </c>
      <c r="H33" s="118" t="n">
        <f aca="false">H31*H32</f>
        <v>3300</v>
      </c>
      <c r="I33" s="118" t="n">
        <f aca="false">I31*I32</f>
        <v>3300</v>
      </c>
      <c r="J33" s="118" t="n">
        <f aca="false">J31*J32</f>
        <v>3300</v>
      </c>
      <c r="K33" s="118" t="n">
        <f aca="false">K31*K32</f>
        <v>3300</v>
      </c>
      <c r="L33" s="118" t="n">
        <f aca="false">L31*L32</f>
        <v>3300</v>
      </c>
      <c r="M33" s="118" t="n">
        <f aca="false">M31*M32</f>
        <v>3300</v>
      </c>
      <c r="N33" s="118" t="n">
        <f aca="false">N31*N32</f>
        <v>3300</v>
      </c>
      <c r="O33" s="118" t="n">
        <f aca="false">O31*O32</f>
        <v>3300</v>
      </c>
      <c r="P33" s="113" t="n">
        <f aca="false">SUM(D33:O33)</f>
        <v>39600</v>
      </c>
    </row>
    <row r="34" customFormat="false" ht="12.75" hidden="false" customHeight="false" outlineLevel="0" collapsed="false">
      <c r="B34" s="117"/>
      <c r="C34" s="119" t="s">
        <v>140</v>
      </c>
      <c r="D34" s="85" t="n">
        <v>45</v>
      </c>
      <c r="E34" s="85" t="n">
        <v>45</v>
      </c>
      <c r="F34" s="85" t="n">
        <v>45</v>
      </c>
      <c r="G34" s="85" t="n">
        <v>45</v>
      </c>
      <c r="H34" s="85" t="n">
        <v>45</v>
      </c>
      <c r="I34" s="85" t="n">
        <v>45</v>
      </c>
      <c r="J34" s="85" t="n">
        <v>45</v>
      </c>
      <c r="K34" s="85" t="n">
        <v>45</v>
      </c>
      <c r="L34" s="85" t="n">
        <v>45</v>
      </c>
      <c r="M34" s="85" t="n">
        <v>45</v>
      </c>
      <c r="N34" s="85" t="n">
        <v>45</v>
      </c>
      <c r="O34" s="85" t="n">
        <v>45</v>
      </c>
      <c r="P34" s="120"/>
    </row>
    <row r="35" customFormat="false" ht="13.5" hidden="false" customHeight="false" outlineLevel="0" collapsed="false">
      <c r="B35" s="121"/>
      <c r="C35" s="122" t="s">
        <v>141</v>
      </c>
      <c r="D35" s="123"/>
      <c r="E35" s="123"/>
      <c r="F35" s="123"/>
      <c r="G35" s="123"/>
      <c r="H35" s="123"/>
      <c r="I35" s="123"/>
      <c r="J35" s="123"/>
      <c r="K35" s="123"/>
      <c r="L35" s="123"/>
      <c r="M35" s="123"/>
      <c r="N35" s="123"/>
      <c r="O35" s="123"/>
      <c r="P35" s="124" t="n">
        <f aca="false">SUM(D35:O35)</f>
        <v>0</v>
      </c>
    </row>
    <row r="36" customFormat="false" ht="13.5" hidden="false" customHeight="false" outlineLevel="0" collapsed="false">
      <c r="B36" s="107" t="str">
        <f aca="false">'Datos generales'!C55</f>
        <v>Pienso para gato adulto 10 kg</v>
      </c>
      <c r="C36" s="108"/>
      <c r="D36" s="125"/>
      <c r="E36" s="126"/>
      <c r="F36" s="126"/>
      <c r="G36" s="126"/>
      <c r="H36" s="126"/>
      <c r="I36" s="126"/>
      <c r="J36" s="126"/>
      <c r="K36" s="126"/>
      <c r="L36" s="126"/>
      <c r="M36" s="126"/>
      <c r="N36" s="126"/>
      <c r="O36" s="126"/>
      <c r="P36" s="110"/>
    </row>
    <row r="37" customFormat="false" ht="12.75" hidden="false" customHeight="false" outlineLevel="0" collapsed="false">
      <c r="B37" s="111"/>
      <c r="C37" s="112" t="str">
        <f aca="false">C31</f>
        <v>Unidades a vender:</v>
      </c>
      <c r="D37" s="88" t="n">
        <v>45</v>
      </c>
      <c r="E37" s="88" t="n">
        <v>45</v>
      </c>
      <c r="F37" s="88" t="n">
        <v>45</v>
      </c>
      <c r="G37" s="88" t="n">
        <v>45</v>
      </c>
      <c r="H37" s="88" t="n">
        <v>45</v>
      </c>
      <c r="I37" s="88" t="n">
        <v>45</v>
      </c>
      <c r="J37" s="88" t="n">
        <v>45</v>
      </c>
      <c r="K37" s="88" t="n">
        <v>45</v>
      </c>
      <c r="L37" s="88" t="n">
        <v>45</v>
      </c>
      <c r="M37" s="88" t="n">
        <v>45</v>
      </c>
      <c r="N37" s="88" t="n">
        <v>45</v>
      </c>
      <c r="O37" s="88" t="n">
        <v>45</v>
      </c>
      <c r="P37" s="113" t="n">
        <f aca="false">SUM(D37:O37)</f>
        <v>540</v>
      </c>
    </row>
    <row r="38" customFormat="false" ht="12.75" hidden="false" customHeight="false" outlineLevel="0" collapsed="false">
      <c r="B38" s="114"/>
      <c r="C38" s="112" t="str">
        <f aca="false">C32</f>
        <v>Precio unitario de venta:</v>
      </c>
      <c r="D38" s="85" t="n">
        <v>65</v>
      </c>
      <c r="E38" s="85" t="n">
        <v>65</v>
      </c>
      <c r="F38" s="85" t="n">
        <v>65</v>
      </c>
      <c r="G38" s="85" t="n">
        <v>65</v>
      </c>
      <c r="H38" s="85" t="n">
        <v>65</v>
      </c>
      <c r="I38" s="85" t="n">
        <v>65</v>
      </c>
      <c r="J38" s="85" t="n">
        <v>65</v>
      </c>
      <c r="K38" s="85" t="n">
        <v>65</v>
      </c>
      <c r="L38" s="85" t="n">
        <v>65</v>
      </c>
      <c r="M38" s="85" t="n">
        <v>65</v>
      </c>
      <c r="N38" s="85" t="n">
        <v>65</v>
      </c>
      <c r="O38" s="85" t="n">
        <v>65</v>
      </c>
      <c r="P38" s="116"/>
    </row>
    <row r="39" customFormat="false" ht="12.75" hidden="false" customHeight="false" outlineLevel="0" collapsed="false">
      <c r="B39" s="117"/>
      <c r="C39" s="112" t="str">
        <f aca="false">C33</f>
        <v>Ingresos previstos por ventas:</v>
      </c>
      <c r="D39" s="118" t="n">
        <f aca="false">D37*D38</f>
        <v>2925</v>
      </c>
      <c r="E39" s="118" t="n">
        <f aca="false">E37*E38</f>
        <v>2925</v>
      </c>
      <c r="F39" s="118" t="n">
        <f aca="false">F37*F38</f>
        <v>2925</v>
      </c>
      <c r="G39" s="118" t="n">
        <f aca="false">G37*G38</f>
        <v>2925</v>
      </c>
      <c r="H39" s="118" t="n">
        <f aca="false">H37*H38</f>
        <v>2925</v>
      </c>
      <c r="I39" s="118" t="n">
        <f aca="false">I37*I38</f>
        <v>2925</v>
      </c>
      <c r="J39" s="118" t="n">
        <f aca="false">J37*J38</f>
        <v>2925</v>
      </c>
      <c r="K39" s="118" t="n">
        <f aca="false">K37*K38</f>
        <v>2925</v>
      </c>
      <c r="L39" s="118" t="n">
        <f aca="false">L37*L38</f>
        <v>2925</v>
      </c>
      <c r="M39" s="118" t="n">
        <f aca="false">M37*M38</f>
        <v>2925</v>
      </c>
      <c r="N39" s="118" t="n">
        <f aca="false">N37*N38</f>
        <v>2925</v>
      </c>
      <c r="O39" s="118" t="n">
        <f aca="false">O37*O38</f>
        <v>2925</v>
      </c>
      <c r="P39" s="113" t="n">
        <f aca="false">SUM(D39:O39)</f>
        <v>35100</v>
      </c>
    </row>
    <row r="40" customFormat="false" ht="12.75" hidden="false" customHeight="false" outlineLevel="0" collapsed="false">
      <c r="B40" s="117"/>
      <c r="C40" s="112" t="str">
        <f aca="false">C34</f>
        <v>Precio unitario de compras:</v>
      </c>
      <c r="D40" s="85" t="n">
        <v>45</v>
      </c>
      <c r="E40" s="85" t="n">
        <v>45</v>
      </c>
      <c r="F40" s="85" t="n">
        <v>45</v>
      </c>
      <c r="G40" s="85" t="n">
        <v>45</v>
      </c>
      <c r="H40" s="85" t="n">
        <v>45</v>
      </c>
      <c r="I40" s="85" t="n">
        <v>45</v>
      </c>
      <c r="J40" s="85" t="n">
        <v>45</v>
      </c>
      <c r="K40" s="85" t="n">
        <v>45</v>
      </c>
      <c r="L40" s="85" t="n">
        <v>45</v>
      </c>
      <c r="M40" s="85" t="n">
        <v>45</v>
      </c>
      <c r="N40" s="85" t="n">
        <v>45</v>
      </c>
      <c r="O40" s="85" t="n">
        <v>45</v>
      </c>
      <c r="P40" s="120"/>
    </row>
    <row r="41" customFormat="false" ht="13.5" hidden="false" customHeight="false" outlineLevel="0" collapsed="false">
      <c r="B41" s="121"/>
      <c r="C41" s="122" t="str">
        <f aca="false">C35</f>
        <v>Otros costes directos imputables al producto/servicio</v>
      </c>
      <c r="D41" s="123"/>
      <c r="E41" s="123"/>
      <c r="F41" s="123"/>
      <c r="G41" s="123"/>
      <c r="H41" s="123"/>
      <c r="I41" s="123"/>
      <c r="J41" s="123"/>
      <c r="K41" s="123"/>
      <c r="L41" s="123"/>
      <c r="M41" s="123"/>
      <c r="N41" s="123"/>
      <c r="O41" s="123"/>
      <c r="P41" s="124" t="n">
        <f aca="false">SUM(D41:O41)</f>
        <v>0</v>
      </c>
    </row>
    <row r="42" customFormat="false" ht="13.5" hidden="false" customHeight="false" outlineLevel="0" collapsed="false">
      <c r="B42" s="107" t="str">
        <f aca="false">'Datos generales'!C56</f>
        <v>Pienso para loros 12 kg</v>
      </c>
      <c r="C42" s="108"/>
      <c r="D42" s="125"/>
      <c r="E42" s="126"/>
      <c r="F42" s="126"/>
      <c r="G42" s="126"/>
      <c r="H42" s="126"/>
      <c r="I42" s="126"/>
      <c r="J42" s="126"/>
      <c r="K42" s="126"/>
      <c r="L42" s="126"/>
      <c r="M42" s="126"/>
      <c r="N42" s="126"/>
      <c r="O42" s="126"/>
      <c r="P42" s="110"/>
      <c r="S42" s="127"/>
    </row>
    <row r="43" customFormat="false" ht="12.75" hidden="false" customHeight="false" outlineLevel="0" collapsed="false">
      <c r="B43" s="111"/>
      <c r="C43" s="112" t="str">
        <f aca="false">C37</f>
        <v>Unidades a vender:</v>
      </c>
      <c r="D43" s="88" t="n">
        <v>33</v>
      </c>
      <c r="E43" s="88" t="n">
        <v>33</v>
      </c>
      <c r="F43" s="88" t="n">
        <v>33</v>
      </c>
      <c r="G43" s="88" t="n">
        <v>33</v>
      </c>
      <c r="H43" s="88" t="n">
        <v>33</v>
      </c>
      <c r="I43" s="88" t="n">
        <v>33</v>
      </c>
      <c r="J43" s="88" t="n">
        <v>33</v>
      </c>
      <c r="K43" s="88" t="n">
        <v>33</v>
      </c>
      <c r="L43" s="88" t="n">
        <v>33</v>
      </c>
      <c r="M43" s="88" t="n">
        <v>33</v>
      </c>
      <c r="N43" s="88" t="n">
        <v>33</v>
      </c>
      <c r="O43" s="88" t="n">
        <v>33</v>
      </c>
      <c r="P43" s="113" t="n">
        <f aca="false">SUM(D43:O43)</f>
        <v>396</v>
      </c>
    </row>
    <row r="44" customFormat="false" ht="12.75" hidden="false" customHeight="false" outlineLevel="0" collapsed="false">
      <c r="B44" s="114"/>
      <c r="C44" s="112" t="str">
        <f aca="false">C38</f>
        <v>Precio unitario de venta:</v>
      </c>
      <c r="D44" s="85" t="n">
        <v>90</v>
      </c>
      <c r="E44" s="85" t="n">
        <v>90</v>
      </c>
      <c r="F44" s="85" t="n">
        <v>90</v>
      </c>
      <c r="G44" s="85" t="n">
        <v>90</v>
      </c>
      <c r="H44" s="85" t="n">
        <v>90</v>
      </c>
      <c r="I44" s="85" t="n">
        <v>90</v>
      </c>
      <c r="J44" s="85" t="n">
        <v>90</v>
      </c>
      <c r="K44" s="85" t="n">
        <v>90</v>
      </c>
      <c r="L44" s="85" t="n">
        <v>90</v>
      </c>
      <c r="M44" s="85" t="n">
        <v>90</v>
      </c>
      <c r="N44" s="85" t="n">
        <v>90</v>
      </c>
      <c r="O44" s="85" t="n">
        <v>90</v>
      </c>
      <c r="P44" s="116"/>
    </row>
    <row r="45" customFormat="false" ht="12.75" hidden="false" customHeight="false" outlineLevel="0" collapsed="false">
      <c r="B45" s="117"/>
      <c r="C45" s="112" t="str">
        <f aca="false">C39</f>
        <v>Ingresos previstos por ventas:</v>
      </c>
      <c r="D45" s="118" t="n">
        <f aca="false">D43*D44</f>
        <v>2970</v>
      </c>
      <c r="E45" s="118" t="n">
        <f aca="false">E43*E44</f>
        <v>2970</v>
      </c>
      <c r="F45" s="118" t="n">
        <f aca="false">F43*F44</f>
        <v>2970</v>
      </c>
      <c r="G45" s="118" t="n">
        <f aca="false">G43*G44</f>
        <v>2970</v>
      </c>
      <c r="H45" s="118" t="n">
        <f aca="false">H43*H44</f>
        <v>2970</v>
      </c>
      <c r="I45" s="118" t="n">
        <f aca="false">I43*I44</f>
        <v>2970</v>
      </c>
      <c r="J45" s="118" t="n">
        <f aca="false">J43*J44</f>
        <v>2970</v>
      </c>
      <c r="K45" s="118" t="n">
        <f aca="false">K43*K44</f>
        <v>2970</v>
      </c>
      <c r="L45" s="118" t="n">
        <f aca="false">L43*L44</f>
        <v>2970</v>
      </c>
      <c r="M45" s="118" t="n">
        <f aca="false">M43*M44</f>
        <v>2970</v>
      </c>
      <c r="N45" s="118" t="n">
        <f aca="false">N43*N44</f>
        <v>2970</v>
      </c>
      <c r="O45" s="118" t="n">
        <f aca="false">O43*O44</f>
        <v>2970</v>
      </c>
      <c r="P45" s="113" t="n">
        <f aca="false">SUM(D45:O45)</f>
        <v>35640</v>
      </c>
    </row>
    <row r="46" customFormat="false" ht="12.75" hidden="false" customHeight="false" outlineLevel="0" collapsed="false">
      <c r="B46" s="117"/>
      <c r="C46" s="112" t="str">
        <f aca="false">C40</f>
        <v>Precio unitario de compras:</v>
      </c>
      <c r="D46" s="85" t="n">
        <v>65</v>
      </c>
      <c r="E46" s="85" t="n">
        <v>65</v>
      </c>
      <c r="F46" s="85" t="n">
        <v>65</v>
      </c>
      <c r="G46" s="85" t="n">
        <v>65</v>
      </c>
      <c r="H46" s="85" t="n">
        <v>65</v>
      </c>
      <c r="I46" s="85" t="n">
        <v>65</v>
      </c>
      <c r="J46" s="85" t="n">
        <v>65</v>
      </c>
      <c r="K46" s="85" t="n">
        <v>65</v>
      </c>
      <c r="L46" s="85" t="n">
        <v>65</v>
      </c>
      <c r="M46" s="85" t="n">
        <v>65</v>
      </c>
      <c r="N46" s="85" t="n">
        <v>65</v>
      </c>
      <c r="O46" s="85" t="n">
        <v>65</v>
      </c>
      <c r="P46" s="120"/>
    </row>
    <row r="47" customFormat="false" ht="13.5" hidden="false" customHeight="false" outlineLevel="0" collapsed="false">
      <c r="B47" s="121"/>
      <c r="C47" s="122" t="str">
        <f aca="false">C41</f>
        <v>Otros costes directos imputables al producto/servicio</v>
      </c>
      <c r="D47" s="123"/>
      <c r="E47" s="123"/>
      <c r="F47" s="123"/>
      <c r="G47" s="123"/>
      <c r="H47" s="123"/>
      <c r="I47" s="123"/>
      <c r="J47" s="123"/>
      <c r="K47" s="123"/>
      <c r="L47" s="123"/>
      <c r="M47" s="123"/>
      <c r="N47" s="123"/>
      <c r="O47" s="123"/>
      <c r="P47" s="124" t="n">
        <f aca="false">SUM(D47:O47)</f>
        <v>0</v>
      </c>
    </row>
    <row r="48" customFormat="false" ht="13.5" hidden="false" customHeight="false" outlineLevel="0" collapsed="false">
      <c r="B48" s="107" t="str">
        <f aca="false">'Datos generales'!C57</f>
        <v>Pienso para cobayas 3 kg</v>
      </c>
      <c r="C48" s="108"/>
      <c r="D48" s="125"/>
      <c r="E48" s="126"/>
      <c r="F48" s="126"/>
      <c r="G48" s="126"/>
      <c r="H48" s="126"/>
      <c r="I48" s="126"/>
      <c r="J48" s="126"/>
      <c r="K48" s="126"/>
      <c r="L48" s="126"/>
      <c r="M48" s="126"/>
      <c r="N48" s="126"/>
      <c r="O48" s="126"/>
      <c r="P48" s="110"/>
    </row>
    <row r="49" customFormat="false" ht="12.75" hidden="false" customHeight="false" outlineLevel="0" collapsed="false">
      <c r="B49" s="111"/>
      <c r="C49" s="112" t="str">
        <f aca="false">C43</f>
        <v>Unidades a vender:</v>
      </c>
      <c r="D49" s="88" t="n">
        <v>83</v>
      </c>
      <c r="E49" s="88" t="n">
        <v>83</v>
      </c>
      <c r="F49" s="88" t="n">
        <v>83</v>
      </c>
      <c r="G49" s="88" t="n">
        <v>83</v>
      </c>
      <c r="H49" s="88" t="n">
        <v>83</v>
      </c>
      <c r="I49" s="88" t="n">
        <v>83</v>
      </c>
      <c r="J49" s="88" t="n">
        <v>83</v>
      </c>
      <c r="K49" s="88" t="n">
        <v>83</v>
      </c>
      <c r="L49" s="88" t="n">
        <v>83</v>
      </c>
      <c r="M49" s="88" t="n">
        <v>83</v>
      </c>
      <c r="N49" s="88" t="n">
        <v>83</v>
      </c>
      <c r="O49" s="88" t="n">
        <v>83</v>
      </c>
      <c r="P49" s="113" t="n">
        <f aca="false">SUM(D49:O49)</f>
        <v>996</v>
      </c>
    </row>
    <row r="50" customFormat="false" ht="12.75" hidden="false" customHeight="false" outlineLevel="0" collapsed="false">
      <c r="B50" s="114"/>
      <c r="C50" s="112" t="str">
        <f aca="false">C44</f>
        <v>Precio unitario de venta:</v>
      </c>
      <c r="D50" s="85" t="n">
        <v>11</v>
      </c>
      <c r="E50" s="85" t="n">
        <v>11</v>
      </c>
      <c r="F50" s="85" t="n">
        <v>11</v>
      </c>
      <c r="G50" s="85" t="n">
        <v>11</v>
      </c>
      <c r="H50" s="85" t="n">
        <v>11</v>
      </c>
      <c r="I50" s="85" t="n">
        <v>11</v>
      </c>
      <c r="J50" s="85" t="n">
        <v>11</v>
      </c>
      <c r="K50" s="85" t="n">
        <v>11</v>
      </c>
      <c r="L50" s="85" t="n">
        <v>11</v>
      </c>
      <c r="M50" s="85" t="n">
        <v>11</v>
      </c>
      <c r="N50" s="85" t="n">
        <v>11</v>
      </c>
      <c r="O50" s="85" t="n">
        <v>11</v>
      </c>
      <c r="P50" s="116"/>
    </row>
    <row r="51" customFormat="false" ht="12.75" hidden="false" customHeight="false" outlineLevel="0" collapsed="false">
      <c r="B51" s="117"/>
      <c r="C51" s="112" t="str">
        <f aca="false">C45</f>
        <v>Ingresos previstos por ventas:</v>
      </c>
      <c r="D51" s="118" t="n">
        <f aca="false">D49*D50</f>
        <v>913</v>
      </c>
      <c r="E51" s="118" t="n">
        <f aca="false">E49*E50</f>
        <v>913</v>
      </c>
      <c r="F51" s="118" t="n">
        <f aca="false">F49*F50</f>
        <v>913</v>
      </c>
      <c r="G51" s="118" t="n">
        <f aca="false">G49*G50</f>
        <v>913</v>
      </c>
      <c r="H51" s="118" t="n">
        <f aca="false">H49*H50</f>
        <v>913</v>
      </c>
      <c r="I51" s="118" t="n">
        <f aca="false">I49*I50</f>
        <v>913</v>
      </c>
      <c r="J51" s="118" t="n">
        <f aca="false">J49*J50</f>
        <v>913</v>
      </c>
      <c r="K51" s="118" t="n">
        <f aca="false">K49*K50</f>
        <v>913</v>
      </c>
      <c r="L51" s="118" t="n">
        <f aca="false">L49*L50</f>
        <v>913</v>
      </c>
      <c r="M51" s="118" t="n">
        <f aca="false">M49*M50</f>
        <v>913</v>
      </c>
      <c r="N51" s="118" t="n">
        <f aca="false">N49*N50</f>
        <v>913</v>
      </c>
      <c r="O51" s="118" t="n">
        <f aca="false">O49*O50</f>
        <v>913</v>
      </c>
      <c r="P51" s="113" t="n">
        <f aca="false">SUM(D51:O51)</f>
        <v>10956</v>
      </c>
    </row>
    <row r="52" customFormat="false" ht="12.75" hidden="false" customHeight="false" outlineLevel="0" collapsed="false">
      <c r="B52" s="117"/>
      <c r="C52" s="112" t="str">
        <f aca="false">C46</f>
        <v>Precio unitario de compras:</v>
      </c>
      <c r="D52" s="85" t="n">
        <v>8</v>
      </c>
      <c r="E52" s="85" t="n">
        <v>8</v>
      </c>
      <c r="F52" s="85" t="n">
        <v>8</v>
      </c>
      <c r="G52" s="85" t="n">
        <v>8</v>
      </c>
      <c r="H52" s="85" t="n">
        <v>8</v>
      </c>
      <c r="I52" s="85" t="n">
        <v>8</v>
      </c>
      <c r="J52" s="85" t="n">
        <v>8</v>
      </c>
      <c r="K52" s="85" t="n">
        <v>8</v>
      </c>
      <c r="L52" s="85" t="n">
        <v>8</v>
      </c>
      <c r="M52" s="85" t="n">
        <v>8</v>
      </c>
      <c r="N52" s="85" t="n">
        <v>8</v>
      </c>
      <c r="O52" s="85" t="n">
        <v>8</v>
      </c>
      <c r="P52" s="120"/>
    </row>
    <row r="53" customFormat="false" ht="13.5" hidden="false" customHeight="false" outlineLevel="0" collapsed="false">
      <c r="B53" s="121"/>
      <c r="C53" s="122" t="str">
        <f aca="false">C47</f>
        <v>Otros costes directos imputables al producto/servicio</v>
      </c>
      <c r="D53" s="123"/>
      <c r="E53" s="123"/>
      <c r="F53" s="123"/>
      <c r="G53" s="123"/>
      <c r="H53" s="123"/>
      <c r="I53" s="123"/>
      <c r="J53" s="123"/>
      <c r="K53" s="123"/>
      <c r="L53" s="123"/>
      <c r="M53" s="123"/>
      <c r="N53" s="123"/>
      <c r="O53" s="123"/>
      <c r="P53" s="124" t="n">
        <f aca="false">SUM(D53:O53)</f>
        <v>0</v>
      </c>
    </row>
    <row r="54" customFormat="false" ht="13.5" hidden="false" customHeight="false" outlineLevel="0" collapsed="false">
      <c r="B54" s="107" t="str">
        <f aca="false">'Datos generales'!C58</f>
        <v>Pienso para conejo adulto 1,75 kg</v>
      </c>
      <c r="C54" s="108"/>
      <c r="D54" s="125"/>
      <c r="E54" s="126"/>
      <c r="F54" s="126"/>
      <c r="G54" s="126"/>
      <c r="H54" s="126"/>
      <c r="I54" s="126"/>
      <c r="J54" s="126"/>
      <c r="K54" s="126"/>
      <c r="L54" s="126"/>
      <c r="M54" s="126"/>
      <c r="N54" s="126"/>
      <c r="O54" s="126"/>
      <c r="P54" s="110"/>
      <c r="S54" s="127"/>
    </row>
    <row r="55" customFormat="false" ht="12.75" hidden="false" customHeight="false" outlineLevel="0" collapsed="false">
      <c r="B55" s="111"/>
      <c r="C55" s="112" t="str">
        <f aca="false">C49</f>
        <v>Unidades a vender:</v>
      </c>
      <c r="D55" s="88" t="n">
        <v>38</v>
      </c>
      <c r="E55" s="88" t="n">
        <v>38</v>
      </c>
      <c r="F55" s="88" t="n">
        <v>38</v>
      </c>
      <c r="G55" s="88" t="n">
        <v>38</v>
      </c>
      <c r="H55" s="88" t="n">
        <v>38</v>
      </c>
      <c r="I55" s="88" t="n">
        <v>38</v>
      </c>
      <c r="J55" s="88" t="n">
        <v>38</v>
      </c>
      <c r="K55" s="88" t="n">
        <v>38</v>
      </c>
      <c r="L55" s="88" t="n">
        <v>38</v>
      </c>
      <c r="M55" s="88" t="n">
        <v>38</v>
      </c>
      <c r="N55" s="88" t="n">
        <v>38</v>
      </c>
      <c r="O55" s="88" t="n">
        <v>38</v>
      </c>
      <c r="P55" s="113" t="n">
        <f aca="false">SUM(D55:O55)</f>
        <v>456</v>
      </c>
    </row>
    <row r="56" customFormat="false" ht="12.75" hidden="false" customHeight="false" outlineLevel="0" collapsed="false">
      <c r="B56" s="114"/>
      <c r="C56" s="112" t="str">
        <f aca="false">C50</f>
        <v>Precio unitario de venta:</v>
      </c>
      <c r="D56" s="85" t="n">
        <v>20</v>
      </c>
      <c r="E56" s="85" t="n">
        <v>20</v>
      </c>
      <c r="F56" s="85" t="n">
        <v>20</v>
      </c>
      <c r="G56" s="85" t="n">
        <v>20</v>
      </c>
      <c r="H56" s="85" t="n">
        <v>20</v>
      </c>
      <c r="I56" s="85" t="n">
        <v>20</v>
      </c>
      <c r="J56" s="85" t="n">
        <v>20</v>
      </c>
      <c r="K56" s="85" t="n">
        <v>20</v>
      </c>
      <c r="L56" s="85" t="n">
        <v>20</v>
      </c>
      <c r="M56" s="85" t="n">
        <v>20</v>
      </c>
      <c r="N56" s="85" t="n">
        <v>20</v>
      </c>
      <c r="O56" s="85" t="n">
        <v>20</v>
      </c>
      <c r="P56" s="116"/>
    </row>
    <row r="57" customFormat="false" ht="12.75" hidden="false" customHeight="false" outlineLevel="0" collapsed="false">
      <c r="B57" s="117"/>
      <c r="C57" s="112" t="str">
        <f aca="false">C51</f>
        <v>Ingresos previstos por ventas:</v>
      </c>
      <c r="D57" s="118" t="n">
        <f aca="false">D55*D56</f>
        <v>760</v>
      </c>
      <c r="E57" s="118" t="n">
        <f aca="false">E55*E56</f>
        <v>760</v>
      </c>
      <c r="F57" s="118" t="n">
        <f aca="false">F55*F56</f>
        <v>760</v>
      </c>
      <c r="G57" s="118" t="n">
        <f aca="false">G55*G56</f>
        <v>760</v>
      </c>
      <c r="H57" s="118" t="n">
        <f aca="false">H55*H56</f>
        <v>760</v>
      </c>
      <c r="I57" s="118" t="n">
        <f aca="false">I55*I56</f>
        <v>760</v>
      </c>
      <c r="J57" s="118" t="n">
        <f aca="false">J55*J56</f>
        <v>760</v>
      </c>
      <c r="K57" s="118" t="n">
        <f aca="false">K55*K56</f>
        <v>760</v>
      </c>
      <c r="L57" s="118" t="n">
        <f aca="false">L55*L56</f>
        <v>760</v>
      </c>
      <c r="M57" s="118" t="n">
        <f aca="false">M55*M56</f>
        <v>760</v>
      </c>
      <c r="N57" s="118" t="n">
        <f aca="false">N55*N56</f>
        <v>760</v>
      </c>
      <c r="O57" s="118" t="n">
        <f aca="false">O55*O56</f>
        <v>760</v>
      </c>
      <c r="P57" s="113" t="n">
        <f aca="false">SUM(D57:O57)</f>
        <v>9120</v>
      </c>
    </row>
    <row r="58" customFormat="false" ht="12.75" hidden="false" customHeight="false" outlineLevel="0" collapsed="false">
      <c r="B58" s="117"/>
      <c r="C58" s="112" t="str">
        <f aca="false">C52</f>
        <v>Precio unitario de compras:</v>
      </c>
      <c r="D58" s="85" t="n">
        <v>14</v>
      </c>
      <c r="E58" s="85" t="n">
        <v>14</v>
      </c>
      <c r="F58" s="85" t="n">
        <v>14</v>
      </c>
      <c r="G58" s="85" t="n">
        <v>14</v>
      </c>
      <c r="H58" s="85" t="n">
        <v>14</v>
      </c>
      <c r="I58" s="85" t="n">
        <v>14</v>
      </c>
      <c r="J58" s="85" t="n">
        <v>14</v>
      </c>
      <c r="K58" s="85" t="n">
        <v>14</v>
      </c>
      <c r="L58" s="85" t="n">
        <v>14</v>
      </c>
      <c r="M58" s="85" t="n">
        <v>14</v>
      </c>
      <c r="N58" s="85" t="n">
        <v>14</v>
      </c>
      <c r="O58" s="85" t="n">
        <v>14</v>
      </c>
      <c r="P58" s="120"/>
    </row>
    <row r="59" customFormat="false" ht="13.5" hidden="false" customHeight="false" outlineLevel="0" collapsed="false">
      <c r="B59" s="121"/>
      <c r="C59" s="122" t="str">
        <f aca="false">C53</f>
        <v>Otros costes directos imputables al producto/servicio</v>
      </c>
      <c r="D59" s="123"/>
      <c r="E59" s="123"/>
      <c r="F59" s="123"/>
      <c r="G59" s="123"/>
      <c r="H59" s="123"/>
      <c r="I59" s="123"/>
      <c r="J59" s="123"/>
      <c r="K59" s="123"/>
      <c r="L59" s="123"/>
      <c r="M59" s="123"/>
      <c r="N59" s="123"/>
      <c r="O59" s="123"/>
      <c r="P59" s="124" t="n">
        <f aca="false">SUM(D59:O59)</f>
        <v>0</v>
      </c>
    </row>
    <row r="60" customFormat="false" ht="13.5" hidden="false" customHeight="false" outlineLevel="0" collapsed="false">
      <c r="B60" s="107" t="str">
        <f aca="false">'Datos generales'!C59</f>
        <v>Pienso para hamsters 1 kg</v>
      </c>
      <c r="C60" s="108"/>
      <c r="D60" s="125"/>
      <c r="E60" s="126"/>
      <c r="F60" s="126"/>
      <c r="G60" s="126"/>
      <c r="H60" s="126"/>
      <c r="I60" s="126"/>
      <c r="J60" s="126"/>
      <c r="K60" s="126"/>
      <c r="L60" s="126"/>
      <c r="M60" s="126"/>
      <c r="N60" s="126"/>
      <c r="O60" s="126"/>
      <c r="P60" s="110"/>
      <c r="S60" s="127"/>
    </row>
    <row r="61" customFormat="false" ht="12.75" hidden="false" customHeight="false" outlineLevel="0" collapsed="false">
      <c r="B61" s="111"/>
      <c r="C61" s="112" t="str">
        <f aca="false">C55</f>
        <v>Unidades a vender:</v>
      </c>
      <c r="D61" s="88" t="n">
        <v>53</v>
      </c>
      <c r="E61" s="88" t="n">
        <v>53</v>
      </c>
      <c r="F61" s="88" t="n">
        <v>53</v>
      </c>
      <c r="G61" s="88" t="n">
        <v>53</v>
      </c>
      <c r="H61" s="88" t="n">
        <v>53</v>
      </c>
      <c r="I61" s="88" t="n">
        <v>53</v>
      </c>
      <c r="J61" s="88" t="n">
        <v>53</v>
      </c>
      <c r="K61" s="88" t="n">
        <v>53</v>
      </c>
      <c r="L61" s="88" t="n">
        <v>53</v>
      </c>
      <c r="M61" s="88" t="n">
        <v>53</v>
      </c>
      <c r="N61" s="88" t="n">
        <v>53</v>
      </c>
      <c r="O61" s="88" t="n">
        <v>53</v>
      </c>
      <c r="P61" s="113" t="n">
        <f aca="false">SUM(D61:O61)</f>
        <v>636</v>
      </c>
    </row>
    <row r="62" customFormat="false" ht="12.75" hidden="false" customHeight="false" outlineLevel="0" collapsed="false">
      <c r="B62" s="114"/>
      <c r="C62" s="112" t="str">
        <f aca="false">C56</f>
        <v>Precio unitario de venta:</v>
      </c>
      <c r="D62" s="85" t="n">
        <v>20</v>
      </c>
      <c r="E62" s="85" t="n">
        <v>20</v>
      </c>
      <c r="F62" s="85" t="n">
        <v>20</v>
      </c>
      <c r="G62" s="85" t="n">
        <v>20</v>
      </c>
      <c r="H62" s="85" t="n">
        <v>20</v>
      </c>
      <c r="I62" s="85" t="n">
        <v>20</v>
      </c>
      <c r="J62" s="85" t="n">
        <v>20</v>
      </c>
      <c r="K62" s="85" t="n">
        <v>20</v>
      </c>
      <c r="L62" s="85" t="n">
        <v>20</v>
      </c>
      <c r="M62" s="85" t="n">
        <v>20</v>
      </c>
      <c r="N62" s="85" t="n">
        <v>20</v>
      </c>
      <c r="O62" s="85" t="n">
        <v>20</v>
      </c>
      <c r="P62" s="116"/>
    </row>
    <row r="63" customFormat="false" ht="12.75" hidden="false" customHeight="false" outlineLevel="0" collapsed="false">
      <c r="B63" s="117"/>
      <c r="C63" s="112" t="str">
        <f aca="false">C57</f>
        <v>Ingresos previstos por ventas:</v>
      </c>
      <c r="D63" s="118" t="n">
        <f aca="false">D61*D62</f>
        <v>1060</v>
      </c>
      <c r="E63" s="118" t="n">
        <f aca="false">E61*E62</f>
        <v>1060</v>
      </c>
      <c r="F63" s="118" t="n">
        <f aca="false">F61*F62</f>
        <v>1060</v>
      </c>
      <c r="G63" s="118" t="n">
        <f aca="false">G61*G62</f>
        <v>1060</v>
      </c>
      <c r="H63" s="118" t="n">
        <f aca="false">H61*H62</f>
        <v>1060</v>
      </c>
      <c r="I63" s="118" t="n">
        <f aca="false">I61*I62</f>
        <v>1060</v>
      </c>
      <c r="J63" s="118" t="n">
        <f aca="false">J61*J62</f>
        <v>1060</v>
      </c>
      <c r="K63" s="118" t="n">
        <f aca="false">K61*K62</f>
        <v>1060</v>
      </c>
      <c r="L63" s="118" t="n">
        <f aca="false">L61*L62</f>
        <v>1060</v>
      </c>
      <c r="M63" s="118" t="n">
        <f aca="false">M61*M62</f>
        <v>1060</v>
      </c>
      <c r="N63" s="118" t="n">
        <f aca="false">N61*N62</f>
        <v>1060</v>
      </c>
      <c r="O63" s="118" t="n">
        <f aca="false">O61*O62</f>
        <v>1060</v>
      </c>
      <c r="P63" s="113" t="n">
        <f aca="false">SUM(D63:O63)</f>
        <v>12720</v>
      </c>
    </row>
    <row r="64" customFormat="false" ht="12.75" hidden="false" customHeight="false" outlineLevel="0" collapsed="false">
      <c r="B64" s="117"/>
      <c r="C64" s="112" t="str">
        <f aca="false">C58</f>
        <v>Precio unitario de compras:</v>
      </c>
      <c r="D64" s="85" t="n">
        <v>14</v>
      </c>
      <c r="E64" s="85" t="n">
        <v>14</v>
      </c>
      <c r="F64" s="85" t="n">
        <v>14</v>
      </c>
      <c r="G64" s="85" t="n">
        <v>14</v>
      </c>
      <c r="H64" s="85" t="n">
        <v>14</v>
      </c>
      <c r="I64" s="85" t="n">
        <v>14</v>
      </c>
      <c r="J64" s="85" t="n">
        <v>14</v>
      </c>
      <c r="K64" s="85" t="n">
        <v>14</v>
      </c>
      <c r="L64" s="85" t="n">
        <v>14</v>
      </c>
      <c r="M64" s="85" t="n">
        <v>14</v>
      </c>
      <c r="N64" s="85" t="n">
        <v>14</v>
      </c>
      <c r="O64" s="85" t="n">
        <v>14</v>
      </c>
      <c r="P64" s="120"/>
    </row>
    <row r="65" customFormat="false" ht="13.5" hidden="false" customHeight="false" outlineLevel="0" collapsed="false">
      <c r="B65" s="121"/>
      <c r="C65" s="122" t="str">
        <f aca="false">C59</f>
        <v>Otros costes directos imputables al producto/servicio</v>
      </c>
      <c r="D65" s="123"/>
      <c r="E65" s="123"/>
      <c r="F65" s="123"/>
      <c r="G65" s="123"/>
      <c r="H65" s="123"/>
      <c r="I65" s="123"/>
      <c r="J65" s="123"/>
      <c r="K65" s="123"/>
      <c r="L65" s="123"/>
      <c r="M65" s="123"/>
      <c r="N65" s="123"/>
      <c r="O65" s="123"/>
      <c r="P65" s="124" t="n">
        <f aca="false">SUM(D65:O65)</f>
        <v>0</v>
      </c>
    </row>
    <row r="66" customFormat="false" ht="13.5" hidden="false" customHeight="false" outlineLevel="0" collapsed="false">
      <c r="B66" s="107" t="str">
        <f aca="false">'Datos generales'!C60</f>
        <v>Pienso natural para perro 3 kg</v>
      </c>
      <c r="C66" s="108"/>
      <c r="D66" s="125"/>
      <c r="E66" s="126"/>
      <c r="F66" s="126"/>
      <c r="G66" s="126"/>
      <c r="H66" s="126"/>
      <c r="I66" s="126"/>
      <c r="J66" s="126"/>
      <c r="K66" s="126"/>
      <c r="L66" s="126"/>
      <c r="M66" s="126"/>
      <c r="N66" s="126"/>
      <c r="O66" s="126"/>
      <c r="P66" s="110"/>
      <c r="S66" s="127"/>
    </row>
    <row r="67" customFormat="false" ht="12.75" hidden="false" customHeight="false" outlineLevel="0" collapsed="false">
      <c r="B67" s="111"/>
      <c r="C67" s="112" t="str">
        <f aca="false">C61</f>
        <v>Unidades a vender:</v>
      </c>
      <c r="D67" s="88" t="n">
        <v>83</v>
      </c>
      <c r="E67" s="88" t="n">
        <v>83</v>
      </c>
      <c r="F67" s="88" t="n">
        <v>83</v>
      </c>
      <c r="G67" s="88" t="n">
        <v>83</v>
      </c>
      <c r="H67" s="88" t="n">
        <v>83</v>
      </c>
      <c r="I67" s="88" t="n">
        <v>83</v>
      </c>
      <c r="J67" s="88" t="n">
        <v>83</v>
      </c>
      <c r="K67" s="88" t="n">
        <v>83</v>
      </c>
      <c r="L67" s="88" t="n">
        <v>83</v>
      </c>
      <c r="M67" s="88" t="n">
        <v>83</v>
      </c>
      <c r="N67" s="88" t="n">
        <v>83</v>
      </c>
      <c r="O67" s="88" t="n">
        <v>83</v>
      </c>
      <c r="P67" s="113" t="n">
        <f aca="false">SUM(D67:O67)</f>
        <v>996</v>
      </c>
    </row>
    <row r="68" customFormat="false" ht="12.75" hidden="false" customHeight="false" outlineLevel="0" collapsed="false">
      <c r="B68" s="114"/>
      <c r="C68" s="112" t="str">
        <f aca="false">C62</f>
        <v>Precio unitario de venta:</v>
      </c>
      <c r="D68" s="85" t="n">
        <v>13</v>
      </c>
      <c r="E68" s="85" t="n">
        <v>13</v>
      </c>
      <c r="F68" s="85" t="n">
        <v>13</v>
      </c>
      <c r="G68" s="85" t="n">
        <v>13</v>
      </c>
      <c r="H68" s="85" t="n">
        <v>13</v>
      </c>
      <c r="I68" s="85" t="n">
        <v>13</v>
      </c>
      <c r="J68" s="85" t="n">
        <v>13</v>
      </c>
      <c r="K68" s="85" t="n">
        <v>13</v>
      </c>
      <c r="L68" s="85" t="n">
        <v>13</v>
      </c>
      <c r="M68" s="85" t="n">
        <v>13</v>
      </c>
      <c r="N68" s="85" t="n">
        <v>13</v>
      </c>
      <c r="O68" s="85" t="n">
        <v>13</v>
      </c>
      <c r="P68" s="116"/>
    </row>
    <row r="69" customFormat="false" ht="12.75" hidden="false" customHeight="false" outlineLevel="0" collapsed="false">
      <c r="B69" s="117"/>
      <c r="C69" s="112" t="str">
        <f aca="false">C63</f>
        <v>Ingresos previstos por ventas:</v>
      </c>
      <c r="D69" s="118" t="n">
        <f aca="false">D67*D68</f>
        <v>1079</v>
      </c>
      <c r="E69" s="118" t="n">
        <f aca="false">E67*E68</f>
        <v>1079</v>
      </c>
      <c r="F69" s="118" t="n">
        <f aca="false">F67*F68</f>
        <v>1079</v>
      </c>
      <c r="G69" s="118" t="n">
        <f aca="false">G67*G68</f>
        <v>1079</v>
      </c>
      <c r="H69" s="118" t="n">
        <f aca="false">H67*H68</f>
        <v>1079</v>
      </c>
      <c r="I69" s="118" t="n">
        <f aca="false">I67*I68</f>
        <v>1079</v>
      </c>
      <c r="J69" s="118" t="n">
        <f aca="false">J67*J68</f>
        <v>1079</v>
      </c>
      <c r="K69" s="118" t="n">
        <f aca="false">K67*K68</f>
        <v>1079</v>
      </c>
      <c r="L69" s="118" t="n">
        <f aca="false">L67*L68</f>
        <v>1079</v>
      </c>
      <c r="M69" s="118" t="n">
        <f aca="false">M67*M68</f>
        <v>1079</v>
      </c>
      <c r="N69" s="118" t="n">
        <f aca="false">N67*N68</f>
        <v>1079</v>
      </c>
      <c r="O69" s="118" t="n">
        <f aca="false">O67*O68</f>
        <v>1079</v>
      </c>
      <c r="P69" s="113" t="n">
        <f aca="false">SUM(D69:O69)</f>
        <v>12948</v>
      </c>
    </row>
    <row r="70" customFormat="false" ht="12.75" hidden="false" customHeight="false" outlineLevel="0" collapsed="false">
      <c r="B70" s="117"/>
      <c r="C70" s="112" t="str">
        <f aca="false">C64</f>
        <v>Precio unitario de compras:</v>
      </c>
      <c r="D70" s="85" t="n">
        <v>9</v>
      </c>
      <c r="E70" s="85" t="n">
        <v>9</v>
      </c>
      <c r="F70" s="85" t="n">
        <v>9</v>
      </c>
      <c r="G70" s="85" t="n">
        <v>9</v>
      </c>
      <c r="H70" s="85" t="n">
        <v>9</v>
      </c>
      <c r="I70" s="85" t="n">
        <v>9</v>
      </c>
      <c r="J70" s="85" t="n">
        <v>9</v>
      </c>
      <c r="K70" s="85" t="n">
        <v>9</v>
      </c>
      <c r="L70" s="85" t="n">
        <v>9</v>
      </c>
      <c r="M70" s="85" t="n">
        <v>9</v>
      </c>
      <c r="N70" s="85" t="n">
        <v>9</v>
      </c>
      <c r="O70" s="85" t="n">
        <v>9</v>
      </c>
      <c r="P70" s="120"/>
    </row>
    <row r="71" customFormat="false" ht="13.5" hidden="false" customHeight="false" outlineLevel="0" collapsed="false">
      <c r="B71" s="121"/>
      <c r="C71" s="122" t="str">
        <f aca="false">C65</f>
        <v>Otros costes directos imputables al producto/servicio</v>
      </c>
      <c r="D71" s="123"/>
      <c r="E71" s="123"/>
      <c r="F71" s="123"/>
      <c r="G71" s="123"/>
      <c r="H71" s="123"/>
      <c r="I71" s="123"/>
      <c r="J71" s="123"/>
      <c r="K71" s="123"/>
      <c r="L71" s="123"/>
      <c r="M71" s="123"/>
      <c r="N71" s="123"/>
      <c r="O71" s="123"/>
      <c r="P71" s="124" t="n">
        <f aca="false">SUM(D71:O71)</f>
        <v>0</v>
      </c>
    </row>
    <row r="72" customFormat="false" ht="13.5" hidden="false" customHeight="false" outlineLevel="0" collapsed="false">
      <c r="B72" s="107" t="str">
        <f aca="false">'Datos generales'!C61</f>
        <v>Pienso natural para cachorros 6 kg</v>
      </c>
      <c r="C72" s="108"/>
      <c r="D72" s="125"/>
      <c r="E72" s="126"/>
      <c r="F72" s="126"/>
      <c r="G72" s="126"/>
      <c r="H72" s="126"/>
      <c r="I72" s="126"/>
      <c r="J72" s="126"/>
      <c r="K72" s="126"/>
      <c r="L72" s="126"/>
      <c r="M72" s="126"/>
      <c r="N72" s="126"/>
      <c r="O72" s="126"/>
      <c r="P72" s="110"/>
      <c r="S72" s="127"/>
    </row>
    <row r="73" customFormat="false" ht="12.75" hidden="false" customHeight="false" outlineLevel="0" collapsed="false">
      <c r="B73" s="111"/>
      <c r="C73" s="112" t="str">
        <f aca="false">C67</f>
        <v>Unidades a vender:</v>
      </c>
      <c r="D73" s="88" t="n">
        <v>58</v>
      </c>
      <c r="E73" s="88" t="n">
        <v>58</v>
      </c>
      <c r="F73" s="88" t="n">
        <v>58</v>
      </c>
      <c r="G73" s="88" t="n">
        <v>58</v>
      </c>
      <c r="H73" s="88" t="n">
        <v>58</v>
      </c>
      <c r="I73" s="88" t="n">
        <v>58</v>
      </c>
      <c r="J73" s="88" t="n">
        <v>58</v>
      </c>
      <c r="K73" s="88" t="n">
        <v>58</v>
      </c>
      <c r="L73" s="88" t="n">
        <v>58</v>
      </c>
      <c r="M73" s="88" t="n">
        <v>58</v>
      </c>
      <c r="N73" s="88" t="n">
        <v>58</v>
      </c>
      <c r="O73" s="88" t="n">
        <v>58</v>
      </c>
      <c r="P73" s="113" t="n">
        <f aca="false">SUM(D73:O73)</f>
        <v>696</v>
      </c>
    </row>
    <row r="74" customFormat="false" ht="12.75" hidden="false" customHeight="false" outlineLevel="0" collapsed="false">
      <c r="B74" s="114"/>
      <c r="C74" s="112" t="str">
        <f aca="false">C68</f>
        <v>Precio unitario de venta:</v>
      </c>
      <c r="D74" s="85" t="n">
        <v>40</v>
      </c>
      <c r="E74" s="85" t="n">
        <v>40</v>
      </c>
      <c r="F74" s="85" t="n">
        <v>40</v>
      </c>
      <c r="G74" s="85" t="n">
        <v>40</v>
      </c>
      <c r="H74" s="85" t="n">
        <v>40</v>
      </c>
      <c r="I74" s="85" t="n">
        <v>40</v>
      </c>
      <c r="J74" s="85" t="n">
        <v>40</v>
      </c>
      <c r="K74" s="85" t="n">
        <v>40</v>
      </c>
      <c r="L74" s="85" t="n">
        <v>40</v>
      </c>
      <c r="M74" s="85" t="n">
        <v>40</v>
      </c>
      <c r="N74" s="85" t="n">
        <v>40</v>
      </c>
      <c r="O74" s="85" t="n">
        <v>40</v>
      </c>
      <c r="P74" s="116"/>
    </row>
    <row r="75" customFormat="false" ht="12.75" hidden="false" customHeight="false" outlineLevel="0" collapsed="false">
      <c r="B75" s="117"/>
      <c r="C75" s="112" t="str">
        <f aca="false">C69</f>
        <v>Ingresos previstos por ventas:</v>
      </c>
      <c r="D75" s="118" t="n">
        <f aca="false">D73*D74</f>
        <v>2320</v>
      </c>
      <c r="E75" s="118" t="n">
        <f aca="false">E73*E74</f>
        <v>2320</v>
      </c>
      <c r="F75" s="118" t="n">
        <f aca="false">F73*F74</f>
        <v>2320</v>
      </c>
      <c r="G75" s="118" t="n">
        <f aca="false">G73*G74</f>
        <v>2320</v>
      </c>
      <c r="H75" s="118" t="n">
        <f aca="false">H73*H74</f>
        <v>2320</v>
      </c>
      <c r="I75" s="118" t="n">
        <f aca="false">I73*I74</f>
        <v>2320</v>
      </c>
      <c r="J75" s="118" t="n">
        <f aca="false">J73*J74</f>
        <v>2320</v>
      </c>
      <c r="K75" s="118" t="n">
        <f aca="false">K73*K74</f>
        <v>2320</v>
      </c>
      <c r="L75" s="118" t="n">
        <f aca="false">L73*L74</f>
        <v>2320</v>
      </c>
      <c r="M75" s="118" t="n">
        <f aca="false">M73*M74</f>
        <v>2320</v>
      </c>
      <c r="N75" s="118" t="n">
        <f aca="false">N73*N74</f>
        <v>2320</v>
      </c>
      <c r="O75" s="118" t="n">
        <f aca="false">O73*O74</f>
        <v>2320</v>
      </c>
      <c r="P75" s="113" t="n">
        <f aca="false">SUM(D75:O75)</f>
        <v>27840</v>
      </c>
    </row>
    <row r="76" customFormat="false" ht="12.75" hidden="false" customHeight="false" outlineLevel="0" collapsed="false">
      <c r="B76" s="117"/>
      <c r="C76" s="112" t="str">
        <f aca="false">C70</f>
        <v>Precio unitario de compras:</v>
      </c>
      <c r="D76" s="85" t="n">
        <v>28</v>
      </c>
      <c r="E76" s="85" t="n">
        <v>28</v>
      </c>
      <c r="F76" s="85" t="n">
        <v>28</v>
      </c>
      <c r="G76" s="85" t="n">
        <v>28</v>
      </c>
      <c r="H76" s="85" t="n">
        <v>28</v>
      </c>
      <c r="I76" s="85" t="n">
        <v>28</v>
      </c>
      <c r="J76" s="85" t="n">
        <v>28</v>
      </c>
      <c r="K76" s="85" t="n">
        <v>28</v>
      </c>
      <c r="L76" s="85" t="n">
        <v>28</v>
      </c>
      <c r="M76" s="85" t="n">
        <v>28</v>
      </c>
      <c r="N76" s="85" t="n">
        <v>28</v>
      </c>
      <c r="O76" s="85" t="n">
        <v>28</v>
      </c>
      <c r="P76" s="120"/>
    </row>
    <row r="77" customFormat="false" ht="13.5" hidden="false" customHeight="false" outlineLevel="0" collapsed="false">
      <c r="B77" s="121"/>
      <c r="C77" s="122" t="str">
        <f aca="false">C71</f>
        <v>Otros costes directos imputables al producto/servicio</v>
      </c>
      <c r="D77" s="123"/>
      <c r="E77" s="123"/>
      <c r="F77" s="123"/>
      <c r="G77" s="123"/>
      <c r="H77" s="123"/>
      <c r="I77" s="123"/>
      <c r="J77" s="123"/>
      <c r="K77" s="123"/>
      <c r="L77" s="123"/>
      <c r="M77" s="123"/>
      <c r="N77" s="123"/>
      <c r="O77" s="123"/>
      <c r="P77" s="124" t="n">
        <f aca="false">SUM(D77:O77)</f>
        <v>0</v>
      </c>
    </row>
    <row r="78" customFormat="false" ht="13.5" hidden="false" customHeight="false" outlineLevel="0" collapsed="false">
      <c r="B78" s="107" t="str">
        <f aca="false">'Datos generales'!C62</f>
        <v>Menú natural semihúmedo perro</v>
      </c>
      <c r="C78" s="108"/>
      <c r="D78" s="125"/>
      <c r="E78" s="126"/>
      <c r="F78" s="126"/>
      <c r="G78" s="126"/>
      <c r="H78" s="126"/>
      <c r="I78" s="126"/>
      <c r="J78" s="126"/>
      <c r="K78" s="126"/>
      <c r="L78" s="126"/>
      <c r="M78" s="126"/>
      <c r="N78" s="126"/>
      <c r="O78" s="126"/>
      <c r="P78" s="110"/>
      <c r="S78" s="127"/>
    </row>
    <row r="79" customFormat="false" ht="12.75" hidden="false" customHeight="false" outlineLevel="0" collapsed="false">
      <c r="B79" s="111"/>
      <c r="C79" s="112" t="str">
        <f aca="false">C73</f>
        <v>Unidades a vender:</v>
      </c>
      <c r="D79" s="88" t="n">
        <v>101</v>
      </c>
      <c r="E79" s="88" t="n">
        <v>101</v>
      </c>
      <c r="F79" s="88" t="n">
        <v>101</v>
      </c>
      <c r="G79" s="88" t="n">
        <v>101</v>
      </c>
      <c r="H79" s="88" t="n">
        <v>101</v>
      </c>
      <c r="I79" s="88" t="n">
        <v>101</v>
      </c>
      <c r="J79" s="88" t="n">
        <v>101</v>
      </c>
      <c r="K79" s="88" t="n">
        <v>101</v>
      </c>
      <c r="L79" s="88" t="n">
        <v>101</v>
      </c>
      <c r="M79" s="88" t="n">
        <v>101</v>
      </c>
      <c r="N79" s="88" t="n">
        <v>101</v>
      </c>
      <c r="O79" s="88" t="n">
        <v>101</v>
      </c>
      <c r="P79" s="113" t="n">
        <f aca="false">SUM(D79:O79)</f>
        <v>1212</v>
      </c>
    </row>
    <row r="80" customFormat="false" ht="12.75" hidden="false" customHeight="false" outlineLevel="0" collapsed="false">
      <c r="B80" s="114"/>
      <c r="C80" s="112" t="str">
        <f aca="false">C74</f>
        <v>Precio unitario de venta:</v>
      </c>
      <c r="D80" s="85" t="n">
        <v>13</v>
      </c>
      <c r="E80" s="85" t="n">
        <v>13</v>
      </c>
      <c r="F80" s="85" t="n">
        <v>13</v>
      </c>
      <c r="G80" s="85" t="n">
        <v>13</v>
      </c>
      <c r="H80" s="85" t="n">
        <v>13</v>
      </c>
      <c r="I80" s="85" t="n">
        <v>13</v>
      </c>
      <c r="J80" s="85" t="n">
        <v>13</v>
      </c>
      <c r="K80" s="85" t="n">
        <v>13</v>
      </c>
      <c r="L80" s="85" t="n">
        <v>13</v>
      </c>
      <c r="M80" s="85" t="n">
        <v>13</v>
      </c>
      <c r="N80" s="85" t="n">
        <v>13</v>
      </c>
      <c r="O80" s="85" t="n">
        <v>13</v>
      </c>
      <c r="P80" s="116"/>
    </row>
    <row r="81" customFormat="false" ht="12.75" hidden="false" customHeight="false" outlineLevel="0" collapsed="false">
      <c r="B81" s="117"/>
      <c r="C81" s="112" t="str">
        <f aca="false">C75</f>
        <v>Ingresos previstos por ventas:</v>
      </c>
      <c r="D81" s="118" t="n">
        <f aca="false">D79*D80</f>
        <v>1313</v>
      </c>
      <c r="E81" s="118" t="n">
        <f aca="false">E79*E80</f>
        <v>1313</v>
      </c>
      <c r="F81" s="118" t="n">
        <f aca="false">F79*F80</f>
        <v>1313</v>
      </c>
      <c r="G81" s="118" t="n">
        <f aca="false">G79*G80</f>
        <v>1313</v>
      </c>
      <c r="H81" s="118" t="n">
        <f aca="false">H79*H80</f>
        <v>1313</v>
      </c>
      <c r="I81" s="118" t="n">
        <f aca="false">I79*I80</f>
        <v>1313</v>
      </c>
      <c r="J81" s="118" t="n">
        <f aca="false">J79*J80</f>
        <v>1313</v>
      </c>
      <c r="K81" s="118" t="n">
        <f aca="false">K79*K80</f>
        <v>1313</v>
      </c>
      <c r="L81" s="118" t="n">
        <f aca="false">L79*L80</f>
        <v>1313</v>
      </c>
      <c r="M81" s="118" t="n">
        <f aca="false">M79*M80</f>
        <v>1313</v>
      </c>
      <c r="N81" s="118" t="n">
        <f aca="false">N79*N80</f>
        <v>1313</v>
      </c>
      <c r="O81" s="118" t="n">
        <f aca="false">O79*O80</f>
        <v>1313</v>
      </c>
      <c r="P81" s="113" t="n">
        <f aca="false">SUM(D81:O81)</f>
        <v>15756</v>
      </c>
    </row>
    <row r="82" customFormat="false" ht="12.75" hidden="false" customHeight="false" outlineLevel="0" collapsed="false">
      <c r="B82" s="117"/>
      <c r="C82" s="112" t="str">
        <f aca="false">C76</f>
        <v>Precio unitario de compras:</v>
      </c>
      <c r="D82" s="85" t="n">
        <v>9</v>
      </c>
      <c r="E82" s="85" t="n">
        <v>9</v>
      </c>
      <c r="F82" s="85" t="n">
        <v>9</v>
      </c>
      <c r="G82" s="85" t="n">
        <v>9</v>
      </c>
      <c r="H82" s="85" t="n">
        <v>9</v>
      </c>
      <c r="I82" s="85" t="n">
        <v>9</v>
      </c>
      <c r="J82" s="85" t="n">
        <v>9</v>
      </c>
      <c r="K82" s="85" t="n">
        <v>9</v>
      </c>
      <c r="L82" s="85" t="n">
        <v>9</v>
      </c>
      <c r="M82" s="85" t="n">
        <v>9</v>
      </c>
      <c r="N82" s="85" t="n">
        <v>9</v>
      </c>
      <c r="O82" s="85" t="n">
        <v>9</v>
      </c>
      <c r="P82" s="120"/>
    </row>
    <row r="83" customFormat="false" ht="13.5" hidden="false" customHeight="false" outlineLevel="0" collapsed="false">
      <c r="B83" s="121"/>
      <c r="C83" s="122" t="str">
        <f aca="false">C77</f>
        <v>Otros costes directos imputables al producto/servicio</v>
      </c>
      <c r="D83" s="123"/>
      <c r="E83" s="123"/>
      <c r="F83" s="123"/>
      <c r="G83" s="123"/>
      <c r="H83" s="123"/>
      <c r="I83" s="123"/>
      <c r="J83" s="123"/>
      <c r="K83" s="123"/>
      <c r="L83" s="123"/>
      <c r="M83" s="123"/>
      <c r="N83" s="123"/>
      <c r="O83" s="123"/>
      <c r="P83" s="124" t="n">
        <f aca="false">SUM(D83:O83)</f>
        <v>0</v>
      </c>
    </row>
    <row r="84" customFormat="false" ht="13.5" hidden="false" customHeight="false" outlineLevel="0" collapsed="false">
      <c r="B84" s="107" t="str">
        <f aca="false">'Datos generales'!C63</f>
        <v>Comida húmeda para gatos 26 pouches</v>
      </c>
      <c r="C84" s="108"/>
      <c r="D84" s="125"/>
      <c r="E84" s="126"/>
      <c r="F84" s="126"/>
      <c r="G84" s="126"/>
      <c r="H84" s="126"/>
      <c r="I84" s="126"/>
      <c r="J84" s="126"/>
      <c r="K84" s="126"/>
      <c r="L84" s="126"/>
      <c r="M84" s="126"/>
      <c r="N84" s="126"/>
      <c r="O84" s="126"/>
      <c r="P84" s="110"/>
      <c r="S84" s="127"/>
    </row>
    <row r="85" customFormat="false" ht="12.75" hidden="false" customHeight="false" outlineLevel="0" collapsed="false">
      <c r="B85" s="111"/>
      <c r="C85" s="112" t="str">
        <f aca="false">C79</f>
        <v>Unidades a vender:</v>
      </c>
      <c r="D85" s="88" t="n">
        <v>58</v>
      </c>
      <c r="E85" s="88" t="n">
        <v>58</v>
      </c>
      <c r="F85" s="88" t="n">
        <v>58</v>
      </c>
      <c r="G85" s="88" t="n">
        <v>58</v>
      </c>
      <c r="H85" s="88" t="n">
        <v>58</v>
      </c>
      <c r="I85" s="88" t="n">
        <v>58</v>
      </c>
      <c r="J85" s="88" t="n">
        <v>58</v>
      </c>
      <c r="K85" s="88" t="n">
        <v>58</v>
      </c>
      <c r="L85" s="88" t="n">
        <v>58</v>
      </c>
      <c r="M85" s="88" t="n">
        <v>58</v>
      </c>
      <c r="N85" s="88" t="n">
        <v>58</v>
      </c>
      <c r="O85" s="88" t="n">
        <v>58</v>
      </c>
      <c r="P85" s="113" t="n">
        <f aca="false">SUM(D85:O85)</f>
        <v>696</v>
      </c>
    </row>
    <row r="86" customFormat="false" ht="12.75" hidden="false" customHeight="false" outlineLevel="0" collapsed="false">
      <c r="B86" s="114"/>
      <c r="C86" s="112" t="str">
        <f aca="false">C80</f>
        <v>Precio unitario de venta:</v>
      </c>
      <c r="D86" s="85" t="n">
        <v>21</v>
      </c>
      <c r="E86" s="85" t="n">
        <v>21</v>
      </c>
      <c r="F86" s="85" t="n">
        <v>21</v>
      </c>
      <c r="G86" s="85" t="n">
        <v>21</v>
      </c>
      <c r="H86" s="85" t="n">
        <v>21</v>
      </c>
      <c r="I86" s="85" t="n">
        <v>21</v>
      </c>
      <c r="J86" s="85" t="n">
        <v>21</v>
      </c>
      <c r="K86" s="85" t="n">
        <v>21</v>
      </c>
      <c r="L86" s="85" t="n">
        <v>21</v>
      </c>
      <c r="M86" s="85" t="n">
        <v>21</v>
      </c>
      <c r="N86" s="85" t="n">
        <v>21</v>
      </c>
      <c r="O86" s="85" t="n">
        <v>21</v>
      </c>
      <c r="P86" s="116"/>
    </row>
    <row r="87" customFormat="false" ht="12.75" hidden="false" customHeight="false" outlineLevel="0" collapsed="false">
      <c r="B87" s="117"/>
      <c r="C87" s="112" t="str">
        <f aca="false">C81</f>
        <v>Ingresos previstos por ventas:</v>
      </c>
      <c r="D87" s="118" t="n">
        <f aca="false">D85*D86</f>
        <v>1218</v>
      </c>
      <c r="E87" s="118" t="n">
        <f aca="false">E85*E86</f>
        <v>1218</v>
      </c>
      <c r="F87" s="118" t="n">
        <f aca="false">F85*F86</f>
        <v>1218</v>
      </c>
      <c r="G87" s="118" t="n">
        <f aca="false">G85*G86</f>
        <v>1218</v>
      </c>
      <c r="H87" s="118" t="n">
        <f aca="false">H85*H86</f>
        <v>1218</v>
      </c>
      <c r="I87" s="118" t="n">
        <f aca="false">I85*I86</f>
        <v>1218</v>
      </c>
      <c r="J87" s="118" t="n">
        <f aca="false">J85*J86</f>
        <v>1218</v>
      </c>
      <c r="K87" s="118" t="n">
        <f aca="false">K85*K86</f>
        <v>1218</v>
      </c>
      <c r="L87" s="118" t="n">
        <f aca="false">L85*L86</f>
        <v>1218</v>
      </c>
      <c r="M87" s="118" t="n">
        <f aca="false">M85*M86</f>
        <v>1218</v>
      </c>
      <c r="N87" s="118" t="n">
        <f aca="false">N85*N86</f>
        <v>1218</v>
      </c>
      <c r="O87" s="118" t="n">
        <f aca="false">O85*O86</f>
        <v>1218</v>
      </c>
      <c r="P87" s="113" t="n">
        <f aca="false">SUM(D87:O87)</f>
        <v>14616</v>
      </c>
    </row>
    <row r="88" customFormat="false" ht="12.75" hidden="false" customHeight="false" outlineLevel="0" collapsed="false">
      <c r="B88" s="117"/>
      <c r="C88" s="112" t="str">
        <f aca="false">C82</f>
        <v>Precio unitario de compras:</v>
      </c>
      <c r="D88" s="85" t="n">
        <v>15</v>
      </c>
      <c r="E88" s="85" t="n">
        <v>15</v>
      </c>
      <c r="F88" s="85" t="n">
        <v>15</v>
      </c>
      <c r="G88" s="85" t="n">
        <v>15</v>
      </c>
      <c r="H88" s="85" t="n">
        <v>15</v>
      </c>
      <c r="I88" s="85" t="n">
        <v>15</v>
      </c>
      <c r="J88" s="85" t="n">
        <v>15</v>
      </c>
      <c r="K88" s="85" t="n">
        <v>15</v>
      </c>
      <c r="L88" s="85" t="n">
        <v>15</v>
      </c>
      <c r="M88" s="85" t="n">
        <v>15</v>
      </c>
      <c r="N88" s="85" t="n">
        <v>15</v>
      </c>
      <c r="O88" s="85" t="n">
        <v>15</v>
      </c>
      <c r="P88" s="120"/>
    </row>
    <row r="89" customFormat="false" ht="13.5" hidden="false" customHeight="false" outlineLevel="0" collapsed="false">
      <c r="B89" s="121"/>
      <c r="C89" s="122" t="str">
        <f aca="false">C83</f>
        <v>Otros costes directos imputables al producto/servicio</v>
      </c>
      <c r="D89" s="123"/>
      <c r="E89" s="123"/>
      <c r="F89" s="123"/>
      <c r="G89" s="123"/>
      <c r="H89" s="123"/>
      <c r="I89" s="123"/>
      <c r="J89" s="123"/>
      <c r="K89" s="123"/>
      <c r="L89" s="123"/>
      <c r="M89" s="123"/>
      <c r="N89" s="123"/>
      <c r="O89" s="123"/>
      <c r="P89" s="124" t="n">
        <f aca="false">SUM(D89:O89)</f>
        <v>0</v>
      </c>
    </row>
    <row r="90" customFormat="false" ht="13.5" hidden="false" customHeight="false" outlineLevel="0" collapsed="false">
      <c r="B90" s="128"/>
      <c r="C90" s="128"/>
      <c r="D90" s="129" t="s">
        <v>142</v>
      </c>
      <c r="E90" s="130"/>
      <c r="F90" s="130"/>
      <c r="G90" s="130"/>
      <c r="H90" s="130"/>
      <c r="I90" s="130"/>
      <c r="J90" s="130"/>
      <c r="K90" s="130"/>
      <c r="L90" s="130"/>
      <c r="M90" s="130"/>
      <c r="N90" s="130"/>
      <c r="O90" s="130"/>
      <c r="P90" s="131"/>
    </row>
    <row r="91" customFormat="false" ht="14.25" hidden="false" customHeight="false" outlineLevel="0" collapsed="false">
      <c r="B91" s="51" t="s">
        <v>4</v>
      </c>
      <c r="C91" s="51"/>
      <c r="E91" s="52"/>
      <c r="F91" s="35"/>
      <c r="G91" s="35"/>
      <c r="H91" s="35"/>
      <c r="I91" s="35"/>
      <c r="J91" s="35"/>
      <c r="K91" s="35"/>
      <c r="L91" s="35"/>
      <c r="M91" s="35"/>
      <c r="N91" s="35"/>
      <c r="O91" s="35"/>
      <c r="P91" s="35"/>
    </row>
    <row r="92" customFormat="false" ht="12.75" hidden="false" customHeight="false" outlineLevel="0" collapsed="false">
      <c r="B92" s="105" t="s">
        <v>123</v>
      </c>
      <c r="C92" s="106"/>
      <c r="D92" s="83" t="s">
        <v>124</v>
      </c>
      <c r="E92" s="72" t="s">
        <v>125</v>
      </c>
      <c r="F92" s="83" t="s">
        <v>126</v>
      </c>
      <c r="G92" s="83" t="s">
        <v>127</v>
      </c>
      <c r="H92" s="83" t="s">
        <v>128</v>
      </c>
      <c r="I92" s="83" t="s">
        <v>129</v>
      </c>
      <c r="J92" s="83" t="s">
        <v>130</v>
      </c>
      <c r="K92" s="83" t="s">
        <v>131</v>
      </c>
      <c r="L92" s="83" t="s">
        <v>132</v>
      </c>
      <c r="M92" s="83" t="s">
        <v>133</v>
      </c>
      <c r="N92" s="83" t="s">
        <v>134</v>
      </c>
      <c r="O92" s="83" t="s">
        <v>135</v>
      </c>
      <c r="P92" s="83" t="s">
        <v>136</v>
      </c>
    </row>
    <row r="93" customFormat="false" ht="12.75" hidden="false" customHeight="false" outlineLevel="0" collapsed="false">
      <c r="B93" s="107" t="str">
        <f aca="false">B30</f>
        <v>Pienso para perro adulto 12 kg</v>
      </c>
      <c r="C93" s="108"/>
      <c r="D93" s="109"/>
      <c r="E93" s="109"/>
      <c r="F93" s="109"/>
      <c r="G93" s="109"/>
      <c r="H93" s="109"/>
      <c r="I93" s="109"/>
      <c r="J93" s="109"/>
      <c r="K93" s="109"/>
      <c r="L93" s="109"/>
      <c r="M93" s="109"/>
      <c r="N93" s="109"/>
      <c r="O93" s="109"/>
      <c r="P93" s="110"/>
    </row>
    <row r="94" customFormat="false" ht="12.75" hidden="false" customHeight="false" outlineLevel="0" collapsed="false">
      <c r="B94" s="111"/>
      <c r="C94" s="112" t="str">
        <f aca="false">C85</f>
        <v>Unidades a vender:</v>
      </c>
      <c r="D94" s="88" t="n">
        <v>78</v>
      </c>
      <c r="E94" s="88" t="n">
        <v>78</v>
      </c>
      <c r="F94" s="88" t="n">
        <v>78</v>
      </c>
      <c r="G94" s="88" t="n">
        <v>78</v>
      </c>
      <c r="H94" s="88" t="n">
        <v>78</v>
      </c>
      <c r="I94" s="88" t="n">
        <v>78</v>
      </c>
      <c r="J94" s="88" t="n">
        <v>78</v>
      </c>
      <c r="K94" s="88" t="n">
        <v>78</v>
      </c>
      <c r="L94" s="88" t="n">
        <v>78</v>
      </c>
      <c r="M94" s="88" t="n">
        <v>78</v>
      </c>
      <c r="N94" s="88" t="n">
        <v>78</v>
      </c>
      <c r="O94" s="88" t="n">
        <v>78</v>
      </c>
      <c r="P94" s="113" t="n">
        <f aca="false">SUM(D94:O94)</f>
        <v>936</v>
      </c>
    </row>
    <row r="95" customFormat="false" ht="12.75" hidden="false" customHeight="false" outlineLevel="0" collapsed="false">
      <c r="B95" s="114"/>
      <c r="C95" s="112" t="str">
        <f aca="false">C86</f>
        <v>Precio unitario de venta:</v>
      </c>
      <c r="D95" s="85" t="n">
        <v>60</v>
      </c>
      <c r="E95" s="85" t="n">
        <v>60</v>
      </c>
      <c r="F95" s="85" t="n">
        <v>60</v>
      </c>
      <c r="G95" s="85" t="n">
        <v>60</v>
      </c>
      <c r="H95" s="85" t="n">
        <v>60</v>
      </c>
      <c r="I95" s="85" t="n">
        <v>60</v>
      </c>
      <c r="J95" s="85" t="n">
        <v>60</v>
      </c>
      <c r="K95" s="85" t="n">
        <v>60</v>
      </c>
      <c r="L95" s="85" t="n">
        <v>60</v>
      </c>
      <c r="M95" s="85" t="n">
        <v>60</v>
      </c>
      <c r="N95" s="85" t="n">
        <v>60</v>
      </c>
      <c r="O95" s="85" t="n">
        <v>60</v>
      </c>
      <c r="P95" s="116"/>
    </row>
    <row r="96" customFormat="false" ht="12.75" hidden="false" customHeight="false" outlineLevel="0" collapsed="false">
      <c r="B96" s="117"/>
      <c r="C96" s="112" t="str">
        <f aca="false">C87</f>
        <v>Ingresos previstos por ventas:</v>
      </c>
      <c r="D96" s="118" t="n">
        <f aca="false">D94*D95</f>
        <v>4680</v>
      </c>
      <c r="E96" s="118" t="n">
        <f aca="false">E94*E95</f>
        <v>4680</v>
      </c>
      <c r="F96" s="118" t="n">
        <f aca="false">F94*F95</f>
        <v>4680</v>
      </c>
      <c r="G96" s="118" t="n">
        <f aca="false">G94*G95</f>
        <v>4680</v>
      </c>
      <c r="H96" s="118" t="n">
        <f aca="false">H94*H95</f>
        <v>4680</v>
      </c>
      <c r="I96" s="118" t="n">
        <f aca="false">I94*I95</f>
        <v>4680</v>
      </c>
      <c r="J96" s="118" t="n">
        <f aca="false">J94*J95</f>
        <v>4680</v>
      </c>
      <c r="K96" s="118" t="n">
        <f aca="false">K94*K95</f>
        <v>4680</v>
      </c>
      <c r="L96" s="118" t="n">
        <f aca="false">L94*L95</f>
        <v>4680</v>
      </c>
      <c r="M96" s="118" t="n">
        <f aca="false">M94*M95</f>
        <v>4680</v>
      </c>
      <c r="N96" s="118" t="n">
        <f aca="false">N94*N95</f>
        <v>4680</v>
      </c>
      <c r="O96" s="118" t="n">
        <f aca="false">O94*O95</f>
        <v>4680</v>
      </c>
      <c r="P96" s="113" t="n">
        <f aca="false">SUM(D96:O96)</f>
        <v>56160</v>
      </c>
    </row>
    <row r="97" customFormat="false" ht="12.75" hidden="false" customHeight="false" outlineLevel="0" collapsed="false">
      <c r="B97" s="117"/>
      <c r="C97" s="112" t="str">
        <f aca="false">C88</f>
        <v>Precio unitario de compras:</v>
      </c>
      <c r="D97" s="85" t="n">
        <v>45</v>
      </c>
      <c r="E97" s="85" t="n">
        <v>45</v>
      </c>
      <c r="F97" s="85" t="n">
        <v>45</v>
      </c>
      <c r="G97" s="85" t="n">
        <v>45</v>
      </c>
      <c r="H97" s="85" t="n">
        <v>45</v>
      </c>
      <c r="I97" s="85" t="n">
        <v>45</v>
      </c>
      <c r="J97" s="85" t="n">
        <v>45</v>
      </c>
      <c r="K97" s="85" t="n">
        <v>45</v>
      </c>
      <c r="L97" s="85" t="n">
        <v>45</v>
      </c>
      <c r="M97" s="85" t="n">
        <v>45</v>
      </c>
      <c r="N97" s="85" t="n">
        <v>45</v>
      </c>
      <c r="O97" s="85" t="n">
        <v>45</v>
      </c>
      <c r="P97" s="120"/>
    </row>
    <row r="98" customFormat="false" ht="13.5" hidden="false" customHeight="false" outlineLevel="0" collapsed="false">
      <c r="B98" s="121"/>
      <c r="C98" s="122" t="str">
        <f aca="false">C89</f>
        <v>Otros costes directos imputables al producto/servicio</v>
      </c>
      <c r="D98" s="123"/>
      <c r="E98" s="123"/>
      <c r="F98" s="123"/>
      <c r="G98" s="123"/>
      <c r="H98" s="123"/>
      <c r="I98" s="123"/>
      <c r="J98" s="123"/>
      <c r="K98" s="123"/>
      <c r="L98" s="123"/>
      <c r="M98" s="123"/>
      <c r="N98" s="123"/>
      <c r="O98" s="123"/>
      <c r="P98" s="124" t="n">
        <f aca="false">SUM(D98:O98)</f>
        <v>0</v>
      </c>
    </row>
    <row r="99" customFormat="false" ht="13.5" hidden="false" customHeight="false" outlineLevel="0" collapsed="false">
      <c r="B99" s="107" t="str">
        <f aca="false">B36</f>
        <v>Pienso para gato adulto 10 kg</v>
      </c>
      <c r="C99" s="132"/>
      <c r="D99" s="125"/>
      <c r="E99" s="126"/>
      <c r="F99" s="126"/>
      <c r="G99" s="126"/>
      <c r="H99" s="126"/>
      <c r="I99" s="126"/>
      <c r="J99" s="126"/>
      <c r="K99" s="126"/>
      <c r="L99" s="126"/>
      <c r="M99" s="126"/>
      <c r="N99" s="126"/>
      <c r="O99" s="126"/>
      <c r="P99" s="110"/>
    </row>
    <row r="100" customFormat="false" ht="12.75" hidden="false" customHeight="false" outlineLevel="0" collapsed="false">
      <c r="B100" s="111"/>
      <c r="C100" s="112" t="str">
        <f aca="false">C94</f>
        <v>Unidades a vender:</v>
      </c>
      <c r="D100" s="88" t="n">
        <v>68</v>
      </c>
      <c r="E100" s="88" t="n">
        <v>68</v>
      </c>
      <c r="F100" s="88" t="n">
        <v>68</v>
      </c>
      <c r="G100" s="88" t="n">
        <v>68</v>
      </c>
      <c r="H100" s="88" t="n">
        <v>68</v>
      </c>
      <c r="I100" s="88" t="n">
        <v>68</v>
      </c>
      <c r="J100" s="88" t="n">
        <v>68</v>
      </c>
      <c r="K100" s="88" t="n">
        <v>68</v>
      </c>
      <c r="L100" s="88" t="n">
        <v>68</v>
      </c>
      <c r="M100" s="88" t="n">
        <v>68</v>
      </c>
      <c r="N100" s="88" t="n">
        <v>68</v>
      </c>
      <c r="O100" s="88" t="n">
        <v>68</v>
      </c>
      <c r="P100" s="113" t="n">
        <f aca="false">SUM(D100:O100)</f>
        <v>816</v>
      </c>
    </row>
    <row r="101" customFormat="false" ht="12.75" hidden="false" customHeight="false" outlineLevel="0" collapsed="false">
      <c r="B101" s="114"/>
      <c r="C101" s="112" t="str">
        <f aca="false">C95</f>
        <v>Precio unitario de venta:</v>
      </c>
      <c r="D101" s="85" t="n">
        <v>65</v>
      </c>
      <c r="E101" s="85" t="n">
        <v>65</v>
      </c>
      <c r="F101" s="85" t="n">
        <v>65</v>
      </c>
      <c r="G101" s="85" t="n">
        <v>65</v>
      </c>
      <c r="H101" s="85" t="n">
        <v>65</v>
      </c>
      <c r="I101" s="85" t="n">
        <v>65</v>
      </c>
      <c r="J101" s="85" t="n">
        <v>65</v>
      </c>
      <c r="K101" s="85" t="n">
        <v>65</v>
      </c>
      <c r="L101" s="85" t="n">
        <v>65</v>
      </c>
      <c r="M101" s="85" t="n">
        <v>65</v>
      </c>
      <c r="N101" s="85" t="n">
        <v>65</v>
      </c>
      <c r="O101" s="85" t="n">
        <v>65</v>
      </c>
      <c r="P101" s="116"/>
    </row>
    <row r="102" customFormat="false" ht="12.75" hidden="false" customHeight="false" outlineLevel="0" collapsed="false">
      <c r="B102" s="117"/>
      <c r="C102" s="112" t="str">
        <f aca="false">C96</f>
        <v>Ingresos previstos por ventas:</v>
      </c>
      <c r="D102" s="118" t="n">
        <f aca="false">D100*D101</f>
        <v>4420</v>
      </c>
      <c r="E102" s="118" t="n">
        <f aca="false">E100*E101</f>
        <v>4420</v>
      </c>
      <c r="F102" s="118" t="n">
        <f aca="false">F100*F101</f>
        <v>4420</v>
      </c>
      <c r="G102" s="118" t="n">
        <f aca="false">G100*G101</f>
        <v>4420</v>
      </c>
      <c r="H102" s="118" t="n">
        <f aca="false">H100*H101</f>
        <v>4420</v>
      </c>
      <c r="I102" s="118" t="n">
        <f aca="false">I100*I101</f>
        <v>4420</v>
      </c>
      <c r="J102" s="118" t="n">
        <f aca="false">J100*J101</f>
        <v>4420</v>
      </c>
      <c r="K102" s="118" t="n">
        <f aca="false">K100*K101</f>
        <v>4420</v>
      </c>
      <c r="L102" s="118" t="n">
        <f aca="false">L100*L101</f>
        <v>4420</v>
      </c>
      <c r="M102" s="118" t="n">
        <f aca="false">M100*M101</f>
        <v>4420</v>
      </c>
      <c r="N102" s="118" t="n">
        <f aca="false">N100*N101</f>
        <v>4420</v>
      </c>
      <c r="O102" s="118" t="n">
        <f aca="false">O100*O101</f>
        <v>4420</v>
      </c>
      <c r="P102" s="113" t="n">
        <f aca="false">SUM(D102:O102)</f>
        <v>53040</v>
      </c>
    </row>
    <row r="103" customFormat="false" ht="12.75" hidden="false" customHeight="false" outlineLevel="0" collapsed="false">
      <c r="B103" s="117"/>
      <c r="C103" s="112" t="str">
        <f aca="false">C97</f>
        <v>Precio unitario de compras:</v>
      </c>
      <c r="D103" s="85" t="n">
        <v>50</v>
      </c>
      <c r="E103" s="85" t="n">
        <v>50</v>
      </c>
      <c r="F103" s="85" t="n">
        <v>50</v>
      </c>
      <c r="G103" s="85" t="n">
        <v>50</v>
      </c>
      <c r="H103" s="85" t="n">
        <v>50</v>
      </c>
      <c r="I103" s="85" t="n">
        <v>50</v>
      </c>
      <c r="J103" s="85" t="n">
        <v>50</v>
      </c>
      <c r="K103" s="85" t="n">
        <v>50</v>
      </c>
      <c r="L103" s="85" t="n">
        <v>50</v>
      </c>
      <c r="M103" s="85" t="n">
        <v>50</v>
      </c>
      <c r="N103" s="85" t="n">
        <v>50</v>
      </c>
      <c r="O103" s="85" t="n">
        <v>50</v>
      </c>
      <c r="P103" s="120"/>
    </row>
    <row r="104" customFormat="false" ht="13.5" hidden="false" customHeight="false" outlineLevel="0" collapsed="false">
      <c r="B104" s="121"/>
      <c r="C104" s="122" t="str">
        <f aca="false">C98</f>
        <v>Otros costes directos imputables al producto/servicio</v>
      </c>
      <c r="D104" s="123"/>
      <c r="E104" s="123"/>
      <c r="F104" s="123"/>
      <c r="G104" s="123"/>
      <c r="H104" s="123"/>
      <c r="I104" s="123"/>
      <c r="J104" s="123"/>
      <c r="K104" s="123"/>
      <c r="L104" s="123"/>
      <c r="M104" s="123"/>
      <c r="N104" s="123"/>
      <c r="O104" s="123"/>
      <c r="P104" s="124" t="n">
        <f aca="false">SUM(D104:O104)</f>
        <v>0</v>
      </c>
    </row>
    <row r="105" customFormat="false" ht="13.5" hidden="false" customHeight="false" outlineLevel="0" collapsed="false">
      <c r="B105" s="107" t="str">
        <f aca="false">B42</f>
        <v>Pienso para loros 12 kg</v>
      </c>
      <c r="C105" s="132"/>
      <c r="D105" s="125"/>
      <c r="E105" s="126"/>
      <c r="F105" s="126"/>
      <c r="G105" s="126"/>
      <c r="H105" s="126"/>
      <c r="I105" s="126"/>
      <c r="J105" s="126"/>
      <c r="K105" s="126"/>
      <c r="L105" s="126"/>
      <c r="M105" s="126"/>
      <c r="N105" s="126"/>
      <c r="O105" s="126"/>
      <c r="P105" s="110"/>
      <c r="S105" s="127"/>
    </row>
    <row r="106" customFormat="false" ht="12.75" hidden="false" customHeight="false" outlineLevel="0" collapsed="false">
      <c r="B106" s="111"/>
      <c r="C106" s="112" t="str">
        <f aca="false">C100</f>
        <v>Unidades a vender:</v>
      </c>
      <c r="D106" s="88" t="n">
        <v>48</v>
      </c>
      <c r="E106" s="88" t="n">
        <v>48</v>
      </c>
      <c r="F106" s="88" t="n">
        <v>48</v>
      </c>
      <c r="G106" s="88" t="n">
        <v>48</v>
      </c>
      <c r="H106" s="88" t="n">
        <v>48</v>
      </c>
      <c r="I106" s="88" t="n">
        <v>48</v>
      </c>
      <c r="J106" s="88" t="n">
        <v>48</v>
      </c>
      <c r="K106" s="88" t="n">
        <v>48</v>
      </c>
      <c r="L106" s="88" t="n">
        <v>48</v>
      </c>
      <c r="M106" s="88" t="n">
        <v>48</v>
      </c>
      <c r="N106" s="88" t="n">
        <v>48</v>
      </c>
      <c r="O106" s="88" t="n">
        <v>48</v>
      </c>
      <c r="P106" s="113" t="n">
        <f aca="false">SUM(D106:O106)</f>
        <v>576</v>
      </c>
    </row>
    <row r="107" customFormat="false" ht="12.75" hidden="false" customHeight="false" outlineLevel="0" collapsed="false">
      <c r="B107" s="114"/>
      <c r="C107" s="112" t="str">
        <f aca="false">C101</f>
        <v>Precio unitario de venta:</v>
      </c>
      <c r="D107" s="85" t="n">
        <v>90</v>
      </c>
      <c r="E107" s="85" t="n">
        <v>90</v>
      </c>
      <c r="F107" s="85" t="n">
        <v>90</v>
      </c>
      <c r="G107" s="85" t="n">
        <v>90</v>
      </c>
      <c r="H107" s="85" t="n">
        <v>90</v>
      </c>
      <c r="I107" s="85" t="n">
        <v>90</v>
      </c>
      <c r="J107" s="85" t="n">
        <v>90</v>
      </c>
      <c r="K107" s="85" t="n">
        <v>90</v>
      </c>
      <c r="L107" s="85" t="n">
        <v>90</v>
      </c>
      <c r="M107" s="85" t="n">
        <v>90</v>
      </c>
      <c r="N107" s="85" t="n">
        <v>90</v>
      </c>
      <c r="O107" s="85" t="n">
        <v>90</v>
      </c>
      <c r="P107" s="116"/>
    </row>
    <row r="108" customFormat="false" ht="12.75" hidden="false" customHeight="false" outlineLevel="0" collapsed="false">
      <c r="B108" s="117"/>
      <c r="C108" s="112" t="str">
        <f aca="false">C102</f>
        <v>Ingresos previstos por ventas:</v>
      </c>
      <c r="D108" s="118" t="n">
        <f aca="false">D106*D107</f>
        <v>4320</v>
      </c>
      <c r="E108" s="118" t="n">
        <f aca="false">E106*E107</f>
        <v>4320</v>
      </c>
      <c r="F108" s="118" t="n">
        <f aca="false">F106*F107</f>
        <v>4320</v>
      </c>
      <c r="G108" s="118" t="n">
        <f aca="false">G106*G107</f>
        <v>4320</v>
      </c>
      <c r="H108" s="118" t="n">
        <f aca="false">H106*H107</f>
        <v>4320</v>
      </c>
      <c r="I108" s="118" t="n">
        <f aca="false">I106*I107</f>
        <v>4320</v>
      </c>
      <c r="J108" s="118" t="n">
        <f aca="false">J106*J107</f>
        <v>4320</v>
      </c>
      <c r="K108" s="118" t="n">
        <f aca="false">K106*K107</f>
        <v>4320</v>
      </c>
      <c r="L108" s="118" t="n">
        <f aca="false">L106*L107</f>
        <v>4320</v>
      </c>
      <c r="M108" s="118" t="n">
        <f aca="false">M106*M107</f>
        <v>4320</v>
      </c>
      <c r="N108" s="118" t="n">
        <f aca="false">N106*N107</f>
        <v>4320</v>
      </c>
      <c r="O108" s="118" t="n">
        <f aca="false">O106*O107</f>
        <v>4320</v>
      </c>
      <c r="P108" s="113" t="n">
        <f aca="false">SUM(D108:O108)</f>
        <v>51840</v>
      </c>
    </row>
    <row r="109" customFormat="false" ht="12.75" hidden="false" customHeight="false" outlineLevel="0" collapsed="false">
      <c r="B109" s="117"/>
      <c r="C109" s="112" t="str">
        <f aca="false">C103</f>
        <v>Precio unitario de compras:</v>
      </c>
      <c r="D109" s="85" t="n">
        <v>65</v>
      </c>
      <c r="E109" s="85" t="n">
        <v>65</v>
      </c>
      <c r="F109" s="85" t="n">
        <v>65</v>
      </c>
      <c r="G109" s="85" t="n">
        <v>65</v>
      </c>
      <c r="H109" s="85" t="n">
        <v>65</v>
      </c>
      <c r="I109" s="85" t="n">
        <v>65</v>
      </c>
      <c r="J109" s="85" t="n">
        <v>65</v>
      </c>
      <c r="K109" s="85" t="n">
        <v>65</v>
      </c>
      <c r="L109" s="85" t="n">
        <v>65</v>
      </c>
      <c r="M109" s="85" t="n">
        <v>65</v>
      </c>
      <c r="N109" s="85" t="n">
        <v>65</v>
      </c>
      <c r="O109" s="85" t="n">
        <v>65</v>
      </c>
      <c r="P109" s="120"/>
    </row>
    <row r="110" customFormat="false" ht="13.5" hidden="false" customHeight="false" outlineLevel="0" collapsed="false">
      <c r="B110" s="121"/>
      <c r="C110" s="122" t="str">
        <f aca="false">C104</f>
        <v>Otros costes directos imputables al producto/servicio</v>
      </c>
      <c r="D110" s="123"/>
      <c r="E110" s="123"/>
      <c r="F110" s="123"/>
      <c r="G110" s="123"/>
      <c r="H110" s="123"/>
      <c r="I110" s="123"/>
      <c r="J110" s="123"/>
      <c r="K110" s="123"/>
      <c r="L110" s="123"/>
      <c r="M110" s="123"/>
      <c r="N110" s="123"/>
      <c r="O110" s="123"/>
      <c r="P110" s="124" t="n">
        <f aca="false">SUM(D110:O110)</f>
        <v>0</v>
      </c>
    </row>
    <row r="111" customFormat="false" ht="13.5" hidden="false" customHeight="false" outlineLevel="0" collapsed="false">
      <c r="B111" s="107" t="str">
        <f aca="false">B48</f>
        <v>Pienso para cobayas 3 kg</v>
      </c>
      <c r="C111" s="132"/>
      <c r="D111" s="125"/>
      <c r="E111" s="126"/>
      <c r="F111" s="126"/>
      <c r="G111" s="126"/>
      <c r="H111" s="126"/>
      <c r="I111" s="126"/>
      <c r="J111" s="126"/>
      <c r="K111" s="126"/>
      <c r="L111" s="126"/>
      <c r="M111" s="126"/>
      <c r="N111" s="126"/>
      <c r="O111" s="126"/>
      <c r="P111" s="110"/>
    </row>
    <row r="112" customFormat="false" ht="12.75" hidden="false" customHeight="false" outlineLevel="0" collapsed="false">
      <c r="B112" s="111"/>
      <c r="C112" s="112" t="str">
        <f aca="false">C106</f>
        <v>Unidades a vender:</v>
      </c>
      <c r="D112" s="88" t="n">
        <v>98</v>
      </c>
      <c r="E112" s="88" t="n">
        <v>98</v>
      </c>
      <c r="F112" s="88" t="n">
        <v>98</v>
      </c>
      <c r="G112" s="88" t="n">
        <v>98</v>
      </c>
      <c r="H112" s="88" t="n">
        <v>98</v>
      </c>
      <c r="I112" s="88" t="n">
        <v>98</v>
      </c>
      <c r="J112" s="88" t="n">
        <v>98</v>
      </c>
      <c r="K112" s="88" t="n">
        <v>98</v>
      </c>
      <c r="L112" s="88" t="n">
        <v>98</v>
      </c>
      <c r="M112" s="88" t="n">
        <v>98</v>
      </c>
      <c r="N112" s="88" t="n">
        <v>98</v>
      </c>
      <c r="O112" s="88" t="n">
        <v>98</v>
      </c>
      <c r="P112" s="113" t="n">
        <f aca="false">SUM(D112:O112)</f>
        <v>1176</v>
      </c>
    </row>
    <row r="113" customFormat="false" ht="12.75" hidden="false" customHeight="false" outlineLevel="0" collapsed="false">
      <c r="B113" s="114"/>
      <c r="C113" s="112" t="str">
        <f aca="false">C107</f>
        <v>Precio unitario de venta:</v>
      </c>
      <c r="D113" s="85" t="n">
        <v>11</v>
      </c>
      <c r="E113" s="85" t="n">
        <v>11</v>
      </c>
      <c r="F113" s="85" t="n">
        <v>11</v>
      </c>
      <c r="G113" s="85" t="n">
        <v>11</v>
      </c>
      <c r="H113" s="85" t="n">
        <v>11</v>
      </c>
      <c r="I113" s="85" t="n">
        <v>11</v>
      </c>
      <c r="J113" s="85" t="n">
        <v>11</v>
      </c>
      <c r="K113" s="85" t="n">
        <v>11</v>
      </c>
      <c r="L113" s="85" t="n">
        <v>11</v>
      </c>
      <c r="M113" s="85" t="n">
        <v>11</v>
      </c>
      <c r="N113" s="85" t="n">
        <v>11</v>
      </c>
      <c r="O113" s="85" t="n">
        <v>11</v>
      </c>
      <c r="P113" s="116"/>
    </row>
    <row r="114" customFormat="false" ht="12.75" hidden="false" customHeight="false" outlineLevel="0" collapsed="false">
      <c r="B114" s="117"/>
      <c r="C114" s="112" t="str">
        <f aca="false">C108</f>
        <v>Ingresos previstos por ventas:</v>
      </c>
      <c r="D114" s="118" t="n">
        <f aca="false">D112*D113</f>
        <v>1078</v>
      </c>
      <c r="E114" s="118" t="n">
        <f aca="false">E112*E113</f>
        <v>1078</v>
      </c>
      <c r="F114" s="118" t="n">
        <f aca="false">F112*F113</f>
        <v>1078</v>
      </c>
      <c r="G114" s="118" t="n">
        <f aca="false">G112*G113</f>
        <v>1078</v>
      </c>
      <c r="H114" s="118" t="n">
        <f aca="false">H112*H113</f>
        <v>1078</v>
      </c>
      <c r="I114" s="118" t="n">
        <f aca="false">I112*I113</f>
        <v>1078</v>
      </c>
      <c r="J114" s="118" t="n">
        <f aca="false">J112*J113</f>
        <v>1078</v>
      </c>
      <c r="K114" s="118" t="n">
        <f aca="false">K112*K113</f>
        <v>1078</v>
      </c>
      <c r="L114" s="118" t="n">
        <f aca="false">L112*L113</f>
        <v>1078</v>
      </c>
      <c r="M114" s="118" t="n">
        <f aca="false">M112*M113</f>
        <v>1078</v>
      </c>
      <c r="N114" s="118" t="n">
        <f aca="false">N112*N113</f>
        <v>1078</v>
      </c>
      <c r="O114" s="118" t="n">
        <f aca="false">O112*O113</f>
        <v>1078</v>
      </c>
      <c r="P114" s="113" t="n">
        <f aca="false">SUM(D114:O114)</f>
        <v>12936</v>
      </c>
    </row>
    <row r="115" customFormat="false" ht="12.75" hidden="false" customHeight="false" outlineLevel="0" collapsed="false">
      <c r="B115" s="117"/>
      <c r="C115" s="112" t="str">
        <f aca="false">C109</f>
        <v>Precio unitario de compras:</v>
      </c>
      <c r="D115" s="85" t="n">
        <v>8</v>
      </c>
      <c r="E115" s="85" t="n">
        <v>8</v>
      </c>
      <c r="F115" s="85" t="n">
        <v>8</v>
      </c>
      <c r="G115" s="85" t="n">
        <v>8</v>
      </c>
      <c r="H115" s="85" t="n">
        <v>8</v>
      </c>
      <c r="I115" s="85" t="n">
        <v>8</v>
      </c>
      <c r="J115" s="85" t="n">
        <v>8</v>
      </c>
      <c r="K115" s="85" t="n">
        <v>8</v>
      </c>
      <c r="L115" s="85" t="n">
        <v>8</v>
      </c>
      <c r="M115" s="85" t="n">
        <v>8</v>
      </c>
      <c r="N115" s="85" t="n">
        <v>8</v>
      </c>
      <c r="O115" s="85" t="n">
        <v>8</v>
      </c>
      <c r="P115" s="120"/>
    </row>
    <row r="116" customFormat="false" ht="13.5" hidden="false" customHeight="false" outlineLevel="0" collapsed="false">
      <c r="B116" s="121"/>
      <c r="C116" s="122" t="str">
        <f aca="false">C110</f>
        <v>Otros costes directos imputables al producto/servicio</v>
      </c>
      <c r="D116" s="123"/>
      <c r="E116" s="123"/>
      <c r="F116" s="123"/>
      <c r="G116" s="123"/>
      <c r="H116" s="123"/>
      <c r="I116" s="123"/>
      <c r="J116" s="123"/>
      <c r="K116" s="123"/>
      <c r="L116" s="123"/>
      <c r="M116" s="123"/>
      <c r="N116" s="123"/>
      <c r="O116" s="123"/>
      <c r="P116" s="124" t="n">
        <f aca="false">SUM(D116:O116)</f>
        <v>0</v>
      </c>
    </row>
    <row r="117" customFormat="false" ht="13.5" hidden="false" customHeight="false" outlineLevel="0" collapsed="false">
      <c r="B117" s="107" t="str">
        <f aca="false">B54</f>
        <v>Pienso para conejo adulto 1,75 kg</v>
      </c>
      <c r="C117" s="132"/>
      <c r="D117" s="125"/>
      <c r="E117" s="126"/>
      <c r="F117" s="126"/>
      <c r="G117" s="126"/>
      <c r="H117" s="126"/>
      <c r="I117" s="126"/>
      <c r="J117" s="126"/>
      <c r="K117" s="126"/>
      <c r="L117" s="126"/>
      <c r="M117" s="126"/>
      <c r="N117" s="126"/>
      <c r="O117" s="126"/>
      <c r="P117" s="110"/>
      <c r="S117" s="127"/>
    </row>
    <row r="118" customFormat="false" ht="12.75" hidden="false" customHeight="false" outlineLevel="0" collapsed="false">
      <c r="B118" s="111"/>
      <c r="C118" s="112" t="str">
        <f aca="false">C112</f>
        <v>Unidades a vender:</v>
      </c>
      <c r="D118" s="88" t="n">
        <v>53</v>
      </c>
      <c r="E118" s="88" t="n">
        <v>53</v>
      </c>
      <c r="F118" s="88" t="n">
        <v>53</v>
      </c>
      <c r="G118" s="88" t="n">
        <v>53</v>
      </c>
      <c r="H118" s="88" t="n">
        <v>53</v>
      </c>
      <c r="I118" s="88" t="n">
        <v>53</v>
      </c>
      <c r="J118" s="88" t="n">
        <v>53</v>
      </c>
      <c r="K118" s="88" t="n">
        <v>53</v>
      </c>
      <c r="L118" s="88" t="n">
        <v>53</v>
      </c>
      <c r="M118" s="88" t="n">
        <v>53</v>
      </c>
      <c r="N118" s="88" t="n">
        <v>53</v>
      </c>
      <c r="O118" s="88" t="n">
        <v>53</v>
      </c>
      <c r="P118" s="113" t="n">
        <f aca="false">SUM(D118:O118)</f>
        <v>636</v>
      </c>
    </row>
    <row r="119" customFormat="false" ht="12.75" hidden="false" customHeight="false" outlineLevel="0" collapsed="false">
      <c r="B119" s="114"/>
      <c r="C119" s="112" t="str">
        <f aca="false">C113</f>
        <v>Precio unitario de venta:</v>
      </c>
      <c r="D119" s="85" t="n">
        <v>20</v>
      </c>
      <c r="E119" s="85" t="n">
        <v>20</v>
      </c>
      <c r="F119" s="85" t="n">
        <v>20</v>
      </c>
      <c r="G119" s="85" t="n">
        <v>20</v>
      </c>
      <c r="H119" s="85" t="n">
        <v>20</v>
      </c>
      <c r="I119" s="85" t="n">
        <v>20</v>
      </c>
      <c r="J119" s="85" t="n">
        <v>20</v>
      </c>
      <c r="K119" s="85" t="n">
        <v>20</v>
      </c>
      <c r="L119" s="85" t="n">
        <v>20</v>
      </c>
      <c r="M119" s="85" t="n">
        <v>20</v>
      </c>
      <c r="N119" s="85" t="n">
        <v>20</v>
      </c>
      <c r="O119" s="85" t="n">
        <v>20</v>
      </c>
      <c r="P119" s="116"/>
    </row>
    <row r="120" customFormat="false" ht="12.75" hidden="false" customHeight="false" outlineLevel="0" collapsed="false">
      <c r="B120" s="117"/>
      <c r="C120" s="112" t="str">
        <f aca="false">C114</f>
        <v>Ingresos previstos por ventas:</v>
      </c>
      <c r="D120" s="118" t="n">
        <f aca="false">D118*D119</f>
        <v>1060</v>
      </c>
      <c r="E120" s="118" t="n">
        <f aca="false">E118*E119</f>
        <v>1060</v>
      </c>
      <c r="F120" s="118" t="n">
        <f aca="false">F118*F119</f>
        <v>1060</v>
      </c>
      <c r="G120" s="118" t="n">
        <f aca="false">G118*G119</f>
        <v>1060</v>
      </c>
      <c r="H120" s="118" t="n">
        <f aca="false">H118*H119</f>
        <v>1060</v>
      </c>
      <c r="I120" s="118" t="n">
        <f aca="false">I118*I119</f>
        <v>1060</v>
      </c>
      <c r="J120" s="118" t="n">
        <f aca="false">J118*J119</f>
        <v>1060</v>
      </c>
      <c r="K120" s="118" t="n">
        <f aca="false">K118*K119</f>
        <v>1060</v>
      </c>
      <c r="L120" s="118" t="n">
        <f aca="false">L118*L119</f>
        <v>1060</v>
      </c>
      <c r="M120" s="118" t="n">
        <f aca="false">M118*M119</f>
        <v>1060</v>
      </c>
      <c r="N120" s="118" t="n">
        <f aca="false">N118*N119</f>
        <v>1060</v>
      </c>
      <c r="O120" s="118" t="n">
        <f aca="false">O118*O119</f>
        <v>1060</v>
      </c>
      <c r="P120" s="113" t="n">
        <f aca="false">SUM(D120:O120)</f>
        <v>12720</v>
      </c>
    </row>
    <row r="121" customFormat="false" ht="12.75" hidden="false" customHeight="false" outlineLevel="0" collapsed="false">
      <c r="B121" s="117"/>
      <c r="C121" s="112" t="str">
        <f aca="false">C115</f>
        <v>Precio unitario de compras:</v>
      </c>
      <c r="D121" s="85" t="n">
        <v>14</v>
      </c>
      <c r="E121" s="85" t="n">
        <v>14</v>
      </c>
      <c r="F121" s="85" t="n">
        <v>14</v>
      </c>
      <c r="G121" s="85" t="n">
        <v>14</v>
      </c>
      <c r="H121" s="85" t="n">
        <v>14</v>
      </c>
      <c r="I121" s="85" t="n">
        <v>14</v>
      </c>
      <c r="J121" s="85" t="n">
        <v>14</v>
      </c>
      <c r="K121" s="85" t="n">
        <v>14</v>
      </c>
      <c r="L121" s="85" t="n">
        <v>14</v>
      </c>
      <c r="M121" s="85" t="n">
        <v>14</v>
      </c>
      <c r="N121" s="85" t="n">
        <v>14</v>
      </c>
      <c r="O121" s="85" t="n">
        <v>14</v>
      </c>
      <c r="P121" s="120"/>
    </row>
    <row r="122" customFormat="false" ht="13.5" hidden="false" customHeight="false" outlineLevel="0" collapsed="false">
      <c r="B122" s="121"/>
      <c r="C122" s="122" t="str">
        <f aca="false">C116</f>
        <v>Otros costes directos imputables al producto/servicio</v>
      </c>
      <c r="D122" s="123"/>
      <c r="E122" s="123"/>
      <c r="F122" s="123"/>
      <c r="G122" s="123"/>
      <c r="H122" s="123"/>
      <c r="I122" s="123"/>
      <c r="J122" s="123"/>
      <c r="K122" s="123"/>
      <c r="L122" s="123"/>
      <c r="M122" s="123"/>
      <c r="N122" s="123"/>
      <c r="O122" s="123"/>
      <c r="P122" s="124" t="n">
        <f aca="false">SUM(D122:O122)</f>
        <v>0</v>
      </c>
    </row>
    <row r="123" customFormat="false" ht="13.5" hidden="false" customHeight="false" outlineLevel="0" collapsed="false">
      <c r="B123" s="107" t="str">
        <f aca="false">B60</f>
        <v>Pienso para hamsters 1 kg</v>
      </c>
      <c r="C123" s="132"/>
      <c r="D123" s="125"/>
      <c r="E123" s="126"/>
      <c r="F123" s="126"/>
      <c r="G123" s="126"/>
      <c r="H123" s="126"/>
      <c r="I123" s="126"/>
      <c r="J123" s="126"/>
      <c r="K123" s="126"/>
      <c r="L123" s="126"/>
      <c r="M123" s="126"/>
      <c r="N123" s="126"/>
      <c r="O123" s="126"/>
      <c r="P123" s="110"/>
      <c r="S123" s="127"/>
    </row>
    <row r="124" customFormat="false" ht="12.75" hidden="false" customHeight="false" outlineLevel="0" collapsed="false">
      <c r="B124" s="111"/>
      <c r="C124" s="112" t="str">
        <f aca="false">C118</f>
        <v>Unidades a vender:</v>
      </c>
      <c r="D124" s="88" t="n">
        <v>68</v>
      </c>
      <c r="E124" s="88" t="n">
        <v>68</v>
      </c>
      <c r="F124" s="88" t="n">
        <v>68</v>
      </c>
      <c r="G124" s="88" t="n">
        <v>68</v>
      </c>
      <c r="H124" s="88" t="n">
        <v>68</v>
      </c>
      <c r="I124" s="88" t="n">
        <v>68</v>
      </c>
      <c r="J124" s="88" t="n">
        <v>68</v>
      </c>
      <c r="K124" s="88" t="n">
        <v>68</v>
      </c>
      <c r="L124" s="88" t="n">
        <v>68</v>
      </c>
      <c r="M124" s="88" t="n">
        <v>68</v>
      </c>
      <c r="N124" s="88" t="n">
        <v>68</v>
      </c>
      <c r="O124" s="88" t="n">
        <v>68</v>
      </c>
      <c r="P124" s="113" t="n">
        <f aca="false">SUM(D124:O124)</f>
        <v>816</v>
      </c>
    </row>
    <row r="125" customFormat="false" ht="12.75" hidden="false" customHeight="false" outlineLevel="0" collapsed="false">
      <c r="B125" s="114"/>
      <c r="C125" s="112" t="str">
        <f aca="false">C119</f>
        <v>Precio unitario de venta:</v>
      </c>
      <c r="D125" s="85" t="n">
        <v>20</v>
      </c>
      <c r="E125" s="85" t="n">
        <v>20</v>
      </c>
      <c r="F125" s="85" t="n">
        <v>20</v>
      </c>
      <c r="G125" s="85" t="n">
        <v>20</v>
      </c>
      <c r="H125" s="85" t="n">
        <v>20</v>
      </c>
      <c r="I125" s="85" t="n">
        <v>20</v>
      </c>
      <c r="J125" s="85" t="n">
        <v>20</v>
      </c>
      <c r="K125" s="85" t="n">
        <v>20</v>
      </c>
      <c r="L125" s="85" t="n">
        <v>20</v>
      </c>
      <c r="M125" s="85" t="n">
        <v>20</v>
      </c>
      <c r="N125" s="85" t="n">
        <v>20</v>
      </c>
      <c r="O125" s="85" t="n">
        <v>20</v>
      </c>
      <c r="P125" s="116"/>
    </row>
    <row r="126" customFormat="false" ht="12.75" hidden="false" customHeight="false" outlineLevel="0" collapsed="false">
      <c r="B126" s="117"/>
      <c r="C126" s="112" t="str">
        <f aca="false">C120</f>
        <v>Ingresos previstos por ventas:</v>
      </c>
      <c r="D126" s="118" t="n">
        <f aca="false">D124*D125</f>
        <v>1360</v>
      </c>
      <c r="E126" s="118" t="n">
        <f aca="false">E124*E125</f>
        <v>1360</v>
      </c>
      <c r="F126" s="118" t="n">
        <f aca="false">F124*F125</f>
        <v>1360</v>
      </c>
      <c r="G126" s="118" t="n">
        <f aca="false">G124*G125</f>
        <v>1360</v>
      </c>
      <c r="H126" s="118" t="n">
        <f aca="false">H124*H125</f>
        <v>1360</v>
      </c>
      <c r="I126" s="118" t="n">
        <f aca="false">I124*I125</f>
        <v>1360</v>
      </c>
      <c r="J126" s="118" t="n">
        <f aca="false">J124*J125</f>
        <v>1360</v>
      </c>
      <c r="K126" s="118" t="n">
        <f aca="false">K124*K125</f>
        <v>1360</v>
      </c>
      <c r="L126" s="118" t="n">
        <f aca="false">L124*L125</f>
        <v>1360</v>
      </c>
      <c r="M126" s="118" t="n">
        <f aca="false">M124*M125</f>
        <v>1360</v>
      </c>
      <c r="N126" s="118" t="n">
        <f aca="false">N124*N125</f>
        <v>1360</v>
      </c>
      <c r="O126" s="118" t="n">
        <f aca="false">O124*O125</f>
        <v>1360</v>
      </c>
      <c r="P126" s="113" t="n">
        <f aca="false">SUM(D126:O126)</f>
        <v>16320</v>
      </c>
    </row>
    <row r="127" customFormat="false" ht="12.75" hidden="false" customHeight="false" outlineLevel="0" collapsed="false">
      <c r="B127" s="117"/>
      <c r="C127" s="112" t="str">
        <f aca="false">C121</f>
        <v>Precio unitario de compras:</v>
      </c>
      <c r="D127" s="85" t="n">
        <v>14</v>
      </c>
      <c r="E127" s="85" t="n">
        <v>14</v>
      </c>
      <c r="F127" s="85" t="n">
        <v>14</v>
      </c>
      <c r="G127" s="85" t="n">
        <v>14</v>
      </c>
      <c r="H127" s="85" t="n">
        <v>14</v>
      </c>
      <c r="I127" s="85" t="n">
        <v>14</v>
      </c>
      <c r="J127" s="85" t="n">
        <v>14</v>
      </c>
      <c r="K127" s="85" t="n">
        <v>14</v>
      </c>
      <c r="L127" s="85" t="n">
        <v>14</v>
      </c>
      <c r="M127" s="85" t="n">
        <v>14</v>
      </c>
      <c r="N127" s="85" t="n">
        <v>14</v>
      </c>
      <c r="O127" s="85" t="n">
        <v>14</v>
      </c>
      <c r="P127" s="120"/>
    </row>
    <row r="128" customFormat="false" ht="13.5" hidden="false" customHeight="false" outlineLevel="0" collapsed="false">
      <c r="B128" s="121"/>
      <c r="C128" s="122" t="str">
        <f aca="false">C122</f>
        <v>Otros costes directos imputables al producto/servicio</v>
      </c>
      <c r="D128" s="123"/>
      <c r="E128" s="123"/>
      <c r="F128" s="123"/>
      <c r="G128" s="123"/>
      <c r="H128" s="123"/>
      <c r="I128" s="123"/>
      <c r="J128" s="123"/>
      <c r="K128" s="123"/>
      <c r="L128" s="123"/>
      <c r="M128" s="123"/>
      <c r="N128" s="123"/>
      <c r="O128" s="123"/>
      <c r="P128" s="124" t="n">
        <f aca="false">SUM(D128:O128)</f>
        <v>0</v>
      </c>
    </row>
    <row r="129" customFormat="false" ht="13.5" hidden="false" customHeight="false" outlineLevel="0" collapsed="false">
      <c r="B129" s="107" t="str">
        <f aca="false">B66</f>
        <v>Pienso natural para perro 3 kg</v>
      </c>
      <c r="C129" s="132"/>
      <c r="D129" s="125"/>
      <c r="E129" s="126"/>
      <c r="F129" s="126"/>
      <c r="G129" s="126"/>
      <c r="H129" s="126"/>
      <c r="I129" s="126"/>
      <c r="J129" s="126"/>
      <c r="K129" s="126"/>
      <c r="L129" s="126"/>
      <c r="M129" s="126"/>
      <c r="N129" s="126"/>
      <c r="O129" s="126"/>
      <c r="P129" s="110"/>
      <c r="S129" s="127"/>
    </row>
    <row r="130" customFormat="false" ht="12.75" hidden="false" customHeight="false" outlineLevel="0" collapsed="false">
      <c r="B130" s="111"/>
      <c r="C130" s="112" t="str">
        <f aca="false">C124</f>
        <v>Unidades a vender:</v>
      </c>
      <c r="D130" s="88" t="n">
        <v>83</v>
      </c>
      <c r="E130" s="88" t="n">
        <v>83</v>
      </c>
      <c r="F130" s="88" t="n">
        <v>83</v>
      </c>
      <c r="G130" s="88" t="n">
        <v>83</v>
      </c>
      <c r="H130" s="88" t="n">
        <v>83</v>
      </c>
      <c r="I130" s="88" t="n">
        <v>83</v>
      </c>
      <c r="J130" s="88" t="n">
        <v>83</v>
      </c>
      <c r="K130" s="88" t="n">
        <v>83</v>
      </c>
      <c r="L130" s="88" t="n">
        <v>83</v>
      </c>
      <c r="M130" s="88" t="n">
        <v>83</v>
      </c>
      <c r="N130" s="88" t="n">
        <v>83</v>
      </c>
      <c r="O130" s="88" t="n">
        <v>83</v>
      </c>
      <c r="P130" s="113" t="n">
        <f aca="false">SUM(D130:O130)</f>
        <v>996</v>
      </c>
    </row>
    <row r="131" customFormat="false" ht="12.75" hidden="false" customHeight="false" outlineLevel="0" collapsed="false">
      <c r="B131" s="114"/>
      <c r="C131" s="112" t="str">
        <f aca="false">C125</f>
        <v>Precio unitario de venta:</v>
      </c>
      <c r="D131" s="85" t="n">
        <v>13</v>
      </c>
      <c r="E131" s="85" t="n">
        <v>13</v>
      </c>
      <c r="F131" s="85" t="n">
        <v>13</v>
      </c>
      <c r="G131" s="85" t="n">
        <v>13</v>
      </c>
      <c r="H131" s="85" t="n">
        <v>13</v>
      </c>
      <c r="I131" s="85" t="n">
        <v>13</v>
      </c>
      <c r="J131" s="85" t="n">
        <v>13</v>
      </c>
      <c r="K131" s="85" t="n">
        <v>13</v>
      </c>
      <c r="L131" s="85" t="n">
        <v>13</v>
      </c>
      <c r="M131" s="85" t="n">
        <v>13</v>
      </c>
      <c r="N131" s="85" t="n">
        <v>13</v>
      </c>
      <c r="O131" s="85" t="n">
        <v>13</v>
      </c>
      <c r="P131" s="116"/>
    </row>
    <row r="132" customFormat="false" ht="12.75" hidden="false" customHeight="false" outlineLevel="0" collapsed="false">
      <c r="B132" s="117"/>
      <c r="C132" s="112" t="str">
        <f aca="false">C126</f>
        <v>Ingresos previstos por ventas:</v>
      </c>
      <c r="D132" s="118" t="n">
        <f aca="false">D130*D131</f>
        <v>1079</v>
      </c>
      <c r="E132" s="118" t="n">
        <f aca="false">E130*E131</f>
        <v>1079</v>
      </c>
      <c r="F132" s="118" t="n">
        <f aca="false">F130*F131</f>
        <v>1079</v>
      </c>
      <c r="G132" s="118" t="n">
        <f aca="false">G130*G131</f>
        <v>1079</v>
      </c>
      <c r="H132" s="118" t="n">
        <f aca="false">H130*H131</f>
        <v>1079</v>
      </c>
      <c r="I132" s="118" t="n">
        <f aca="false">I130*I131</f>
        <v>1079</v>
      </c>
      <c r="J132" s="118" t="n">
        <f aca="false">J130*J131</f>
        <v>1079</v>
      </c>
      <c r="K132" s="118" t="n">
        <f aca="false">K130*K131</f>
        <v>1079</v>
      </c>
      <c r="L132" s="118" t="n">
        <f aca="false">L130*L131</f>
        <v>1079</v>
      </c>
      <c r="M132" s="118" t="n">
        <f aca="false">M130*M131</f>
        <v>1079</v>
      </c>
      <c r="N132" s="118" t="n">
        <f aca="false">N130*N131</f>
        <v>1079</v>
      </c>
      <c r="O132" s="118" t="n">
        <f aca="false">O130*O131</f>
        <v>1079</v>
      </c>
      <c r="P132" s="113" t="n">
        <f aca="false">SUM(D132:O132)</f>
        <v>12948</v>
      </c>
    </row>
    <row r="133" customFormat="false" ht="12.75" hidden="false" customHeight="false" outlineLevel="0" collapsed="false">
      <c r="B133" s="117"/>
      <c r="C133" s="112" t="str">
        <f aca="false">C127</f>
        <v>Precio unitario de compras:</v>
      </c>
      <c r="D133" s="85" t="n">
        <v>9</v>
      </c>
      <c r="E133" s="85" t="n">
        <v>9</v>
      </c>
      <c r="F133" s="85" t="n">
        <v>9</v>
      </c>
      <c r="G133" s="85" t="n">
        <v>9</v>
      </c>
      <c r="H133" s="85" t="n">
        <v>9</v>
      </c>
      <c r="I133" s="85" t="n">
        <v>9</v>
      </c>
      <c r="J133" s="85" t="n">
        <v>9</v>
      </c>
      <c r="K133" s="85" t="n">
        <v>9</v>
      </c>
      <c r="L133" s="85" t="n">
        <v>9</v>
      </c>
      <c r="M133" s="85" t="n">
        <v>9</v>
      </c>
      <c r="N133" s="85" t="n">
        <v>9</v>
      </c>
      <c r="O133" s="85" t="n">
        <v>9</v>
      </c>
      <c r="P133" s="120"/>
    </row>
    <row r="134" customFormat="false" ht="13.5" hidden="false" customHeight="false" outlineLevel="0" collapsed="false">
      <c r="B134" s="121"/>
      <c r="C134" s="122" t="str">
        <f aca="false">C128</f>
        <v>Otros costes directos imputables al producto/servicio</v>
      </c>
      <c r="D134" s="123"/>
      <c r="E134" s="123"/>
      <c r="F134" s="123"/>
      <c r="G134" s="123"/>
      <c r="H134" s="123"/>
      <c r="I134" s="123"/>
      <c r="J134" s="123"/>
      <c r="K134" s="123"/>
      <c r="L134" s="123"/>
      <c r="M134" s="123"/>
      <c r="N134" s="123"/>
      <c r="O134" s="123"/>
      <c r="P134" s="124" t="n">
        <f aca="false">SUM(D134:O134)</f>
        <v>0</v>
      </c>
    </row>
    <row r="135" customFormat="false" ht="13.5" hidden="false" customHeight="false" outlineLevel="0" collapsed="false">
      <c r="B135" s="107" t="str">
        <f aca="false">B72</f>
        <v>Pienso natural para cachorros 6 kg</v>
      </c>
      <c r="C135" s="132"/>
      <c r="D135" s="125"/>
      <c r="E135" s="126"/>
      <c r="F135" s="126"/>
      <c r="G135" s="126"/>
      <c r="H135" s="126"/>
      <c r="I135" s="126"/>
      <c r="J135" s="126"/>
      <c r="K135" s="126"/>
      <c r="L135" s="126"/>
      <c r="M135" s="126"/>
      <c r="N135" s="126"/>
      <c r="O135" s="126"/>
      <c r="P135" s="110"/>
      <c r="S135" s="127"/>
    </row>
    <row r="136" customFormat="false" ht="12.75" hidden="false" customHeight="false" outlineLevel="0" collapsed="false">
      <c r="B136" s="111"/>
      <c r="C136" s="112" t="str">
        <f aca="false">C130</f>
        <v>Unidades a vender:</v>
      </c>
      <c r="D136" s="88" t="n">
        <v>73</v>
      </c>
      <c r="E136" s="88" t="n">
        <v>73</v>
      </c>
      <c r="F136" s="88" t="n">
        <v>73</v>
      </c>
      <c r="G136" s="88" t="n">
        <v>73</v>
      </c>
      <c r="H136" s="88" t="n">
        <v>73</v>
      </c>
      <c r="I136" s="88" t="n">
        <v>73</v>
      </c>
      <c r="J136" s="88" t="n">
        <v>73</v>
      </c>
      <c r="K136" s="88" t="n">
        <v>73</v>
      </c>
      <c r="L136" s="88" t="n">
        <v>73</v>
      </c>
      <c r="M136" s="88" t="n">
        <v>73</v>
      </c>
      <c r="N136" s="88" t="n">
        <v>73</v>
      </c>
      <c r="O136" s="88" t="n">
        <v>73</v>
      </c>
      <c r="P136" s="113" t="n">
        <f aca="false">SUM(D136:O136)</f>
        <v>876</v>
      </c>
    </row>
    <row r="137" customFormat="false" ht="12.75" hidden="false" customHeight="false" outlineLevel="0" collapsed="false">
      <c r="B137" s="114"/>
      <c r="C137" s="112" t="str">
        <f aca="false">C131</f>
        <v>Precio unitario de venta:</v>
      </c>
      <c r="D137" s="85" t="n">
        <v>40</v>
      </c>
      <c r="E137" s="85" t="n">
        <v>40</v>
      </c>
      <c r="F137" s="85" t="n">
        <v>40</v>
      </c>
      <c r="G137" s="85" t="n">
        <v>40</v>
      </c>
      <c r="H137" s="85" t="n">
        <v>40</v>
      </c>
      <c r="I137" s="85" t="n">
        <v>40</v>
      </c>
      <c r="J137" s="85" t="n">
        <v>40</v>
      </c>
      <c r="K137" s="85" t="n">
        <v>40</v>
      </c>
      <c r="L137" s="85" t="n">
        <v>40</v>
      </c>
      <c r="M137" s="85" t="n">
        <v>40</v>
      </c>
      <c r="N137" s="85" t="n">
        <v>40</v>
      </c>
      <c r="O137" s="85" t="n">
        <v>40</v>
      </c>
      <c r="P137" s="116"/>
    </row>
    <row r="138" customFormat="false" ht="12.75" hidden="false" customHeight="false" outlineLevel="0" collapsed="false">
      <c r="B138" s="117"/>
      <c r="C138" s="112" t="str">
        <f aca="false">C132</f>
        <v>Ingresos previstos por ventas:</v>
      </c>
      <c r="D138" s="118" t="n">
        <f aca="false">D136*D137</f>
        <v>2920</v>
      </c>
      <c r="E138" s="118" t="n">
        <f aca="false">E136*E137</f>
        <v>2920</v>
      </c>
      <c r="F138" s="118" t="n">
        <f aca="false">F136*F137</f>
        <v>2920</v>
      </c>
      <c r="G138" s="118" t="n">
        <f aca="false">G136*G137</f>
        <v>2920</v>
      </c>
      <c r="H138" s="118" t="n">
        <f aca="false">H136*H137</f>
        <v>2920</v>
      </c>
      <c r="I138" s="118" t="n">
        <f aca="false">I136*I137</f>
        <v>2920</v>
      </c>
      <c r="J138" s="118" t="n">
        <f aca="false">J136*J137</f>
        <v>2920</v>
      </c>
      <c r="K138" s="118" t="n">
        <f aca="false">K136*K137</f>
        <v>2920</v>
      </c>
      <c r="L138" s="118" t="n">
        <f aca="false">L136*L137</f>
        <v>2920</v>
      </c>
      <c r="M138" s="118" t="n">
        <f aca="false">M136*M137</f>
        <v>2920</v>
      </c>
      <c r="N138" s="118" t="n">
        <f aca="false">N136*N137</f>
        <v>2920</v>
      </c>
      <c r="O138" s="118" t="n">
        <f aca="false">O136*O137</f>
        <v>2920</v>
      </c>
      <c r="P138" s="113" t="n">
        <f aca="false">SUM(D138:O138)</f>
        <v>35040</v>
      </c>
    </row>
    <row r="139" customFormat="false" ht="12.75" hidden="false" customHeight="false" outlineLevel="0" collapsed="false">
      <c r="B139" s="117"/>
      <c r="C139" s="112" t="str">
        <f aca="false">C133</f>
        <v>Precio unitario de compras:</v>
      </c>
      <c r="D139" s="85" t="n">
        <v>28</v>
      </c>
      <c r="E139" s="85" t="n">
        <v>28</v>
      </c>
      <c r="F139" s="85" t="n">
        <v>28</v>
      </c>
      <c r="G139" s="85" t="n">
        <v>28</v>
      </c>
      <c r="H139" s="85" t="n">
        <v>28</v>
      </c>
      <c r="I139" s="85" t="n">
        <v>28</v>
      </c>
      <c r="J139" s="85" t="n">
        <v>28</v>
      </c>
      <c r="K139" s="85" t="n">
        <v>28</v>
      </c>
      <c r="L139" s="85" t="n">
        <v>28</v>
      </c>
      <c r="M139" s="85" t="n">
        <v>28</v>
      </c>
      <c r="N139" s="85" t="n">
        <v>28</v>
      </c>
      <c r="O139" s="85" t="n">
        <v>28</v>
      </c>
      <c r="P139" s="120"/>
    </row>
    <row r="140" customFormat="false" ht="13.5" hidden="false" customHeight="false" outlineLevel="0" collapsed="false">
      <c r="B140" s="121"/>
      <c r="C140" s="122" t="str">
        <f aca="false">C134</f>
        <v>Otros costes directos imputables al producto/servicio</v>
      </c>
      <c r="D140" s="123"/>
      <c r="E140" s="123"/>
      <c r="F140" s="123"/>
      <c r="G140" s="123"/>
      <c r="H140" s="123"/>
      <c r="I140" s="123"/>
      <c r="J140" s="123"/>
      <c r="K140" s="123"/>
      <c r="L140" s="123"/>
      <c r="M140" s="123"/>
      <c r="N140" s="123"/>
      <c r="O140" s="123"/>
      <c r="P140" s="124" t="n">
        <f aca="false">SUM(D140:O140)</f>
        <v>0</v>
      </c>
    </row>
    <row r="141" customFormat="false" ht="13.5" hidden="false" customHeight="false" outlineLevel="0" collapsed="false">
      <c r="B141" s="107" t="str">
        <f aca="false">B78</f>
        <v>Menú natural semihúmedo perro</v>
      </c>
      <c r="C141" s="132"/>
      <c r="D141" s="125"/>
      <c r="E141" s="126"/>
      <c r="F141" s="126"/>
      <c r="G141" s="126"/>
      <c r="H141" s="126"/>
      <c r="I141" s="126"/>
      <c r="J141" s="126"/>
      <c r="K141" s="126"/>
      <c r="L141" s="126"/>
      <c r="M141" s="126"/>
      <c r="N141" s="126"/>
      <c r="O141" s="126"/>
      <c r="P141" s="110"/>
      <c r="S141" s="127"/>
    </row>
    <row r="142" customFormat="false" ht="12.75" hidden="false" customHeight="false" outlineLevel="0" collapsed="false">
      <c r="B142" s="111"/>
      <c r="C142" s="112" t="str">
        <f aca="false">C136</f>
        <v>Unidades a vender:</v>
      </c>
      <c r="D142" s="88" t="n">
        <v>118</v>
      </c>
      <c r="E142" s="88" t="n">
        <v>118</v>
      </c>
      <c r="F142" s="88" t="n">
        <v>118</v>
      </c>
      <c r="G142" s="88" t="n">
        <v>118</v>
      </c>
      <c r="H142" s="88" t="n">
        <v>118</v>
      </c>
      <c r="I142" s="88" t="n">
        <v>118</v>
      </c>
      <c r="J142" s="88" t="n">
        <v>118</v>
      </c>
      <c r="K142" s="88" t="n">
        <v>118</v>
      </c>
      <c r="L142" s="88" t="n">
        <v>118</v>
      </c>
      <c r="M142" s="88" t="n">
        <v>118</v>
      </c>
      <c r="N142" s="88" t="n">
        <v>118</v>
      </c>
      <c r="O142" s="88" t="n">
        <v>118</v>
      </c>
      <c r="P142" s="113" t="n">
        <f aca="false">SUM(D142:O142)</f>
        <v>1416</v>
      </c>
    </row>
    <row r="143" customFormat="false" ht="12.75" hidden="false" customHeight="false" outlineLevel="0" collapsed="false">
      <c r="B143" s="114"/>
      <c r="C143" s="112" t="str">
        <f aca="false">C137</f>
        <v>Precio unitario de venta:</v>
      </c>
      <c r="D143" s="85" t="n">
        <v>13</v>
      </c>
      <c r="E143" s="85" t="n">
        <v>13</v>
      </c>
      <c r="F143" s="85" t="n">
        <v>13</v>
      </c>
      <c r="G143" s="85" t="n">
        <v>13</v>
      </c>
      <c r="H143" s="85" t="n">
        <v>13</v>
      </c>
      <c r="I143" s="85" t="n">
        <v>13</v>
      </c>
      <c r="J143" s="85" t="n">
        <v>13</v>
      </c>
      <c r="K143" s="85" t="n">
        <v>13</v>
      </c>
      <c r="L143" s="85" t="n">
        <v>13</v>
      </c>
      <c r="M143" s="85" t="n">
        <v>13</v>
      </c>
      <c r="N143" s="85" t="n">
        <v>13</v>
      </c>
      <c r="O143" s="85" t="n">
        <v>13</v>
      </c>
      <c r="P143" s="116"/>
    </row>
    <row r="144" customFormat="false" ht="12.75" hidden="false" customHeight="false" outlineLevel="0" collapsed="false">
      <c r="B144" s="117"/>
      <c r="C144" s="112" t="str">
        <f aca="false">C138</f>
        <v>Ingresos previstos por ventas:</v>
      </c>
      <c r="D144" s="118" t="n">
        <f aca="false">D142*D143</f>
        <v>1534</v>
      </c>
      <c r="E144" s="118" t="n">
        <f aca="false">E142*E143</f>
        <v>1534</v>
      </c>
      <c r="F144" s="118" t="n">
        <f aca="false">F142*F143</f>
        <v>1534</v>
      </c>
      <c r="G144" s="118" t="n">
        <f aca="false">G142*G143</f>
        <v>1534</v>
      </c>
      <c r="H144" s="118" t="n">
        <f aca="false">H142*H143</f>
        <v>1534</v>
      </c>
      <c r="I144" s="118" t="n">
        <f aca="false">I142*I143</f>
        <v>1534</v>
      </c>
      <c r="J144" s="118" t="n">
        <f aca="false">J142*J143</f>
        <v>1534</v>
      </c>
      <c r="K144" s="118" t="n">
        <f aca="false">K142*K143</f>
        <v>1534</v>
      </c>
      <c r="L144" s="118" t="n">
        <f aca="false">L142*L143</f>
        <v>1534</v>
      </c>
      <c r="M144" s="118" t="n">
        <f aca="false">M142*M143</f>
        <v>1534</v>
      </c>
      <c r="N144" s="118" t="n">
        <f aca="false">N142*N143</f>
        <v>1534</v>
      </c>
      <c r="O144" s="118" t="n">
        <f aca="false">O142*O143</f>
        <v>1534</v>
      </c>
      <c r="P144" s="113" t="n">
        <f aca="false">SUM(D144:O144)</f>
        <v>18408</v>
      </c>
    </row>
    <row r="145" customFormat="false" ht="12.75" hidden="false" customHeight="false" outlineLevel="0" collapsed="false">
      <c r="B145" s="117"/>
      <c r="C145" s="112" t="str">
        <f aca="false">C139</f>
        <v>Precio unitario de compras:</v>
      </c>
      <c r="D145" s="85" t="n">
        <v>9</v>
      </c>
      <c r="E145" s="85" t="n">
        <v>9</v>
      </c>
      <c r="F145" s="85" t="n">
        <v>9</v>
      </c>
      <c r="G145" s="85" t="n">
        <v>9</v>
      </c>
      <c r="H145" s="85" t="n">
        <v>9</v>
      </c>
      <c r="I145" s="85" t="n">
        <v>9</v>
      </c>
      <c r="J145" s="85" t="n">
        <v>9</v>
      </c>
      <c r="K145" s="85" t="n">
        <v>9</v>
      </c>
      <c r="L145" s="85" t="n">
        <v>9</v>
      </c>
      <c r="M145" s="85" t="n">
        <v>9</v>
      </c>
      <c r="N145" s="85" t="n">
        <v>9</v>
      </c>
      <c r="O145" s="85" t="n">
        <v>9</v>
      </c>
      <c r="P145" s="120"/>
    </row>
    <row r="146" customFormat="false" ht="13.5" hidden="false" customHeight="false" outlineLevel="0" collapsed="false">
      <c r="B146" s="121"/>
      <c r="C146" s="122" t="str">
        <f aca="false">C140</f>
        <v>Otros costes directos imputables al producto/servicio</v>
      </c>
      <c r="D146" s="123"/>
      <c r="E146" s="123"/>
      <c r="F146" s="123"/>
      <c r="G146" s="123"/>
      <c r="H146" s="123"/>
      <c r="I146" s="123"/>
      <c r="J146" s="123"/>
      <c r="K146" s="123"/>
      <c r="L146" s="123"/>
      <c r="M146" s="123"/>
      <c r="N146" s="123"/>
      <c r="O146" s="123"/>
      <c r="P146" s="124" t="n">
        <f aca="false">SUM(D146:O146)</f>
        <v>0</v>
      </c>
    </row>
    <row r="147" customFormat="false" ht="13.5" hidden="false" customHeight="false" outlineLevel="0" collapsed="false">
      <c r="B147" s="107" t="str">
        <f aca="false">B84</f>
        <v>Comida húmeda para gatos 26 pouches</v>
      </c>
      <c r="C147" s="132"/>
      <c r="D147" s="125"/>
      <c r="E147" s="126"/>
      <c r="F147" s="126"/>
      <c r="G147" s="126"/>
      <c r="H147" s="126"/>
      <c r="I147" s="126"/>
      <c r="J147" s="126"/>
      <c r="K147" s="126"/>
      <c r="L147" s="126"/>
      <c r="M147" s="126"/>
      <c r="N147" s="126"/>
      <c r="O147" s="126"/>
      <c r="P147" s="110"/>
      <c r="S147" s="127"/>
    </row>
    <row r="148" customFormat="false" ht="12.75" hidden="false" customHeight="false" outlineLevel="0" collapsed="false">
      <c r="B148" s="111"/>
      <c r="C148" s="112" t="str">
        <f aca="false">C142</f>
        <v>Unidades a vender:</v>
      </c>
      <c r="D148" s="88" t="n">
        <v>71</v>
      </c>
      <c r="E148" s="88" t="n">
        <v>71</v>
      </c>
      <c r="F148" s="88" t="n">
        <v>71</v>
      </c>
      <c r="G148" s="88" t="n">
        <v>71</v>
      </c>
      <c r="H148" s="88" t="n">
        <v>71</v>
      </c>
      <c r="I148" s="88" t="n">
        <v>71</v>
      </c>
      <c r="J148" s="88" t="n">
        <v>71</v>
      </c>
      <c r="K148" s="88" t="n">
        <v>71</v>
      </c>
      <c r="L148" s="88" t="n">
        <v>71</v>
      </c>
      <c r="M148" s="88" t="n">
        <v>71</v>
      </c>
      <c r="N148" s="88" t="n">
        <v>71</v>
      </c>
      <c r="O148" s="88" t="n">
        <v>71</v>
      </c>
      <c r="P148" s="113" t="n">
        <f aca="false">SUM(D148:O148)</f>
        <v>852</v>
      </c>
    </row>
    <row r="149" customFormat="false" ht="12.75" hidden="false" customHeight="false" outlineLevel="0" collapsed="false">
      <c r="B149" s="114"/>
      <c r="C149" s="112" t="str">
        <f aca="false">C143</f>
        <v>Precio unitario de venta:</v>
      </c>
      <c r="D149" s="85" t="n">
        <v>21</v>
      </c>
      <c r="E149" s="85" t="n">
        <v>21</v>
      </c>
      <c r="F149" s="85" t="n">
        <v>21</v>
      </c>
      <c r="G149" s="85" t="n">
        <v>21</v>
      </c>
      <c r="H149" s="85" t="n">
        <v>21</v>
      </c>
      <c r="I149" s="85" t="n">
        <v>21</v>
      </c>
      <c r="J149" s="85" t="n">
        <v>21</v>
      </c>
      <c r="K149" s="85" t="n">
        <v>21</v>
      </c>
      <c r="L149" s="85" t="n">
        <v>21</v>
      </c>
      <c r="M149" s="85" t="n">
        <v>21</v>
      </c>
      <c r="N149" s="85" t="n">
        <v>21</v>
      </c>
      <c r="O149" s="85" t="n">
        <v>21</v>
      </c>
      <c r="P149" s="116"/>
    </row>
    <row r="150" customFormat="false" ht="12.75" hidden="false" customHeight="false" outlineLevel="0" collapsed="false">
      <c r="B150" s="117"/>
      <c r="C150" s="112" t="str">
        <f aca="false">C144</f>
        <v>Ingresos previstos por ventas:</v>
      </c>
      <c r="D150" s="118" t="n">
        <f aca="false">D148*D149</f>
        <v>1491</v>
      </c>
      <c r="E150" s="118" t="n">
        <f aca="false">E148*E149</f>
        <v>1491</v>
      </c>
      <c r="F150" s="118" t="n">
        <f aca="false">F148*F149</f>
        <v>1491</v>
      </c>
      <c r="G150" s="118" t="n">
        <f aca="false">G148*G149</f>
        <v>1491</v>
      </c>
      <c r="H150" s="118" t="n">
        <f aca="false">H148*H149</f>
        <v>1491</v>
      </c>
      <c r="I150" s="118" t="n">
        <f aca="false">I148*I149</f>
        <v>1491</v>
      </c>
      <c r="J150" s="118" t="n">
        <f aca="false">J148*J149</f>
        <v>1491</v>
      </c>
      <c r="K150" s="118" t="n">
        <f aca="false">K148*K149</f>
        <v>1491</v>
      </c>
      <c r="L150" s="118" t="n">
        <f aca="false">L148*L149</f>
        <v>1491</v>
      </c>
      <c r="M150" s="118" t="n">
        <f aca="false">M148*M149</f>
        <v>1491</v>
      </c>
      <c r="N150" s="118" t="n">
        <f aca="false">N148*N149</f>
        <v>1491</v>
      </c>
      <c r="O150" s="118" t="n">
        <f aca="false">O148*O149</f>
        <v>1491</v>
      </c>
      <c r="P150" s="113" t="n">
        <f aca="false">SUM(D150:O150)</f>
        <v>17892</v>
      </c>
    </row>
    <row r="151" customFormat="false" ht="12.75" hidden="false" customHeight="false" outlineLevel="0" collapsed="false">
      <c r="B151" s="117"/>
      <c r="C151" s="112" t="str">
        <f aca="false">C145</f>
        <v>Precio unitario de compras:</v>
      </c>
      <c r="D151" s="85" t="n">
        <v>15</v>
      </c>
      <c r="E151" s="85" t="n">
        <v>15</v>
      </c>
      <c r="F151" s="85" t="n">
        <v>15</v>
      </c>
      <c r="G151" s="85" t="n">
        <v>15</v>
      </c>
      <c r="H151" s="85" t="n">
        <v>15</v>
      </c>
      <c r="I151" s="85" t="n">
        <v>15</v>
      </c>
      <c r="J151" s="85" t="n">
        <v>15</v>
      </c>
      <c r="K151" s="85" t="n">
        <v>15</v>
      </c>
      <c r="L151" s="85" t="n">
        <v>15</v>
      </c>
      <c r="M151" s="85" t="n">
        <v>15</v>
      </c>
      <c r="N151" s="85" t="n">
        <v>15</v>
      </c>
      <c r="O151" s="85" t="n">
        <v>15</v>
      </c>
      <c r="P151" s="120"/>
    </row>
    <row r="152" customFormat="false" ht="13.5" hidden="false" customHeight="false" outlineLevel="0" collapsed="false">
      <c r="B152" s="121"/>
      <c r="C152" s="122" t="str">
        <f aca="false">C146</f>
        <v>Otros costes directos imputables al producto/servicio</v>
      </c>
      <c r="D152" s="123"/>
      <c r="E152" s="123"/>
      <c r="F152" s="123"/>
      <c r="G152" s="123"/>
      <c r="H152" s="123"/>
      <c r="I152" s="123"/>
      <c r="J152" s="123"/>
      <c r="K152" s="123"/>
      <c r="L152" s="123"/>
      <c r="M152" s="123"/>
      <c r="N152" s="123"/>
      <c r="O152" s="123"/>
      <c r="P152" s="124" t="n">
        <f aca="false">SUM(D152:O152)</f>
        <v>0</v>
      </c>
    </row>
    <row r="153" customFormat="false" ht="13.5" hidden="false" customHeight="false" outlineLevel="0" collapsed="false">
      <c r="D153" s="129" t="s">
        <v>142</v>
      </c>
      <c r="E153" s="130"/>
      <c r="F153" s="130"/>
      <c r="G153" s="130"/>
      <c r="H153" s="130"/>
      <c r="I153" s="130"/>
      <c r="J153" s="130"/>
      <c r="K153" s="130"/>
      <c r="L153" s="130"/>
      <c r="M153" s="130"/>
      <c r="N153" s="130"/>
      <c r="O153" s="130"/>
    </row>
    <row r="154" customFormat="false" ht="14.25" hidden="false" customHeight="false" outlineLevel="0" collapsed="false">
      <c r="B154" s="51" t="s">
        <v>5</v>
      </c>
      <c r="C154" s="51"/>
      <c r="E154" s="52"/>
      <c r="F154" s="35"/>
      <c r="G154" s="35"/>
      <c r="H154" s="35"/>
      <c r="I154" s="35"/>
      <c r="J154" s="35"/>
      <c r="K154" s="35"/>
      <c r="L154" s="35"/>
      <c r="M154" s="35"/>
      <c r="N154" s="35"/>
      <c r="O154" s="35"/>
      <c r="P154" s="35"/>
    </row>
    <row r="155" customFormat="false" ht="12.75" hidden="false" customHeight="false" outlineLevel="0" collapsed="false">
      <c r="B155" s="105" t="s">
        <v>123</v>
      </c>
      <c r="C155" s="106"/>
      <c r="D155" s="83" t="s">
        <v>124</v>
      </c>
      <c r="E155" s="72" t="s">
        <v>125</v>
      </c>
      <c r="F155" s="83" t="s">
        <v>126</v>
      </c>
      <c r="G155" s="83" t="s">
        <v>127</v>
      </c>
      <c r="H155" s="83" t="s">
        <v>128</v>
      </c>
      <c r="I155" s="83" t="s">
        <v>129</v>
      </c>
      <c r="J155" s="83" t="s">
        <v>130</v>
      </c>
      <c r="K155" s="83" t="s">
        <v>131</v>
      </c>
      <c r="L155" s="83" t="s">
        <v>132</v>
      </c>
      <c r="M155" s="83" t="s">
        <v>133</v>
      </c>
      <c r="N155" s="83" t="s">
        <v>134</v>
      </c>
      <c r="O155" s="83" t="s">
        <v>135</v>
      </c>
      <c r="P155" s="83" t="s">
        <v>136</v>
      </c>
    </row>
    <row r="156" customFormat="false" ht="12.75" hidden="false" customHeight="false" outlineLevel="0" collapsed="false">
      <c r="B156" s="107" t="str">
        <f aca="false">B30</f>
        <v>Pienso para perro adulto 12 kg</v>
      </c>
      <c r="C156" s="108"/>
      <c r="D156" s="109"/>
      <c r="E156" s="109"/>
      <c r="F156" s="109"/>
      <c r="G156" s="109"/>
      <c r="H156" s="109"/>
      <c r="I156" s="109"/>
      <c r="J156" s="109"/>
      <c r="K156" s="109"/>
      <c r="L156" s="109"/>
      <c r="M156" s="109"/>
      <c r="N156" s="109"/>
      <c r="O156" s="109"/>
      <c r="P156" s="110"/>
    </row>
    <row r="157" customFormat="false" ht="12.75" hidden="false" customHeight="false" outlineLevel="0" collapsed="false">
      <c r="B157" s="111"/>
      <c r="C157" s="112" t="str">
        <f aca="false">C148</f>
        <v>Unidades a vender:</v>
      </c>
      <c r="D157" s="88" t="n">
        <v>88</v>
      </c>
      <c r="E157" s="88" t="n">
        <v>88</v>
      </c>
      <c r="F157" s="88" t="n">
        <v>88</v>
      </c>
      <c r="G157" s="88" t="n">
        <v>88</v>
      </c>
      <c r="H157" s="88" t="n">
        <v>88</v>
      </c>
      <c r="I157" s="88" t="n">
        <v>88</v>
      </c>
      <c r="J157" s="88" t="n">
        <v>88</v>
      </c>
      <c r="K157" s="88" t="n">
        <v>88</v>
      </c>
      <c r="L157" s="88" t="n">
        <v>88</v>
      </c>
      <c r="M157" s="88" t="n">
        <v>88</v>
      </c>
      <c r="N157" s="88" t="n">
        <v>88</v>
      </c>
      <c r="O157" s="88" t="n">
        <v>88</v>
      </c>
      <c r="P157" s="113" t="n">
        <f aca="false">SUM(D157:O157)</f>
        <v>1056</v>
      </c>
    </row>
    <row r="158" customFormat="false" ht="12.75" hidden="false" customHeight="false" outlineLevel="0" collapsed="false">
      <c r="B158" s="114"/>
      <c r="C158" s="112" t="str">
        <f aca="false">C149</f>
        <v>Precio unitario de venta:</v>
      </c>
      <c r="D158" s="85" t="n">
        <v>60</v>
      </c>
      <c r="E158" s="85" t="n">
        <v>60</v>
      </c>
      <c r="F158" s="85" t="n">
        <v>60</v>
      </c>
      <c r="G158" s="85" t="n">
        <v>60</v>
      </c>
      <c r="H158" s="85" t="n">
        <v>60</v>
      </c>
      <c r="I158" s="85" t="n">
        <v>60</v>
      </c>
      <c r="J158" s="85" t="n">
        <v>60</v>
      </c>
      <c r="K158" s="85" t="n">
        <v>60</v>
      </c>
      <c r="L158" s="85" t="n">
        <v>60</v>
      </c>
      <c r="M158" s="85" t="n">
        <v>60</v>
      </c>
      <c r="N158" s="85" t="n">
        <v>60</v>
      </c>
      <c r="O158" s="85" t="n">
        <v>60</v>
      </c>
      <c r="P158" s="116"/>
    </row>
    <row r="159" customFormat="false" ht="12.75" hidden="false" customHeight="false" outlineLevel="0" collapsed="false">
      <c r="B159" s="117"/>
      <c r="C159" s="112" t="str">
        <f aca="false">C150</f>
        <v>Ingresos previstos por ventas:</v>
      </c>
      <c r="D159" s="118" t="n">
        <f aca="false">D157*D158</f>
        <v>5280</v>
      </c>
      <c r="E159" s="118" t="n">
        <f aca="false">E157*E158</f>
        <v>5280</v>
      </c>
      <c r="F159" s="118" t="n">
        <f aca="false">F157*F158</f>
        <v>5280</v>
      </c>
      <c r="G159" s="118" t="n">
        <f aca="false">G157*G158</f>
        <v>5280</v>
      </c>
      <c r="H159" s="118" t="n">
        <f aca="false">H157*H158</f>
        <v>5280</v>
      </c>
      <c r="I159" s="118" t="n">
        <f aca="false">I157*I158</f>
        <v>5280</v>
      </c>
      <c r="J159" s="118" t="n">
        <f aca="false">J157*J158</f>
        <v>5280</v>
      </c>
      <c r="K159" s="118" t="n">
        <f aca="false">K157*K158</f>
        <v>5280</v>
      </c>
      <c r="L159" s="118" t="n">
        <f aca="false">L157*L158</f>
        <v>5280</v>
      </c>
      <c r="M159" s="118" t="n">
        <f aca="false">M157*M158</f>
        <v>5280</v>
      </c>
      <c r="N159" s="118" t="n">
        <f aca="false">N157*N158</f>
        <v>5280</v>
      </c>
      <c r="O159" s="118" t="n">
        <f aca="false">O157*O158</f>
        <v>5280</v>
      </c>
      <c r="P159" s="113" t="n">
        <f aca="false">SUM(D159:O159)</f>
        <v>63360</v>
      </c>
    </row>
    <row r="160" customFormat="false" ht="12.75" hidden="false" customHeight="false" outlineLevel="0" collapsed="false">
      <c r="B160" s="117"/>
      <c r="C160" s="112" t="str">
        <f aca="false">C151</f>
        <v>Precio unitario de compras:</v>
      </c>
      <c r="D160" s="85" t="n">
        <v>45</v>
      </c>
      <c r="E160" s="85" t="n">
        <v>45</v>
      </c>
      <c r="F160" s="85" t="n">
        <v>45</v>
      </c>
      <c r="G160" s="85" t="n">
        <v>45</v>
      </c>
      <c r="H160" s="85" t="n">
        <v>45</v>
      </c>
      <c r="I160" s="85" t="n">
        <v>45</v>
      </c>
      <c r="J160" s="85" t="n">
        <v>45</v>
      </c>
      <c r="K160" s="85" t="n">
        <v>45</v>
      </c>
      <c r="L160" s="85" t="n">
        <v>45</v>
      </c>
      <c r="M160" s="85" t="n">
        <v>45</v>
      </c>
      <c r="N160" s="85" t="n">
        <v>45</v>
      </c>
      <c r="O160" s="85" t="n">
        <v>45</v>
      </c>
      <c r="P160" s="120"/>
    </row>
    <row r="161" customFormat="false" ht="13.5" hidden="false" customHeight="false" outlineLevel="0" collapsed="false">
      <c r="B161" s="121"/>
      <c r="C161" s="122" t="str">
        <f aca="false">C152</f>
        <v>Otros costes directos imputables al producto/servicio</v>
      </c>
      <c r="D161" s="123"/>
      <c r="E161" s="123"/>
      <c r="F161" s="123"/>
      <c r="G161" s="123"/>
      <c r="H161" s="123"/>
      <c r="I161" s="123"/>
      <c r="J161" s="123"/>
      <c r="K161" s="123"/>
      <c r="L161" s="123"/>
      <c r="M161" s="123"/>
      <c r="N161" s="123"/>
      <c r="O161" s="123"/>
      <c r="P161" s="124" t="n">
        <f aca="false">SUM(D161:O161)</f>
        <v>0</v>
      </c>
    </row>
    <row r="162" customFormat="false" ht="13.5" hidden="false" customHeight="false" outlineLevel="0" collapsed="false">
      <c r="B162" s="107" t="str">
        <f aca="false">B36</f>
        <v>Pienso para gato adulto 10 kg</v>
      </c>
      <c r="C162" s="132"/>
      <c r="D162" s="125"/>
      <c r="E162" s="126"/>
      <c r="F162" s="126"/>
      <c r="G162" s="126"/>
      <c r="H162" s="126"/>
      <c r="I162" s="126"/>
      <c r="J162" s="126"/>
      <c r="K162" s="126"/>
      <c r="L162" s="126"/>
      <c r="M162" s="126"/>
      <c r="N162" s="126"/>
      <c r="O162" s="126"/>
      <c r="P162" s="110"/>
    </row>
    <row r="163" customFormat="false" ht="12.75" hidden="false" customHeight="false" outlineLevel="0" collapsed="false">
      <c r="B163" s="111"/>
      <c r="C163" s="112" t="str">
        <f aca="false">C157</f>
        <v>Unidades a vender:</v>
      </c>
      <c r="D163" s="88" t="n">
        <v>78</v>
      </c>
      <c r="E163" s="88" t="n">
        <v>78</v>
      </c>
      <c r="F163" s="88" t="n">
        <v>78</v>
      </c>
      <c r="G163" s="88" t="n">
        <v>78</v>
      </c>
      <c r="H163" s="88" t="n">
        <v>78</v>
      </c>
      <c r="I163" s="88" t="n">
        <v>78</v>
      </c>
      <c r="J163" s="88" t="n">
        <v>78</v>
      </c>
      <c r="K163" s="88" t="n">
        <v>78</v>
      </c>
      <c r="L163" s="88" t="n">
        <v>78</v>
      </c>
      <c r="M163" s="88" t="n">
        <v>78</v>
      </c>
      <c r="N163" s="88" t="n">
        <v>78</v>
      </c>
      <c r="O163" s="88" t="n">
        <v>78</v>
      </c>
      <c r="P163" s="113" t="n">
        <f aca="false">SUM(D163:O163)</f>
        <v>936</v>
      </c>
    </row>
    <row r="164" customFormat="false" ht="12.75" hidden="false" customHeight="false" outlineLevel="0" collapsed="false">
      <c r="B164" s="114"/>
      <c r="C164" s="112" t="str">
        <f aca="false">C158</f>
        <v>Precio unitario de venta:</v>
      </c>
      <c r="D164" s="85" t="n">
        <v>65</v>
      </c>
      <c r="E164" s="85" t="n">
        <v>65</v>
      </c>
      <c r="F164" s="85" t="n">
        <v>65</v>
      </c>
      <c r="G164" s="85" t="n">
        <v>65</v>
      </c>
      <c r="H164" s="85" t="n">
        <v>65</v>
      </c>
      <c r="I164" s="85" t="n">
        <v>65</v>
      </c>
      <c r="J164" s="85" t="n">
        <v>65</v>
      </c>
      <c r="K164" s="85" t="n">
        <v>65</v>
      </c>
      <c r="L164" s="85" t="n">
        <v>65</v>
      </c>
      <c r="M164" s="85" t="n">
        <v>65</v>
      </c>
      <c r="N164" s="85" t="n">
        <v>65</v>
      </c>
      <c r="O164" s="85" t="n">
        <v>65</v>
      </c>
      <c r="P164" s="116"/>
    </row>
    <row r="165" customFormat="false" ht="12.75" hidden="false" customHeight="false" outlineLevel="0" collapsed="false">
      <c r="B165" s="117"/>
      <c r="C165" s="112" t="str">
        <f aca="false">C159</f>
        <v>Ingresos previstos por ventas:</v>
      </c>
      <c r="D165" s="118" t="n">
        <f aca="false">D163*D164</f>
        <v>5070</v>
      </c>
      <c r="E165" s="118" t="n">
        <f aca="false">E163*E164</f>
        <v>5070</v>
      </c>
      <c r="F165" s="118" t="n">
        <f aca="false">F163*F164</f>
        <v>5070</v>
      </c>
      <c r="G165" s="118" t="n">
        <f aca="false">G163*G164</f>
        <v>5070</v>
      </c>
      <c r="H165" s="118" t="n">
        <f aca="false">H163*H164</f>
        <v>5070</v>
      </c>
      <c r="I165" s="118" t="n">
        <f aca="false">I163*I164</f>
        <v>5070</v>
      </c>
      <c r="J165" s="118" t="n">
        <f aca="false">J163*J164</f>
        <v>5070</v>
      </c>
      <c r="K165" s="118" t="n">
        <f aca="false">K163*K164</f>
        <v>5070</v>
      </c>
      <c r="L165" s="118" t="n">
        <f aca="false">L163*L164</f>
        <v>5070</v>
      </c>
      <c r="M165" s="118" t="n">
        <f aca="false">M163*M164</f>
        <v>5070</v>
      </c>
      <c r="N165" s="118" t="n">
        <f aca="false">N163*N164</f>
        <v>5070</v>
      </c>
      <c r="O165" s="118" t="n">
        <f aca="false">O163*O164</f>
        <v>5070</v>
      </c>
      <c r="P165" s="113" t="n">
        <f aca="false">SUM(D165:O165)</f>
        <v>60840</v>
      </c>
    </row>
    <row r="166" customFormat="false" ht="12.75" hidden="false" customHeight="false" outlineLevel="0" collapsed="false">
      <c r="B166" s="117"/>
      <c r="C166" s="112" t="str">
        <f aca="false">C160</f>
        <v>Precio unitario de compras:</v>
      </c>
      <c r="D166" s="85" t="n">
        <v>50</v>
      </c>
      <c r="E166" s="85" t="n">
        <v>50</v>
      </c>
      <c r="F166" s="85" t="n">
        <v>50</v>
      </c>
      <c r="G166" s="85" t="n">
        <v>50</v>
      </c>
      <c r="H166" s="85" t="n">
        <v>50</v>
      </c>
      <c r="I166" s="85" t="n">
        <v>50</v>
      </c>
      <c r="J166" s="85" t="n">
        <v>50</v>
      </c>
      <c r="K166" s="85" t="n">
        <v>50</v>
      </c>
      <c r="L166" s="85" t="n">
        <v>50</v>
      </c>
      <c r="M166" s="85" t="n">
        <v>50</v>
      </c>
      <c r="N166" s="85" t="n">
        <v>50</v>
      </c>
      <c r="O166" s="85" t="n">
        <v>50</v>
      </c>
      <c r="P166" s="120"/>
    </row>
    <row r="167" customFormat="false" ht="13.5" hidden="false" customHeight="false" outlineLevel="0" collapsed="false">
      <c r="B167" s="121"/>
      <c r="C167" s="122" t="str">
        <f aca="false">C161</f>
        <v>Otros costes directos imputables al producto/servicio</v>
      </c>
      <c r="D167" s="123"/>
      <c r="E167" s="123"/>
      <c r="F167" s="123"/>
      <c r="G167" s="123"/>
      <c r="H167" s="123"/>
      <c r="I167" s="123"/>
      <c r="J167" s="123"/>
      <c r="K167" s="123"/>
      <c r="L167" s="123"/>
      <c r="M167" s="123"/>
      <c r="N167" s="123"/>
      <c r="O167" s="123"/>
      <c r="P167" s="124" t="n">
        <f aca="false">SUM(D167:O167)</f>
        <v>0</v>
      </c>
    </row>
    <row r="168" customFormat="false" ht="13.5" hidden="false" customHeight="false" outlineLevel="0" collapsed="false">
      <c r="B168" s="107" t="str">
        <f aca="false">B42</f>
        <v>Pienso para loros 12 kg</v>
      </c>
      <c r="C168" s="132"/>
      <c r="D168" s="125"/>
      <c r="E168" s="126"/>
      <c r="F168" s="126"/>
      <c r="G168" s="126"/>
      <c r="H168" s="126"/>
      <c r="I168" s="126"/>
      <c r="J168" s="126"/>
      <c r="K168" s="126"/>
      <c r="L168" s="126"/>
      <c r="M168" s="126"/>
      <c r="N168" s="126"/>
      <c r="O168" s="126"/>
      <c r="P168" s="110"/>
      <c r="S168" s="127"/>
    </row>
    <row r="169" customFormat="false" ht="12.75" hidden="false" customHeight="false" outlineLevel="0" collapsed="false">
      <c r="B169" s="111"/>
      <c r="C169" s="112" t="str">
        <f aca="false">C163</f>
        <v>Unidades a vender:</v>
      </c>
      <c r="D169" s="88" t="n">
        <v>58</v>
      </c>
      <c r="E169" s="88" t="n">
        <v>58</v>
      </c>
      <c r="F169" s="88" t="n">
        <v>58</v>
      </c>
      <c r="G169" s="88" t="n">
        <v>58</v>
      </c>
      <c r="H169" s="88" t="n">
        <v>58</v>
      </c>
      <c r="I169" s="88" t="n">
        <v>58</v>
      </c>
      <c r="J169" s="88" t="n">
        <v>58</v>
      </c>
      <c r="K169" s="88" t="n">
        <v>58</v>
      </c>
      <c r="L169" s="88" t="n">
        <v>58</v>
      </c>
      <c r="M169" s="88" t="n">
        <v>58</v>
      </c>
      <c r="N169" s="88" t="n">
        <v>58</v>
      </c>
      <c r="O169" s="88" t="n">
        <v>58</v>
      </c>
      <c r="P169" s="113" t="n">
        <f aca="false">SUM(D169:O169)</f>
        <v>696</v>
      </c>
    </row>
    <row r="170" customFormat="false" ht="12.75" hidden="false" customHeight="false" outlineLevel="0" collapsed="false">
      <c r="B170" s="114"/>
      <c r="C170" s="112" t="str">
        <f aca="false">C164</f>
        <v>Precio unitario de venta:</v>
      </c>
      <c r="D170" s="85" t="n">
        <v>90</v>
      </c>
      <c r="E170" s="85" t="n">
        <v>90</v>
      </c>
      <c r="F170" s="85" t="n">
        <v>90</v>
      </c>
      <c r="G170" s="85" t="n">
        <v>90</v>
      </c>
      <c r="H170" s="85" t="n">
        <v>90</v>
      </c>
      <c r="I170" s="85" t="n">
        <v>90</v>
      </c>
      <c r="J170" s="85" t="n">
        <v>90</v>
      </c>
      <c r="K170" s="85" t="n">
        <v>90</v>
      </c>
      <c r="L170" s="85" t="n">
        <v>90</v>
      </c>
      <c r="M170" s="85" t="n">
        <v>90</v>
      </c>
      <c r="N170" s="85" t="n">
        <v>90</v>
      </c>
      <c r="O170" s="85" t="n">
        <v>90</v>
      </c>
      <c r="P170" s="116"/>
    </row>
    <row r="171" customFormat="false" ht="12.75" hidden="false" customHeight="false" outlineLevel="0" collapsed="false">
      <c r="B171" s="117"/>
      <c r="C171" s="112" t="str">
        <f aca="false">C165</f>
        <v>Ingresos previstos por ventas:</v>
      </c>
      <c r="D171" s="118" t="n">
        <f aca="false">D169*D170</f>
        <v>5220</v>
      </c>
      <c r="E171" s="118" t="n">
        <f aca="false">E169*E170</f>
        <v>5220</v>
      </c>
      <c r="F171" s="118" t="n">
        <f aca="false">F169*F170</f>
        <v>5220</v>
      </c>
      <c r="G171" s="118" t="n">
        <f aca="false">G169*G170</f>
        <v>5220</v>
      </c>
      <c r="H171" s="118" t="n">
        <f aca="false">H169*H170</f>
        <v>5220</v>
      </c>
      <c r="I171" s="118" t="n">
        <f aca="false">I169*I170</f>
        <v>5220</v>
      </c>
      <c r="J171" s="118" t="n">
        <f aca="false">J169*J170</f>
        <v>5220</v>
      </c>
      <c r="K171" s="118" t="n">
        <f aca="false">K169*K170</f>
        <v>5220</v>
      </c>
      <c r="L171" s="118" t="n">
        <f aca="false">L169*L170</f>
        <v>5220</v>
      </c>
      <c r="M171" s="118" t="n">
        <f aca="false">M169*M170</f>
        <v>5220</v>
      </c>
      <c r="N171" s="118" t="n">
        <f aca="false">N169*N170</f>
        <v>5220</v>
      </c>
      <c r="O171" s="118" t="n">
        <f aca="false">O169*O170</f>
        <v>5220</v>
      </c>
      <c r="P171" s="113" t="n">
        <f aca="false">SUM(D171:O171)</f>
        <v>62640</v>
      </c>
    </row>
    <row r="172" customFormat="false" ht="12.75" hidden="false" customHeight="false" outlineLevel="0" collapsed="false">
      <c r="B172" s="117"/>
      <c r="C172" s="112" t="str">
        <f aca="false">C166</f>
        <v>Precio unitario de compras:</v>
      </c>
      <c r="D172" s="85" t="n">
        <v>65</v>
      </c>
      <c r="E172" s="85" t="n">
        <v>65</v>
      </c>
      <c r="F172" s="85" t="n">
        <v>65</v>
      </c>
      <c r="G172" s="85" t="n">
        <v>65</v>
      </c>
      <c r="H172" s="85" t="n">
        <v>65</v>
      </c>
      <c r="I172" s="85" t="n">
        <v>65</v>
      </c>
      <c r="J172" s="85" t="n">
        <v>65</v>
      </c>
      <c r="K172" s="85" t="n">
        <v>65</v>
      </c>
      <c r="L172" s="85" t="n">
        <v>65</v>
      </c>
      <c r="M172" s="85" t="n">
        <v>65</v>
      </c>
      <c r="N172" s="85" t="n">
        <v>65</v>
      </c>
      <c r="O172" s="85" t="n">
        <v>65</v>
      </c>
      <c r="P172" s="120"/>
    </row>
    <row r="173" customFormat="false" ht="13.5" hidden="false" customHeight="false" outlineLevel="0" collapsed="false">
      <c r="B173" s="121"/>
      <c r="C173" s="122" t="str">
        <f aca="false">C167</f>
        <v>Otros costes directos imputables al producto/servicio</v>
      </c>
      <c r="D173" s="123"/>
      <c r="E173" s="123"/>
      <c r="F173" s="123"/>
      <c r="G173" s="123"/>
      <c r="H173" s="123"/>
      <c r="I173" s="123"/>
      <c r="J173" s="123"/>
      <c r="K173" s="123"/>
      <c r="L173" s="123"/>
      <c r="M173" s="123"/>
      <c r="N173" s="123"/>
      <c r="O173" s="123"/>
      <c r="P173" s="124" t="n">
        <f aca="false">SUM(D173:O173)</f>
        <v>0</v>
      </c>
    </row>
    <row r="174" customFormat="false" ht="13.5" hidden="false" customHeight="false" outlineLevel="0" collapsed="false">
      <c r="B174" s="107" t="str">
        <f aca="false">B48</f>
        <v>Pienso para cobayas 3 kg</v>
      </c>
      <c r="C174" s="132"/>
      <c r="D174" s="125"/>
      <c r="E174" s="126"/>
      <c r="F174" s="126"/>
      <c r="G174" s="126"/>
      <c r="H174" s="126"/>
      <c r="I174" s="126"/>
      <c r="J174" s="126"/>
      <c r="K174" s="126"/>
      <c r="L174" s="126"/>
      <c r="M174" s="126"/>
      <c r="N174" s="126"/>
      <c r="O174" s="126"/>
      <c r="P174" s="110"/>
    </row>
    <row r="175" customFormat="false" ht="12.75" hidden="false" customHeight="false" outlineLevel="0" collapsed="false">
      <c r="B175" s="111"/>
      <c r="C175" s="112" t="str">
        <f aca="false">C169</f>
        <v>Unidades a vender:</v>
      </c>
      <c r="D175" s="88" t="n">
        <v>108</v>
      </c>
      <c r="E175" s="88" t="n">
        <v>108</v>
      </c>
      <c r="F175" s="88" t="n">
        <v>108</v>
      </c>
      <c r="G175" s="88" t="n">
        <v>108</v>
      </c>
      <c r="H175" s="88" t="n">
        <v>108</v>
      </c>
      <c r="I175" s="88" t="n">
        <v>108</v>
      </c>
      <c r="J175" s="88" t="n">
        <v>108</v>
      </c>
      <c r="K175" s="88" t="n">
        <v>108</v>
      </c>
      <c r="L175" s="88" t="n">
        <v>108</v>
      </c>
      <c r="M175" s="88" t="n">
        <v>108</v>
      </c>
      <c r="N175" s="88" t="n">
        <v>108</v>
      </c>
      <c r="O175" s="88" t="n">
        <v>108</v>
      </c>
      <c r="P175" s="113" t="n">
        <f aca="false">SUM(D175:O175)</f>
        <v>1296</v>
      </c>
    </row>
    <row r="176" customFormat="false" ht="12.75" hidden="false" customHeight="false" outlineLevel="0" collapsed="false">
      <c r="B176" s="114"/>
      <c r="C176" s="112" t="str">
        <f aca="false">C170</f>
        <v>Precio unitario de venta:</v>
      </c>
      <c r="D176" s="85" t="n">
        <v>11</v>
      </c>
      <c r="E176" s="85" t="n">
        <v>11</v>
      </c>
      <c r="F176" s="85" t="n">
        <v>11</v>
      </c>
      <c r="G176" s="85" t="n">
        <v>11</v>
      </c>
      <c r="H176" s="85" t="n">
        <v>11</v>
      </c>
      <c r="I176" s="85" t="n">
        <v>11</v>
      </c>
      <c r="J176" s="85" t="n">
        <v>11</v>
      </c>
      <c r="K176" s="85" t="n">
        <v>11</v>
      </c>
      <c r="L176" s="85" t="n">
        <v>11</v>
      </c>
      <c r="M176" s="85" t="n">
        <v>11</v>
      </c>
      <c r="N176" s="85" t="n">
        <v>11</v>
      </c>
      <c r="O176" s="85" t="n">
        <v>11</v>
      </c>
      <c r="P176" s="116"/>
    </row>
    <row r="177" customFormat="false" ht="12.75" hidden="false" customHeight="false" outlineLevel="0" collapsed="false">
      <c r="B177" s="117"/>
      <c r="C177" s="112" t="str">
        <f aca="false">C171</f>
        <v>Ingresos previstos por ventas:</v>
      </c>
      <c r="D177" s="118" t="n">
        <f aca="false">D175*D176</f>
        <v>1188</v>
      </c>
      <c r="E177" s="118" t="n">
        <f aca="false">E175*E176</f>
        <v>1188</v>
      </c>
      <c r="F177" s="118" t="n">
        <f aca="false">F175*F176</f>
        <v>1188</v>
      </c>
      <c r="G177" s="118" t="n">
        <f aca="false">G175*G176</f>
        <v>1188</v>
      </c>
      <c r="H177" s="118" t="n">
        <f aca="false">H175*H176</f>
        <v>1188</v>
      </c>
      <c r="I177" s="118" t="n">
        <f aca="false">I175*I176</f>
        <v>1188</v>
      </c>
      <c r="J177" s="118" t="n">
        <f aca="false">J175*J176</f>
        <v>1188</v>
      </c>
      <c r="K177" s="118" t="n">
        <f aca="false">K175*K176</f>
        <v>1188</v>
      </c>
      <c r="L177" s="118" t="n">
        <f aca="false">L175*L176</f>
        <v>1188</v>
      </c>
      <c r="M177" s="118" t="n">
        <f aca="false">M175*M176</f>
        <v>1188</v>
      </c>
      <c r="N177" s="118" t="n">
        <f aca="false">N175*N176</f>
        <v>1188</v>
      </c>
      <c r="O177" s="118" t="n">
        <f aca="false">O175*O176</f>
        <v>1188</v>
      </c>
      <c r="P177" s="113" t="n">
        <f aca="false">SUM(D177:O177)</f>
        <v>14256</v>
      </c>
    </row>
    <row r="178" customFormat="false" ht="12.75" hidden="false" customHeight="false" outlineLevel="0" collapsed="false">
      <c r="B178" s="117"/>
      <c r="C178" s="112" t="str">
        <f aca="false">C172</f>
        <v>Precio unitario de compras:</v>
      </c>
      <c r="D178" s="85" t="n">
        <v>8</v>
      </c>
      <c r="E178" s="85" t="n">
        <v>8</v>
      </c>
      <c r="F178" s="85" t="n">
        <v>8</v>
      </c>
      <c r="G178" s="85" t="n">
        <v>8</v>
      </c>
      <c r="H178" s="85" t="n">
        <v>8</v>
      </c>
      <c r="I178" s="85" t="n">
        <v>8</v>
      </c>
      <c r="J178" s="85" t="n">
        <v>8</v>
      </c>
      <c r="K178" s="85" t="n">
        <v>8</v>
      </c>
      <c r="L178" s="85" t="n">
        <v>8</v>
      </c>
      <c r="M178" s="85" t="n">
        <v>8</v>
      </c>
      <c r="N178" s="85" t="n">
        <v>8</v>
      </c>
      <c r="O178" s="85" t="n">
        <v>8</v>
      </c>
      <c r="P178" s="120"/>
    </row>
    <row r="179" customFormat="false" ht="13.5" hidden="false" customHeight="false" outlineLevel="0" collapsed="false">
      <c r="B179" s="121"/>
      <c r="C179" s="122" t="str">
        <f aca="false">C173</f>
        <v>Otros costes directos imputables al producto/servicio</v>
      </c>
      <c r="D179" s="123"/>
      <c r="E179" s="123"/>
      <c r="F179" s="123"/>
      <c r="G179" s="123"/>
      <c r="H179" s="123"/>
      <c r="I179" s="123"/>
      <c r="J179" s="123"/>
      <c r="K179" s="123"/>
      <c r="L179" s="123"/>
      <c r="M179" s="123"/>
      <c r="N179" s="123"/>
      <c r="O179" s="123"/>
      <c r="P179" s="124" t="n">
        <f aca="false">SUM(D179:O179)</f>
        <v>0</v>
      </c>
    </row>
    <row r="180" customFormat="false" ht="13.5" hidden="false" customHeight="false" outlineLevel="0" collapsed="false">
      <c r="B180" s="107" t="str">
        <f aca="false">B54</f>
        <v>Pienso para conejo adulto 1,75 kg</v>
      </c>
      <c r="C180" s="132"/>
      <c r="D180" s="125"/>
      <c r="E180" s="126"/>
      <c r="F180" s="126"/>
      <c r="G180" s="126"/>
      <c r="H180" s="126"/>
      <c r="I180" s="126"/>
      <c r="J180" s="126"/>
      <c r="K180" s="126"/>
      <c r="L180" s="126"/>
      <c r="M180" s="126"/>
      <c r="N180" s="126"/>
      <c r="O180" s="126"/>
      <c r="P180" s="110"/>
      <c r="S180" s="127"/>
    </row>
    <row r="181" customFormat="false" ht="12.75" hidden="false" customHeight="false" outlineLevel="0" collapsed="false">
      <c r="B181" s="111"/>
      <c r="C181" s="112" t="str">
        <f aca="false">C175</f>
        <v>Unidades a vender:</v>
      </c>
      <c r="D181" s="88" t="n">
        <v>63</v>
      </c>
      <c r="E181" s="88" t="n">
        <v>63</v>
      </c>
      <c r="F181" s="88" t="n">
        <v>63</v>
      </c>
      <c r="G181" s="88" t="n">
        <v>63</v>
      </c>
      <c r="H181" s="88" t="n">
        <v>63</v>
      </c>
      <c r="I181" s="88" t="n">
        <v>63</v>
      </c>
      <c r="J181" s="88" t="n">
        <v>63</v>
      </c>
      <c r="K181" s="88" t="n">
        <v>63</v>
      </c>
      <c r="L181" s="88" t="n">
        <v>63</v>
      </c>
      <c r="M181" s="88" t="n">
        <v>63</v>
      </c>
      <c r="N181" s="88" t="n">
        <v>63</v>
      </c>
      <c r="O181" s="88" t="n">
        <v>63</v>
      </c>
      <c r="P181" s="113" t="n">
        <f aca="false">SUM(D181:O181)</f>
        <v>756</v>
      </c>
    </row>
    <row r="182" customFormat="false" ht="12.75" hidden="false" customHeight="false" outlineLevel="0" collapsed="false">
      <c r="B182" s="114"/>
      <c r="C182" s="112" t="str">
        <f aca="false">C176</f>
        <v>Precio unitario de venta:</v>
      </c>
      <c r="D182" s="85" t="n">
        <v>20</v>
      </c>
      <c r="E182" s="85" t="n">
        <v>20</v>
      </c>
      <c r="F182" s="85" t="n">
        <v>20</v>
      </c>
      <c r="G182" s="85" t="n">
        <v>20</v>
      </c>
      <c r="H182" s="85" t="n">
        <v>20</v>
      </c>
      <c r="I182" s="85" t="n">
        <v>20</v>
      </c>
      <c r="J182" s="85" t="n">
        <v>20</v>
      </c>
      <c r="K182" s="85" t="n">
        <v>20</v>
      </c>
      <c r="L182" s="85" t="n">
        <v>20</v>
      </c>
      <c r="M182" s="85" t="n">
        <v>20</v>
      </c>
      <c r="N182" s="85" t="n">
        <v>20</v>
      </c>
      <c r="O182" s="85" t="n">
        <v>20</v>
      </c>
      <c r="P182" s="116"/>
    </row>
    <row r="183" customFormat="false" ht="12.75" hidden="false" customHeight="false" outlineLevel="0" collapsed="false">
      <c r="B183" s="117"/>
      <c r="C183" s="112" t="str">
        <f aca="false">C177</f>
        <v>Ingresos previstos por ventas:</v>
      </c>
      <c r="D183" s="118" t="n">
        <f aca="false">D181*D182</f>
        <v>1260</v>
      </c>
      <c r="E183" s="118" t="n">
        <f aca="false">E181*E182</f>
        <v>1260</v>
      </c>
      <c r="F183" s="118" t="n">
        <f aca="false">F181*F182</f>
        <v>1260</v>
      </c>
      <c r="G183" s="118" t="n">
        <f aca="false">G181*G182</f>
        <v>1260</v>
      </c>
      <c r="H183" s="118" t="n">
        <f aca="false">H181*H182</f>
        <v>1260</v>
      </c>
      <c r="I183" s="118" t="n">
        <f aca="false">I181*I182</f>
        <v>1260</v>
      </c>
      <c r="J183" s="118" t="n">
        <f aca="false">J181*J182</f>
        <v>1260</v>
      </c>
      <c r="K183" s="118" t="n">
        <f aca="false">K181*K182</f>
        <v>1260</v>
      </c>
      <c r="L183" s="118" t="n">
        <f aca="false">L181*L182</f>
        <v>1260</v>
      </c>
      <c r="M183" s="118" t="n">
        <f aca="false">M181*M182</f>
        <v>1260</v>
      </c>
      <c r="N183" s="118" t="n">
        <f aca="false">N181*N182</f>
        <v>1260</v>
      </c>
      <c r="O183" s="118" t="n">
        <f aca="false">O181*O182</f>
        <v>1260</v>
      </c>
      <c r="P183" s="113" t="n">
        <f aca="false">SUM(D183:O183)</f>
        <v>15120</v>
      </c>
    </row>
    <row r="184" customFormat="false" ht="12.75" hidden="false" customHeight="false" outlineLevel="0" collapsed="false">
      <c r="B184" s="117"/>
      <c r="C184" s="112" t="str">
        <f aca="false">C178</f>
        <v>Precio unitario de compras:</v>
      </c>
      <c r="D184" s="85" t="n">
        <v>14</v>
      </c>
      <c r="E184" s="85" t="n">
        <v>14</v>
      </c>
      <c r="F184" s="85" t="n">
        <v>14</v>
      </c>
      <c r="G184" s="85" t="n">
        <v>14</v>
      </c>
      <c r="H184" s="85" t="n">
        <v>14</v>
      </c>
      <c r="I184" s="85" t="n">
        <v>14</v>
      </c>
      <c r="J184" s="85" t="n">
        <v>14</v>
      </c>
      <c r="K184" s="85" t="n">
        <v>14</v>
      </c>
      <c r="L184" s="85" t="n">
        <v>14</v>
      </c>
      <c r="M184" s="85" t="n">
        <v>14</v>
      </c>
      <c r="N184" s="85" t="n">
        <v>14</v>
      </c>
      <c r="O184" s="85" t="n">
        <v>14</v>
      </c>
      <c r="P184" s="120"/>
    </row>
    <row r="185" customFormat="false" ht="13.5" hidden="false" customHeight="false" outlineLevel="0" collapsed="false">
      <c r="B185" s="121"/>
      <c r="C185" s="122" t="str">
        <f aca="false">C179</f>
        <v>Otros costes directos imputables al producto/servicio</v>
      </c>
      <c r="D185" s="123"/>
      <c r="E185" s="123"/>
      <c r="F185" s="123"/>
      <c r="G185" s="123"/>
      <c r="H185" s="123"/>
      <c r="I185" s="123"/>
      <c r="J185" s="123"/>
      <c r="K185" s="123"/>
      <c r="L185" s="123"/>
      <c r="M185" s="123"/>
      <c r="N185" s="123"/>
      <c r="O185" s="123"/>
      <c r="P185" s="124" t="n">
        <f aca="false">SUM(D185:O185)</f>
        <v>0</v>
      </c>
    </row>
    <row r="186" customFormat="false" ht="13.5" hidden="false" customHeight="false" outlineLevel="0" collapsed="false">
      <c r="B186" s="107" t="str">
        <f aca="false">B60</f>
        <v>Pienso para hamsters 1 kg</v>
      </c>
      <c r="C186" s="132"/>
      <c r="D186" s="125"/>
      <c r="E186" s="126"/>
      <c r="F186" s="126"/>
      <c r="G186" s="126"/>
      <c r="H186" s="126"/>
      <c r="I186" s="126"/>
      <c r="J186" s="126"/>
      <c r="K186" s="126"/>
      <c r="L186" s="126"/>
      <c r="M186" s="126"/>
      <c r="N186" s="126"/>
      <c r="O186" s="126"/>
      <c r="P186" s="110"/>
      <c r="S186" s="127"/>
    </row>
    <row r="187" customFormat="false" ht="12.75" hidden="false" customHeight="false" outlineLevel="0" collapsed="false">
      <c r="B187" s="111"/>
      <c r="C187" s="112" t="str">
        <f aca="false">C181</f>
        <v>Unidades a vender:</v>
      </c>
      <c r="D187" s="88" t="n">
        <v>78</v>
      </c>
      <c r="E187" s="88" t="n">
        <v>78</v>
      </c>
      <c r="F187" s="88" t="n">
        <v>78</v>
      </c>
      <c r="G187" s="88" t="n">
        <v>78</v>
      </c>
      <c r="H187" s="88" t="n">
        <v>78</v>
      </c>
      <c r="I187" s="88" t="n">
        <v>78</v>
      </c>
      <c r="J187" s="88" t="n">
        <v>78</v>
      </c>
      <c r="K187" s="88" t="n">
        <v>78</v>
      </c>
      <c r="L187" s="88" t="n">
        <v>78</v>
      </c>
      <c r="M187" s="88" t="n">
        <v>78</v>
      </c>
      <c r="N187" s="88" t="n">
        <v>78</v>
      </c>
      <c r="O187" s="88" t="n">
        <v>78</v>
      </c>
      <c r="P187" s="113" t="n">
        <f aca="false">SUM(D187:O187)</f>
        <v>936</v>
      </c>
    </row>
    <row r="188" customFormat="false" ht="12.75" hidden="false" customHeight="false" outlineLevel="0" collapsed="false">
      <c r="B188" s="114"/>
      <c r="C188" s="112" t="str">
        <f aca="false">C182</f>
        <v>Precio unitario de venta:</v>
      </c>
      <c r="D188" s="85" t="n">
        <v>20</v>
      </c>
      <c r="E188" s="85" t="n">
        <v>20</v>
      </c>
      <c r="F188" s="85" t="n">
        <v>20</v>
      </c>
      <c r="G188" s="85" t="n">
        <v>20</v>
      </c>
      <c r="H188" s="85" t="n">
        <v>20</v>
      </c>
      <c r="I188" s="85" t="n">
        <v>20</v>
      </c>
      <c r="J188" s="85" t="n">
        <v>20</v>
      </c>
      <c r="K188" s="85" t="n">
        <v>20</v>
      </c>
      <c r="L188" s="85" t="n">
        <v>20</v>
      </c>
      <c r="M188" s="85" t="n">
        <v>20</v>
      </c>
      <c r="N188" s="85" t="n">
        <v>20</v>
      </c>
      <c r="O188" s="85" t="n">
        <v>20</v>
      </c>
      <c r="P188" s="116"/>
    </row>
    <row r="189" customFormat="false" ht="12.75" hidden="false" customHeight="false" outlineLevel="0" collapsed="false">
      <c r="B189" s="117"/>
      <c r="C189" s="112" t="str">
        <f aca="false">C183</f>
        <v>Ingresos previstos por ventas:</v>
      </c>
      <c r="D189" s="118" t="n">
        <f aca="false">D187*D188</f>
        <v>1560</v>
      </c>
      <c r="E189" s="118" t="n">
        <f aca="false">E187*E188</f>
        <v>1560</v>
      </c>
      <c r="F189" s="118" t="n">
        <f aca="false">F187*F188</f>
        <v>1560</v>
      </c>
      <c r="G189" s="118" t="n">
        <f aca="false">G187*G188</f>
        <v>1560</v>
      </c>
      <c r="H189" s="118" t="n">
        <f aca="false">H187*H188</f>
        <v>1560</v>
      </c>
      <c r="I189" s="118" t="n">
        <f aca="false">I187*I188</f>
        <v>1560</v>
      </c>
      <c r="J189" s="118" t="n">
        <f aca="false">J187*J188</f>
        <v>1560</v>
      </c>
      <c r="K189" s="118" t="n">
        <f aca="false">K187*K188</f>
        <v>1560</v>
      </c>
      <c r="L189" s="118" t="n">
        <f aca="false">L187*L188</f>
        <v>1560</v>
      </c>
      <c r="M189" s="118" t="n">
        <f aca="false">M187*M188</f>
        <v>1560</v>
      </c>
      <c r="N189" s="118" t="n">
        <f aca="false">N187*N188</f>
        <v>1560</v>
      </c>
      <c r="O189" s="118" t="n">
        <f aca="false">O187*O188</f>
        <v>1560</v>
      </c>
      <c r="P189" s="113" t="n">
        <f aca="false">SUM(D189:O189)</f>
        <v>18720</v>
      </c>
    </row>
    <row r="190" customFormat="false" ht="12.75" hidden="false" customHeight="false" outlineLevel="0" collapsed="false">
      <c r="B190" s="117"/>
      <c r="C190" s="112" t="str">
        <f aca="false">C184</f>
        <v>Precio unitario de compras:</v>
      </c>
      <c r="D190" s="85" t="n">
        <v>14</v>
      </c>
      <c r="E190" s="85" t="n">
        <v>14</v>
      </c>
      <c r="F190" s="85" t="n">
        <v>14</v>
      </c>
      <c r="G190" s="85" t="n">
        <v>14</v>
      </c>
      <c r="H190" s="85" t="n">
        <v>14</v>
      </c>
      <c r="I190" s="85" t="n">
        <v>14</v>
      </c>
      <c r="J190" s="85" t="n">
        <v>14</v>
      </c>
      <c r="K190" s="85" t="n">
        <v>14</v>
      </c>
      <c r="L190" s="85" t="n">
        <v>14</v>
      </c>
      <c r="M190" s="85" t="n">
        <v>14</v>
      </c>
      <c r="N190" s="85" t="n">
        <v>14</v>
      </c>
      <c r="O190" s="85" t="n">
        <v>14</v>
      </c>
      <c r="P190" s="120"/>
    </row>
    <row r="191" customFormat="false" ht="13.5" hidden="false" customHeight="false" outlineLevel="0" collapsed="false">
      <c r="B191" s="121"/>
      <c r="C191" s="122" t="str">
        <f aca="false">C185</f>
        <v>Otros costes directos imputables al producto/servicio</v>
      </c>
      <c r="D191" s="123"/>
      <c r="E191" s="123"/>
      <c r="F191" s="123"/>
      <c r="G191" s="123"/>
      <c r="H191" s="123"/>
      <c r="I191" s="123"/>
      <c r="J191" s="123"/>
      <c r="K191" s="123"/>
      <c r="L191" s="123"/>
      <c r="M191" s="123"/>
      <c r="N191" s="123"/>
      <c r="O191" s="123"/>
      <c r="P191" s="124" t="n">
        <f aca="false">SUM(D191:O191)</f>
        <v>0</v>
      </c>
    </row>
    <row r="192" customFormat="false" ht="13.5" hidden="false" customHeight="false" outlineLevel="0" collapsed="false">
      <c r="B192" s="107" t="str">
        <f aca="false">B66</f>
        <v>Pienso natural para perro 3 kg</v>
      </c>
      <c r="C192" s="132"/>
      <c r="D192" s="125"/>
      <c r="E192" s="126"/>
      <c r="F192" s="126"/>
      <c r="G192" s="126"/>
      <c r="H192" s="126"/>
      <c r="I192" s="126"/>
      <c r="J192" s="126"/>
      <c r="K192" s="126"/>
      <c r="L192" s="126"/>
      <c r="M192" s="126"/>
      <c r="N192" s="126"/>
      <c r="O192" s="126"/>
      <c r="P192" s="110"/>
      <c r="S192" s="127"/>
    </row>
    <row r="193" customFormat="false" ht="12.75" hidden="false" customHeight="false" outlineLevel="0" collapsed="false">
      <c r="B193" s="111"/>
      <c r="C193" s="112" t="str">
        <f aca="false">C187</f>
        <v>Unidades a vender:</v>
      </c>
      <c r="D193" s="88" t="n">
        <v>93</v>
      </c>
      <c r="E193" s="88" t="n">
        <v>93</v>
      </c>
      <c r="F193" s="88" t="n">
        <v>93</v>
      </c>
      <c r="G193" s="88" t="n">
        <v>93</v>
      </c>
      <c r="H193" s="88" t="n">
        <v>93</v>
      </c>
      <c r="I193" s="88" t="n">
        <v>93</v>
      </c>
      <c r="J193" s="88" t="n">
        <v>93</v>
      </c>
      <c r="K193" s="88" t="n">
        <v>93</v>
      </c>
      <c r="L193" s="88" t="n">
        <v>93</v>
      </c>
      <c r="M193" s="88" t="n">
        <v>93</v>
      </c>
      <c r="N193" s="88" t="n">
        <v>93</v>
      </c>
      <c r="O193" s="88" t="n">
        <v>93</v>
      </c>
      <c r="P193" s="113" t="n">
        <f aca="false">SUM(D193:O193)</f>
        <v>1116</v>
      </c>
    </row>
    <row r="194" customFormat="false" ht="12.75" hidden="false" customHeight="false" outlineLevel="0" collapsed="false">
      <c r="B194" s="114"/>
      <c r="C194" s="112" t="str">
        <f aca="false">C188</f>
        <v>Precio unitario de venta:</v>
      </c>
      <c r="D194" s="85" t="n">
        <v>13</v>
      </c>
      <c r="E194" s="85" t="n">
        <v>13</v>
      </c>
      <c r="F194" s="85" t="n">
        <v>13</v>
      </c>
      <c r="G194" s="85" t="n">
        <v>13</v>
      </c>
      <c r="H194" s="85" t="n">
        <v>13</v>
      </c>
      <c r="I194" s="85" t="n">
        <v>13</v>
      </c>
      <c r="J194" s="85" t="n">
        <v>13</v>
      </c>
      <c r="K194" s="85" t="n">
        <v>13</v>
      </c>
      <c r="L194" s="85" t="n">
        <v>13</v>
      </c>
      <c r="M194" s="85" t="n">
        <v>13</v>
      </c>
      <c r="N194" s="85" t="n">
        <v>13</v>
      </c>
      <c r="O194" s="85" t="n">
        <v>13</v>
      </c>
      <c r="P194" s="116"/>
    </row>
    <row r="195" customFormat="false" ht="12.75" hidden="false" customHeight="false" outlineLevel="0" collapsed="false">
      <c r="B195" s="117"/>
      <c r="C195" s="112" t="str">
        <f aca="false">C189</f>
        <v>Ingresos previstos por ventas:</v>
      </c>
      <c r="D195" s="118" t="n">
        <f aca="false">D193*D194</f>
        <v>1209</v>
      </c>
      <c r="E195" s="118" t="n">
        <f aca="false">E193*E194</f>
        <v>1209</v>
      </c>
      <c r="F195" s="118" t="n">
        <f aca="false">F193*F194</f>
        <v>1209</v>
      </c>
      <c r="G195" s="118" t="n">
        <f aca="false">G193*G194</f>
        <v>1209</v>
      </c>
      <c r="H195" s="118" t="n">
        <f aca="false">H193*H194</f>
        <v>1209</v>
      </c>
      <c r="I195" s="118" t="n">
        <f aca="false">I193*I194</f>
        <v>1209</v>
      </c>
      <c r="J195" s="118" t="n">
        <f aca="false">J193*J194</f>
        <v>1209</v>
      </c>
      <c r="K195" s="118" t="n">
        <f aca="false">K193*K194</f>
        <v>1209</v>
      </c>
      <c r="L195" s="118" t="n">
        <f aca="false">L193*L194</f>
        <v>1209</v>
      </c>
      <c r="M195" s="118" t="n">
        <f aca="false">M193*M194</f>
        <v>1209</v>
      </c>
      <c r="N195" s="118" t="n">
        <f aca="false">N193*N194</f>
        <v>1209</v>
      </c>
      <c r="O195" s="118" t="n">
        <f aca="false">O193*O194</f>
        <v>1209</v>
      </c>
      <c r="P195" s="113" t="n">
        <f aca="false">SUM(D195:O195)</f>
        <v>14508</v>
      </c>
    </row>
    <row r="196" customFormat="false" ht="12.75" hidden="false" customHeight="false" outlineLevel="0" collapsed="false">
      <c r="B196" s="117"/>
      <c r="C196" s="112" t="str">
        <f aca="false">C190</f>
        <v>Precio unitario de compras:</v>
      </c>
      <c r="D196" s="85" t="n">
        <v>9</v>
      </c>
      <c r="E196" s="85" t="n">
        <v>9</v>
      </c>
      <c r="F196" s="85" t="n">
        <v>9</v>
      </c>
      <c r="G196" s="85" t="n">
        <v>9</v>
      </c>
      <c r="H196" s="85" t="n">
        <v>9</v>
      </c>
      <c r="I196" s="85" t="n">
        <v>9</v>
      </c>
      <c r="J196" s="85" t="n">
        <v>9</v>
      </c>
      <c r="K196" s="85" t="n">
        <v>9</v>
      </c>
      <c r="L196" s="85" t="n">
        <v>9</v>
      </c>
      <c r="M196" s="85" t="n">
        <v>9</v>
      </c>
      <c r="N196" s="85" t="n">
        <v>9</v>
      </c>
      <c r="O196" s="85" t="n">
        <v>9</v>
      </c>
      <c r="P196" s="120"/>
    </row>
    <row r="197" customFormat="false" ht="13.5" hidden="false" customHeight="false" outlineLevel="0" collapsed="false">
      <c r="B197" s="121"/>
      <c r="C197" s="122" t="str">
        <f aca="false">C191</f>
        <v>Otros costes directos imputables al producto/servicio</v>
      </c>
      <c r="D197" s="123"/>
      <c r="E197" s="123"/>
      <c r="F197" s="123"/>
      <c r="G197" s="123"/>
      <c r="H197" s="123"/>
      <c r="I197" s="123"/>
      <c r="J197" s="123"/>
      <c r="K197" s="123"/>
      <c r="L197" s="123"/>
      <c r="M197" s="123"/>
      <c r="N197" s="123"/>
      <c r="O197" s="123"/>
      <c r="P197" s="124" t="n">
        <f aca="false">SUM(D197:O197)</f>
        <v>0</v>
      </c>
    </row>
    <row r="198" customFormat="false" ht="13.5" hidden="false" customHeight="false" outlineLevel="0" collapsed="false">
      <c r="B198" s="107" t="str">
        <f aca="false">B72</f>
        <v>Pienso natural para cachorros 6 kg</v>
      </c>
      <c r="C198" s="132"/>
      <c r="D198" s="125"/>
      <c r="E198" s="126"/>
      <c r="F198" s="126"/>
      <c r="G198" s="126"/>
      <c r="H198" s="126"/>
      <c r="I198" s="126"/>
      <c r="J198" s="126"/>
      <c r="K198" s="126"/>
      <c r="L198" s="126"/>
      <c r="M198" s="126"/>
      <c r="N198" s="126"/>
      <c r="O198" s="126"/>
      <c r="P198" s="110"/>
      <c r="S198" s="127"/>
    </row>
    <row r="199" customFormat="false" ht="12.75" hidden="false" customHeight="false" outlineLevel="0" collapsed="false">
      <c r="B199" s="111"/>
      <c r="C199" s="112" t="str">
        <f aca="false">C193</f>
        <v>Unidades a vender:</v>
      </c>
      <c r="D199" s="88" t="n">
        <v>83</v>
      </c>
      <c r="E199" s="88" t="n">
        <v>83</v>
      </c>
      <c r="F199" s="88" t="n">
        <v>83</v>
      </c>
      <c r="G199" s="88" t="n">
        <v>83</v>
      </c>
      <c r="H199" s="88" t="n">
        <v>83</v>
      </c>
      <c r="I199" s="88" t="n">
        <v>83</v>
      </c>
      <c r="J199" s="88" t="n">
        <v>83</v>
      </c>
      <c r="K199" s="88" t="n">
        <v>83</v>
      </c>
      <c r="L199" s="88" t="n">
        <v>83</v>
      </c>
      <c r="M199" s="88" t="n">
        <v>83</v>
      </c>
      <c r="N199" s="88" t="n">
        <v>83</v>
      </c>
      <c r="O199" s="88" t="n">
        <v>83</v>
      </c>
      <c r="P199" s="113" t="n">
        <f aca="false">SUM(D199:O199)</f>
        <v>996</v>
      </c>
    </row>
    <row r="200" customFormat="false" ht="12.75" hidden="false" customHeight="false" outlineLevel="0" collapsed="false">
      <c r="B200" s="114"/>
      <c r="C200" s="112" t="str">
        <f aca="false">C194</f>
        <v>Precio unitario de venta:</v>
      </c>
      <c r="D200" s="85" t="n">
        <v>40</v>
      </c>
      <c r="E200" s="85" t="n">
        <v>40</v>
      </c>
      <c r="F200" s="85" t="n">
        <v>40</v>
      </c>
      <c r="G200" s="85" t="n">
        <v>40</v>
      </c>
      <c r="H200" s="85" t="n">
        <v>40</v>
      </c>
      <c r="I200" s="85" t="n">
        <v>40</v>
      </c>
      <c r="J200" s="85" t="n">
        <v>40</v>
      </c>
      <c r="K200" s="85" t="n">
        <v>40</v>
      </c>
      <c r="L200" s="85" t="n">
        <v>40</v>
      </c>
      <c r="M200" s="85" t="n">
        <v>40</v>
      </c>
      <c r="N200" s="85" t="n">
        <v>40</v>
      </c>
      <c r="O200" s="85" t="n">
        <v>40</v>
      </c>
      <c r="P200" s="116"/>
    </row>
    <row r="201" customFormat="false" ht="12.75" hidden="false" customHeight="false" outlineLevel="0" collapsed="false">
      <c r="B201" s="117"/>
      <c r="C201" s="112" t="str">
        <f aca="false">C195</f>
        <v>Ingresos previstos por ventas:</v>
      </c>
      <c r="D201" s="118" t="n">
        <f aca="false">D199*D200</f>
        <v>3320</v>
      </c>
      <c r="E201" s="118" t="n">
        <f aca="false">E199*E200</f>
        <v>3320</v>
      </c>
      <c r="F201" s="118" t="n">
        <f aca="false">F199*F200</f>
        <v>3320</v>
      </c>
      <c r="G201" s="118" t="n">
        <f aca="false">G199*G200</f>
        <v>3320</v>
      </c>
      <c r="H201" s="118" t="n">
        <f aca="false">H199*H200</f>
        <v>3320</v>
      </c>
      <c r="I201" s="118" t="n">
        <f aca="false">I199*I200</f>
        <v>3320</v>
      </c>
      <c r="J201" s="118" t="n">
        <f aca="false">J199*J200</f>
        <v>3320</v>
      </c>
      <c r="K201" s="118" t="n">
        <f aca="false">K199*K200</f>
        <v>3320</v>
      </c>
      <c r="L201" s="118" t="n">
        <f aca="false">L199*L200</f>
        <v>3320</v>
      </c>
      <c r="M201" s="118" t="n">
        <f aca="false">M199*M200</f>
        <v>3320</v>
      </c>
      <c r="N201" s="118" t="n">
        <f aca="false">N199*N200</f>
        <v>3320</v>
      </c>
      <c r="O201" s="118" t="n">
        <f aca="false">O199*O200</f>
        <v>3320</v>
      </c>
      <c r="P201" s="113" t="n">
        <f aca="false">SUM(D201:O201)</f>
        <v>39840</v>
      </c>
    </row>
    <row r="202" customFormat="false" ht="12.75" hidden="false" customHeight="false" outlineLevel="0" collapsed="false">
      <c r="B202" s="117"/>
      <c r="C202" s="112" t="str">
        <f aca="false">C196</f>
        <v>Precio unitario de compras:</v>
      </c>
      <c r="D202" s="85" t="n">
        <v>28</v>
      </c>
      <c r="E202" s="85" t="n">
        <v>28</v>
      </c>
      <c r="F202" s="85" t="n">
        <v>28</v>
      </c>
      <c r="G202" s="85" t="n">
        <v>28</v>
      </c>
      <c r="H202" s="85" t="n">
        <v>28</v>
      </c>
      <c r="I202" s="85" t="n">
        <v>28</v>
      </c>
      <c r="J202" s="85" t="n">
        <v>28</v>
      </c>
      <c r="K202" s="85" t="n">
        <v>28</v>
      </c>
      <c r="L202" s="85" t="n">
        <v>28</v>
      </c>
      <c r="M202" s="85" t="n">
        <v>28</v>
      </c>
      <c r="N202" s="85" t="n">
        <v>28</v>
      </c>
      <c r="O202" s="85" t="n">
        <v>28</v>
      </c>
      <c r="P202" s="120"/>
    </row>
    <row r="203" customFormat="false" ht="13.5" hidden="false" customHeight="false" outlineLevel="0" collapsed="false">
      <c r="B203" s="121"/>
      <c r="C203" s="122" t="str">
        <f aca="false">C197</f>
        <v>Otros costes directos imputables al producto/servicio</v>
      </c>
      <c r="D203" s="123"/>
      <c r="E203" s="123"/>
      <c r="F203" s="123"/>
      <c r="G203" s="123"/>
      <c r="H203" s="123"/>
      <c r="I203" s="123"/>
      <c r="J203" s="123"/>
      <c r="K203" s="123"/>
      <c r="L203" s="123"/>
      <c r="M203" s="123"/>
      <c r="N203" s="123"/>
      <c r="O203" s="123"/>
      <c r="P203" s="124" t="n">
        <f aca="false">SUM(D203:O203)</f>
        <v>0</v>
      </c>
    </row>
    <row r="204" customFormat="false" ht="13.5" hidden="false" customHeight="false" outlineLevel="0" collapsed="false">
      <c r="B204" s="107" t="str">
        <f aca="false">B78</f>
        <v>Menú natural semihúmedo perro</v>
      </c>
      <c r="C204" s="132"/>
      <c r="D204" s="125"/>
      <c r="E204" s="126"/>
      <c r="F204" s="126"/>
      <c r="G204" s="126"/>
      <c r="H204" s="126"/>
      <c r="I204" s="126"/>
      <c r="J204" s="126"/>
      <c r="K204" s="126"/>
      <c r="L204" s="126"/>
      <c r="M204" s="126"/>
      <c r="N204" s="126"/>
      <c r="O204" s="126"/>
      <c r="P204" s="110"/>
      <c r="S204" s="127"/>
    </row>
    <row r="205" customFormat="false" ht="12.75" hidden="false" customHeight="false" outlineLevel="0" collapsed="false">
      <c r="B205" s="111"/>
      <c r="C205" s="112" t="str">
        <f aca="false">C199</f>
        <v>Unidades a vender:</v>
      </c>
      <c r="D205" s="88" t="n">
        <v>128</v>
      </c>
      <c r="E205" s="88" t="n">
        <v>128</v>
      </c>
      <c r="F205" s="88" t="n">
        <v>128</v>
      </c>
      <c r="G205" s="88" t="n">
        <v>128</v>
      </c>
      <c r="H205" s="88" t="n">
        <v>128</v>
      </c>
      <c r="I205" s="88" t="n">
        <v>128</v>
      </c>
      <c r="J205" s="88" t="n">
        <v>128</v>
      </c>
      <c r="K205" s="88" t="n">
        <v>128</v>
      </c>
      <c r="L205" s="88" t="n">
        <v>128</v>
      </c>
      <c r="M205" s="88" t="n">
        <v>128</v>
      </c>
      <c r="N205" s="88" t="n">
        <v>128</v>
      </c>
      <c r="O205" s="88" t="n">
        <v>128</v>
      </c>
      <c r="P205" s="113" t="n">
        <f aca="false">SUM(D205:O205)</f>
        <v>1536</v>
      </c>
    </row>
    <row r="206" customFormat="false" ht="12.75" hidden="false" customHeight="false" outlineLevel="0" collapsed="false">
      <c r="B206" s="114"/>
      <c r="C206" s="112" t="str">
        <f aca="false">C200</f>
        <v>Precio unitario de venta:</v>
      </c>
      <c r="D206" s="85" t="n">
        <v>13</v>
      </c>
      <c r="E206" s="85" t="n">
        <v>13</v>
      </c>
      <c r="F206" s="85" t="n">
        <v>13</v>
      </c>
      <c r="G206" s="85" t="n">
        <v>13</v>
      </c>
      <c r="H206" s="85" t="n">
        <v>13</v>
      </c>
      <c r="I206" s="85" t="n">
        <v>13</v>
      </c>
      <c r="J206" s="85" t="n">
        <v>13</v>
      </c>
      <c r="K206" s="85" t="n">
        <v>13</v>
      </c>
      <c r="L206" s="85" t="n">
        <v>13</v>
      </c>
      <c r="M206" s="85" t="n">
        <v>13</v>
      </c>
      <c r="N206" s="85" t="n">
        <v>13</v>
      </c>
      <c r="O206" s="85" t="n">
        <v>13</v>
      </c>
      <c r="P206" s="116"/>
    </row>
    <row r="207" customFormat="false" ht="12.75" hidden="false" customHeight="false" outlineLevel="0" collapsed="false">
      <c r="B207" s="117"/>
      <c r="C207" s="112" t="str">
        <f aca="false">C201</f>
        <v>Ingresos previstos por ventas:</v>
      </c>
      <c r="D207" s="118" t="n">
        <f aca="false">D205*D206</f>
        <v>1664</v>
      </c>
      <c r="E207" s="118" t="n">
        <f aca="false">E205*E206</f>
        <v>1664</v>
      </c>
      <c r="F207" s="118" t="n">
        <f aca="false">F205*F206</f>
        <v>1664</v>
      </c>
      <c r="G207" s="118" t="n">
        <f aca="false">G205*G206</f>
        <v>1664</v>
      </c>
      <c r="H207" s="118" t="n">
        <f aca="false">H205*H206</f>
        <v>1664</v>
      </c>
      <c r="I207" s="118" t="n">
        <f aca="false">I205*I206</f>
        <v>1664</v>
      </c>
      <c r="J207" s="118" t="n">
        <f aca="false">J205*J206</f>
        <v>1664</v>
      </c>
      <c r="K207" s="118" t="n">
        <f aca="false">K205*K206</f>
        <v>1664</v>
      </c>
      <c r="L207" s="118" t="n">
        <f aca="false">L205*L206</f>
        <v>1664</v>
      </c>
      <c r="M207" s="118" t="n">
        <f aca="false">M205*M206</f>
        <v>1664</v>
      </c>
      <c r="N207" s="118" t="n">
        <f aca="false">N205*N206</f>
        <v>1664</v>
      </c>
      <c r="O207" s="118" t="n">
        <f aca="false">O205*O206</f>
        <v>1664</v>
      </c>
      <c r="P207" s="113" t="n">
        <f aca="false">SUM(D207:O207)</f>
        <v>19968</v>
      </c>
    </row>
    <row r="208" customFormat="false" ht="12.75" hidden="false" customHeight="false" outlineLevel="0" collapsed="false">
      <c r="B208" s="117"/>
      <c r="C208" s="112" t="str">
        <f aca="false">C202</f>
        <v>Precio unitario de compras:</v>
      </c>
      <c r="D208" s="85" t="n">
        <v>9</v>
      </c>
      <c r="E208" s="85" t="n">
        <v>9</v>
      </c>
      <c r="F208" s="85" t="n">
        <v>9</v>
      </c>
      <c r="G208" s="85" t="n">
        <v>9</v>
      </c>
      <c r="H208" s="85" t="n">
        <v>9</v>
      </c>
      <c r="I208" s="85" t="n">
        <v>9</v>
      </c>
      <c r="J208" s="85" t="n">
        <v>9</v>
      </c>
      <c r="K208" s="85" t="n">
        <v>9</v>
      </c>
      <c r="L208" s="85" t="n">
        <v>9</v>
      </c>
      <c r="M208" s="85" t="n">
        <v>9</v>
      </c>
      <c r="N208" s="85" t="n">
        <v>9</v>
      </c>
      <c r="O208" s="85" t="n">
        <v>9</v>
      </c>
      <c r="P208" s="120"/>
    </row>
    <row r="209" customFormat="false" ht="13.5" hidden="false" customHeight="false" outlineLevel="0" collapsed="false">
      <c r="B209" s="121"/>
      <c r="C209" s="122" t="str">
        <f aca="false">C203</f>
        <v>Otros costes directos imputables al producto/servicio</v>
      </c>
      <c r="D209" s="123"/>
      <c r="E209" s="123"/>
      <c r="F209" s="123"/>
      <c r="G209" s="123"/>
      <c r="H209" s="123"/>
      <c r="I209" s="123"/>
      <c r="J209" s="123"/>
      <c r="K209" s="123"/>
      <c r="L209" s="123"/>
      <c r="M209" s="123"/>
      <c r="N209" s="123"/>
      <c r="O209" s="123"/>
      <c r="P209" s="124" t="n">
        <f aca="false">SUM(D209:O209)</f>
        <v>0</v>
      </c>
    </row>
    <row r="210" customFormat="false" ht="13.5" hidden="false" customHeight="false" outlineLevel="0" collapsed="false">
      <c r="B210" s="107" t="str">
        <f aca="false">B84</f>
        <v>Comida húmeda para gatos 26 pouches</v>
      </c>
      <c r="C210" s="132"/>
      <c r="D210" s="125"/>
      <c r="E210" s="126"/>
      <c r="F210" s="126"/>
      <c r="G210" s="126"/>
      <c r="H210" s="126"/>
      <c r="I210" s="126"/>
      <c r="J210" s="126"/>
      <c r="K210" s="126"/>
      <c r="L210" s="126"/>
      <c r="M210" s="126"/>
      <c r="N210" s="126"/>
      <c r="O210" s="126"/>
      <c r="P210" s="110"/>
      <c r="S210" s="127"/>
    </row>
    <row r="211" customFormat="false" ht="12.75" hidden="false" customHeight="false" outlineLevel="0" collapsed="false">
      <c r="B211" s="111"/>
      <c r="C211" s="112" t="str">
        <f aca="false">C205</f>
        <v>Unidades a vender:</v>
      </c>
      <c r="D211" s="88" t="n">
        <v>78</v>
      </c>
      <c r="E211" s="88" t="n">
        <v>78</v>
      </c>
      <c r="F211" s="88" t="n">
        <v>78</v>
      </c>
      <c r="G211" s="88" t="n">
        <v>78</v>
      </c>
      <c r="H211" s="88" t="n">
        <v>78</v>
      </c>
      <c r="I211" s="88" t="n">
        <v>78</v>
      </c>
      <c r="J211" s="88" t="n">
        <v>78</v>
      </c>
      <c r="K211" s="88" t="n">
        <v>78</v>
      </c>
      <c r="L211" s="88" t="n">
        <v>78</v>
      </c>
      <c r="M211" s="88" t="n">
        <v>78</v>
      </c>
      <c r="N211" s="88" t="n">
        <v>78</v>
      </c>
      <c r="O211" s="88" t="n">
        <v>78</v>
      </c>
      <c r="P211" s="113" t="n">
        <f aca="false">SUM(D211:O211)</f>
        <v>936</v>
      </c>
    </row>
    <row r="212" customFormat="false" ht="12.75" hidden="false" customHeight="false" outlineLevel="0" collapsed="false">
      <c r="B212" s="114"/>
      <c r="C212" s="112" t="str">
        <f aca="false">C206</f>
        <v>Precio unitario de venta:</v>
      </c>
      <c r="D212" s="85" t="n">
        <v>21</v>
      </c>
      <c r="E212" s="85" t="n">
        <v>21</v>
      </c>
      <c r="F212" s="85" t="n">
        <v>21</v>
      </c>
      <c r="G212" s="85" t="n">
        <v>21</v>
      </c>
      <c r="H212" s="85" t="n">
        <v>21</v>
      </c>
      <c r="I212" s="85" t="n">
        <v>21</v>
      </c>
      <c r="J212" s="85" t="n">
        <v>21</v>
      </c>
      <c r="K212" s="85" t="n">
        <v>21</v>
      </c>
      <c r="L212" s="85" t="n">
        <v>21</v>
      </c>
      <c r="M212" s="85" t="n">
        <v>21</v>
      </c>
      <c r="N212" s="85" t="n">
        <v>21</v>
      </c>
      <c r="O212" s="85" t="n">
        <v>21</v>
      </c>
      <c r="P212" s="116"/>
    </row>
    <row r="213" customFormat="false" ht="12.75" hidden="false" customHeight="false" outlineLevel="0" collapsed="false">
      <c r="B213" s="117"/>
      <c r="C213" s="112" t="str">
        <f aca="false">C207</f>
        <v>Ingresos previstos por ventas:</v>
      </c>
      <c r="D213" s="118" t="n">
        <f aca="false">D211*D212</f>
        <v>1638</v>
      </c>
      <c r="E213" s="118" t="n">
        <f aca="false">E211*E212</f>
        <v>1638</v>
      </c>
      <c r="F213" s="118" t="n">
        <f aca="false">F211*F212</f>
        <v>1638</v>
      </c>
      <c r="G213" s="118" t="n">
        <f aca="false">G211*G212</f>
        <v>1638</v>
      </c>
      <c r="H213" s="118" t="n">
        <f aca="false">H211*H212</f>
        <v>1638</v>
      </c>
      <c r="I213" s="118" t="n">
        <f aca="false">I211*I212</f>
        <v>1638</v>
      </c>
      <c r="J213" s="118" t="n">
        <f aca="false">J211*J212</f>
        <v>1638</v>
      </c>
      <c r="K213" s="118" t="n">
        <f aca="false">K211*K212</f>
        <v>1638</v>
      </c>
      <c r="L213" s="118" t="n">
        <f aca="false">L211*L212</f>
        <v>1638</v>
      </c>
      <c r="M213" s="118" t="n">
        <f aca="false">M211*M212</f>
        <v>1638</v>
      </c>
      <c r="N213" s="118" t="n">
        <f aca="false">N211*N212</f>
        <v>1638</v>
      </c>
      <c r="O213" s="118" t="n">
        <f aca="false">O211*O212</f>
        <v>1638</v>
      </c>
      <c r="P213" s="113" t="n">
        <f aca="false">SUM(D213:O213)</f>
        <v>19656</v>
      </c>
    </row>
    <row r="214" customFormat="false" ht="12.75" hidden="false" customHeight="false" outlineLevel="0" collapsed="false">
      <c r="B214" s="117"/>
      <c r="C214" s="112" t="str">
        <f aca="false">C208</f>
        <v>Precio unitario de compras:</v>
      </c>
      <c r="D214" s="85" t="n">
        <v>15</v>
      </c>
      <c r="E214" s="85" t="n">
        <v>15</v>
      </c>
      <c r="F214" s="85" t="n">
        <v>15</v>
      </c>
      <c r="G214" s="85" t="n">
        <v>15</v>
      </c>
      <c r="H214" s="85" t="n">
        <v>15</v>
      </c>
      <c r="I214" s="85" t="n">
        <v>15</v>
      </c>
      <c r="J214" s="85" t="n">
        <v>15</v>
      </c>
      <c r="K214" s="85" t="n">
        <v>15</v>
      </c>
      <c r="L214" s="85" t="n">
        <v>15</v>
      </c>
      <c r="M214" s="85" t="n">
        <v>15</v>
      </c>
      <c r="N214" s="85" t="n">
        <v>15</v>
      </c>
      <c r="O214" s="85" t="n">
        <v>15</v>
      </c>
      <c r="P214" s="120"/>
    </row>
    <row r="215" customFormat="false" ht="13.5" hidden="false" customHeight="false" outlineLevel="0" collapsed="false">
      <c r="B215" s="121"/>
      <c r="C215" s="122" t="str">
        <f aca="false">C209</f>
        <v>Otros costes directos imputables al producto/servicio</v>
      </c>
      <c r="D215" s="123"/>
      <c r="E215" s="123"/>
      <c r="F215" s="123"/>
      <c r="G215" s="123"/>
      <c r="H215" s="123"/>
      <c r="I215" s="123"/>
      <c r="J215" s="123"/>
      <c r="K215" s="123"/>
      <c r="L215" s="123"/>
      <c r="M215" s="123"/>
      <c r="N215" s="123"/>
      <c r="O215" s="123"/>
      <c r="P215" s="124" t="n">
        <f aca="false">SUM(D215:O215)</f>
        <v>0</v>
      </c>
    </row>
    <row r="216" customFormat="false" ht="13.5" hidden="false" customHeight="false" outlineLevel="0" collapsed="false">
      <c r="D216" s="129" t="s">
        <v>142</v>
      </c>
      <c r="E216" s="130"/>
      <c r="F216" s="130"/>
      <c r="G216" s="130"/>
      <c r="H216" s="130"/>
      <c r="I216" s="130"/>
      <c r="J216" s="130"/>
      <c r="K216" s="130"/>
      <c r="L216" s="130"/>
      <c r="M216" s="130"/>
      <c r="N216" s="130"/>
      <c r="O216" s="130"/>
    </row>
    <row r="219" customFormat="false" ht="13.5" hidden="false" customHeight="false" outlineLevel="0" collapsed="false">
      <c r="C219" s="35"/>
      <c r="D219" s="133"/>
      <c r="E219" s="134"/>
      <c r="F219" s="134"/>
      <c r="G219" s="48"/>
    </row>
    <row r="220" customFormat="false" ht="12" hidden="false" customHeight="true" outlineLevel="0" collapsed="false">
      <c r="C220" s="135" t="s">
        <v>143</v>
      </c>
      <c r="D220" s="136" t="s">
        <v>144</v>
      </c>
      <c r="E220" s="136" t="s">
        <v>145</v>
      </c>
      <c r="F220" s="137" t="s">
        <v>146</v>
      </c>
      <c r="G220" s="48"/>
      <c r="H220" s="138" t="s">
        <v>147</v>
      </c>
      <c r="I220" s="138"/>
      <c r="J220" s="138"/>
      <c r="K220" s="138"/>
      <c r="L220" s="138"/>
      <c r="M220" s="138"/>
      <c r="N220" s="138"/>
    </row>
    <row r="221" customFormat="false" ht="12.75" hidden="false" customHeight="false" outlineLevel="0" collapsed="false">
      <c r="C221" s="135"/>
      <c r="D221" s="136"/>
      <c r="E221" s="136"/>
      <c r="F221" s="137"/>
      <c r="G221" s="48"/>
      <c r="H221" s="138"/>
      <c r="I221" s="138"/>
      <c r="J221" s="138"/>
      <c r="K221" s="138"/>
      <c r="L221" s="138"/>
      <c r="M221" s="138"/>
      <c r="N221" s="138"/>
    </row>
    <row r="222" customFormat="false" ht="12.75" hidden="false" customHeight="false" outlineLevel="0" collapsed="false">
      <c r="C222" s="139" t="s">
        <v>148</v>
      </c>
      <c r="D222" s="76" t="n">
        <v>0.05</v>
      </c>
      <c r="E222" s="76" t="n">
        <v>0.05</v>
      </c>
      <c r="F222" s="140" t="n">
        <v>0.05</v>
      </c>
      <c r="G222" s="48"/>
      <c r="H222" s="138"/>
      <c r="I222" s="138"/>
      <c r="J222" s="138"/>
      <c r="K222" s="138"/>
      <c r="L222" s="138"/>
      <c r="M222" s="138"/>
      <c r="N222" s="138"/>
    </row>
    <row r="223" customFormat="false" ht="12.75" hidden="false" customHeight="false" outlineLevel="0" collapsed="false">
      <c r="C223" s="141" t="s">
        <v>149</v>
      </c>
      <c r="D223" s="76" t="n">
        <v>0</v>
      </c>
      <c r="E223" s="76" t="n">
        <v>0</v>
      </c>
      <c r="F223" s="140" t="n">
        <v>0</v>
      </c>
      <c r="G223" s="48"/>
      <c r="H223" s="138"/>
      <c r="I223" s="138"/>
      <c r="J223" s="138"/>
      <c r="K223" s="138"/>
      <c r="L223" s="138"/>
      <c r="M223" s="138"/>
      <c r="N223" s="138"/>
    </row>
    <row r="224" customFormat="false" ht="12.75" hidden="false" customHeight="false" outlineLevel="0" collapsed="false">
      <c r="C224" s="141" t="s">
        <v>150</v>
      </c>
      <c r="D224" s="76" t="n">
        <v>0</v>
      </c>
      <c r="E224" s="76" t="n">
        <v>0</v>
      </c>
      <c r="F224" s="140" t="n">
        <v>0</v>
      </c>
      <c r="G224" s="48"/>
      <c r="H224" s="138"/>
      <c r="I224" s="138"/>
      <c r="J224" s="138"/>
      <c r="K224" s="138"/>
      <c r="L224" s="138"/>
      <c r="M224" s="138"/>
      <c r="N224" s="138"/>
    </row>
    <row r="225" customFormat="false" ht="12.75" hidden="false" customHeight="false" outlineLevel="0" collapsed="false">
      <c r="C225" s="141" t="s">
        <v>151</v>
      </c>
      <c r="D225" s="76" t="n">
        <v>0</v>
      </c>
      <c r="E225" s="76" t="n">
        <v>0</v>
      </c>
      <c r="F225" s="140" t="n">
        <v>0</v>
      </c>
      <c r="G225" s="48"/>
      <c r="H225" s="138"/>
      <c r="I225" s="138"/>
      <c r="J225" s="138"/>
      <c r="K225" s="138"/>
      <c r="L225" s="138"/>
      <c r="M225" s="138"/>
      <c r="N225" s="138"/>
    </row>
    <row r="226" customFormat="false" ht="12.75" hidden="false" customHeight="false" outlineLevel="0" collapsed="false">
      <c r="C226" s="141"/>
      <c r="D226" s="76" t="n">
        <v>0</v>
      </c>
      <c r="E226" s="76" t="n">
        <v>0</v>
      </c>
      <c r="F226" s="140" t="n">
        <v>0</v>
      </c>
      <c r="G226" s="35"/>
      <c r="H226" s="138"/>
      <c r="I226" s="138"/>
      <c r="J226" s="138"/>
      <c r="K226" s="138"/>
      <c r="L226" s="138"/>
      <c r="M226" s="138"/>
      <c r="N226" s="138"/>
    </row>
    <row r="227" customFormat="false" ht="13.5" hidden="false" customHeight="false" outlineLevel="0" collapsed="false">
      <c r="C227" s="142"/>
      <c r="D227" s="143" t="n">
        <v>0</v>
      </c>
      <c r="E227" s="143" t="n">
        <v>0</v>
      </c>
      <c r="F227" s="144" t="n">
        <v>0</v>
      </c>
      <c r="G227" s="35"/>
      <c r="H227" s="138"/>
      <c r="I227" s="138"/>
      <c r="J227" s="138"/>
      <c r="K227" s="138"/>
      <c r="L227" s="138"/>
      <c r="M227" s="138"/>
      <c r="N227" s="138"/>
    </row>
    <row r="228" customFormat="false" ht="12.75" hidden="false" customHeight="false" outlineLevel="0" collapsed="false">
      <c r="C228" s="145"/>
      <c r="D228" s="78"/>
      <c r="E228" s="78"/>
      <c r="F228" s="78"/>
      <c r="G228" s="35"/>
    </row>
    <row r="231" customFormat="false" ht="13.5" hidden="false" customHeight="false" outlineLevel="0" collapsed="false"/>
    <row r="232" customFormat="false" ht="39" hidden="false" customHeight="true" outlineLevel="0" collapsed="false">
      <c r="C232" s="146" t="s">
        <v>152</v>
      </c>
      <c r="D232" s="146"/>
      <c r="E232" s="146"/>
      <c r="F232" s="146"/>
      <c r="G232" s="147" t="s">
        <v>153</v>
      </c>
      <c r="I232" s="138" t="s">
        <v>154</v>
      </c>
      <c r="J232" s="138"/>
      <c r="K232" s="138"/>
      <c r="L232" s="138"/>
      <c r="M232" s="138"/>
      <c r="N232" s="138"/>
      <c r="O232" s="138"/>
    </row>
    <row r="233" customFormat="false" ht="12.75" hidden="false" customHeight="false" outlineLevel="0" collapsed="false">
      <c r="C233" s="148" t="s">
        <v>155</v>
      </c>
      <c r="D233" s="149" t="s">
        <v>156</v>
      </c>
      <c r="E233" s="149" t="s">
        <v>157</v>
      </c>
      <c r="F233" s="150" t="s">
        <v>158</v>
      </c>
      <c r="G233" s="147"/>
      <c r="I233" s="138"/>
      <c r="J233" s="138"/>
      <c r="K233" s="138"/>
      <c r="L233" s="138"/>
      <c r="M233" s="138"/>
      <c r="N233" s="138"/>
      <c r="O233" s="138"/>
      <c r="R233" s="151" t="s">
        <v>159</v>
      </c>
      <c r="S233" s="151" t="s">
        <v>120</v>
      </c>
      <c r="T233" s="151" t="s">
        <v>160</v>
      </c>
      <c r="U233" s="151" t="s">
        <v>161</v>
      </c>
      <c r="V233" s="151" t="s">
        <v>162</v>
      </c>
    </row>
    <row r="234" customFormat="false" ht="12.75" hidden="false" customHeight="false" outlineLevel="0" collapsed="false">
      <c r="C234" s="152" t="str">
        <f aca="false">B30</f>
        <v>Pienso para perro adulto 12 kg</v>
      </c>
      <c r="D234" s="88" t="n">
        <v>55</v>
      </c>
      <c r="E234" s="85" t="n">
        <v>45</v>
      </c>
      <c r="F234" s="153" t="n">
        <f aca="false">D234*E234</f>
        <v>2475</v>
      </c>
      <c r="G234" s="154" t="n">
        <f aca="false">'Datos generales'!$D$10</f>
        <v>44927</v>
      </c>
      <c r="I234" s="138"/>
      <c r="J234" s="138"/>
      <c r="K234" s="138"/>
      <c r="L234" s="138"/>
      <c r="M234" s="138"/>
      <c r="N234" s="138"/>
      <c r="O234" s="138"/>
      <c r="R234" s="155" t="n">
        <f aca="false">DATE(YEAR(G234),MONTH(G234),DAY(G234))</f>
        <v>44927</v>
      </c>
      <c r="S234" s="104" t="n">
        <f aca="false">YEAR(R234)</f>
        <v>2023</v>
      </c>
      <c r="T234" s="104" t="n">
        <f aca="false">IF('Datos generales'!$D$10=G234,0,IF('Datos generales'!$P$10=S234,MONTH(R234),0))</f>
        <v>0</v>
      </c>
      <c r="U234" s="104" t="n">
        <f aca="false">IF('Datos generales'!$D$10=G234,0,IF('Datos generales'!$P$10+1=S234,MONTH(R234),0))</f>
        <v>0</v>
      </c>
      <c r="V234" s="104" t="n">
        <f aca="false">IF('Datos generales'!$D$10=G234,0,IF('Datos generales'!$P$10+2=S234,MONTH(R234),0))</f>
        <v>0</v>
      </c>
    </row>
    <row r="235" customFormat="false" ht="12.75" hidden="false" customHeight="false" outlineLevel="0" collapsed="false">
      <c r="C235" s="152" t="str">
        <f aca="false">B36</f>
        <v>Pienso para gato adulto 10 kg</v>
      </c>
      <c r="D235" s="88" t="n">
        <v>45</v>
      </c>
      <c r="E235" s="85" t="n">
        <v>50</v>
      </c>
      <c r="F235" s="153" t="n">
        <f aca="false">D235*E235</f>
        <v>2250</v>
      </c>
      <c r="G235" s="154" t="n">
        <f aca="false">'Datos generales'!$D$10</f>
        <v>44927</v>
      </c>
      <c r="I235" s="138"/>
      <c r="J235" s="138"/>
      <c r="K235" s="138"/>
      <c r="L235" s="138"/>
      <c r="M235" s="138"/>
      <c r="N235" s="138"/>
      <c r="O235" s="138"/>
      <c r="R235" s="155" t="n">
        <f aca="false">DATE(YEAR(G235),MONTH(G235),DAY(G235))</f>
        <v>44927</v>
      </c>
      <c r="S235" s="104" t="n">
        <f aca="false">YEAR(R235)</f>
        <v>2023</v>
      </c>
      <c r="T235" s="104" t="n">
        <f aca="false">IF('Datos generales'!$D$10=G235,0,IF('Datos generales'!$P$10=S235,MONTH(R235),0))</f>
        <v>0</v>
      </c>
      <c r="U235" s="104" t="n">
        <f aca="false">IF('Datos generales'!$D$10=G235,0,IF('Datos generales'!$P$10+1=S235,MONTH(R235),0))</f>
        <v>0</v>
      </c>
      <c r="V235" s="104" t="n">
        <f aca="false">IF('Datos generales'!$D$10=G235,0,IF('Datos generales'!$P$10+2=S235,MONTH(R235),0))</f>
        <v>0</v>
      </c>
    </row>
    <row r="236" customFormat="false" ht="12.75" hidden="false" customHeight="false" outlineLevel="0" collapsed="false">
      <c r="C236" s="152" t="str">
        <f aca="false">B42</f>
        <v>Pienso para loros 12 kg</v>
      </c>
      <c r="D236" s="88" t="n">
        <v>33</v>
      </c>
      <c r="E236" s="85" t="n">
        <v>65</v>
      </c>
      <c r="F236" s="153" t="n">
        <f aca="false">D236*E236</f>
        <v>2145</v>
      </c>
      <c r="G236" s="154" t="n">
        <f aca="false">'Datos generales'!$D$10</f>
        <v>44927</v>
      </c>
      <c r="I236" s="138"/>
      <c r="J236" s="138"/>
      <c r="K236" s="138"/>
      <c r="L236" s="138"/>
      <c r="M236" s="138"/>
      <c r="N236" s="138"/>
      <c r="O236" s="138"/>
      <c r="R236" s="155" t="n">
        <f aca="false">DATE(YEAR(G236),MONTH(G236),DAY(G236))</f>
        <v>44927</v>
      </c>
      <c r="S236" s="104" t="n">
        <f aca="false">YEAR(R236)</f>
        <v>2023</v>
      </c>
      <c r="T236" s="104" t="n">
        <f aca="false">IF('Datos generales'!$D$10=G236,0,IF('Datos generales'!$P$10=S236,MONTH(R236),0))</f>
        <v>0</v>
      </c>
      <c r="U236" s="104" t="n">
        <f aca="false">IF('Datos generales'!$D$10=G236,0,IF('Datos generales'!$P$10+1=S236,MONTH(R236),0))</f>
        <v>0</v>
      </c>
      <c r="V236" s="104" t="n">
        <f aca="false">IF('Datos generales'!$D$10=G236,0,IF('Datos generales'!$P$10+2=S236,MONTH(R236),0))</f>
        <v>0</v>
      </c>
    </row>
    <row r="237" customFormat="false" ht="12.75" hidden="false" customHeight="false" outlineLevel="0" collapsed="false">
      <c r="C237" s="152" t="str">
        <f aca="false">B48</f>
        <v>Pienso para cobayas 3 kg</v>
      </c>
      <c r="D237" s="88" t="n">
        <v>83</v>
      </c>
      <c r="E237" s="85" t="n">
        <v>8</v>
      </c>
      <c r="F237" s="153" t="n">
        <f aca="false">D237*E237</f>
        <v>664</v>
      </c>
      <c r="G237" s="154" t="n">
        <f aca="false">'Datos generales'!$D$10</f>
        <v>44927</v>
      </c>
      <c r="I237" s="138"/>
      <c r="J237" s="138"/>
      <c r="K237" s="138"/>
      <c r="L237" s="138"/>
      <c r="M237" s="138"/>
      <c r="N237" s="138"/>
      <c r="O237" s="138"/>
      <c r="R237" s="155" t="n">
        <f aca="false">DATE(YEAR(G237),MONTH(G237),DAY(G237))</f>
        <v>44927</v>
      </c>
      <c r="S237" s="104" t="n">
        <f aca="false">YEAR(R237)</f>
        <v>2023</v>
      </c>
      <c r="T237" s="104" t="n">
        <f aca="false">IF('Datos generales'!$D$10=G237,0,IF('Datos generales'!$P$10=S237,MONTH(R237),0))</f>
        <v>0</v>
      </c>
      <c r="U237" s="104" t="n">
        <f aca="false">IF('Datos generales'!$D$10=G237,0,IF('Datos generales'!$P$10+1=S237,MONTH(R237),0))</f>
        <v>0</v>
      </c>
      <c r="V237" s="104" t="n">
        <f aca="false">IF('Datos generales'!$D$10=G237,0,IF('Datos generales'!$P$10+2=S237,MONTH(R237),0))</f>
        <v>0</v>
      </c>
    </row>
    <row r="238" customFormat="false" ht="12.75" hidden="false" customHeight="false" outlineLevel="0" collapsed="false">
      <c r="C238" s="152" t="str">
        <f aca="false">B54</f>
        <v>Pienso para conejo adulto 1,75 kg</v>
      </c>
      <c r="D238" s="88" t="n">
        <v>38</v>
      </c>
      <c r="E238" s="85" t="n">
        <v>14</v>
      </c>
      <c r="F238" s="153" t="n">
        <f aca="false">D238*E238</f>
        <v>532</v>
      </c>
      <c r="G238" s="154" t="n">
        <f aca="false">'Datos generales'!$D$10</f>
        <v>44927</v>
      </c>
      <c r="I238" s="138"/>
      <c r="J238" s="138"/>
      <c r="K238" s="138"/>
      <c r="L238" s="138"/>
      <c r="M238" s="138"/>
      <c r="N238" s="138"/>
      <c r="O238" s="138"/>
      <c r="R238" s="155" t="n">
        <f aca="false">DATE(YEAR(G238),MONTH(G238),DAY(G238))</f>
        <v>44927</v>
      </c>
      <c r="S238" s="104" t="n">
        <f aca="false">YEAR(R238)</f>
        <v>2023</v>
      </c>
      <c r="T238" s="104" t="n">
        <f aca="false">IF('Datos generales'!$D$10=G238,0,IF('Datos generales'!$P$10=S238,MONTH(R238),0))</f>
        <v>0</v>
      </c>
      <c r="U238" s="104" t="n">
        <f aca="false">IF('Datos generales'!$D$10=G238,0,IF('Datos generales'!$P$10+1=S238,MONTH(R238),0))</f>
        <v>0</v>
      </c>
      <c r="V238" s="104" t="n">
        <f aca="false">IF('Datos generales'!$D$10=G238,0,IF('Datos generales'!$P$10+2=S238,MONTH(R238),0))</f>
        <v>0</v>
      </c>
    </row>
    <row r="239" customFormat="false" ht="12.75" hidden="false" customHeight="false" outlineLevel="0" collapsed="false">
      <c r="C239" s="152" t="str">
        <f aca="false">B60</f>
        <v>Pienso para hamsters 1 kg</v>
      </c>
      <c r="D239" s="88" t="n">
        <v>53</v>
      </c>
      <c r="E239" s="85" t="n">
        <v>14</v>
      </c>
      <c r="F239" s="153" t="n">
        <f aca="false">D239*E239</f>
        <v>742</v>
      </c>
      <c r="G239" s="154" t="n">
        <f aca="false">'Datos generales'!$D$10</f>
        <v>44927</v>
      </c>
      <c r="I239" s="138"/>
      <c r="J239" s="138"/>
      <c r="K239" s="138"/>
      <c r="L239" s="138"/>
      <c r="M239" s="138"/>
      <c r="N239" s="138"/>
      <c r="O239" s="138"/>
      <c r="R239" s="155" t="n">
        <f aca="false">DATE(YEAR(G239),MONTH(G239),DAY(G239))</f>
        <v>44927</v>
      </c>
      <c r="S239" s="104" t="n">
        <f aca="false">YEAR(R239)</f>
        <v>2023</v>
      </c>
      <c r="T239" s="104" t="n">
        <f aca="false">IF('Datos generales'!$D$10=G239,0,IF('Datos generales'!$P$10=S239,MONTH(R239),0))</f>
        <v>0</v>
      </c>
      <c r="U239" s="104" t="n">
        <f aca="false">IF('Datos generales'!$D$10=G239,0,IF('Datos generales'!$P$10+1=S239,MONTH(R239),0))</f>
        <v>0</v>
      </c>
      <c r="V239" s="104" t="n">
        <f aca="false">IF('Datos generales'!$D$10=G239,0,IF('Datos generales'!$P$10+2=S239,MONTH(R239),0))</f>
        <v>0</v>
      </c>
    </row>
    <row r="240" customFormat="false" ht="12.75" hidden="false" customHeight="false" outlineLevel="0" collapsed="false">
      <c r="C240" s="152" t="str">
        <f aca="false">B66</f>
        <v>Pienso natural para perro 3 kg</v>
      </c>
      <c r="D240" s="88" t="n">
        <v>68</v>
      </c>
      <c r="E240" s="85" t="n">
        <v>9</v>
      </c>
      <c r="F240" s="153" t="n">
        <f aca="false">D240*E240</f>
        <v>612</v>
      </c>
      <c r="G240" s="154" t="n">
        <f aca="false">'Datos generales'!$D$10</f>
        <v>44927</v>
      </c>
      <c r="I240" s="138"/>
      <c r="J240" s="138"/>
      <c r="K240" s="138"/>
      <c r="L240" s="138"/>
      <c r="M240" s="138"/>
      <c r="N240" s="138"/>
      <c r="O240" s="138"/>
      <c r="R240" s="155" t="n">
        <f aca="false">DATE(YEAR(G240),MONTH(G240),DAY(G240))</f>
        <v>44927</v>
      </c>
      <c r="S240" s="104" t="n">
        <f aca="false">YEAR(R240)</f>
        <v>2023</v>
      </c>
      <c r="T240" s="104" t="n">
        <f aca="false">IF('Datos generales'!$D$10=G240,0,IF('Datos generales'!$P$10=S240,MONTH(R240),0))</f>
        <v>0</v>
      </c>
      <c r="U240" s="104" t="n">
        <f aca="false">IF('Datos generales'!$D$10=G240,0,IF('Datos generales'!$P$10+1=S240,MONTH(R240),0))</f>
        <v>0</v>
      </c>
      <c r="V240" s="104" t="n">
        <f aca="false">IF('Datos generales'!$D$10=G240,0,IF('Datos generales'!$P$10+2=S240,MONTH(R240),0))</f>
        <v>0</v>
      </c>
    </row>
    <row r="241" customFormat="false" ht="12.75" hidden="false" customHeight="false" outlineLevel="0" collapsed="false">
      <c r="C241" s="152" t="str">
        <f aca="false">B72</f>
        <v>Pienso natural para cachorros 6 kg</v>
      </c>
      <c r="D241" s="88" t="n">
        <v>58</v>
      </c>
      <c r="E241" s="85" t="n">
        <v>28</v>
      </c>
      <c r="F241" s="153" t="n">
        <f aca="false">D241*E241</f>
        <v>1624</v>
      </c>
      <c r="G241" s="154" t="n">
        <f aca="false">'Datos generales'!$D$10</f>
        <v>44927</v>
      </c>
      <c r="I241" s="138"/>
      <c r="J241" s="138"/>
      <c r="K241" s="138"/>
      <c r="L241" s="138"/>
      <c r="M241" s="138"/>
      <c r="N241" s="138"/>
      <c r="O241" s="138"/>
      <c r="R241" s="155" t="n">
        <f aca="false">DATE(YEAR(G241),MONTH(G241),DAY(G241))</f>
        <v>44927</v>
      </c>
      <c r="S241" s="104" t="n">
        <f aca="false">YEAR(R241)</f>
        <v>2023</v>
      </c>
      <c r="T241" s="104" t="n">
        <f aca="false">IF('Datos generales'!$D$10=G241,0,IF('Datos generales'!$P$10=S241,MONTH(R241),0))</f>
        <v>0</v>
      </c>
      <c r="U241" s="104" t="n">
        <f aca="false">IF('Datos generales'!$D$10=G241,0,IF('Datos generales'!$P$10+1=S241,MONTH(R241),0))</f>
        <v>0</v>
      </c>
      <c r="V241" s="104" t="n">
        <f aca="false">IF('Datos generales'!$D$10=G241,0,IF('Datos generales'!$P$10+2=S241,MONTH(R241),0))</f>
        <v>0</v>
      </c>
    </row>
    <row r="242" customFormat="false" ht="12.75" hidden="false" customHeight="false" outlineLevel="0" collapsed="false">
      <c r="C242" s="152" t="str">
        <f aca="false">B78</f>
        <v>Menú natural semihúmedo perro</v>
      </c>
      <c r="D242" s="88" t="n">
        <v>101</v>
      </c>
      <c r="E242" s="85" t="n">
        <v>9</v>
      </c>
      <c r="F242" s="153" t="n">
        <f aca="false">D242*E242</f>
        <v>909</v>
      </c>
      <c r="G242" s="154" t="n">
        <f aca="false">'Datos generales'!$D$10</f>
        <v>44927</v>
      </c>
      <c r="I242" s="138"/>
      <c r="J242" s="138"/>
      <c r="K242" s="138"/>
      <c r="L242" s="138"/>
      <c r="M242" s="138"/>
      <c r="N242" s="138"/>
      <c r="O242" s="138"/>
      <c r="R242" s="155" t="n">
        <f aca="false">DATE(YEAR(G242),MONTH(G242),DAY(G242))</f>
        <v>44927</v>
      </c>
      <c r="S242" s="104" t="n">
        <f aca="false">YEAR(R242)</f>
        <v>2023</v>
      </c>
      <c r="T242" s="104" t="n">
        <f aca="false">IF('Datos generales'!$D$10=G242,0,IF('Datos generales'!$P$10=S242,MONTH(R242),0))</f>
        <v>0</v>
      </c>
      <c r="U242" s="104" t="n">
        <f aca="false">IF('Datos generales'!$D$10=G242,0,IF('Datos generales'!$P$10+1=S242,MONTH(R242),0))</f>
        <v>0</v>
      </c>
      <c r="V242" s="104" t="n">
        <f aca="false">IF('Datos generales'!$D$10=G242,0,IF('Datos generales'!$P$10+2=S242,MONTH(R242),0))</f>
        <v>0</v>
      </c>
    </row>
    <row r="243" customFormat="false" ht="13.5" hidden="false" customHeight="false" outlineLevel="0" collapsed="false">
      <c r="C243" s="156" t="str">
        <f aca="false">B84</f>
        <v>Comida húmeda para gatos 26 pouches</v>
      </c>
      <c r="D243" s="88" t="n">
        <v>58</v>
      </c>
      <c r="E243" s="85" t="n">
        <v>15</v>
      </c>
      <c r="F243" s="157" t="n">
        <f aca="false">D243*E243</f>
        <v>870</v>
      </c>
      <c r="G243" s="154" t="n">
        <f aca="false">'Datos generales'!$D$10</f>
        <v>44927</v>
      </c>
      <c r="I243" s="138"/>
      <c r="J243" s="138"/>
      <c r="K243" s="138"/>
      <c r="L243" s="138"/>
      <c r="M243" s="138"/>
      <c r="N243" s="138"/>
      <c r="O243" s="138"/>
      <c r="R243" s="155" t="n">
        <f aca="false">DATE(YEAR(G243),MONTH(G243),DAY(G243))</f>
        <v>44927</v>
      </c>
      <c r="S243" s="104" t="n">
        <f aca="false">YEAR(R243)</f>
        <v>2023</v>
      </c>
      <c r="T243" s="104" t="n">
        <f aca="false">IF('Datos generales'!$D$10=G243,0,IF('Datos generales'!$P$10=S243,MONTH(R243),0))</f>
        <v>0</v>
      </c>
      <c r="U243" s="104" t="n">
        <f aca="false">IF('Datos generales'!$D$10=G243,0,IF('Datos generales'!$P$10+1=S243,MONTH(R243),0))</f>
        <v>0</v>
      </c>
      <c r="V243" s="104" t="n">
        <f aca="false">IF('Datos generales'!$D$10=G243,0,IF('Datos generales'!$P$10+2=S243,MONTH(R243),0))</f>
        <v>0</v>
      </c>
    </row>
    <row r="244" customFormat="false" ht="12.75" hidden="false" customHeight="false" outlineLevel="0" collapsed="false">
      <c r="I244" s="138"/>
      <c r="J244" s="138"/>
      <c r="K244" s="138"/>
      <c r="L244" s="138"/>
      <c r="M244" s="138"/>
      <c r="N244" s="138"/>
      <c r="O244" s="138"/>
    </row>
    <row r="246" customFormat="false" ht="12" hidden="false" customHeight="true" outlineLevel="0" collapsed="false">
      <c r="D246" s="65"/>
    </row>
    <row r="247" customFormat="false" ht="12.75" hidden="false" customHeight="false" outlineLevel="0" collapsed="false">
      <c r="B247" s="35"/>
    </row>
    <row r="248" customFormat="false" ht="12.75" hidden="false" customHeight="false" outlineLevel="0" collapsed="false">
      <c r="B248" s="35"/>
      <c r="C248" s="145"/>
      <c r="D248" s="78"/>
      <c r="E248" s="78"/>
      <c r="F248" s="78"/>
      <c r="G248" s="35"/>
    </row>
    <row r="249" customFormat="false" ht="12.75" hidden="false" customHeight="false" outlineLevel="0" collapsed="false">
      <c r="B249" s="35"/>
      <c r="C249" s="35"/>
      <c r="D249" s="48"/>
      <c r="E249" s="80"/>
      <c r="F249" s="80"/>
      <c r="G249" s="35"/>
    </row>
    <row r="250" customFormat="false" ht="14.25" hidden="false" customHeight="false" outlineLevel="0" collapsed="false">
      <c r="B250" s="35"/>
      <c r="C250" s="51" t="s">
        <v>163</v>
      </c>
      <c r="D250" s="48"/>
      <c r="E250" s="48"/>
      <c r="F250" s="35"/>
      <c r="G250" s="35"/>
    </row>
    <row r="251" customFormat="false" ht="12.75" hidden="false" customHeight="false" outlineLevel="0" collapsed="false">
      <c r="B251" s="35"/>
      <c r="C251" s="35"/>
      <c r="D251" s="48"/>
      <c r="E251" s="48"/>
      <c r="F251" s="35"/>
      <c r="G251" s="35"/>
    </row>
    <row r="252" customFormat="false" ht="12.75" hidden="false" customHeight="true" outlineLevel="0" collapsed="false">
      <c r="B252" s="35"/>
      <c r="C252" s="105" t="s">
        <v>164</v>
      </c>
      <c r="D252" s="158"/>
      <c r="E252" s="159" t="s">
        <v>165</v>
      </c>
      <c r="F252" s="35"/>
      <c r="G252" s="138" t="s">
        <v>166</v>
      </c>
      <c r="H252" s="138"/>
      <c r="I252" s="138"/>
      <c r="J252" s="138"/>
      <c r="K252" s="138"/>
    </row>
    <row r="253" customFormat="false" ht="12.75" hidden="false" customHeight="false" outlineLevel="0" collapsed="false">
      <c r="B253" s="35"/>
      <c r="C253" s="0" t="s">
        <v>167</v>
      </c>
      <c r="D253" s="48"/>
      <c r="E253" s="76" t="n">
        <v>1</v>
      </c>
      <c r="F253" s="35"/>
      <c r="G253" s="138"/>
      <c r="H253" s="138"/>
      <c r="I253" s="138"/>
      <c r="J253" s="138"/>
      <c r="K253" s="138"/>
    </row>
    <row r="254" customFormat="false" ht="12.75" hidden="false" customHeight="false" outlineLevel="0" collapsed="false">
      <c r="B254" s="35"/>
      <c r="C254" s="160" t="s">
        <v>168</v>
      </c>
      <c r="D254" s="161" t="s">
        <v>169</v>
      </c>
      <c r="E254" s="162"/>
      <c r="F254" s="35"/>
      <c r="G254" s="138"/>
      <c r="H254" s="138"/>
      <c r="I254" s="138"/>
      <c r="J254" s="138"/>
      <c r="K254" s="138"/>
    </row>
    <row r="255" customFormat="false" ht="12.75" hidden="false" customHeight="false" outlineLevel="0" collapsed="false">
      <c r="B255" s="35"/>
      <c r="D255" s="163" t="n">
        <v>1</v>
      </c>
      <c r="E255" s="76" t="n">
        <v>0</v>
      </c>
      <c r="F255" s="35"/>
      <c r="G255" s="138"/>
      <c r="H255" s="138"/>
      <c r="I255" s="138"/>
      <c r="J255" s="138"/>
      <c r="K255" s="138"/>
    </row>
    <row r="256" customFormat="false" ht="12.75" hidden="false" customHeight="false" outlineLevel="0" collapsed="false">
      <c r="B256" s="35"/>
      <c r="D256" s="88" t="n">
        <v>2</v>
      </c>
      <c r="E256" s="76" t="n">
        <v>0</v>
      </c>
      <c r="F256" s="35"/>
      <c r="G256" s="138"/>
      <c r="H256" s="138"/>
      <c r="I256" s="138"/>
      <c r="J256" s="138"/>
      <c r="K256" s="138"/>
    </row>
    <row r="257" customFormat="false" ht="12.75" hidden="false" customHeight="false" outlineLevel="0" collapsed="false">
      <c r="B257" s="35"/>
      <c r="D257" s="88" t="n">
        <v>3</v>
      </c>
      <c r="E257" s="76" t="n">
        <v>0</v>
      </c>
      <c r="F257" s="35"/>
      <c r="G257" s="138"/>
      <c r="H257" s="138"/>
      <c r="I257" s="138"/>
      <c r="J257" s="138"/>
      <c r="K257" s="138"/>
    </row>
    <row r="258" customFormat="false" ht="12.75" hidden="false" customHeight="false" outlineLevel="0" collapsed="false">
      <c r="B258" s="35"/>
      <c r="D258" s="88"/>
      <c r="E258" s="76"/>
      <c r="F258" s="35"/>
      <c r="G258" s="138"/>
      <c r="H258" s="138"/>
      <c r="I258" s="138"/>
      <c r="J258" s="138"/>
      <c r="K258" s="138"/>
    </row>
    <row r="259" customFormat="false" ht="12.75" hidden="false" customHeight="false" outlineLevel="0" collapsed="false">
      <c r="B259" s="35"/>
      <c r="D259" s="88"/>
      <c r="E259" s="76"/>
      <c r="F259" s="35"/>
      <c r="G259" s="138"/>
      <c r="H259" s="138"/>
      <c r="I259" s="138"/>
      <c r="J259" s="138"/>
      <c r="K259" s="138"/>
    </row>
    <row r="260" customFormat="false" ht="12.75" hidden="false" customHeight="false" outlineLevel="0" collapsed="false">
      <c r="B260" s="35"/>
      <c r="D260" s="88"/>
      <c r="E260" s="76"/>
      <c r="F260" s="35"/>
      <c r="G260" s="138"/>
      <c r="H260" s="138"/>
      <c r="I260" s="138"/>
      <c r="J260" s="138"/>
      <c r="K260" s="138"/>
    </row>
    <row r="261" customFormat="false" ht="12.75" hidden="false" customHeight="false" outlineLevel="0" collapsed="false">
      <c r="B261" s="35"/>
      <c r="D261" s="88"/>
      <c r="E261" s="76"/>
      <c r="F261" s="35"/>
      <c r="G261" s="138"/>
      <c r="H261" s="138"/>
      <c r="I261" s="138"/>
      <c r="J261" s="138"/>
      <c r="K261" s="138"/>
    </row>
    <row r="262" customFormat="false" ht="18" hidden="false" customHeight="true" outlineLevel="0" collapsed="false">
      <c r="B262" s="35"/>
      <c r="C262" s="35"/>
      <c r="E262" s="164" t="n">
        <f aca="false">SUM(E253:E261)</f>
        <v>1</v>
      </c>
      <c r="F262" s="165" t="str">
        <f aca="false">IF(E262=100%,"","&lt;EL TOTAL DEBE SER 100%")</f>
        <v/>
      </c>
      <c r="G262" s="35"/>
    </row>
    <row r="263" customFormat="false" ht="12.75" hidden="false" customHeight="false" outlineLevel="0" collapsed="false">
      <c r="B263" s="35"/>
      <c r="C263" s="35"/>
      <c r="E263" s="166"/>
      <c r="F263" s="35"/>
      <c r="G263" s="35"/>
    </row>
    <row r="264" customFormat="false" ht="12.75" hidden="false" customHeight="false" outlineLevel="0" collapsed="false">
      <c r="B264" s="35"/>
      <c r="C264" s="105" t="s">
        <v>170</v>
      </c>
      <c r="D264" s="167"/>
      <c r="E264" s="168" t="s">
        <v>165</v>
      </c>
      <c r="F264" s="35"/>
      <c r="G264" s="35"/>
    </row>
    <row r="265" customFormat="false" ht="12.75" hidden="false" customHeight="false" outlineLevel="0" collapsed="false">
      <c r="B265" s="35"/>
      <c r="C265" s="0" t="s">
        <v>171</v>
      </c>
      <c r="D265" s="48"/>
      <c r="E265" s="76" t="n">
        <v>0.25</v>
      </c>
      <c r="F265" s="35"/>
      <c r="G265" s="35"/>
    </row>
    <row r="266" customFormat="false" ht="12.75" hidden="false" customHeight="true" outlineLevel="0" collapsed="false">
      <c r="B266" s="35"/>
      <c r="C266" s="160" t="s">
        <v>172</v>
      </c>
      <c r="D266" s="161" t="s">
        <v>169</v>
      </c>
      <c r="E266" s="169"/>
      <c r="F266" s="35"/>
      <c r="G266" s="170" t="s">
        <v>173</v>
      </c>
      <c r="H266" s="170"/>
      <c r="I266" s="170"/>
      <c r="J266" s="170"/>
      <c r="K266" s="170"/>
    </row>
    <row r="267" customFormat="false" ht="12.75" hidden="false" customHeight="false" outlineLevel="0" collapsed="false">
      <c r="B267" s="35"/>
      <c r="D267" s="163" t="n">
        <v>1</v>
      </c>
      <c r="E267" s="76" t="n">
        <v>0.25</v>
      </c>
      <c r="F267" s="35"/>
      <c r="G267" s="170"/>
      <c r="H267" s="170"/>
      <c r="I267" s="170"/>
      <c r="J267" s="170"/>
      <c r="K267" s="170"/>
    </row>
    <row r="268" customFormat="false" ht="12.75" hidden="false" customHeight="false" outlineLevel="0" collapsed="false">
      <c r="B268" s="35"/>
      <c r="D268" s="88" t="n">
        <v>2</v>
      </c>
      <c r="E268" s="76" t="n">
        <v>0.25</v>
      </c>
      <c r="F268" s="35"/>
      <c r="G268" s="170"/>
      <c r="H268" s="170"/>
      <c r="I268" s="170"/>
      <c r="J268" s="170"/>
      <c r="K268" s="170"/>
    </row>
    <row r="269" customFormat="false" ht="12.75" hidden="false" customHeight="false" outlineLevel="0" collapsed="false">
      <c r="B269" s="35"/>
      <c r="D269" s="88" t="n">
        <v>3</v>
      </c>
      <c r="E269" s="76" t="n">
        <v>0.25</v>
      </c>
      <c r="F269" s="35"/>
      <c r="G269" s="170"/>
      <c r="H269" s="170"/>
      <c r="I269" s="170"/>
      <c r="J269" s="170"/>
      <c r="K269" s="170"/>
    </row>
    <row r="270" customFormat="false" ht="12.75" hidden="false" customHeight="false" outlineLevel="0" collapsed="false">
      <c r="B270" s="35"/>
      <c r="D270" s="88"/>
      <c r="E270" s="76"/>
      <c r="F270" s="35"/>
      <c r="G270" s="170"/>
      <c r="H270" s="170"/>
      <c r="I270" s="170"/>
      <c r="J270" s="170"/>
      <c r="K270" s="170"/>
    </row>
    <row r="271" customFormat="false" ht="12.75" hidden="false" customHeight="false" outlineLevel="0" collapsed="false">
      <c r="B271" s="35"/>
      <c r="D271" s="88"/>
      <c r="E271" s="76"/>
      <c r="F271" s="35"/>
      <c r="G271" s="170"/>
      <c r="H271" s="170"/>
      <c r="I271" s="170"/>
      <c r="J271" s="170"/>
      <c r="K271" s="170"/>
    </row>
    <row r="272" customFormat="false" ht="12.75" hidden="false" customHeight="false" outlineLevel="0" collapsed="false">
      <c r="B272" s="35"/>
      <c r="D272" s="88"/>
      <c r="E272" s="76"/>
      <c r="F272" s="35"/>
      <c r="G272" s="35"/>
    </row>
    <row r="273" customFormat="false" ht="12.75" hidden="false" customHeight="false" outlineLevel="0" collapsed="false">
      <c r="B273" s="35"/>
      <c r="D273" s="88"/>
      <c r="E273" s="76"/>
      <c r="F273" s="35"/>
      <c r="G273" s="35"/>
    </row>
    <row r="274" customFormat="false" ht="19.5" hidden="false" customHeight="true" outlineLevel="0" collapsed="false">
      <c r="B274" s="35"/>
      <c r="C274" s="35"/>
      <c r="E274" s="164" t="n">
        <f aca="false">SUM(E265:E273)</f>
        <v>1</v>
      </c>
      <c r="F274" s="165" t="str">
        <f aca="false">IF(E274=100%,"","&lt;EL TOTAL DEBE SER 100%")</f>
        <v/>
      </c>
      <c r="G274" s="35"/>
    </row>
    <row r="281" customFormat="false" ht="12.75" hidden="false" customHeight="true" outlineLevel="0" collapsed="false"/>
    <row r="287" customFormat="false" ht="12.75" hidden="false" customHeight="true" outlineLevel="0" collapsed="false"/>
    <row r="289" customFormat="false" ht="12.75" hidden="false" customHeight="false" outlineLevel="0" collapsed="false">
      <c r="C289" s="93"/>
    </row>
    <row r="290" customFormat="false" ht="12.75" hidden="false" customHeight="false" outlineLevel="0" collapsed="false">
      <c r="C290" s="93"/>
    </row>
    <row r="291" customFormat="false" ht="12.75" hidden="false" customHeight="false" outlineLevel="0" collapsed="false">
      <c r="C291" s="93"/>
    </row>
    <row r="292" customFormat="false" ht="12.75" hidden="false" customHeight="false" outlineLevel="0" collapsed="false">
      <c r="C292" s="93"/>
    </row>
  </sheetData>
  <sheetProtection sheet="true" password="cc4b" objects="true" scenarios="true"/>
  <mergeCells count="11">
    <mergeCell ref="C7:P21"/>
    <mergeCell ref="C220:C221"/>
    <mergeCell ref="D220:D221"/>
    <mergeCell ref="E220:E221"/>
    <mergeCell ref="F220:F221"/>
    <mergeCell ref="H220:N227"/>
    <mergeCell ref="C232:F232"/>
    <mergeCell ref="G232:G233"/>
    <mergeCell ref="I232:O244"/>
    <mergeCell ref="G252:K261"/>
    <mergeCell ref="G266:K271"/>
  </mergeCells>
  <dataValidations count="7">
    <dataValidation allowBlank="true" error="No puede incluir datos en una fecha anterior a  la de inicio de actividad." errorStyle="stop" operator="between" showDropDown="false" showErrorMessage="true" showInputMessage="true" sqref="D31:O32 D34:O35 D37:O38 D40:O41 D43:O44 D46:O47 D49:O50 D52:O53 D55:O56 D58:O59 D61:O62 D64:O65 D67:O68 D70:O71 D73:O74 D76:O77 D79:O80 D82:O83 D85:O86 D88:O89" type="custom">
      <formula1>D$1&gt;=$C$1</formula1>
      <formula2>0</formula2>
    </dataValidation>
    <dataValidation allowBlank="true" error="Debe indicar el número de meses que concede de aplazamiento." errorStyle="stop" operator="between" showDropDown="false" showErrorMessage="true" showInputMessage="true" sqref="D255:D261" type="whole">
      <formula1>1</formula1>
      <formula2>99</formula2>
    </dataValidation>
    <dataValidation allowBlank="true" error="Debe indicar un porcentaje." errorStyle="stop" operator="between" showDropDown="false" showErrorMessage="true" showInputMessage="true" sqref="E253 E255:E261 E265 E267:E273" type="decimal">
      <formula1>0</formula1>
      <formula2>100</formula2>
    </dataValidation>
    <dataValidation allowBlank="true" error="Debe indicar el número de meses que le conceden de aplazamiento para pagos." errorStyle="stop" operator="between" showDropDown="false" showErrorMessage="true" showInputMessage="true" sqref="D267:D273" type="whole">
      <formula1>1</formula1>
      <formula2>99</formula2>
    </dataValidation>
    <dataValidation allowBlank="true" error="Debe indicar un porcentaje" errorStyle="stop" operator="between" showDropDown="false" showErrorMessage="true" showInputMessage="true" sqref="D222:F228 D248:F248" type="decimal">
      <formula1>0</formula1>
      <formula2>100</formula2>
    </dataValidation>
    <dataValidation allowBlank="true" error="El dato debe ser numérico" errorStyle="stop" operator="between" showDropDown="false" showErrorMessage="true" showInputMessage="true" sqref="D94:O215" type="decimal">
      <formula1>0</formula1>
      <formula2>999999999999</formula2>
    </dataValidation>
    <dataValidation allowBlank="true" error="No puede indicar una fecha anterior a la de inicio de actividad" errorStyle="stop" operator="greaterThanOrEqual" showDropDown="false" showErrorMessage="true" showInputMessage="true" sqref="G234:G243" type="date">
      <formula1>$F$6</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47"/>
  <sheetViews>
    <sheetView showFormulas="false" showGridLines="false" showRowColHeaders="true" showZeros="true" rightToLeft="false" tabSelected="true" showOutlineSymbols="true" defaultGridColor="true" view="normal" topLeftCell="A118" colorId="64" zoomScale="100" zoomScaleNormal="100" zoomScalePageLayoutView="100" workbookViewId="0">
      <selection pane="topLeft" activeCell="G140" activeCellId="0" sqref="G140"/>
    </sheetView>
  </sheetViews>
  <sheetFormatPr defaultColWidth="11.4609375" defaultRowHeight="12.75" zeroHeight="false" outlineLevelRow="0" outlineLevelCol="0"/>
  <cols>
    <col collapsed="false" customWidth="true" hidden="false" outlineLevel="0" max="1" min="1" style="0" width="7.82"/>
    <col collapsed="false" customWidth="true" hidden="false" outlineLevel="0" max="2" min="2" style="0" width="2.83"/>
    <col collapsed="false" customWidth="true" hidden="false" outlineLevel="0" max="3" min="3" style="0" width="33.85"/>
    <col collapsed="false" customWidth="true" hidden="false" outlineLevel="0" max="4" min="4" style="93" width="15.37"/>
    <col collapsed="false" customWidth="true" hidden="false" outlineLevel="0" max="6" min="5" style="0" width="12.95"/>
    <col collapsed="false" customWidth="true" hidden="false" outlineLevel="0" max="8" min="7" style="0" width="13.08"/>
    <col collapsed="false" customWidth="true" hidden="false" outlineLevel="0" max="9" min="9" style="0" width="11.86"/>
    <col collapsed="false" customWidth="true" hidden="false" outlineLevel="0" max="10" min="10" style="0" width="14.83"/>
    <col collapsed="false" customWidth="true" hidden="false" outlineLevel="0" max="11" min="11" style="0" width="13.35"/>
    <col collapsed="false" customWidth="true" hidden="false" outlineLevel="0" max="13" min="13" style="0" width="9.85"/>
    <col collapsed="false" customWidth="true" hidden="false" outlineLevel="0" max="21" min="21" style="0" width="12.68"/>
  </cols>
  <sheetData>
    <row r="1" customFormat="false" ht="15" hidden="true" customHeight="true" outlineLevel="0" collapsed="false">
      <c r="D1" s="171" t="n">
        <f aca="false">DATE(YEAR('Datos generales'!N10),MONTH('Datos generales'!N10),DAY(1))</f>
        <v>44957</v>
      </c>
      <c r="E1" s="171" t="n">
        <f aca="false">DATE(YEAR(D1)+2,MONTH(1),DAY(1))</f>
        <v>46022</v>
      </c>
      <c r="F1" s="171" t="n">
        <f aca="false">DATE(YEAR(E1),MONTH(E1)+11,DAY(31))</f>
        <v>46356</v>
      </c>
      <c r="H1" s="172"/>
      <c r="I1" s="172"/>
      <c r="J1" s="172"/>
    </row>
    <row r="5" customFormat="false" ht="12.75" hidden="false" customHeight="true" outlineLevel="0" collapsed="false">
      <c r="B5" s="174" t="s">
        <v>174</v>
      </c>
      <c r="C5" s="174"/>
      <c r="D5" s="174"/>
      <c r="E5" s="174"/>
      <c r="F5" s="174"/>
      <c r="G5" s="174"/>
      <c r="H5" s="174"/>
    </row>
    <row r="6" customFormat="false" ht="12.75" hidden="false" customHeight="false" outlineLevel="0" collapsed="false">
      <c r="B6" s="174"/>
      <c r="C6" s="174"/>
      <c r="D6" s="174"/>
      <c r="E6" s="174"/>
      <c r="F6" s="174"/>
      <c r="G6" s="174"/>
    </row>
    <row r="7" customFormat="false" ht="12.75" hidden="false" customHeight="false" outlineLevel="0" collapsed="false">
      <c r="B7" s="174"/>
      <c r="C7" s="174"/>
      <c r="D7" s="174"/>
      <c r="E7" s="174"/>
      <c r="F7" s="174"/>
      <c r="G7" s="174"/>
    </row>
    <row r="8" customFormat="false" ht="12.75" hidden="false" customHeight="false" outlineLevel="0" collapsed="false">
      <c r="B8" s="174"/>
      <c r="C8" s="174"/>
      <c r="D8" s="174"/>
      <c r="E8" s="174"/>
      <c r="F8" s="174"/>
      <c r="G8" s="174"/>
    </row>
    <row r="9" customFormat="false" ht="12.75" hidden="false" customHeight="false" outlineLevel="0" collapsed="false">
      <c r="B9" s="174"/>
      <c r="C9" s="174"/>
      <c r="D9" s="174"/>
      <c r="E9" s="174"/>
      <c r="F9" s="174"/>
      <c r="G9" s="174"/>
    </row>
    <row r="10" customFormat="false" ht="12.75" hidden="false" customHeight="false" outlineLevel="0" collapsed="false">
      <c r="B10" s="174"/>
      <c r="C10" s="174"/>
      <c r="D10" s="174"/>
      <c r="E10" s="174"/>
      <c r="F10" s="174"/>
      <c r="G10" s="174"/>
    </row>
    <row r="11" customFormat="false" ht="12.75" hidden="false" customHeight="false" outlineLevel="0" collapsed="false">
      <c r="B11" s="174"/>
      <c r="C11" s="174"/>
      <c r="D11" s="174"/>
      <c r="E11" s="174"/>
      <c r="F11" s="174"/>
      <c r="G11" s="174"/>
    </row>
    <row r="12" customFormat="false" ht="12.75" hidden="false" customHeight="false" outlineLevel="0" collapsed="false">
      <c r="B12" s="174"/>
      <c r="C12" s="174"/>
      <c r="D12" s="174"/>
      <c r="E12" s="174"/>
      <c r="F12" s="174"/>
      <c r="G12" s="174"/>
    </row>
    <row r="13" customFormat="false" ht="12.75" hidden="false" customHeight="false" outlineLevel="0" collapsed="false">
      <c r="B13" s="174"/>
      <c r="C13" s="174"/>
      <c r="D13" s="174"/>
      <c r="E13" s="174"/>
      <c r="F13" s="174"/>
      <c r="G13" s="174"/>
    </row>
    <row r="14" customFormat="false" ht="12.75" hidden="false" customHeight="false" outlineLevel="0" collapsed="false">
      <c r="B14" s="174"/>
      <c r="C14" s="174"/>
      <c r="D14" s="174"/>
      <c r="E14" s="174"/>
      <c r="F14" s="174"/>
      <c r="G14" s="174"/>
    </row>
    <row r="15" customFormat="false" ht="12.75" hidden="false" customHeight="false" outlineLevel="0" collapsed="false">
      <c r="B15" s="174"/>
      <c r="C15" s="174"/>
      <c r="D15" s="174"/>
      <c r="E15" s="174"/>
      <c r="F15" s="174"/>
      <c r="G15" s="174"/>
    </row>
    <row r="16" customFormat="false" ht="12.75" hidden="false" customHeight="false" outlineLevel="0" collapsed="false">
      <c r="B16" s="174"/>
      <c r="C16" s="174"/>
      <c r="D16" s="174"/>
      <c r="E16" s="174"/>
      <c r="F16" s="174"/>
      <c r="G16" s="174"/>
    </row>
    <row r="17" customFormat="false" ht="12.75" hidden="false" customHeight="false" outlineLevel="0" collapsed="false">
      <c r="A17" s="175"/>
      <c r="B17" s="174"/>
      <c r="C17" s="174"/>
      <c r="D17" s="174"/>
      <c r="E17" s="174"/>
      <c r="F17" s="174"/>
      <c r="G17" s="174"/>
      <c r="H17" s="174"/>
    </row>
    <row r="18" customFormat="false" ht="12.75" hidden="false" customHeight="false" outlineLevel="0" collapsed="false">
      <c r="A18" s="175"/>
      <c r="B18" s="174"/>
      <c r="C18" s="174"/>
      <c r="D18" s="174"/>
      <c r="E18" s="174"/>
      <c r="F18" s="174"/>
      <c r="G18" s="174"/>
      <c r="H18" s="174"/>
    </row>
    <row r="19" customFormat="false" ht="12.75" hidden="false" customHeight="false" outlineLevel="0" collapsed="false">
      <c r="A19" s="175"/>
      <c r="C19" s="176"/>
      <c r="D19" s="177"/>
    </row>
    <row r="20" customFormat="false" ht="12.75" hidden="false" customHeight="false" outlineLevel="0" collapsed="false">
      <c r="A20" s="175"/>
      <c r="C20" s="176"/>
      <c r="D20" s="177"/>
    </row>
    <row r="21" customFormat="false" ht="12.75" hidden="false" customHeight="false" outlineLevel="0" collapsed="false">
      <c r="A21" s="175"/>
      <c r="C21" s="176"/>
      <c r="D21" s="177"/>
    </row>
    <row r="22" customFormat="false" ht="14.25" hidden="false" customHeight="false" outlineLevel="0" collapsed="false">
      <c r="C22" s="51" t="s">
        <v>175</v>
      </c>
      <c r="D22" s="48"/>
      <c r="E22" s="178"/>
      <c r="F22" s="35"/>
      <c r="G22" s="35"/>
      <c r="H22" s="35"/>
    </row>
    <row r="23" customFormat="false" ht="14.25" hidden="false" customHeight="false" outlineLevel="0" collapsed="false">
      <c r="C23" s="37"/>
      <c r="D23" s="48"/>
      <c r="E23" s="178"/>
      <c r="F23" s="35"/>
    </row>
    <row r="24" customFormat="false" ht="12.75" hidden="false" customHeight="false" outlineLevel="0" collapsed="false">
      <c r="C24" s="179" t="s">
        <v>176</v>
      </c>
      <c r="D24" s="180"/>
      <c r="E24" s="178"/>
      <c r="F24" s="35"/>
      <c r="G24" s="35"/>
      <c r="H24" s="35"/>
    </row>
    <row r="25" customFormat="false" ht="18.75" hidden="false" customHeight="true" outlineLevel="0" collapsed="false">
      <c r="C25" s="181" t="s">
        <v>177</v>
      </c>
      <c r="D25" s="72" t="s">
        <v>178</v>
      </c>
      <c r="E25" s="182" t="s">
        <v>179</v>
      </c>
      <c r="F25" s="182" t="s">
        <v>180</v>
      </c>
      <c r="G25" s="182" t="s">
        <v>181</v>
      </c>
      <c r="H25" s="182" t="s">
        <v>182</v>
      </c>
    </row>
    <row r="26" customFormat="false" ht="26.25" hidden="false" customHeight="true" outlineLevel="0" collapsed="false">
      <c r="C26" s="181"/>
      <c r="D26" s="72" t="s">
        <v>183</v>
      </c>
      <c r="E26" s="182"/>
      <c r="F26" s="182"/>
      <c r="G26" s="182"/>
      <c r="H26" s="182"/>
    </row>
    <row r="27" customFormat="false" ht="12.75" hidden="false" customHeight="false" outlineLevel="0" collapsed="false">
      <c r="C27" s="183" t="s">
        <v>184</v>
      </c>
      <c r="D27" s="184"/>
      <c r="E27" s="185"/>
      <c r="F27" s="185"/>
      <c r="G27" s="185"/>
      <c r="H27" s="185"/>
    </row>
    <row r="28" customFormat="false" ht="12.75" hidden="false" customHeight="false" outlineLevel="0" collapsed="false">
      <c r="C28" s="186" t="s">
        <v>185</v>
      </c>
      <c r="D28" s="187" t="n">
        <v>200000</v>
      </c>
      <c r="E28" s="188" t="n">
        <v>50</v>
      </c>
      <c r="F28" s="187"/>
      <c r="G28" s="187"/>
      <c r="H28" s="187"/>
    </row>
    <row r="29" customFormat="false" ht="12.75" hidden="false" customHeight="false" outlineLevel="0" collapsed="false">
      <c r="C29" s="186" t="s">
        <v>186</v>
      </c>
      <c r="D29" s="187" t="n">
        <v>20000</v>
      </c>
      <c r="E29" s="188" t="n">
        <v>10</v>
      </c>
      <c r="F29" s="187"/>
      <c r="G29" s="187"/>
      <c r="H29" s="187"/>
    </row>
    <row r="30" customFormat="false" ht="12.75" hidden="false" customHeight="false" outlineLevel="0" collapsed="false">
      <c r="C30" s="186" t="s">
        <v>187</v>
      </c>
      <c r="D30" s="187" t="n">
        <v>0</v>
      </c>
      <c r="E30" s="188" t="n">
        <v>12</v>
      </c>
      <c r="F30" s="187"/>
      <c r="G30" s="187"/>
      <c r="H30" s="187"/>
    </row>
    <row r="31" customFormat="false" ht="12.75" hidden="false" customHeight="false" outlineLevel="0" collapsed="false">
      <c r="C31" s="189" t="s">
        <v>188</v>
      </c>
      <c r="D31" s="187" t="n">
        <v>600</v>
      </c>
      <c r="E31" s="188" t="n">
        <v>4</v>
      </c>
      <c r="F31" s="187"/>
      <c r="G31" s="187"/>
      <c r="H31" s="187"/>
    </row>
    <row r="32" customFormat="false" ht="12.75" hidden="false" customHeight="false" outlineLevel="0" collapsed="false">
      <c r="C32" s="186" t="s">
        <v>189</v>
      </c>
      <c r="D32" s="187" t="n">
        <v>3000</v>
      </c>
      <c r="E32" s="188" t="n">
        <v>10</v>
      </c>
      <c r="F32" s="187"/>
      <c r="G32" s="187"/>
      <c r="H32" s="187"/>
    </row>
    <row r="33" customFormat="false" ht="12.75" hidden="false" customHeight="false" outlineLevel="0" collapsed="false">
      <c r="C33" s="186" t="s">
        <v>190</v>
      </c>
      <c r="D33" s="187" t="n">
        <v>35000</v>
      </c>
      <c r="E33" s="188" t="n">
        <v>7</v>
      </c>
      <c r="F33" s="187"/>
      <c r="G33" s="187"/>
      <c r="H33" s="187"/>
    </row>
    <row r="34" customFormat="false" ht="12.75" hidden="false" customHeight="false" outlineLevel="0" collapsed="false">
      <c r="C34" s="189" t="s">
        <v>191</v>
      </c>
      <c r="D34" s="187" t="n">
        <v>2000</v>
      </c>
      <c r="E34" s="188" t="n">
        <v>5</v>
      </c>
      <c r="F34" s="187"/>
      <c r="G34" s="187"/>
      <c r="H34" s="187"/>
    </row>
    <row r="35" customFormat="false" ht="12.75" hidden="false" customHeight="false" outlineLevel="0" collapsed="false">
      <c r="C35" s="189" t="s">
        <v>192</v>
      </c>
      <c r="D35" s="187"/>
      <c r="E35" s="188"/>
      <c r="F35" s="187"/>
      <c r="G35" s="187"/>
      <c r="H35" s="187"/>
    </row>
    <row r="36" customFormat="false" ht="12.75" hidden="false" customHeight="false" outlineLevel="0" collapsed="false">
      <c r="C36" s="189"/>
      <c r="D36" s="187"/>
      <c r="E36" s="188"/>
      <c r="F36" s="187"/>
    </row>
    <row r="37" customFormat="false" ht="12.75" hidden="false" customHeight="false" outlineLevel="0" collapsed="false">
      <c r="C37" s="189"/>
      <c r="D37" s="187"/>
      <c r="E37" s="188"/>
      <c r="F37" s="187"/>
    </row>
    <row r="38" customFormat="false" ht="12.75" hidden="false" customHeight="false" outlineLevel="0" collapsed="false">
      <c r="C38" s="190" t="s">
        <v>193</v>
      </c>
      <c r="D38" s="187"/>
      <c r="E38" s="188"/>
      <c r="F38" s="187"/>
      <c r="G38" s="187"/>
      <c r="H38" s="187"/>
    </row>
    <row r="39" customFormat="false" ht="12.75" hidden="false" customHeight="false" outlineLevel="0" collapsed="false">
      <c r="C39" s="190" t="s">
        <v>194</v>
      </c>
      <c r="D39" s="187" t="n">
        <v>0</v>
      </c>
      <c r="E39" s="191" t="n">
        <v>0</v>
      </c>
      <c r="F39" s="187"/>
      <c r="G39" s="187"/>
      <c r="H39" s="187"/>
    </row>
    <row r="40" customFormat="false" ht="12.75" hidden="false" customHeight="false" outlineLevel="0" collapsed="false">
      <c r="C40" s="192" t="s">
        <v>195</v>
      </c>
      <c r="D40" s="193" t="n">
        <f aca="false">SUM(D28:D39)</f>
        <v>260600</v>
      </c>
      <c r="E40" s="194"/>
      <c r="F40" s="195" t="n">
        <f aca="false">SUM(F28:F39)</f>
        <v>0</v>
      </c>
      <c r="G40" s="195" t="n">
        <f aca="false">SUM(G28:G39)</f>
        <v>0</v>
      </c>
      <c r="H40" s="195" t="n">
        <f aca="false">SUM(H28:H39)</f>
        <v>0</v>
      </c>
    </row>
    <row r="41" customFormat="false" ht="12.75" hidden="false" customHeight="false" outlineLevel="0" collapsed="false">
      <c r="C41" s="196" t="s">
        <v>196</v>
      </c>
      <c r="D41" s="197"/>
      <c r="E41" s="178"/>
      <c r="F41" s="198"/>
      <c r="G41" s="198"/>
      <c r="H41" s="198"/>
    </row>
    <row r="42" customFormat="false" ht="12.75" hidden="false" customHeight="false" outlineLevel="0" collapsed="false">
      <c r="C42" s="189" t="s">
        <v>197</v>
      </c>
      <c r="D42" s="187" t="n">
        <v>800</v>
      </c>
      <c r="E42" s="188" t="n">
        <v>3</v>
      </c>
      <c r="F42" s="187"/>
      <c r="G42" s="187"/>
      <c r="H42" s="187"/>
    </row>
    <row r="43" customFormat="false" ht="12.75" hidden="false" customHeight="false" outlineLevel="0" collapsed="false">
      <c r="C43" s="189" t="s">
        <v>198</v>
      </c>
      <c r="D43" s="187" t="n">
        <v>250</v>
      </c>
      <c r="E43" s="188" t="n">
        <v>5</v>
      </c>
      <c r="F43" s="187"/>
      <c r="G43" s="187"/>
      <c r="H43" s="187"/>
    </row>
    <row r="44" customFormat="false" ht="12.75" hidden="false" customHeight="false" outlineLevel="0" collapsed="false">
      <c r="C44" s="189" t="s">
        <v>199</v>
      </c>
      <c r="D44" s="187" t="n">
        <v>0</v>
      </c>
      <c r="E44" s="188" t="n">
        <v>5</v>
      </c>
      <c r="F44" s="187"/>
      <c r="G44" s="187"/>
      <c r="H44" s="187"/>
    </row>
    <row r="45" customFormat="false" ht="12.75" hidden="false" customHeight="false" outlineLevel="0" collapsed="false">
      <c r="C45" s="189" t="s">
        <v>200</v>
      </c>
      <c r="D45" s="187" t="n">
        <v>0</v>
      </c>
      <c r="E45" s="188" t="n">
        <v>3</v>
      </c>
      <c r="F45" s="187"/>
      <c r="G45" s="187"/>
      <c r="H45" s="187"/>
      <c r="I45" s="199"/>
    </row>
    <row r="46" customFormat="false" ht="12.75" hidden="false" customHeight="false" outlineLevel="0" collapsed="false">
      <c r="C46" s="189" t="s">
        <v>201</v>
      </c>
      <c r="D46" s="187" t="n">
        <v>0</v>
      </c>
      <c r="E46" s="188"/>
      <c r="F46" s="187"/>
      <c r="G46" s="187"/>
      <c r="H46" s="187"/>
    </row>
    <row r="47" customFormat="false" ht="12.75" hidden="false" customHeight="false" outlineLevel="0" collapsed="false">
      <c r="C47" s="189"/>
      <c r="D47" s="187"/>
      <c r="E47" s="188"/>
      <c r="F47" s="187"/>
    </row>
    <row r="48" customFormat="false" ht="12.75" hidden="false" customHeight="false" outlineLevel="0" collapsed="false">
      <c r="C48" s="189"/>
      <c r="D48" s="187"/>
      <c r="E48" s="188"/>
      <c r="F48" s="187"/>
    </row>
    <row r="49" customFormat="false" ht="12.75" hidden="false" customHeight="false" outlineLevel="0" collapsed="false">
      <c r="C49" s="189"/>
      <c r="D49" s="187"/>
      <c r="E49" s="188"/>
      <c r="F49" s="187"/>
    </row>
    <row r="50" customFormat="false" ht="12.75" hidden="false" customHeight="false" outlineLevel="0" collapsed="false">
      <c r="C50" s="189"/>
      <c r="D50" s="187"/>
      <c r="E50" s="188"/>
      <c r="F50" s="187"/>
    </row>
    <row r="51" customFormat="false" ht="12.75" hidden="true" customHeight="false" outlineLevel="0" collapsed="false">
      <c r="C51" s="200" t="s">
        <v>202</v>
      </c>
      <c r="D51" s="133"/>
      <c r="E51" s="201"/>
      <c r="F51" s="133"/>
      <c r="G51" s="133"/>
      <c r="H51" s="133"/>
    </row>
    <row r="52" customFormat="false" ht="12.75" hidden="true" customHeight="false" outlineLevel="0" collapsed="false">
      <c r="C52" s="189" t="s">
        <v>203</v>
      </c>
      <c r="D52" s="88"/>
      <c r="E52" s="201"/>
      <c r="F52" s="88"/>
      <c r="G52" s="88"/>
      <c r="H52" s="88"/>
    </row>
    <row r="53" customFormat="false" ht="12.75" hidden="true" customHeight="false" outlineLevel="0" collapsed="false">
      <c r="C53" s="189"/>
      <c r="D53" s="88"/>
      <c r="E53" s="201"/>
      <c r="F53" s="88"/>
    </row>
    <row r="54" customFormat="false" ht="12.75" hidden="true" customHeight="false" outlineLevel="0" collapsed="false">
      <c r="C54" s="189"/>
      <c r="D54" s="88"/>
      <c r="E54" s="201"/>
      <c r="F54" s="88"/>
    </row>
    <row r="55" customFormat="false" ht="12.75" hidden="false" customHeight="false" outlineLevel="0" collapsed="false">
      <c r="C55" s="202" t="s">
        <v>204</v>
      </c>
      <c r="D55" s="195" t="n">
        <f aca="false">SUM(D42:D54)</f>
        <v>1050</v>
      </c>
      <c r="E55" s="194"/>
      <c r="F55" s="195" t="n">
        <f aca="false">SUM(F42:F54)</f>
        <v>0</v>
      </c>
      <c r="G55" s="195" t="n">
        <f aca="false">SUM(G42:G54)</f>
        <v>0</v>
      </c>
      <c r="H55" s="195" t="n">
        <f aca="false">SUM(H42:H54)</f>
        <v>0</v>
      </c>
    </row>
    <row r="56" customFormat="false" ht="12.75" hidden="false" customHeight="false" outlineLevel="0" collapsed="false">
      <c r="C56" s="196" t="s">
        <v>205</v>
      </c>
      <c r="D56" s="131"/>
      <c r="E56" s="178"/>
      <c r="F56" s="198"/>
      <c r="G56" s="198"/>
      <c r="H56" s="198"/>
    </row>
    <row r="57" customFormat="false" ht="12.75" hidden="false" customHeight="false" outlineLevel="0" collapsed="false">
      <c r="C57" s="189" t="s">
        <v>206</v>
      </c>
      <c r="D57" s="187"/>
      <c r="E57" s="201"/>
      <c r="F57" s="203"/>
      <c r="G57" s="203"/>
      <c r="H57" s="203"/>
    </row>
    <row r="58" customFormat="false" ht="12.75" hidden="false" customHeight="false" outlineLevel="0" collapsed="false">
      <c r="C58" s="189" t="s">
        <v>207</v>
      </c>
      <c r="D58" s="187"/>
      <c r="E58" s="201"/>
      <c r="F58" s="88"/>
      <c r="G58" s="187"/>
      <c r="H58" s="187"/>
    </row>
    <row r="59" customFormat="false" ht="12.75" hidden="false" customHeight="false" outlineLevel="0" collapsed="false">
      <c r="C59" s="189" t="s">
        <v>208</v>
      </c>
      <c r="D59" s="187"/>
      <c r="E59" s="201"/>
      <c r="F59" s="88"/>
      <c r="G59" s="187"/>
      <c r="H59" s="187"/>
    </row>
    <row r="60" customFormat="false" ht="12.75" hidden="false" customHeight="false" outlineLevel="0" collapsed="false">
      <c r="C60" s="189"/>
      <c r="D60" s="187"/>
      <c r="E60" s="201"/>
      <c r="F60" s="88"/>
    </row>
    <row r="61" customFormat="false" ht="12.75" hidden="false" customHeight="false" outlineLevel="0" collapsed="false">
      <c r="C61" s="202" t="s">
        <v>209</v>
      </c>
      <c r="D61" s="204" t="n">
        <f aca="false">SUM(D57:D60)</f>
        <v>0</v>
      </c>
      <c r="E61" s="194"/>
      <c r="F61" s="195" t="n">
        <f aca="false">SUM(F57:F60)</f>
        <v>0</v>
      </c>
      <c r="G61" s="195" t="n">
        <f aca="false">SUM(G57:G60)</f>
        <v>0</v>
      </c>
      <c r="H61" s="195" t="n">
        <f aca="false">SUM(H57:H60)</f>
        <v>0</v>
      </c>
    </row>
    <row r="63" customFormat="false" ht="12.75" hidden="false" customHeight="false" outlineLevel="0" collapsed="false">
      <c r="C63" s="205" t="s">
        <v>210</v>
      </c>
      <c r="D63" s="206" t="n">
        <f aca="false">D40+D55+D61</f>
        <v>261650</v>
      </c>
      <c r="E63" s="194"/>
      <c r="F63" s="206" t="n">
        <f aca="false">F40+F55+F61</f>
        <v>0</v>
      </c>
      <c r="G63" s="206" t="n">
        <f aca="false">G40+G55+G61</f>
        <v>0</v>
      </c>
      <c r="H63" s="206" t="n">
        <f aca="false">H40+H55+H61</f>
        <v>0</v>
      </c>
    </row>
    <row r="64" customFormat="false" ht="12.75" hidden="false" customHeight="false" outlineLevel="0" collapsed="false">
      <c r="C64" s="207"/>
      <c r="D64" s="208"/>
      <c r="E64" s="209"/>
      <c r="F64" s="208"/>
      <c r="G64" s="208"/>
    </row>
    <row r="65" customFormat="false" ht="12.75" hidden="false" customHeight="false" outlineLevel="0" collapsed="false">
      <c r="C65" s="196" t="s">
        <v>211</v>
      </c>
      <c r="D65" s="196"/>
      <c r="E65" s="209"/>
      <c r="F65" s="208"/>
      <c r="G65" s="208"/>
      <c r="H65" s="208"/>
    </row>
    <row r="66" customFormat="false" ht="12.75" hidden="false" customHeight="false" outlineLevel="0" collapsed="false">
      <c r="C66" s="210" t="s">
        <v>212</v>
      </c>
      <c r="D66" s="187" t="n">
        <v>700</v>
      </c>
      <c r="E66" s="201"/>
      <c r="F66" s="203"/>
      <c r="G66" s="203"/>
      <c r="H66" s="203"/>
    </row>
    <row r="67" customFormat="false" ht="12.75" hidden="false" customHeight="false" outlineLevel="0" collapsed="false">
      <c r="C67" s="190" t="s">
        <v>213</v>
      </c>
      <c r="D67" s="187"/>
      <c r="E67" s="209"/>
      <c r="F67" s="208"/>
      <c r="G67" s="208"/>
      <c r="H67" s="208"/>
    </row>
    <row r="68" customFormat="false" ht="12.75" hidden="false" customHeight="false" outlineLevel="0" collapsed="false">
      <c r="C68" s="189" t="s">
        <v>214</v>
      </c>
      <c r="D68" s="187" t="n">
        <v>250</v>
      </c>
      <c r="E68" s="209"/>
      <c r="F68" s="208"/>
      <c r="G68" s="208"/>
      <c r="H68" s="208"/>
    </row>
    <row r="69" customFormat="false" ht="12.75" hidden="false" customHeight="false" outlineLevel="0" collapsed="false">
      <c r="C69" s="189" t="s">
        <v>215</v>
      </c>
      <c r="D69" s="187" t="n">
        <v>300</v>
      </c>
      <c r="E69" s="209"/>
      <c r="F69" s="208"/>
      <c r="G69" s="208"/>
      <c r="H69" s="208"/>
    </row>
    <row r="70" customFormat="false" ht="12.75" hidden="false" customHeight="false" outlineLevel="0" collapsed="false">
      <c r="C70" s="189" t="s">
        <v>216</v>
      </c>
      <c r="D70" s="187" t="n">
        <v>150</v>
      </c>
      <c r="E70" s="209"/>
      <c r="F70" s="208"/>
      <c r="G70" s="208"/>
      <c r="H70" s="208"/>
    </row>
    <row r="71" customFormat="false" ht="12.75" hidden="false" customHeight="false" outlineLevel="0" collapsed="false">
      <c r="C71" s="189" t="s">
        <v>217</v>
      </c>
      <c r="D71" s="187"/>
      <c r="E71" s="209"/>
      <c r="F71" s="208"/>
      <c r="G71" s="208"/>
      <c r="H71" s="208"/>
    </row>
    <row r="72" customFormat="false" ht="12.75" hidden="false" customHeight="false" outlineLevel="0" collapsed="false">
      <c r="C72" s="189" t="s">
        <v>218</v>
      </c>
      <c r="D72" s="187" t="n">
        <v>50</v>
      </c>
      <c r="E72" s="209"/>
      <c r="F72" s="208"/>
      <c r="G72" s="208"/>
      <c r="H72" s="208"/>
    </row>
    <row r="73" customFormat="false" ht="12.75" hidden="false" customHeight="false" outlineLevel="0" collapsed="false">
      <c r="C73" s="189" t="s">
        <v>219</v>
      </c>
      <c r="D73" s="187" t="n">
        <v>100</v>
      </c>
      <c r="E73" s="209"/>
      <c r="F73" s="208"/>
      <c r="G73" s="208"/>
      <c r="H73" s="208"/>
    </row>
    <row r="74" customFormat="false" ht="12.75" hidden="false" customHeight="false" outlineLevel="0" collapsed="false">
      <c r="C74" s="189"/>
      <c r="D74" s="187"/>
      <c r="E74" s="209"/>
      <c r="F74" s="208"/>
      <c r="G74" s="208"/>
    </row>
    <row r="75" customFormat="false" ht="12.75" hidden="true" customHeight="false" outlineLevel="0" collapsed="false">
      <c r="C75" s="211" t="s">
        <v>220</v>
      </c>
      <c r="D75" s="212" t="n">
        <f aca="false">SUM(D68:D74)+D66</f>
        <v>1550</v>
      </c>
      <c r="E75" s="213" t="s">
        <v>221</v>
      </c>
      <c r="F75" s="208"/>
      <c r="G75" s="208"/>
      <c r="H75" s="208"/>
    </row>
    <row r="76" customFormat="false" ht="12.75" hidden="false" customHeight="false" outlineLevel="0" collapsed="false">
      <c r="C76" s="205" t="s">
        <v>222</v>
      </c>
      <c r="D76" s="214" t="n">
        <f aca="false">SUM(D66:D74)</f>
        <v>1550</v>
      </c>
      <c r="E76" s="209"/>
      <c r="F76" s="208"/>
      <c r="G76" s="208"/>
      <c r="H76" s="208"/>
    </row>
    <row r="77" customFormat="false" ht="12.75" hidden="false" customHeight="false" outlineLevel="0" collapsed="false">
      <c r="C77" s="207"/>
      <c r="D77" s="208"/>
      <c r="E77" s="209"/>
      <c r="F77" s="208"/>
      <c r="G77" s="208"/>
    </row>
    <row r="78" customFormat="false" ht="30.75" hidden="false" customHeight="true" outlineLevel="0" collapsed="false">
      <c r="C78" s="196" t="s">
        <v>223</v>
      </c>
      <c r="D78" s="215" t="s">
        <v>224</v>
      </c>
      <c r="E78" s="216" t="s">
        <v>225</v>
      </c>
      <c r="F78" s="35"/>
      <c r="G78" s="217" t="s">
        <v>226</v>
      </c>
      <c r="H78" s="217"/>
      <c r="I78" s="217"/>
      <c r="J78" s="217"/>
      <c r="K78" s="217"/>
      <c r="L78" s="217"/>
      <c r="M78" s="217"/>
    </row>
    <row r="79" customFormat="false" ht="15.75" hidden="false" customHeight="true" outlineLevel="0" collapsed="false">
      <c r="C79" s="218" t="str">
        <f aca="false">'Previsión de negocio'!B30</f>
        <v>Pienso para perro adulto 12 kg</v>
      </c>
      <c r="D79" s="219" t="n">
        <f aca="false">'PRESUPUESTO INICIAL INVER_FINAN'!F71</f>
        <v>2475</v>
      </c>
      <c r="E79" s="187"/>
      <c r="F79" s="35"/>
      <c r="G79" s="217"/>
      <c r="H79" s="217"/>
      <c r="I79" s="217"/>
      <c r="J79" s="217"/>
      <c r="K79" s="217"/>
      <c r="L79" s="217"/>
      <c r="M79" s="217"/>
    </row>
    <row r="80" customFormat="false" ht="12.75" hidden="false" customHeight="false" outlineLevel="0" collapsed="false">
      <c r="C80" s="218" t="str">
        <f aca="false">'Previsión de negocio'!B36</f>
        <v>Pienso para gato adulto 10 kg</v>
      </c>
      <c r="D80" s="219" t="n">
        <f aca="false">'PRESUPUESTO INICIAL INVER_FINAN'!F72</f>
        <v>2250</v>
      </c>
      <c r="E80" s="187"/>
      <c r="F80" s="35"/>
      <c r="G80" s="217"/>
      <c r="H80" s="217"/>
      <c r="I80" s="217"/>
      <c r="J80" s="217"/>
      <c r="K80" s="217"/>
      <c r="L80" s="217"/>
      <c r="M80" s="217"/>
    </row>
    <row r="81" customFormat="false" ht="12.75" hidden="false" customHeight="false" outlineLevel="0" collapsed="false">
      <c r="C81" s="218" t="str">
        <f aca="false">'Previsión de negocio'!B42</f>
        <v>Pienso para loros 12 kg</v>
      </c>
      <c r="D81" s="219" t="n">
        <f aca="false">'PRESUPUESTO INICIAL INVER_FINAN'!F73</f>
        <v>2145</v>
      </c>
      <c r="E81" s="187"/>
      <c r="F81" s="35"/>
      <c r="G81" s="217"/>
      <c r="H81" s="217"/>
      <c r="I81" s="217"/>
      <c r="J81" s="217"/>
      <c r="K81" s="217"/>
      <c r="L81" s="217"/>
      <c r="M81" s="217"/>
    </row>
    <row r="82" customFormat="false" ht="12.75" hidden="false" customHeight="false" outlineLevel="0" collapsed="false">
      <c r="C82" s="218" t="str">
        <f aca="false">'Previsión de negocio'!B48</f>
        <v>Pienso para cobayas 3 kg</v>
      </c>
      <c r="D82" s="219" t="n">
        <f aca="false">'PRESUPUESTO INICIAL INVER_FINAN'!F74</f>
        <v>664</v>
      </c>
      <c r="E82" s="187"/>
      <c r="F82" s="35"/>
      <c r="G82" s="217"/>
      <c r="H82" s="217"/>
      <c r="I82" s="217"/>
      <c r="J82" s="217"/>
      <c r="K82" s="217"/>
      <c r="L82" s="217"/>
      <c r="M82" s="217"/>
    </row>
    <row r="83" customFormat="false" ht="12.75" hidden="false" customHeight="false" outlineLevel="0" collapsed="false">
      <c r="C83" s="218" t="str">
        <f aca="false">'Previsión de negocio'!B54</f>
        <v>Pienso para conejo adulto 1,75 kg</v>
      </c>
      <c r="D83" s="219" t="n">
        <f aca="false">'PRESUPUESTO INICIAL INVER_FINAN'!F75</f>
        <v>532</v>
      </c>
      <c r="E83" s="187"/>
      <c r="F83" s="35"/>
      <c r="G83" s="217"/>
      <c r="H83" s="217"/>
      <c r="I83" s="217"/>
      <c r="J83" s="217"/>
      <c r="K83" s="217"/>
      <c r="L83" s="217"/>
      <c r="M83" s="217"/>
    </row>
    <row r="84" customFormat="false" ht="12.75" hidden="false" customHeight="false" outlineLevel="0" collapsed="false">
      <c r="C84" s="218" t="str">
        <f aca="false">'Previsión de negocio'!B60</f>
        <v>Pienso para hamsters 1 kg</v>
      </c>
      <c r="D84" s="219" t="n">
        <f aca="false">'PRESUPUESTO INICIAL INVER_FINAN'!F76</f>
        <v>742</v>
      </c>
      <c r="E84" s="187"/>
      <c r="F84" s="35"/>
    </row>
    <row r="85" customFormat="false" ht="12.75" hidden="false" customHeight="false" outlineLevel="0" collapsed="false">
      <c r="C85" s="218" t="str">
        <f aca="false">'Previsión de negocio'!B66</f>
        <v>Pienso natural para perro 3 kg</v>
      </c>
      <c r="D85" s="219" t="n">
        <f aca="false">'PRESUPUESTO INICIAL INVER_FINAN'!F77</f>
        <v>612</v>
      </c>
      <c r="E85" s="187"/>
      <c r="F85" s="35"/>
      <c r="G85" s="35"/>
      <c r="H85" s="35"/>
    </row>
    <row r="86" customFormat="false" ht="12.75" hidden="false" customHeight="false" outlineLevel="0" collapsed="false">
      <c r="C86" s="218" t="str">
        <f aca="false">'Previsión de negocio'!B72</f>
        <v>Pienso natural para cachorros 6 kg</v>
      </c>
      <c r="D86" s="219" t="n">
        <f aca="false">'PRESUPUESTO INICIAL INVER_FINAN'!F78</f>
        <v>1624</v>
      </c>
      <c r="E86" s="187"/>
      <c r="F86" s="35"/>
      <c r="G86" s="35"/>
      <c r="H86" s="35"/>
    </row>
    <row r="87" customFormat="false" ht="12.75" hidden="false" customHeight="false" outlineLevel="0" collapsed="false">
      <c r="C87" s="218" t="str">
        <f aca="false">'Previsión de negocio'!B78</f>
        <v>Menú natural semihúmedo perro</v>
      </c>
      <c r="D87" s="219" t="n">
        <f aca="false">'PRESUPUESTO INICIAL INVER_FINAN'!F79</f>
        <v>909</v>
      </c>
      <c r="E87" s="187"/>
      <c r="F87" s="35"/>
      <c r="G87" s="35"/>
      <c r="H87" s="35"/>
    </row>
    <row r="88" customFormat="false" ht="12.75" hidden="false" customHeight="false" outlineLevel="0" collapsed="false">
      <c r="C88" s="218" t="str">
        <f aca="false">'Previsión de negocio'!B84</f>
        <v>Comida húmeda para gatos 26 pouches</v>
      </c>
      <c r="D88" s="219" t="n">
        <f aca="false">'PRESUPUESTO INICIAL INVER_FINAN'!F80</f>
        <v>870</v>
      </c>
      <c r="E88" s="187"/>
      <c r="F88" s="35"/>
      <c r="G88" s="35"/>
      <c r="H88" s="35"/>
    </row>
    <row r="89" customFormat="false" ht="12.75" hidden="false" customHeight="false" outlineLevel="0" collapsed="false">
      <c r="C89" s="205" t="s">
        <v>227</v>
      </c>
      <c r="D89" s="214" t="n">
        <f aca="false">SUM(D79:D88)</f>
        <v>12823</v>
      </c>
      <c r="E89" s="178"/>
      <c r="F89" s="35"/>
      <c r="G89" s="35"/>
      <c r="H89" s="35"/>
    </row>
    <row r="90" customFormat="false" ht="13.5" hidden="false" customHeight="false" outlineLevel="0" collapsed="false">
      <c r="C90" s="52"/>
      <c r="D90" s="131"/>
      <c r="E90" s="178"/>
      <c r="F90" s="35"/>
    </row>
    <row r="91" customFormat="false" ht="15.75" hidden="false" customHeight="false" outlineLevel="0" collapsed="false">
      <c r="C91" s="220" t="s">
        <v>228</v>
      </c>
      <c r="D91" s="221" t="n">
        <f aca="false">D63+D76+D89</f>
        <v>276023</v>
      </c>
      <c r="E91" s="178"/>
      <c r="F91" s="35"/>
      <c r="G91" s="35"/>
      <c r="H91" s="35"/>
    </row>
    <row r="92" customFormat="false" ht="13.5" hidden="false" customHeight="false" outlineLevel="0" collapsed="false">
      <c r="C92" s="185"/>
      <c r="D92" s="48"/>
      <c r="E92" s="178"/>
    </row>
    <row r="93" customFormat="false" ht="12.75" hidden="true" customHeight="false" outlineLevel="0" collapsed="false">
      <c r="C93" s="185"/>
      <c r="D93" s="48"/>
      <c r="E93" s="178"/>
      <c r="F93" s="35"/>
      <c r="G93" s="222" t="n">
        <f aca="false">SUM(E79:E88)</f>
        <v>0</v>
      </c>
      <c r="H93" s="35"/>
    </row>
    <row r="94" customFormat="false" ht="12.75" hidden="false" customHeight="false" outlineLevel="0" collapsed="false">
      <c r="C94" s="35"/>
      <c r="D94" s="48"/>
      <c r="E94" s="178"/>
      <c r="F94" s="35"/>
      <c r="G94" s="35"/>
      <c r="H94" s="35"/>
      <c r="I94" s="35"/>
    </row>
    <row r="95" customFormat="false" ht="14.25" hidden="false" customHeight="false" outlineLevel="0" collapsed="false">
      <c r="C95" s="51" t="s">
        <v>229</v>
      </c>
      <c r="D95" s="223"/>
      <c r="E95" s="48"/>
      <c r="F95" s="35"/>
      <c r="G95" s="35"/>
      <c r="H95" s="35"/>
      <c r="I95" s="35"/>
      <c r="J95" s="35"/>
      <c r="K95" s="35"/>
    </row>
    <row r="96" customFormat="false" ht="12.75" hidden="false" customHeight="false" outlineLevel="0" collapsed="false">
      <c r="C96" s="52"/>
      <c r="D96" s="48"/>
      <c r="E96" s="48"/>
      <c r="F96" s="35"/>
      <c r="G96" s="35"/>
      <c r="H96" s="35"/>
      <c r="I96" s="35"/>
    </row>
    <row r="97" customFormat="false" ht="12.75" hidden="false" customHeight="true" outlineLevel="0" collapsed="false">
      <c r="C97" s="83" t="s">
        <v>177</v>
      </c>
      <c r="D97" s="224" t="s">
        <v>183</v>
      </c>
      <c r="E97" s="71" t="s">
        <v>230</v>
      </c>
      <c r="F97" s="71" t="s">
        <v>231</v>
      </c>
      <c r="G97" s="71" t="s">
        <v>232</v>
      </c>
      <c r="I97" s="35"/>
      <c r="J97" s="35"/>
    </row>
    <row r="98" customFormat="false" ht="24" hidden="false" customHeight="true" outlineLevel="0" collapsed="false">
      <c r="C98" s="225" t="s">
        <v>233</v>
      </c>
      <c r="D98" s="224"/>
      <c r="E98" s="71"/>
      <c r="F98" s="71"/>
      <c r="G98" s="71"/>
      <c r="I98" s="35"/>
      <c r="J98" s="35"/>
    </row>
    <row r="99" customFormat="false" ht="12.75" hidden="false" customHeight="false" outlineLevel="0" collapsed="false">
      <c r="C99" s="189" t="s">
        <v>234</v>
      </c>
      <c r="D99" s="88" t="n">
        <v>120000</v>
      </c>
      <c r="E99" s="88" t="n">
        <v>0</v>
      </c>
      <c r="F99" s="187"/>
      <c r="G99" s="187"/>
      <c r="I99" s="35"/>
      <c r="J99" s="35"/>
    </row>
    <row r="100" customFormat="false" ht="12.75" hidden="false" customHeight="false" outlineLevel="0" collapsed="false">
      <c r="C100" s="189" t="s">
        <v>235</v>
      </c>
      <c r="D100" s="88"/>
      <c r="E100" s="226"/>
      <c r="F100" s="226"/>
      <c r="G100" s="226"/>
      <c r="I100" s="35"/>
      <c r="J100" s="35"/>
    </row>
    <row r="101" customFormat="false" ht="17.25" hidden="false" customHeight="true" outlineLevel="0" collapsed="false">
      <c r="C101" s="202" t="s">
        <v>236</v>
      </c>
      <c r="D101" s="227" t="n">
        <f aca="false">SUM(D99:D100)</f>
        <v>120000</v>
      </c>
      <c r="E101" s="228" t="n">
        <f aca="false">SUM(E99:E100)</f>
        <v>0</v>
      </c>
      <c r="F101" s="228" t="n">
        <f aca="false">SUM(F99:F100)</f>
        <v>0</v>
      </c>
      <c r="G101" s="228" t="n">
        <f aca="false">SUM(G99:G100)</f>
        <v>0</v>
      </c>
      <c r="I101" s="217" t="s">
        <v>237</v>
      </c>
      <c r="J101" s="217"/>
      <c r="K101" s="217"/>
      <c r="L101" s="217"/>
      <c r="M101" s="217"/>
      <c r="N101" s="217"/>
      <c r="O101" s="217"/>
    </row>
    <row r="102" customFormat="false" ht="12.75" hidden="false" customHeight="false" outlineLevel="0" collapsed="false">
      <c r="C102" s="189" t="s">
        <v>238</v>
      </c>
      <c r="D102" s="187"/>
      <c r="E102" s="187"/>
      <c r="F102" s="187"/>
      <c r="G102" s="187"/>
      <c r="I102" s="217"/>
      <c r="J102" s="217"/>
      <c r="K102" s="217"/>
      <c r="L102" s="217"/>
      <c r="M102" s="217"/>
      <c r="N102" s="217"/>
    </row>
    <row r="103" customFormat="false" ht="12.75" hidden="false" customHeight="false" outlineLevel="0" collapsed="false">
      <c r="C103" s="189" t="s">
        <v>239</v>
      </c>
      <c r="D103" s="187"/>
      <c r="E103" s="187"/>
      <c r="F103" s="187"/>
      <c r="G103" s="187"/>
      <c r="I103" s="217"/>
      <c r="J103" s="217"/>
      <c r="K103" s="217"/>
      <c r="L103" s="217"/>
      <c r="M103" s="217"/>
      <c r="N103" s="217"/>
    </row>
    <row r="104" customFormat="false" ht="16.5" hidden="false" customHeight="true" outlineLevel="0" collapsed="false">
      <c r="C104" s="229" t="s">
        <v>240</v>
      </c>
      <c r="D104" s="230" t="n">
        <f aca="false">SUM(D101:D103)</f>
        <v>120000</v>
      </c>
      <c r="E104" s="230" t="n">
        <f aca="false">SUM(E101:E103)</f>
        <v>0</v>
      </c>
      <c r="F104" s="230" t="n">
        <f aca="false">SUM(F101:F103)</f>
        <v>0</v>
      </c>
      <c r="G104" s="230" t="n">
        <f aca="false">SUM(G101:G103)</f>
        <v>0</v>
      </c>
      <c r="I104" s="217"/>
      <c r="J104" s="217"/>
      <c r="K104" s="217"/>
      <c r="L104" s="217"/>
      <c r="M104" s="217"/>
      <c r="N104" s="217"/>
    </row>
    <row r="105" customFormat="false" ht="20.25" hidden="false" customHeight="true" outlineLevel="0" collapsed="false">
      <c r="C105" s="52"/>
      <c r="D105" s="197"/>
      <c r="E105" s="231"/>
      <c r="F105" s="35"/>
      <c r="G105" s="35"/>
      <c r="H105" s="35"/>
      <c r="I105" s="35"/>
    </row>
    <row r="106" customFormat="false" ht="13.5" hidden="false" customHeight="false" outlineLevel="0" collapsed="false">
      <c r="C106" s="225" t="s">
        <v>241</v>
      </c>
    </row>
    <row r="107" customFormat="false" ht="22.5" hidden="false" customHeight="true" outlineLevel="0" collapsed="false">
      <c r="C107" s="196" t="s">
        <v>242</v>
      </c>
      <c r="D107" s="224" t="s">
        <v>183</v>
      </c>
      <c r="E107" s="149" t="s">
        <v>243</v>
      </c>
      <c r="F107" s="232" t="s">
        <v>244</v>
      </c>
      <c r="G107" s="233" t="s">
        <v>245</v>
      </c>
      <c r="H107" s="232" t="s">
        <v>246</v>
      </c>
      <c r="I107" s="234" t="s">
        <v>247</v>
      </c>
      <c r="J107" s="71" t="s">
        <v>248</v>
      </c>
      <c r="K107" s="232" t="s">
        <v>212</v>
      </c>
      <c r="L107" s="232" t="s">
        <v>249</v>
      </c>
    </row>
    <row r="108" customFormat="false" ht="12.75" hidden="false" customHeight="false" outlineLevel="0" collapsed="false">
      <c r="C108" s="196" t="s">
        <v>250</v>
      </c>
      <c r="D108" s="224"/>
      <c r="E108" s="235"/>
      <c r="F108" s="236"/>
      <c r="G108" s="237"/>
      <c r="H108" s="236"/>
      <c r="I108" s="236"/>
      <c r="J108" s="71"/>
      <c r="K108" s="238" t="s">
        <v>251</v>
      </c>
      <c r="L108" s="236"/>
    </row>
    <row r="109" customFormat="false" ht="12.75" hidden="false" customHeight="false" outlineLevel="0" collapsed="false">
      <c r="C109" s="189" t="s">
        <v>252</v>
      </c>
      <c r="D109" s="88" t="n">
        <v>150000</v>
      </c>
      <c r="E109" s="239" t="n">
        <v>15</v>
      </c>
      <c r="F109" s="240" t="n">
        <v>12</v>
      </c>
      <c r="G109" s="241" t="n">
        <v>3.5</v>
      </c>
      <c r="H109" s="242" t="n">
        <f aca="false">'Datos generales'!$D$10</f>
        <v>44927</v>
      </c>
      <c r="I109" s="242" t="n">
        <v>44958</v>
      </c>
      <c r="J109" s="243" t="n">
        <v>0</v>
      </c>
      <c r="K109" s="241" t="n">
        <v>15000</v>
      </c>
      <c r="L109" s="244" t="n">
        <f aca="false">IF(DATE(YEAR(H109),MONTH(H109),DAY(H109))&lt;='Datos generales'!$D$10,D109-K109,0)</f>
        <v>135000</v>
      </c>
    </row>
    <row r="110" customFormat="false" ht="12.75" hidden="false" customHeight="false" outlineLevel="0" collapsed="false">
      <c r="C110" s="189" t="s">
        <v>253</v>
      </c>
      <c r="D110" s="88" t="n">
        <v>15000</v>
      </c>
      <c r="E110" s="239" t="n">
        <v>5</v>
      </c>
      <c r="F110" s="240" t="n">
        <v>12</v>
      </c>
      <c r="G110" s="241" t="n">
        <v>5</v>
      </c>
      <c r="H110" s="242" t="n">
        <f aca="false">'Datos generales'!$D$10</f>
        <v>44927</v>
      </c>
      <c r="I110" s="242" t="n">
        <v>44958</v>
      </c>
      <c r="J110" s="243"/>
      <c r="K110" s="241"/>
      <c r="L110" s="244" t="n">
        <f aca="false">IF(DATE(YEAR(H110),MONTH(H110),DAY(H110))&lt;='Datos generales'!$D$10,D110-K110,0)</f>
        <v>15000</v>
      </c>
    </row>
    <row r="111" customFormat="false" ht="12.75" hidden="false" customHeight="false" outlineLevel="0" collapsed="false">
      <c r="C111" s="189"/>
      <c r="D111" s="88"/>
      <c r="E111" s="239"/>
      <c r="F111" s="240"/>
      <c r="G111" s="241" t="n">
        <v>5</v>
      </c>
      <c r="H111" s="242"/>
      <c r="I111" s="242"/>
      <c r="J111" s="243"/>
      <c r="K111" s="241"/>
      <c r="L111" s="244" t="n">
        <f aca="false">IF(DATE(YEAR(H111),MONTH(H111),DAY(H111))&lt;='Datos generales'!$D$10,D111-K111,0)</f>
        <v>0</v>
      </c>
    </row>
    <row r="112" customFormat="false" ht="12.75" hidden="false" customHeight="false" outlineLevel="0" collapsed="false">
      <c r="C112" s="202" t="s">
        <v>254</v>
      </c>
      <c r="D112" s="195" t="n">
        <f aca="false">SUM(L109:L111)</f>
        <v>150000</v>
      </c>
      <c r="E112" s="245" t="s">
        <v>255</v>
      </c>
      <c r="F112" s="246" t="s">
        <v>256</v>
      </c>
      <c r="H112" s="246" t="s">
        <v>257</v>
      </c>
      <c r="I112" s="247"/>
    </row>
    <row r="113" customFormat="false" ht="22.5" hidden="false" customHeight="true" outlineLevel="0" collapsed="false">
      <c r="C113" s="196" t="s">
        <v>258</v>
      </c>
      <c r="D113" s="113"/>
      <c r="E113" s="71" t="s">
        <v>243</v>
      </c>
      <c r="F113" s="71" t="s">
        <v>244</v>
      </c>
      <c r="G113" s="248" t="s">
        <v>245</v>
      </c>
      <c r="H113" s="71" t="s">
        <v>259</v>
      </c>
      <c r="I113" s="71" t="s">
        <v>247</v>
      </c>
      <c r="J113" s="82" t="s">
        <v>260</v>
      </c>
      <c r="K113" s="71" t="s">
        <v>261</v>
      </c>
      <c r="M113" s="249" t="s">
        <v>262</v>
      </c>
      <c r="N113" s="249"/>
      <c r="O113" s="249"/>
      <c r="P113" s="250" t="s">
        <v>263</v>
      </c>
      <c r="Q113" s="250" t="s">
        <v>264</v>
      </c>
      <c r="R113" s="250" t="s">
        <v>265</v>
      </c>
      <c r="S113" s="251"/>
    </row>
    <row r="114" customFormat="false" ht="12.75" hidden="false" customHeight="false" outlineLevel="0" collapsed="false">
      <c r="C114" s="189" t="s">
        <v>266</v>
      </c>
      <c r="D114" s="88"/>
      <c r="E114" s="239" t="n">
        <v>3</v>
      </c>
      <c r="F114" s="240" t="n">
        <v>12</v>
      </c>
      <c r="G114" s="241" t="n">
        <v>6</v>
      </c>
      <c r="H114" s="242" t="n">
        <f aca="false">'Datos generales'!$D$10</f>
        <v>44927</v>
      </c>
      <c r="I114" s="242" t="n">
        <f aca="false">'Datos generales'!$D$10</f>
        <v>44927</v>
      </c>
      <c r="J114" s="241"/>
      <c r="K114" s="244" t="n">
        <f aca="false">IF(DATE(YEAR(H114),MONTH(H114),DAY(1))&lt;='Datos generales'!$N$10,D114,0)</f>
        <v>0</v>
      </c>
      <c r="M114" s="249"/>
      <c r="N114" s="249"/>
      <c r="O114" s="249"/>
      <c r="P114" s="252" t="n">
        <f aca="false">IF(AND(DATE(YEAR(H114),MONTH(H114),DAY(1))&lt;&gt;'Datos generales'!$N$10,YEAR($H114)='Datos generales'!$P$10),D114,0)</f>
        <v>0</v>
      </c>
      <c r="Q114" s="252" t="n">
        <f aca="false">IF(YEAR($H114)='Datos generales'!$P$10+1,D114,0)</f>
        <v>0</v>
      </c>
      <c r="R114" s="252" t="n">
        <f aca="false">IF(YEAR($H114)='Datos generales'!$P$10+2,D114,0)</f>
        <v>0</v>
      </c>
      <c r="S114" s="251"/>
    </row>
    <row r="115" customFormat="false" ht="12.75" hidden="false" customHeight="false" outlineLevel="0" collapsed="false">
      <c r="C115" s="189" t="s">
        <v>267</v>
      </c>
      <c r="D115" s="88" t="n">
        <v>35000</v>
      </c>
      <c r="E115" s="239" t="n">
        <v>3</v>
      </c>
      <c r="F115" s="240" t="n">
        <v>12</v>
      </c>
      <c r="G115" s="241" t="n">
        <v>5</v>
      </c>
      <c r="H115" s="242" t="n">
        <f aca="false">'Datos generales'!$D$10</f>
        <v>44927</v>
      </c>
      <c r="I115" s="242" t="n">
        <v>44958</v>
      </c>
      <c r="J115" s="241"/>
      <c r="K115" s="113" t="n">
        <f aca="false">IF(DATE(YEAR(H115),MONTH(H115),DAY(1))&lt;='Datos generales'!$N$10,D115,0)</f>
        <v>35000</v>
      </c>
      <c r="M115" s="249"/>
      <c r="N115" s="249"/>
      <c r="O115" s="249"/>
      <c r="P115" s="252" t="n">
        <f aca="false">IF(AND(DATE(YEAR(H115),MONTH(H115),DAY(1))&lt;&gt;'Datos generales'!$N$10,YEAR($H115)='Datos generales'!$P$10),D115,0)</f>
        <v>0</v>
      </c>
      <c r="Q115" s="252" t="n">
        <f aca="false">IF(YEAR($H115)='Datos generales'!$P$10+1,D115,0)</f>
        <v>0</v>
      </c>
      <c r="R115" s="252" t="n">
        <f aca="false">IF(YEAR($H115)='Datos generales'!$P$10+2,D115,0)</f>
        <v>0</v>
      </c>
      <c r="S115" s="251"/>
    </row>
    <row r="116" customFormat="false" ht="12.75" hidden="false" customHeight="false" outlineLevel="0" collapsed="false">
      <c r="C116" s="189"/>
      <c r="D116" s="88"/>
      <c r="E116" s="239"/>
      <c r="F116" s="240"/>
      <c r="G116" s="241" t="n">
        <v>5</v>
      </c>
      <c r="H116" s="242"/>
      <c r="I116" s="242"/>
      <c r="J116" s="241"/>
      <c r="K116" s="113" t="n">
        <f aca="false">IF(DATE(YEAR(H116),MONTH(H116),DAY(1))&lt;='Datos generales'!$N$10,D116,0)</f>
        <v>0</v>
      </c>
      <c r="M116" s="249"/>
      <c r="N116" s="249"/>
      <c r="O116" s="249"/>
      <c r="P116" s="252" t="n">
        <f aca="false">IF(AND(DATE(YEAR(H116),MONTH(H116),DAY(1))&lt;&gt;'Datos generales'!$N$10,YEAR($H116)='Datos generales'!$P$10),D116,0)</f>
        <v>0</v>
      </c>
      <c r="Q116" s="252" t="n">
        <f aca="false">IF(YEAR($H116)='Datos generales'!$P$10+1,D116,0)</f>
        <v>0</v>
      </c>
      <c r="R116" s="252" t="n">
        <f aca="false">IF(YEAR($H116)='Datos generales'!$P$10+2,D116,0)</f>
        <v>0</v>
      </c>
      <c r="S116" s="251"/>
    </row>
    <row r="117" customFormat="false" ht="12.75" hidden="false" customHeight="false" outlineLevel="0" collapsed="false">
      <c r="C117" s="202" t="s">
        <v>268</v>
      </c>
      <c r="D117" s="195" t="n">
        <f aca="false">SUM(K114:K116)</f>
        <v>35000</v>
      </c>
      <c r="E117" s="245" t="s">
        <v>255</v>
      </c>
      <c r="F117" s="246" t="s">
        <v>269</v>
      </c>
      <c r="H117" s="246" t="s">
        <v>270</v>
      </c>
      <c r="I117" s="247"/>
      <c r="P117" s="252" t="n">
        <f aca="false">SUM(P114:P116)</f>
        <v>0</v>
      </c>
      <c r="Q117" s="252" t="n">
        <f aca="false">SUM(Q114:Q116)</f>
        <v>0</v>
      </c>
      <c r="R117" s="252" t="n">
        <f aca="false">SUM(R114:R116)</f>
        <v>0</v>
      </c>
      <c r="S117" s="251"/>
    </row>
    <row r="118" customFormat="false" ht="35.25" hidden="false" customHeight="true" outlineLevel="0" collapsed="false">
      <c r="C118" s="196" t="s">
        <v>271</v>
      </c>
      <c r="D118" s="113"/>
      <c r="E118" s="71" t="s">
        <v>243</v>
      </c>
      <c r="F118" s="71" t="s">
        <v>244</v>
      </c>
      <c r="G118" s="71" t="s">
        <v>272</v>
      </c>
      <c r="H118" s="71" t="s">
        <v>247</v>
      </c>
      <c r="I118" s="71" t="s">
        <v>273</v>
      </c>
    </row>
    <row r="119" customFormat="false" ht="12.75" hidden="false" customHeight="false" outlineLevel="0" collapsed="false">
      <c r="C119" s="254" t="s">
        <v>274</v>
      </c>
      <c r="D119" s="88"/>
      <c r="E119" s="88"/>
      <c r="F119" s="88"/>
      <c r="G119" s="242" t="n">
        <f aca="false">'Datos generales'!$D$10</f>
        <v>44927</v>
      </c>
      <c r="H119" s="242" t="n">
        <f aca="false">'Datos generales'!$D$10</f>
        <v>44927</v>
      </c>
      <c r="I119" s="113" t="n">
        <f aca="false">IF(DATE(YEAR(G119),MONTH(G119),DAY(1))&lt;='Datos generales'!$N$10,D119,0)</f>
        <v>0</v>
      </c>
    </row>
    <row r="120" customFormat="false" ht="12.75" hidden="false" customHeight="false" outlineLevel="0" collapsed="false">
      <c r="C120" s="254" t="s">
        <v>275</v>
      </c>
      <c r="D120" s="88"/>
      <c r="E120" s="88"/>
      <c r="F120" s="88"/>
      <c r="G120" s="242" t="n">
        <f aca="false">'Datos generales'!$D$10</f>
        <v>44927</v>
      </c>
      <c r="H120" s="242" t="n">
        <f aca="false">'Datos generales'!$D$10</f>
        <v>44927</v>
      </c>
      <c r="I120" s="113" t="n">
        <f aca="false">IF(DATE(YEAR(G120),MONTH(G120),DAY(1))&lt;='Datos generales'!$N$10,D120,0)</f>
        <v>0</v>
      </c>
    </row>
    <row r="121" customFormat="false" ht="12.75" hidden="false" customHeight="false" outlineLevel="0" collapsed="false">
      <c r="C121" s="202" t="s">
        <v>276</v>
      </c>
      <c r="D121" s="195" t="n">
        <f aca="false">SUM(I119:I120)</f>
        <v>0</v>
      </c>
      <c r="E121" s="245" t="s">
        <v>255</v>
      </c>
      <c r="F121" s="246" t="s">
        <v>277</v>
      </c>
      <c r="G121" s="145"/>
      <c r="H121" s="246" t="s">
        <v>278</v>
      </c>
    </row>
    <row r="122" customFormat="false" ht="12.75" hidden="false" customHeight="false" outlineLevel="0" collapsed="false">
      <c r="C122" s="202" t="s">
        <v>279</v>
      </c>
      <c r="D122" s="230" t="n">
        <f aca="false">D112+D117+D121</f>
        <v>185000</v>
      </c>
      <c r="E122" s="255"/>
      <c r="F122" s="256"/>
      <c r="G122" s="180"/>
      <c r="H122" s="35"/>
      <c r="I122" s="35"/>
    </row>
    <row r="123" customFormat="false" ht="13.5" hidden="false" customHeight="true" outlineLevel="0" collapsed="false">
      <c r="C123" s="52"/>
      <c r="D123" s="197"/>
      <c r="E123" s="257"/>
      <c r="F123" s="257"/>
      <c r="G123" s="180"/>
    </row>
    <row r="124" customFormat="false" ht="24.75" hidden="false" customHeight="true" outlineLevel="0" collapsed="false">
      <c r="C124" s="196" t="s">
        <v>280</v>
      </c>
      <c r="D124" s="224" t="s">
        <v>183</v>
      </c>
      <c r="E124" s="232" t="s">
        <v>281</v>
      </c>
      <c r="F124" s="232" t="s">
        <v>282</v>
      </c>
      <c r="G124" s="233" t="s">
        <v>245</v>
      </c>
      <c r="H124" s="232" t="s">
        <v>246</v>
      </c>
      <c r="I124" s="232" t="s">
        <v>247</v>
      </c>
      <c r="J124" s="232" t="s">
        <v>249</v>
      </c>
    </row>
    <row r="125" customFormat="false" ht="12.75" hidden="false" customHeight="false" outlineLevel="0" collapsed="false">
      <c r="C125" s="196" t="s">
        <v>283</v>
      </c>
      <c r="D125" s="224"/>
      <c r="E125" s="236"/>
      <c r="F125" s="236"/>
      <c r="G125" s="236"/>
      <c r="H125" s="236"/>
      <c r="I125" s="236"/>
      <c r="J125" s="236"/>
      <c r="K125" s="258"/>
    </row>
    <row r="126" customFormat="false" ht="12.75" hidden="false" customHeight="false" outlineLevel="0" collapsed="false">
      <c r="C126" s="189" t="s">
        <v>252</v>
      </c>
      <c r="D126" s="88"/>
      <c r="E126" s="189" t="n">
        <v>12</v>
      </c>
      <c r="F126" s="259" t="s">
        <v>284</v>
      </c>
      <c r="G126" s="241" t="n">
        <v>5</v>
      </c>
      <c r="H126" s="242" t="n">
        <f aca="false">'Datos generales'!$D$10</f>
        <v>44927</v>
      </c>
      <c r="I126" s="242" t="n">
        <f aca="false">'Datos generales'!$D$10</f>
        <v>44927</v>
      </c>
      <c r="J126" s="113" t="n">
        <f aca="false">IF(DATE(YEAR(H126),MONTH(H126),DAY(1))&lt;='Datos generales'!$N$10,D126,0)</f>
        <v>0</v>
      </c>
      <c r="K126" s="48"/>
    </row>
    <row r="127" customFormat="false" ht="12.75" hidden="false" customHeight="false" outlineLevel="0" collapsed="false">
      <c r="C127" s="189" t="s">
        <v>253</v>
      </c>
      <c r="D127" s="88" t="n">
        <v>0</v>
      </c>
      <c r="E127" s="189" t="n">
        <v>12</v>
      </c>
      <c r="F127" s="259" t="s">
        <v>284</v>
      </c>
      <c r="G127" s="241" t="n">
        <v>5</v>
      </c>
      <c r="H127" s="242" t="n">
        <f aca="false">'Datos generales'!$D$10</f>
        <v>44927</v>
      </c>
      <c r="I127" s="242" t="n">
        <f aca="false">'Datos generales'!$D$10</f>
        <v>44927</v>
      </c>
      <c r="J127" s="113" t="n">
        <f aca="false">IF(DATE(YEAR(H127),MONTH(H127),DAY(1))&lt;='Datos generales'!$N$10,D127,0)</f>
        <v>0</v>
      </c>
      <c r="K127" s="48"/>
    </row>
    <row r="128" customFormat="false" ht="12.75" hidden="false" customHeight="false" outlineLevel="0" collapsed="false">
      <c r="C128" s="189"/>
      <c r="D128" s="88"/>
      <c r="E128" s="189"/>
      <c r="F128" s="259"/>
      <c r="G128" s="241" t="n">
        <v>5</v>
      </c>
      <c r="H128" s="242"/>
      <c r="I128" s="242"/>
      <c r="J128" s="113" t="n">
        <f aca="false">IF(DATE(YEAR(H128),MONTH(H128),DAY(1))&lt;='Datos generales'!$N$10,D128,0)</f>
        <v>0</v>
      </c>
      <c r="K128" s="48"/>
    </row>
    <row r="129" customFormat="false" ht="12.75" hidden="false" customHeight="false" outlineLevel="0" collapsed="false">
      <c r="C129" s="202" t="s">
        <v>285</v>
      </c>
      <c r="D129" s="195" t="n">
        <f aca="false">SUM(J126:J128)</f>
        <v>0</v>
      </c>
      <c r="E129" s="245" t="s">
        <v>255</v>
      </c>
      <c r="F129" s="246" t="s">
        <v>256</v>
      </c>
      <c r="H129" s="246" t="s">
        <v>286</v>
      </c>
      <c r="I129" s="35"/>
      <c r="J129" s="35"/>
      <c r="K129" s="35"/>
    </row>
    <row r="130" customFormat="false" ht="12.75" hidden="false" customHeight="false" outlineLevel="0" collapsed="false">
      <c r="C130" s="196" t="s">
        <v>287</v>
      </c>
      <c r="E130" s="198"/>
      <c r="G130" s="198"/>
      <c r="H130" s="35"/>
      <c r="I130" s="35"/>
      <c r="J130" s="35"/>
    </row>
    <row r="131" customFormat="false" ht="12.75" hidden="false" customHeight="false" outlineLevel="0" collapsed="false">
      <c r="C131" s="189"/>
      <c r="D131" s="88"/>
      <c r="E131" s="260"/>
      <c r="F131" s="261"/>
      <c r="G131" s="35"/>
      <c r="H131" s="35"/>
      <c r="I131" s="35"/>
    </row>
    <row r="132" customFormat="false" ht="12.75" hidden="false" customHeight="false" outlineLevel="0" collapsed="false">
      <c r="C132" s="189"/>
      <c r="D132" s="88"/>
      <c r="E132" s="260"/>
      <c r="F132" s="261"/>
      <c r="G132" s="35"/>
      <c r="H132" s="35"/>
      <c r="I132" s="35"/>
    </row>
    <row r="133" customFormat="false" ht="12.75" hidden="false" customHeight="false" outlineLevel="0" collapsed="false">
      <c r="C133" s="189"/>
      <c r="D133" s="88"/>
      <c r="E133" s="260"/>
      <c r="F133" s="261"/>
      <c r="G133" s="35"/>
      <c r="H133" s="35"/>
      <c r="I133" s="35"/>
    </row>
    <row r="134" customFormat="false" ht="12.75" hidden="false" customHeight="false" outlineLevel="0" collapsed="false">
      <c r="C134" s="202" t="s">
        <v>288</v>
      </c>
      <c r="D134" s="195" t="n">
        <f aca="false">SUM(D131:D133)</f>
        <v>0</v>
      </c>
      <c r="E134" s="262"/>
      <c r="G134" s="35"/>
      <c r="H134" s="35"/>
      <c r="I134" s="35"/>
      <c r="J134" s="35"/>
    </row>
    <row r="135" customFormat="false" ht="12.75" hidden="false" customHeight="false" outlineLevel="0" collapsed="false">
      <c r="C135" s="196" t="s">
        <v>289</v>
      </c>
      <c r="D135" s="263"/>
      <c r="E135" s="262"/>
      <c r="G135" s="35"/>
      <c r="H135" s="35"/>
      <c r="I135" s="35"/>
      <c r="J135" s="35"/>
    </row>
    <row r="136" customFormat="false" ht="12.75" hidden="false" customHeight="false" outlineLevel="0" collapsed="false">
      <c r="C136" s="264" t="s">
        <v>290</v>
      </c>
      <c r="D136" s="88"/>
      <c r="E136" s="260"/>
      <c r="G136" s="35"/>
      <c r="H136" s="35"/>
      <c r="I136" s="35"/>
      <c r="J136" s="35"/>
    </row>
    <row r="137" customFormat="false" ht="12.75" hidden="false" customHeight="false" outlineLevel="0" collapsed="false">
      <c r="C137" s="264" t="s">
        <v>291</v>
      </c>
      <c r="D137" s="88"/>
      <c r="E137" s="260"/>
      <c r="F137" s="261"/>
      <c r="G137" s="198"/>
      <c r="H137" s="35"/>
      <c r="I137" s="35"/>
      <c r="J137" s="35"/>
      <c r="K137" s="35"/>
    </row>
    <row r="138" customFormat="false" ht="12.75" hidden="false" customHeight="false" outlineLevel="0" collapsed="false">
      <c r="C138" s="202" t="s">
        <v>292</v>
      </c>
      <c r="D138" s="230" t="n">
        <f aca="false">D129+D134+D136+D137</f>
        <v>0</v>
      </c>
      <c r="E138" s="265"/>
      <c r="F138" s="35"/>
      <c r="G138" s="35"/>
      <c r="H138" s="35"/>
      <c r="I138" s="35"/>
      <c r="J138" s="35"/>
      <c r="K138" s="35"/>
    </row>
    <row r="139" customFormat="false" ht="13.5" hidden="false" customHeight="false" outlineLevel="0" collapsed="false">
      <c r="C139" s="229" t="s">
        <v>293</v>
      </c>
      <c r="D139" s="266" t="n">
        <f aca="false">D122+D138</f>
        <v>185000</v>
      </c>
      <c r="E139" s="265"/>
      <c r="F139" s="35"/>
      <c r="G139" s="35"/>
      <c r="H139" s="35"/>
      <c r="I139" s="35"/>
      <c r="J139" s="35"/>
      <c r="K139" s="35"/>
    </row>
    <row r="140" customFormat="false" ht="29.25" hidden="false" customHeight="true" outlineLevel="0" collapsed="false">
      <c r="C140" s="23"/>
      <c r="D140" s="267"/>
      <c r="E140" s="265"/>
      <c r="F140" s="35"/>
      <c r="G140" s="35"/>
      <c r="H140" s="35"/>
      <c r="I140" s="35"/>
    </row>
    <row r="141" customFormat="false" ht="19.5" hidden="false" customHeight="false" outlineLevel="0" collapsed="false">
      <c r="C141" s="268" t="s">
        <v>294</v>
      </c>
      <c r="D141" s="269" t="n">
        <f aca="false">D104+D139</f>
        <v>305000</v>
      </c>
      <c r="E141" s="180"/>
      <c r="F141" s="35"/>
      <c r="G141" s="35"/>
      <c r="H141" s="35"/>
      <c r="I141" s="35"/>
      <c r="J141" s="35"/>
      <c r="K141" s="35"/>
    </row>
    <row r="142" customFormat="false" ht="11.25" hidden="false" customHeight="true" outlineLevel="0" collapsed="false">
      <c r="C142" s="70"/>
      <c r="D142" s="223"/>
      <c r="E142" s="180"/>
      <c r="F142" s="35"/>
      <c r="G142" s="35"/>
      <c r="H142" s="35"/>
      <c r="I142" s="35"/>
    </row>
    <row r="143" customFormat="false" ht="14.25" hidden="false" customHeight="false" outlineLevel="0" collapsed="false">
      <c r="C143" s="270" t="s">
        <v>295</v>
      </c>
      <c r="D143" s="271" t="n">
        <f aca="false">IF(D141&lt;D91,D141-D91,0)</f>
        <v>0</v>
      </c>
      <c r="E143" s="48"/>
      <c r="F143" s="35"/>
      <c r="G143" s="35"/>
      <c r="H143" s="35"/>
      <c r="I143" s="35"/>
      <c r="J143" s="35"/>
      <c r="K143" s="35"/>
    </row>
    <row r="144" customFormat="false" ht="12.75" hidden="false" customHeight="false" outlineLevel="0" collapsed="false">
      <c r="D144" s="48"/>
      <c r="E144" s="48"/>
      <c r="F144" s="35"/>
      <c r="G144" s="35"/>
      <c r="H144" s="35"/>
    </row>
    <row r="145" customFormat="false" ht="14.25" hidden="false" customHeight="false" outlineLevel="0" collapsed="false">
      <c r="C145" s="270" t="s">
        <v>296</v>
      </c>
      <c r="D145" s="271" t="n">
        <f aca="false">IF(TESORERIA!C35&gt;=0,0,TESORERIA!C35)</f>
        <v>0</v>
      </c>
    </row>
    <row r="147" customFormat="false" ht="33.75" hidden="false" customHeight="true" outlineLevel="0" collapsed="false"/>
  </sheetData>
  <sheetProtection sheet="true" password="cc4b"/>
  <mergeCells count="16">
    <mergeCell ref="B5:H18"/>
    <mergeCell ref="C25:C26"/>
    <mergeCell ref="E25:E26"/>
    <mergeCell ref="F25:F26"/>
    <mergeCell ref="G25:G26"/>
    <mergeCell ref="H25:H26"/>
    <mergeCell ref="G78:M83"/>
    <mergeCell ref="D97:D98"/>
    <mergeCell ref="E97:E98"/>
    <mergeCell ref="F97:F98"/>
    <mergeCell ref="G97:G98"/>
    <mergeCell ref="I101:O104"/>
    <mergeCell ref="D107:D108"/>
    <mergeCell ref="J107:J108"/>
    <mergeCell ref="M113:O116"/>
    <mergeCell ref="D124:D125"/>
  </mergeCells>
  <dataValidations count="28">
    <dataValidation allowBlank="true" error="Debe poner una fecha posterior a la de disposición del préstamo." errorStyle="stop" operator="greaterThanOrEqual" showDropDown="false" showErrorMessage="true" showInputMessage="true" sqref="I112 I117 I122:I123 I126" type="date">
      <formula1>H112</formula1>
      <formula2>0</formula2>
    </dataValidation>
    <dataValidation allowBlank="true" error="¡ATENCION! Ha reseñado contratos de arrendamiento financiero por importe superior a la inversión inicial en inmovilizado material. Esto puede originar descuadres contables" errorStyle="stop" operator="between" showDropDown="false" showErrorMessage="true" showInputMessage="true" sqref="D117:D118" type="custom">
      <formula1>D117&gt;D40</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1" type="custom">
      <formula1>D89&gt;=D134</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2" type="custom">
      <formula1>D89&gt;=D134</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3" type="custom">
      <formula1>D89&gt;=D134</formula1>
      <formula2>0</formula2>
    </dataValidation>
    <dataValidation allowBlank="true" error="No puede indicar aportaciones no dinerarias por importe superior a la suma de las inversiones." errorStyle="stop" operator="between" showDropDown="false" showErrorMessage="true" showInputMessage="true" sqref="E100:G100" type="custom">
      <formula1>E100&lt;=F40+F55</formula1>
      <formula2>0</formula2>
    </dataValidation>
    <dataValidation allowBlank="true" error="No puede indicar aportaciones no dinerarias por importe superior a la suma de las inversiones más las existencias iniciales aportadas por los socios." errorStyle="stop" operator="between" showDropDown="false" showErrorMessage="true" showInputMessage="true" sqref="D100" type="custom">
      <formula1>D100&lt;=D63+G93</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4" type="custom">
      <formula1>AND(D117&lt;=D40,P117&lt;=F40,Q117&lt;=G40,R117&lt;=H40)</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6" type="custom">
      <formula1>AND(D117&lt;=D40,P117&lt;=F40,Q117&lt;=G40,R117&lt;=H40)</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5" type="custom">
      <formula1>AND(D117&lt;=D40,P117&lt;=F40,Q117&lt;=G40,R117&lt;=H40)</formula1>
      <formula2>0</formula2>
    </dataValidation>
    <dataValidation allowBlank="true" error="El informe solo es a tres años, por lo que debe introducir una fecha  entre la de inicio de actividad y que no sea posterior a diciembre del tercer año.&#10;" errorStyle="stop" operator="between" showDropDown="false" showErrorMessage="true" showInputMessage="true" sqref="H109:I111 H114:I116 G119:H120 H122:H123 H126:H127 I127 H128:I128" type="date">
      <formula1>$D$1</formula1>
      <formula2>$F$1</formula2>
    </dataValidation>
    <dataValidation allowBlank="true" error="Debe introducir el número de cuotas que pagará anualmente" errorStyle="stop" operator="between" showDropDown="false" showErrorMessage="true" showInputMessage="true" sqref="F126:F128" type="list">
      <formula1>"Anuales,Semestrales,Cuatrimestrales,Trimestrales,Bimensuales,Mensuales"</formula1>
      <formula2>0</formula2>
    </dataValidation>
    <dataValidation allowBlank="true" error="Si el plazo es superior a 12 meses, debe considerar este préstamo en el apartado de a Largo Plazo" errorStyle="stop" operator="between" showDropDown="false" showErrorMessage="true" showInputMessage="true" sqref="E126:E128" type="whole">
      <formula1>1</formula1>
      <formula2>12</formula2>
    </dataValidation>
    <dataValidation allowBlank="true" error="Debe introducir el número de cuotas que pagará anualmente" errorStyle="stop" operator="between" showDropDown="false" showErrorMessage="true" showInputMessage="true" sqref="F109:F111 F114:F116" type="whole">
      <formula1>1</formula1>
      <formula2>12</formula2>
    </dataValidation>
    <dataValidation allowBlank="true" error="Los préstamos a un año o menos deben reseñarse en el apartado de préstamos a corto plazo." errorStyle="stop" operator="between" showDropDown="false" showErrorMessage="true" showInputMessage="true" sqref="E109:E111" type="decimal">
      <formula1>1.1</formula1>
      <formula2>99</formula2>
    </dataValidation>
    <dataValidation allowBlank="true" error="El informe solo es a tres años, por lo que debe introducir una fecha  entre la de inicio de actividad y que no sea posterior a diciembre del tercer año.&#10;" errorStyle="stop" operator="between" showDropDown="false" showErrorMessage="true" showInputMessage="true" sqref="H112 H117 H121 H129" type="none">
      <formula1>0</formula1>
      <formula2>0</formula2>
    </dataValidation>
    <dataValidation allowBlank="true" errorStyle="stop" operator="between" showDropDown="false" showErrorMessage="true" showInputMessage="true" sqref="D99" type="decimal">
      <formula1>0</formula1>
      <formula2>999999999999999</formula2>
    </dataValidation>
    <dataValidation allowBlank="true" errorStyle="stop" operator="between" showDropDown="false" showErrorMessage="true" showInputMessage="true" sqref="D109:D111" type="decimal">
      <formula1>0</formula1>
      <formula2>999999999999</formula2>
    </dataValidation>
    <dataValidation allowBlank="true" error="Debe incluir un porcentaje. Si el préstamo fuera sin intereses, reséñelo en Otros acreedores." errorStyle="stop" operator="between" showDropDown="false" showErrorMessage="true" showInputMessage="true" sqref="G109:G111 G114:G116 G126:G128" type="decimal">
      <formula1>0.1</formula1>
      <formula2>100</formula2>
    </dataValidation>
    <dataValidation allowBlank="true" error="Introduzca el plazo de pago en años" errorStyle="stop" operator="between" showDropDown="false" showErrorMessage="true" showInputMessage="true" sqref="E114:E116" type="decimal">
      <formula1>0</formula1>
      <formula2>99</formula2>
    </dataValidation>
    <dataValidation allowBlank="true" errorStyle="stop" operator="between" showDropDown="false" showErrorMessage="true" showInputMessage="true" sqref="D28:H39 D42:D50 F42:H50 D57:D60 F58:H60 D66:D74 E99:G99 D102:G103" type="decimal">
      <formula1>0</formula1>
      <formula2>100000000</formula2>
    </dataValidation>
    <dataValidation allowBlank="true" errorStyle="stop" operator="between" showDropDown="false" showErrorMessage="true" showInputMessage="true" sqref="E42:E54 D51:D54 F51:H54" type="decimal">
      <formula1>0</formula1>
      <formula2>99999999999999</formula2>
    </dataValidation>
    <dataValidation allowBlank="true" errorStyle="stop" operator="between" showDropDown="false" showErrorMessage="true" showInputMessage="true" sqref="E57:H57 E58:E60" type="decimal">
      <formula1>0</formula1>
      <formula2>9.99999999999999E+015</formula2>
    </dataValidation>
    <dataValidation allowBlank="true" error="Debe indicar el número de meses de carencia sin sobrepasar los tres años del informe" errorStyle="stop" operator="between" showDropDown="false" showErrorMessage="true" showInputMessage="true" sqref="J109:J111" type="whole">
      <formula1>0</formula1>
      <formula2>36</formula2>
    </dataValidation>
    <dataValidation allowBlank="true" error="Si el plazo es superior a 12 meses, debe considerar esta deuda en el apartado de a Largo Plazo" errorStyle="stop" operator="between" showDropDown="false" showErrorMessage="true" showInputMessage="true" sqref="E136:E137" type="whole">
      <formula1>1</formula1>
      <formula2>12</formula2>
    </dataValidation>
    <dataValidation allowBlank="true" error="Debe poner una fecha posterior a la de disposición del préstamo." errorStyle="stop" operator="greaterThanOrEqual" showDropDown="false" showErrorMessage="true" showInputMessage="true" sqref="I119:I120" type="none">
      <formula1>0</formula1>
      <formula2>0</formula2>
    </dataValidation>
    <dataValidation allowBlank="true" error="Debe introducir el número ce cuotas que pagará anualmente (máximo 12)" errorStyle="stop" operator="between" showDropDown="false" showErrorMessage="true" showInputMessage="true" sqref="F119" type="whole">
      <formula1>0</formula1>
      <formula2>12</formula2>
    </dataValidation>
    <dataValidation allowBlank="true" error="Debe introducir el número de cuotas que pagará anualmente (máximo 12)" errorStyle="stop" operator="between" showDropDown="false" showErrorMessage="true" showInputMessage="true" sqref="F120" type="whole">
      <formula1>0</formula1>
      <formula2>12</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V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609375" defaultRowHeight="12.75" zeroHeight="false" outlineLevelRow="0" outlineLevelCol="0"/>
  <cols>
    <col collapsed="false" customWidth="true" hidden="false" outlineLevel="0" max="2" min="2" style="0" width="35.06"/>
    <col collapsed="false" customWidth="true" hidden="false" outlineLevel="0" max="15" min="15" style="0" width="12.27"/>
    <col collapsed="false" customWidth="true" hidden="false" outlineLevel="0" max="16" min="16" style="0" width="8.49"/>
    <col collapsed="false" customWidth="true" hidden="false" outlineLevel="0" max="17" min="17" style="0" width="8.36"/>
    <col collapsed="false" customWidth="true" hidden="false" outlineLevel="0" max="18" min="18" style="0" width="11.86"/>
    <col collapsed="false" customWidth="true" hidden="true" outlineLevel="0" max="19" min="19" style="0" width="7.15"/>
    <col collapsed="false" customWidth="true" hidden="true" outlineLevel="0" max="20" min="20" style="0" width="6.06"/>
    <col collapsed="false" customWidth="true" hidden="true" outlineLevel="0" max="21" min="21" style="0" width="7.01"/>
    <col collapsed="false" customWidth="true" hidden="true" outlineLevel="0" max="22" min="22" style="0" width="6.06"/>
  </cols>
  <sheetData>
    <row r="2" customFormat="false" ht="13.5" hidden="true" customHeight="false" outlineLevel="0" collapsed="false">
      <c r="E2" s="272" t="s">
        <v>118</v>
      </c>
      <c r="F2" s="273" t="s">
        <v>119</v>
      </c>
      <c r="G2" s="273" t="s">
        <v>120</v>
      </c>
    </row>
    <row r="3" customFormat="false" ht="13.5" hidden="true" customHeight="false" outlineLevel="0" collapsed="false">
      <c r="E3" s="274" t="n">
        <f aca="false">'Datos generales'!$D$10</f>
        <v>44927</v>
      </c>
      <c r="F3" s="275" t="n">
        <f aca="false">MONTH(E3)</f>
        <v>1</v>
      </c>
      <c r="G3" s="275" t="n">
        <f aca="false">YEAR(E3)</f>
        <v>2023</v>
      </c>
    </row>
    <row r="6" customFormat="false" ht="142.5" hidden="false" customHeight="true" outlineLevel="0" collapsed="false">
      <c r="B6" s="174" t="s">
        <v>297</v>
      </c>
      <c r="C6" s="174"/>
      <c r="D6" s="174"/>
      <c r="E6" s="174"/>
      <c r="F6" s="174"/>
      <c r="G6" s="174"/>
      <c r="H6" s="174"/>
      <c r="I6" s="174"/>
      <c r="J6" s="174"/>
      <c r="K6" s="174"/>
      <c r="L6" s="174"/>
    </row>
    <row r="9" customFormat="false" ht="14.25" hidden="false" customHeight="false" outlineLevel="0" collapsed="false">
      <c r="A9" s="35"/>
      <c r="B9" s="51" t="s">
        <v>298</v>
      </c>
      <c r="C9" s="35"/>
      <c r="D9" s="48"/>
      <c r="E9" s="35"/>
      <c r="F9" s="35"/>
      <c r="G9" s="35"/>
      <c r="H9" s="35"/>
      <c r="I9" s="35"/>
      <c r="J9" s="35"/>
      <c r="K9" s="35"/>
      <c r="L9" s="35"/>
      <c r="M9" s="35"/>
      <c r="N9" s="35"/>
      <c r="O9" s="35"/>
      <c r="P9" s="35"/>
      <c r="Q9" s="35"/>
      <c r="R9" s="35"/>
    </row>
    <row r="10" customFormat="false" ht="15" hidden="false" customHeight="true" outlineLevel="0" collapsed="false">
      <c r="A10" s="35"/>
      <c r="B10" s="52"/>
      <c r="C10" s="276" t="s">
        <v>299</v>
      </c>
      <c r="D10" s="48"/>
      <c r="E10" s="35"/>
      <c r="F10" s="35"/>
      <c r="G10" s="35"/>
      <c r="H10" s="35"/>
      <c r="I10" s="35"/>
      <c r="J10" s="35"/>
      <c r="K10" s="35"/>
      <c r="L10" s="35"/>
      <c r="M10" s="35"/>
      <c r="N10" s="35"/>
      <c r="O10" s="35"/>
      <c r="P10" s="83" t="s">
        <v>300</v>
      </c>
      <c r="Q10" s="83" t="s">
        <v>300</v>
      </c>
      <c r="R10" s="82" t="s">
        <v>301</v>
      </c>
    </row>
    <row r="11" customFormat="false" ht="13.5" hidden="false" customHeight="false" outlineLevel="0" collapsed="false">
      <c r="A11" s="35"/>
      <c r="B11" s="277" t="s">
        <v>302</v>
      </c>
      <c r="C11" s="83" t="s">
        <v>303</v>
      </c>
      <c r="D11" s="72" t="s">
        <v>304</v>
      </c>
      <c r="E11" s="83" t="s">
        <v>305</v>
      </c>
      <c r="F11" s="83" t="s">
        <v>127</v>
      </c>
      <c r="G11" s="83" t="s">
        <v>128</v>
      </c>
      <c r="H11" s="83" t="s">
        <v>129</v>
      </c>
      <c r="I11" s="83" t="s">
        <v>130</v>
      </c>
      <c r="J11" s="83" t="s">
        <v>306</v>
      </c>
      <c r="K11" s="83" t="s">
        <v>307</v>
      </c>
      <c r="L11" s="83" t="s">
        <v>308</v>
      </c>
      <c r="M11" s="83" t="s">
        <v>309</v>
      </c>
      <c r="N11" s="83" t="s">
        <v>310</v>
      </c>
      <c r="O11" s="86" t="s">
        <v>136</v>
      </c>
      <c r="P11" s="83" t="s">
        <v>311</v>
      </c>
      <c r="Q11" s="83" t="s">
        <v>312</v>
      </c>
      <c r="R11" s="82"/>
    </row>
    <row r="12" customFormat="false" ht="13.5" hidden="false" customHeight="false" outlineLevel="0" collapsed="false">
      <c r="A12" s="35"/>
      <c r="B12" s="196" t="s">
        <v>313</v>
      </c>
      <c r="R12" s="35"/>
      <c r="S12" s="275" t="s">
        <v>314</v>
      </c>
      <c r="T12" s="275"/>
      <c r="U12" s="275" t="s">
        <v>120</v>
      </c>
      <c r="V12" s="275"/>
    </row>
    <row r="13" customFormat="false" ht="13.5" hidden="false" customHeight="false" outlineLevel="0" collapsed="false">
      <c r="A13" s="35"/>
      <c r="B13" s="190" t="str">
        <f aca="false">'Entrada Inver_Finan'!C67</f>
        <v>Formación del personal</v>
      </c>
      <c r="C13" s="88"/>
      <c r="D13" s="88"/>
      <c r="E13" s="88"/>
      <c r="F13" s="88"/>
      <c r="G13" s="88"/>
      <c r="H13" s="88"/>
      <c r="I13" s="88"/>
      <c r="J13" s="88"/>
      <c r="K13" s="88"/>
      <c r="L13" s="88"/>
      <c r="M13" s="88"/>
      <c r="N13" s="88"/>
      <c r="O13" s="263" t="n">
        <f aca="false">SUM(C13:N13)</f>
        <v>0</v>
      </c>
      <c r="P13" s="76" t="n">
        <v>0.02</v>
      </c>
      <c r="Q13" s="76" t="n">
        <v>0.02</v>
      </c>
      <c r="R13" s="35"/>
      <c r="S13" s="275"/>
      <c r="T13" s="275"/>
      <c r="U13" s="275"/>
      <c r="V13" s="275"/>
    </row>
    <row r="14" customFormat="false" ht="13.5" hidden="false" customHeight="false" outlineLevel="0" collapsed="false">
      <c r="A14" s="35"/>
      <c r="B14" s="189" t="s">
        <v>315</v>
      </c>
      <c r="C14" s="88"/>
      <c r="D14" s="88"/>
      <c r="E14" s="88"/>
      <c r="F14" s="88"/>
      <c r="G14" s="88"/>
      <c r="H14" s="88"/>
      <c r="I14" s="88"/>
      <c r="J14" s="88"/>
      <c r="K14" s="88"/>
      <c r="L14" s="88"/>
      <c r="M14" s="88"/>
      <c r="N14" s="88"/>
      <c r="O14" s="263" t="n">
        <f aca="false">SUM(C14:N14)</f>
        <v>0</v>
      </c>
      <c r="P14" s="76" t="n">
        <v>0.02</v>
      </c>
      <c r="Q14" s="76" t="n">
        <v>0.02</v>
      </c>
      <c r="R14" s="278" t="n">
        <f aca="false">'Datos generales'!$D$10</f>
        <v>44927</v>
      </c>
      <c r="S14" s="279" t="n">
        <f aca="false">MONTH(R14)</f>
        <v>1</v>
      </c>
      <c r="T14" s="275" t="n">
        <f aca="false">S14+V14*12</f>
        <v>1</v>
      </c>
      <c r="U14" s="275" t="n">
        <f aca="false">YEAR(R14)</f>
        <v>2023</v>
      </c>
      <c r="V14" s="275" t="n">
        <f aca="false">U14-$G$3</f>
        <v>0</v>
      </c>
    </row>
    <row r="15" customFormat="false" ht="13.5" hidden="false" customHeight="false" outlineLevel="0" collapsed="false">
      <c r="A15" s="35"/>
      <c r="B15" s="189" t="s">
        <v>316</v>
      </c>
      <c r="C15" s="88"/>
      <c r="D15" s="88"/>
      <c r="E15" s="88"/>
      <c r="F15" s="88"/>
      <c r="G15" s="88"/>
      <c r="H15" s="88"/>
      <c r="I15" s="88"/>
      <c r="J15" s="88"/>
      <c r="K15" s="88"/>
      <c r="L15" s="88"/>
      <c r="M15" s="88"/>
      <c r="N15" s="88"/>
      <c r="O15" s="263" t="n">
        <f aca="false">SUM(C15:N15)</f>
        <v>0</v>
      </c>
      <c r="P15" s="76" t="n">
        <v>0.02</v>
      </c>
      <c r="Q15" s="76" t="n">
        <v>0.02</v>
      </c>
      <c r="R15" s="278" t="n">
        <f aca="false">'Datos generales'!$D$10</f>
        <v>44927</v>
      </c>
      <c r="S15" s="279" t="n">
        <f aca="false">MONTH(R15)</f>
        <v>1</v>
      </c>
      <c r="T15" s="275" t="n">
        <f aca="false">S15+V15*12</f>
        <v>1</v>
      </c>
      <c r="U15" s="275" t="n">
        <f aca="false">YEAR(R15)</f>
        <v>2023</v>
      </c>
      <c r="V15" s="275" t="n">
        <f aca="false">U15-$G$3</f>
        <v>0</v>
      </c>
    </row>
    <row r="16" customFormat="false" ht="13.5" hidden="false" customHeight="false" outlineLevel="0" collapsed="false">
      <c r="A16" s="35"/>
      <c r="B16" s="189"/>
      <c r="C16" s="88"/>
      <c r="D16" s="88"/>
      <c r="E16" s="88"/>
      <c r="F16" s="88"/>
      <c r="G16" s="88"/>
      <c r="H16" s="88"/>
      <c r="I16" s="88"/>
      <c r="J16" s="88"/>
      <c r="K16" s="88"/>
      <c r="L16" s="88"/>
      <c r="M16" s="88"/>
      <c r="N16" s="88"/>
      <c r="O16" s="263" t="n">
        <f aca="false">SUM(C16:N16)</f>
        <v>0</v>
      </c>
      <c r="P16" s="76" t="n">
        <v>0.02</v>
      </c>
      <c r="Q16" s="76" t="n">
        <v>0.02</v>
      </c>
      <c r="R16" s="278" t="n">
        <f aca="false">'Datos generales'!$D$10</f>
        <v>44927</v>
      </c>
      <c r="S16" s="279" t="n">
        <f aca="false">MONTH(R16)</f>
        <v>1</v>
      </c>
      <c r="T16" s="275" t="n">
        <f aca="false">S16+V16*12</f>
        <v>1</v>
      </c>
      <c r="U16" s="275" t="n">
        <f aca="false">YEAR(R16)</f>
        <v>2023</v>
      </c>
      <c r="V16" s="275" t="n">
        <f aca="false">U16-$G$3</f>
        <v>0</v>
      </c>
    </row>
    <row r="17" customFormat="false" ht="13.5" hidden="false" customHeight="false" outlineLevel="0" collapsed="false">
      <c r="A17" s="35"/>
      <c r="B17" s="189"/>
      <c r="C17" s="88"/>
      <c r="D17" s="88"/>
      <c r="E17" s="88"/>
      <c r="F17" s="88"/>
      <c r="G17" s="88"/>
      <c r="H17" s="88"/>
      <c r="I17" s="88"/>
      <c r="J17" s="88"/>
      <c r="K17" s="88"/>
      <c r="L17" s="88"/>
      <c r="M17" s="88"/>
      <c r="N17" s="88"/>
      <c r="O17" s="263" t="n">
        <f aca="false">SUM(C17:N17)</f>
        <v>0</v>
      </c>
      <c r="P17" s="76" t="n">
        <v>0.02</v>
      </c>
      <c r="Q17" s="76" t="n">
        <v>0.02</v>
      </c>
      <c r="R17" s="278" t="n">
        <f aca="false">'Datos generales'!$D$10</f>
        <v>44927</v>
      </c>
      <c r="S17" s="279" t="n">
        <f aca="false">MONTH(R17)</f>
        <v>1</v>
      </c>
      <c r="T17" s="275" t="n">
        <f aca="false">S17+V17*12</f>
        <v>1</v>
      </c>
      <c r="U17" s="275" t="n">
        <f aca="false">YEAR(R17)</f>
        <v>2023</v>
      </c>
      <c r="V17" s="275" t="n">
        <f aca="false">U17-$G$3</f>
        <v>0</v>
      </c>
    </row>
    <row r="18" customFormat="false" ht="13.5" hidden="false" customHeight="false" outlineLevel="0" collapsed="false">
      <c r="A18" s="35"/>
      <c r="B18" s="189"/>
      <c r="C18" s="88"/>
      <c r="D18" s="88"/>
      <c r="E18" s="88"/>
      <c r="F18" s="88"/>
      <c r="G18" s="88"/>
      <c r="H18" s="88"/>
      <c r="I18" s="88"/>
      <c r="J18" s="88"/>
      <c r="K18" s="88"/>
      <c r="L18" s="88"/>
      <c r="M18" s="88"/>
      <c r="N18" s="88"/>
      <c r="O18" s="263" t="n">
        <f aca="false">SUM(C18:N18)</f>
        <v>0</v>
      </c>
      <c r="P18" s="76" t="n">
        <v>0.02</v>
      </c>
      <c r="Q18" s="76" t="n">
        <v>0.02</v>
      </c>
      <c r="R18" s="278" t="n">
        <f aca="false">'Datos generales'!$D$10</f>
        <v>44927</v>
      </c>
      <c r="S18" s="279" t="n">
        <f aca="false">MONTH(R18)</f>
        <v>1</v>
      </c>
      <c r="T18" s="275" t="n">
        <f aca="false">S18+V18*12</f>
        <v>1</v>
      </c>
      <c r="U18" s="275" t="n">
        <f aca="false">YEAR(R18)</f>
        <v>2023</v>
      </c>
      <c r="V18" s="275" t="n">
        <f aca="false">U18-$G$3</f>
        <v>0</v>
      </c>
    </row>
    <row r="19" customFormat="false" ht="12.75" hidden="false" customHeight="false" outlineLevel="0" collapsed="false">
      <c r="A19" s="35"/>
      <c r="B19" s="280" t="s">
        <v>317</v>
      </c>
      <c r="C19" s="195" t="n">
        <f aca="false">SUM(C13:C18)</f>
        <v>0</v>
      </c>
      <c r="D19" s="195" t="n">
        <f aca="false">SUM(D13:D18)</f>
        <v>0</v>
      </c>
      <c r="E19" s="195" t="n">
        <f aca="false">SUM(E13:E18)</f>
        <v>0</v>
      </c>
      <c r="F19" s="195" t="n">
        <f aca="false">SUM(F13:F18)</f>
        <v>0</v>
      </c>
      <c r="G19" s="195" t="n">
        <f aca="false">SUM(G13:G18)</f>
        <v>0</v>
      </c>
      <c r="H19" s="195" t="n">
        <f aca="false">SUM(H13:H18)</f>
        <v>0</v>
      </c>
      <c r="I19" s="195" t="n">
        <f aca="false">SUM(I13:I18)</f>
        <v>0</v>
      </c>
      <c r="J19" s="195" t="n">
        <f aca="false">SUM(J13:J18)</f>
        <v>0</v>
      </c>
      <c r="K19" s="195" t="n">
        <f aca="false">SUM(K13:K18)</f>
        <v>0</v>
      </c>
      <c r="L19" s="195" t="n">
        <f aca="false">SUM(L13:L18)</f>
        <v>0</v>
      </c>
      <c r="M19" s="195" t="n">
        <f aca="false">SUM(M13:M18)</f>
        <v>0</v>
      </c>
      <c r="N19" s="195" t="n">
        <f aca="false">SUM(N13:N18)</f>
        <v>0</v>
      </c>
      <c r="O19" s="195" t="n">
        <f aca="false">SUM(C19:N19)</f>
        <v>0</v>
      </c>
      <c r="P19" s="80"/>
      <c r="Q19" s="80"/>
      <c r="R19" s="35"/>
    </row>
    <row r="20" customFormat="false" ht="12.75" hidden="false" customHeight="false" outlineLevel="0" collapsed="false">
      <c r="A20" s="35"/>
      <c r="B20" s="196" t="s">
        <v>318</v>
      </c>
    </row>
    <row r="21" customFormat="false" ht="12.75" hidden="false" customHeight="false" outlineLevel="0" collapsed="false">
      <c r="A21" s="35"/>
      <c r="B21" s="189" t="s">
        <v>319</v>
      </c>
      <c r="C21" s="88"/>
      <c r="D21" s="88"/>
      <c r="E21" s="88"/>
      <c r="F21" s="88"/>
      <c r="G21" s="88"/>
      <c r="H21" s="88"/>
      <c r="I21" s="88"/>
      <c r="J21" s="88"/>
      <c r="K21" s="88"/>
      <c r="L21" s="88"/>
      <c r="M21" s="88"/>
      <c r="N21" s="88"/>
      <c r="O21" s="263" t="n">
        <f aca="false">SUM(C21:N21)</f>
        <v>0</v>
      </c>
      <c r="P21" s="76" t="n">
        <v>0.02</v>
      </c>
      <c r="Q21" s="76" t="n">
        <v>0.02</v>
      </c>
      <c r="R21" s="35"/>
    </row>
    <row r="22" customFormat="false" ht="12.75" hidden="false" customHeight="false" outlineLevel="0" collapsed="false">
      <c r="A22" s="35"/>
      <c r="B22" s="189" t="s">
        <v>320</v>
      </c>
      <c r="C22" s="88"/>
      <c r="D22" s="88"/>
      <c r="E22" s="88"/>
      <c r="F22" s="88"/>
      <c r="G22" s="88"/>
      <c r="H22" s="88"/>
      <c r="I22" s="88"/>
      <c r="J22" s="88"/>
      <c r="K22" s="88"/>
      <c r="L22" s="88"/>
      <c r="M22" s="88"/>
      <c r="N22" s="88"/>
      <c r="O22" s="263" t="n">
        <f aca="false">SUM(C22:N22)</f>
        <v>0</v>
      </c>
      <c r="P22" s="76" t="n">
        <v>0.02</v>
      </c>
      <c r="Q22" s="76" t="n">
        <v>0.02</v>
      </c>
      <c r="R22" s="35"/>
    </row>
    <row r="23" customFormat="false" ht="12.75" hidden="false" customHeight="false" outlineLevel="0" collapsed="false">
      <c r="A23" s="35"/>
      <c r="B23" s="189" t="s">
        <v>321</v>
      </c>
      <c r="C23" s="88"/>
      <c r="D23" s="88"/>
      <c r="E23" s="88"/>
      <c r="F23" s="88"/>
      <c r="G23" s="88"/>
      <c r="H23" s="88"/>
      <c r="I23" s="88"/>
      <c r="J23" s="88"/>
      <c r="K23" s="88"/>
      <c r="L23" s="88"/>
      <c r="M23" s="88"/>
      <c r="N23" s="88"/>
      <c r="O23" s="263" t="n">
        <f aca="false">SUM(C23:N23)</f>
        <v>0</v>
      </c>
      <c r="P23" s="76" t="n">
        <v>0.02</v>
      </c>
      <c r="Q23" s="76" t="n">
        <v>0.02</v>
      </c>
      <c r="R23" s="35"/>
    </row>
    <row r="24" customFormat="false" ht="12.75" hidden="false" customHeight="false" outlineLevel="0" collapsed="false">
      <c r="A24" s="35"/>
      <c r="B24" s="280" t="s">
        <v>322</v>
      </c>
      <c r="C24" s="195" t="n">
        <f aca="false">SUM(C21:C23)</f>
        <v>0</v>
      </c>
      <c r="D24" s="195" t="n">
        <f aca="false">SUM(D21:D23)</f>
        <v>0</v>
      </c>
      <c r="E24" s="195" t="n">
        <f aca="false">SUM(E21:E23)</f>
        <v>0</v>
      </c>
      <c r="F24" s="195" t="n">
        <f aca="false">SUM(F21:F23)</f>
        <v>0</v>
      </c>
      <c r="G24" s="195" t="n">
        <f aca="false">SUM(G21:G23)</f>
        <v>0</v>
      </c>
      <c r="H24" s="195" t="n">
        <f aca="false">SUM(H21:H23)</f>
        <v>0</v>
      </c>
      <c r="I24" s="195" t="n">
        <f aca="false">SUM(I21:I23)</f>
        <v>0</v>
      </c>
      <c r="J24" s="195" t="n">
        <f aca="false">SUM(J21:J23)</f>
        <v>0</v>
      </c>
      <c r="K24" s="195" t="n">
        <f aca="false">SUM(K21:K23)</f>
        <v>0</v>
      </c>
      <c r="L24" s="195" t="n">
        <f aca="false">SUM(L21:L23)</f>
        <v>0</v>
      </c>
      <c r="M24" s="195" t="n">
        <f aca="false">SUM(M21:M23)</f>
        <v>0</v>
      </c>
      <c r="N24" s="195" t="n">
        <f aca="false">SUM(N21:N23)</f>
        <v>0</v>
      </c>
      <c r="O24" s="195" t="n">
        <f aca="false">SUM(C24:N24)</f>
        <v>0</v>
      </c>
      <c r="P24" s="80"/>
      <c r="Q24" s="80"/>
      <c r="R24" s="35"/>
    </row>
    <row r="25" customFormat="false" ht="12.75" hidden="false" customHeight="false" outlineLevel="0" collapsed="false">
      <c r="A25" s="35"/>
      <c r="B25" s="196" t="s">
        <v>323</v>
      </c>
    </row>
    <row r="26" customFormat="false" ht="12.75" hidden="false" customHeight="false" outlineLevel="0" collapsed="false">
      <c r="A26" s="35"/>
      <c r="B26" s="282" t="s">
        <v>324</v>
      </c>
      <c r="C26" s="110" t="n">
        <f aca="true">OFFSET('Préstamos LP'!$E$35,'Datos generales'!D1,0,1,1)</f>
        <v>0</v>
      </c>
      <c r="D26" s="110" t="n">
        <f aca="true">OFFSET('Préstamos LP'!$E$35,'Datos generales'!E1,0,1,1)</f>
        <v>0</v>
      </c>
      <c r="E26" s="110" t="n">
        <f aca="true">OFFSET('Préstamos LP'!$E$35,'Datos generales'!F1,0,1,1)</f>
        <v>0</v>
      </c>
      <c r="F26" s="110" t="n">
        <f aca="true">OFFSET('Préstamos LP'!$E$35,'Datos generales'!G1,0,1,1)</f>
        <v>0</v>
      </c>
      <c r="G26" s="110" t="n">
        <f aca="true">OFFSET('Préstamos LP'!$E$35,'Datos generales'!H1,0,1,1)</f>
        <v>0</v>
      </c>
      <c r="H26" s="110" t="n">
        <f aca="true">OFFSET('Préstamos LP'!$E$35,'Datos generales'!I1,0,1,1)</f>
        <v>0</v>
      </c>
      <c r="I26" s="110" t="n">
        <f aca="true">OFFSET('Préstamos LP'!$E$35,'Datos generales'!J1,0,1,1)</f>
        <v>0</v>
      </c>
      <c r="J26" s="110" t="n">
        <f aca="true">OFFSET('Préstamos LP'!$E$35,'Datos generales'!K1,0,1,1)</f>
        <v>0</v>
      </c>
      <c r="K26" s="110" t="n">
        <f aca="true">OFFSET('Préstamos LP'!$E$35,'Datos generales'!L1,0,1,1)</f>
        <v>0</v>
      </c>
      <c r="L26" s="110" t="n">
        <f aca="true">OFFSET('Préstamos LP'!$E$35,'Datos generales'!M1,0,1,1)</f>
        <v>0</v>
      </c>
      <c r="M26" s="110" t="n">
        <f aca="true">OFFSET('Préstamos LP'!$E$35,'Datos generales'!N1,0,1,1)</f>
        <v>0</v>
      </c>
      <c r="N26" s="110" t="n">
        <f aca="true">OFFSET('Préstamos LP'!$E$35,'Datos generales'!O1,0,1,1)</f>
        <v>0</v>
      </c>
      <c r="O26" s="113" t="n">
        <f aca="false">SUM(C26:N26)</f>
        <v>0</v>
      </c>
      <c r="P26" s="80"/>
      <c r="Q26" s="80"/>
      <c r="R26" s="35"/>
    </row>
    <row r="27" customFormat="false" ht="12.75" hidden="false" customHeight="false" outlineLevel="0" collapsed="false">
      <c r="A27" s="35"/>
      <c r="B27" s="282" t="s">
        <v>325</v>
      </c>
      <c r="C27" s="110" t="n">
        <f aca="true">OFFSET('Préstamos CP'!$E$24,'Datos generales'!D1,0,1,1)</f>
        <v>0</v>
      </c>
      <c r="D27" s="110" t="n">
        <f aca="true">OFFSET('Préstamos CP'!$E$24,'Datos generales'!E1,0,1,1)</f>
        <v>0</v>
      </c>
      <c r="E27" s="110" t="n">
        <f aca="true">OFFSET('Préstamos CP'!$E$24,'Datos generales'!F1,0,1,1)</f>
        <v>0</v>
      </c>
      <c r="F27" s="110" t="n">
        <f aca="true">OFFSET('Préstamos CP'!$E$24,'Datos generales'!G1,0,1,1)</f>
        <v>0</v>
      </c>
      <c r="G27" s="110" t="n">
        <f aca="true">OFFSET('Préstamos CP'!$E$24,'Datos generales'!H1,0,1,1)</f>
        <v>0</v>
      </c>
      <c r="H27" s="110" t="n">
        <f aca="true">OFFSET('Préstamos CP'!$E$24,'Datos generales'!I1,0,1,1)</f>
        <v>0</v>
      </c>
      <c r="I27" s="110" t="n">
        <f aca="true">OFFSET('Préstamos CP'!$E$24,'Datos generales'!J1,0,1,1)</f>
        <v>0</v>
      </c>
      <c r="J27" s="110" t="n">
        <f aca="true">OFFSET('Préstamos CP'!$E$24,'Datos generales'!K1,0,1,1)</f>
        <v>0</v>
      </c>
      <c r="K27" s="110" t="n">
        <f aca="true">OFFSET('Préstamos CP'!$E$24,'Datos generales'!L1,0,1,1)</f>
        <v>0</v>
      </c>
      <c r="L27" s="110" t="n">
        <f aca="true">OFFSET('Préstamos CP'!$E$24,'Datos generales'!M1,0,1,1)</f>
        <v>0</v>
      </c>
      <c r="M27" s="110" t="n">
        <f aca="true">OFFSET('Préstamos CP'!$E$24,'Datos generales'!N1,0,1,1)</f>
        <v>0</v>
      </c>
      <c r="N27" s="110" t="n">
        <f aca="true">OFFSET('Préstamos CP'!$E$24,'Datos generales'!O1,0,1,1)</f>
        <v>0</v>
      </c>
      <c r="O27" s="110" t="n">
        <f aca="true">OFFSET('Préstamos CP'!$E$24,'Datos generales'!P1,0,1,1)</f>
        <v>0</v>
      </c>
      <c r="P27" s="134"/>
      <c r="Q27" s="134"/>
      <c r="R27" s="35"/>
    </row>
    <row r="28" customFormat="false" ht="12.75" hidden="false" customHeight="false" outlineLevel="0" collapsed="false">
      <c r="A28" s="35"/>
      <c r="B28" s="282" t="s">
        <v>326</v>
      </c>
      <c r="C28" s="283" t="n">
        <f aca="true">OFFSET('Préstamos LP'!$V$35,'Datos generales'!D1,0,1,1)</f>
        <v>0</v>
      </c>
      <c r="D28" s="283" t="n">
        <f aca="true">OFFSET('Préstamos LP'!$V$35,'Datos generales'!E1,0,1,1)</f>
        <v>0</v>
      </c>
      <c r="E28" s="283" t="n">
        <f aca="true">OFFSET('Préstamos LP'!$V$35,'Datos generales'!F1,0,1,1)</f>
        <v>0</v>
      </c>
      <c r="F28" s="283" t="n">
        <f aca="true">OFFSET('Préstamos LP'!$V$35,'Datos generales'!G1,0,1,1)</f>
        <v>0</v>
      </c>
      <c r="G28" s="283" t="n">
        <f aca="true">OFFSET('Préstamos LP'!$V$35,'Datos generales'!H1,0,1,1)</f>
        <v>0</v>
      </c>
      <c r="H28" s="283" t="n">
        <f aca="true">OFFSET('Préstamos LP'!$V$35,'Datos generales'!I1,0,1,1)</f>
        <v>0</v>
      </c>
      <c r="I28" s="283" t="n">
        <f aca="true">OFFSET('Préstamos LP'!$V$35,'Datos generales'!J1,0,1,1)</f>
        <v>0</v>
      </c>
      <c r="J28" s="283" t="n">
        <f aca="true">OFFSET('Préstamos LP'!$V$35,'Datos generales'!K1,0,1,1)</f>
        <v>0</v>
      </c>
      <c r="K28" s="283" t="n">
        <f aca="true">OFFSET('Préstamos LP'!$V$35,'Datos generales'!L1,0,1,1)</f>
        <v>0</v>
      </c>
      <c r="L28" s="283" t="n">
        <f aca="true">OFFSET('Préstamos LP'!$V$35,'Datos generales'!M1,0,1,1)</f>
        <v>0</v>
      </c>
      <c r="M28" s="283" t="n">
        <f aca="true">OFFSET('Préstamos LP'!$V$35,'Datos generales'!N1,0,1,1)</f>
        <v>0</v>
      </c>
      <c r="N28" s="283" t="n">
        <f aca="true">OFFSET('Préstamos LP'!$V$35,'Datos generales'!O1,0,1,1)</f>
        <v>0</v>
      </c>
      <c r="O28" s="113" t="n">
        <f aca="false">SUM(C28:N28)</f>
        <v>0</v>
      </c>
      <c r="P28" s="134"/>
      <c r="Q28" s="134"/>
      <c r="R28" s="35"/>
    </row>
    <row r="29" customFormat="false" ht="12.75" hidden="false" customHeight="false" outlineLevel="0" collapsed="false">
      <c r="A29" s="35"/>
      <c r="B29" s="189"/>
      <c r="C29" s="88"/>
      <c r="D29" s="88"/>
      <c r="E29" s="88"/>
      <c r="F29" s="88"/>
      <c r="G29" s="88"/>
      <c r="H29" s="88"/>
      <c r="I29" s="88"/>
      <c r="J29" s="88"/>
      <c r="K29" s="88"/>
      <c r="L29" s="88"/>
      <c r="M29" s="88"/>
      <c r="N29" s="88"/>
      <c r="O29" s="113" t="n">
        <f aca="false">SUM(C29:N29)</f>
        <v>0</v>
      </c>
      <c r="P29" s="76" t="n">
        <v>0.02</v>
      </c>
      <c r="Q29" s="76" t="n">
        <v>0.02</v>
      </c>
      <c r="R29" s="35"/>
    </row>
    <row r="30" customFormat="false" ht="12.75" hidden="false" customHeight="false" outlineLevel="0" collapsed="false">
      <c r="A30" s="35"/>
      <c r="B30" s="202" t="s">
        <v>327</v>
      </c>
      <c r="C30" s="195" t="n">
        <f aca="false">SUM(C26:C29)</f>
        <v>0</v>
      </c>
      <c r="D30" s="195" t="n">
        <f aca="false">SUM(D26:D29)</f>
        <v>0</v>
      </c>
      <c r="E30" s="195" t="n">
        <f aca="false">SUM(E26:E29)</f>
        <v>0</v>
      </c>
      <c r="F30" s="195" t="n">
        <f aca="false">SUM(F26:F29)</f>
        <v>0</v>
      </c>
      <c r="G30" s="195" t="n">
        <f aca="false">SUM(G26:G29)</f>
        <v>0</v>
      </c>
      <c r="H30" s="195" t="n">
        <f aca="false">SUM(H26:H29)</f>
        <v>0</v>
      </c>
      <c r="I30" s="195" t="n">
        <f aca="false">SUM(I26:I29)</f>
        <v>0</v>
      </c>
      <c r="J30" s="195" t="n">
        <f aca="false">SUM(J26:J29)</f>
        <v>0</v>
      </c>
      <c r="K30" s="195" t="n">
        <f aca="false">SUM(K26:K29)</f>
        <v>0</v>
      </c>
      <c r="L30" s="195" t="n">
        <f aca="false">SUM(L26:L29)</f>
        <v>0</v>
      </c>
      <c r="M30" s="195" t="n">
        <f aca="false">SUM(M26:M29)</f>
        <v>0</v>
      </c>
      <c r="N30" s="195" t="n">
        <f aca="false">SUM(N26:N29)</f>
        <v>0</v>
      </c>
      <c r="O30" s="195" t="n">
        <f aca="false">SUM(C30:N30)</f>
        <v>0</v>
      </c>
      <c r="P30" s="80"/>
      <c r="Q30" s="80"/>
      <c r="R30" s="35"/>
    </row>
    <row r="31" customFormat="false" ht="12.75" hidden="false" customHeight="false" outlineLevel="0" collapsed="false">
      <c r="A31" s="35"/>
      <c r="B31" s="196" t="s">
        <v>328</v>
      </c>
    </row>
    <row r="32" customFormat="false" ht="12.75" hidden="false" customHeight="false" outlineLevel="0" collapsed="false">
      <c r="A32" s="35"/>
      <c r="B32" s="190" t="str">
        <f aca="false">'Entrada Inver_Finan'!C69</f>
        <v>Publicidad y propaganda</v>
      </c>
      <c r="C32" s="88"/>
      <c r="D32" s="88"/>
      <c r="E32" s="88"/>
      <c r="F32" s="88"/>
      <c r="G32" s="88"/>
      <c r="H32" s="88"/>
      <c r="I32" s="88"/>
      <c r="J32" s="88"/>
      <c r="K32" s="88"/>
      <c r="L32" s="88"/>
      <c r="M32" s="88"/>
      <c r="N32" s="88"/>
      <c r="O32" s="263" t="n">
        <f aca="false">SUM(C32:N32)</f>
        <v>0</v>
      </c>
      <c r="P32" s="76" t="n">
        <v>0.02</v>
      </c>
      <c r="Q32" s="76" t="n">
        <v>0.02</v>
      </c>
      <c r="R32" s="35"/>
    </row>
    <row r="33" customFormat="false" ht="12.75" hidden="false" customHeight="false" outlineLevel="0" collapsed="false">
      <c r="A33" s="35"/>
      <c r="B33" s="189"/>
      <c r="C33" s="88"/>
      <c r="D33" s="88"/>
      <c r="E33" s="88"/>
      <c r="F33" s="88"/>
      <c r="G33" s="88"/>
      <c r="H33" s="88"/>
      <c r="I33" s="88"/>
      <c r="J33" s="88"/>
      <c r="K33" s="88"/>
      <c r="L33" s="88"/>
      <c r="M33" s="88"/>
      <c r="N33" s="88"/>
      <c r="O33" s="263" t="n">
        <f aca="false">SUM(C33:N33)</f>
        <v>0</v>
      </c>
      <c r="P33" s="76" t="n">
        <v>0.02</v>
      </c>
      <c r="Q33" s="76" t="n">
        <v>0.02</v>
      </c>
      <c r="R33" s="35"/>
    </row>
    <row r="34" customFormat="false" ht="12.75" hidden="false" customHeight="false" outlineLevel="0" collapsed="false">
      <c r="A34" s="35"/>
      <c r="B34" s="189"/>
      <c r="C34" s="88"/>
      <c r="D34" s="88"/>
      <c r="E34" s="88"/>
      <c r="F34" s="88"/>
      <c r="G34" s="88"/>
      <c r="H34" s="88"/>
      <c r="I34" s="88"/>
      <c r="J34" s="88"/>
      <c r="K34" s="88"/>
      <c r="L34" s="88"/>
      <c r="M34" s="88"/>
      <c r="N34" s="88"/>
      <c r="O34" s="263" t="n">
        <f aca="false">SUM(C34:N34)</f>
        <v>0</v>
      </c>
      <c r="P34" s="76" t="n">
        <v>0.02</v>
      </c>
      <c r="Q34" s="76" t="n">
        <v>0.02</v>
      </c>
      <c r="R34" s="35"/>
    </row>
    <row r="35" customFormat="false" ht="12.75" hidden="false" customHeight="false" outlineLevel="0" collapsed="false">
      <c r="A35" s="35"/>
      <c r="B35" s="280" t="s">
        <v>329</v>
      </c>
      <c r="C35" s="195" t="n">
        <f aca="false">SUM(C32:C34)</f>
        <v>0</v>
      </c>
      <c r="D35" s="195" t="n">
        <f aca="false">SUM(D32:D34)</f>
        <v>0</v>
      </c>
      <c r="E35" s="195" t="n">
        <f aca="false">SUM(E32:E34)</f>
        <v>0</v>
      </c>
      <c r="F35" s="195" t="n">
        <f aca="false">SUM(F32:F34)</f>
        <v>0</v>
      </c>
      <c r="G35" s="195" t="n">
        <f aca="false">SUM(G32:G34)</f>
        <v>0</v>
      </c>
      <c r="H35" s="195" t="n">
        <f aca="false">SUM(H32:H34)</f>
        <v>0</v>
      </c>
      <c r="I35" s="195" t="n">
        <f aca="false">SUM(I32:I34)</f>
        <v>0</v>
      </c>
      <c r="J35" s="195" t="n">
        <f aca="false">SUM(J32:J34)</f>
        <v>0</v>
      </c>
      <c r="K35" s="195" t="n">
        <f aca="false">SUM(K32:K34)</f>
        <v>0</v>
      </c>
      <c r="L35" s="195" t="n">
        <f aca="false">SUM(L32:L34)</f>
        <v>0</v>
      </c>
      <c r="M35" s="195" t="n">
        <f aca="false">SUM(M32:M34)</f>
        <v>0</v>
      </c>
      <c r="N35" s="195" t="n">
        <f aca="false">SUM(N32:N34)</f>
        <v>0</v>
      </c>
      <c r="O35" s="195" t="n">
        <f aca="false">SUM(C35:N35)</f>
        <v>0</v>
      </c>
      <c r="P35" s="80"/>
      <c r="Q35" s="80"/>
      <c r="R35" s="35"/>
    </row>
    <row r="36" customFormat="false" ht="12.75" hidden="false" customHeight="false" outlineLevel="0" collapsed="false">
      <c r="A36" s="35"/>
      <c r="B36" s="196" t="s">
        <v>330</v>
      </c>
    </row>
    <row r="37" customFormat="false" ht="12.75" hidden="false" customHeight="false" outlineLevel="0" collapsed="false">
      <c r="A37" s="35"/>
      <c r="B37" s="189" t="s">
        <v>331</v>
      </c>
      <c r="C37" s="88"/>
      <c r="D37" s="88"/>
      <c r="E37" s="88"/>
      <c r="F37" s="88"/>
      <c r="G37" s="88"/>
      <c r="H37" s="88"/>
      <c r="I37" s="88"/>
      <c r="J37" s="88"/>
      <c r="K37" s="88"/>
      <c r="L37" s="88"/>
      <c r="M37" s="88"/>
      <c r="N37" s="88"/>
      <c r="O37" s="263" t="n">
        <f aca="false">SUM(C37:N37)</f>
        <v>0</v>
      </c>
      <c r="P37" s="76" t="n">
        <v>0.02</v>
      </c>
      <c r="Q37" s="76" t="n">
        <v>0.02</v>
      </c>
      <c r="R37" s="35"/>
    </row>
    <row r="38" customFormat="false" ht="12.75" hidden="false" customHeight="false" outlineLevel="0" collapsed="false">
      <c r="A38" s="35"/>
      <c r="B38" s="189" t="s">
        <v>332</v>
      </c>
      <c r="C38" s="88"/>
      <c r="D38" s="88"/>
      <c r="E38" s="88"/>
      <c r="F38" s="88"/>
      <c r="G38" s="88"/>
      <c r="H38" s="88"/>
      <c r="I38" s="88"/>
      <c r="J38" s="88"/>
      <c r="K38" s="88"/>
      <c r="L38" s="88"/>
      <c r="M38" s="88"/>
      <c r="N38" s="88"/>
      <c r="O38" s="263" t="n">
        <f aca="false">SUM(C38:N38)</f>
        <v>0</v>
      </c>
      <c r="P38" s="76" t="n">
        <v>0.02</v>
      </c>
      <c r="Q38" s="76" t="n">
        <v>0.02</v>
      </c>
      <c r="R38" s="35"/>
    </row>
    <row r="39" customFormat="false" ht="12.75" hidden="false" customHeight="false" outlineLevel="0" collapsed="false">
      <c r="A39" s="35"/>
      <c r="B39" s="189" t="s">
        <v>218</v>
      </c>
      <c r="C39" s="88"/>
      <c r="D39" s="88"/>
      <c r="E39" s="88"/>
      <c r="F39" s="88"/>
      <c r="G39" s="88"/>
      <c r="H39" s="88"/>
      <c r="I39" s="88"/>
      <c r="J39" s="88"/>
      <c r="K39" s="88"/>
      <c r="L39" s="88"/>
      <c r="M39" s="88"/>
      <c r="N39" s="88"/>
      <c r="O39" s="263" t="n">
        <f aca="false">SUM(C39:N39)</f>
        <v>0</v>
      </c>
      <c r="P39" s="76" t="n">
        <v>0.02</v>
      </c>
      <c r="Q39" s="76" t="n">
        <v>0.02</v>
      </c>
      <c r="R39" s="35"/>
    </row>
    <row r="40" customFormat="false" ht="12.75" hidden="false" customHeight="false" outlineLevel="0" collapsed="false">
      <c r="A40" s="35"/>
      <c r="B40" s="189" t="s">
        <v>333</v>
      </c>
      <c r="C40" s="88"/>
      <c r="D40" s="88"/>
      <c r="E40" s="88"/>
      <c r="F40" s="88"/>
      <c r="G40" s="88"/>
      <c r="H40" s="88"/>
      <c r="I40" s="88"/>
      <c r="J40" s="88"/>
      <c r="K40" s="88"/>
      <c r="L40" s="88"/>
      <c r="M40" s="88"/>
      <c r="N40" s="88"/>
      <c r="O40" s="263" t="n">
        <f aca="false">SUM(C40:N40)</f>
        <v>0</v>
      </c>
      <c r="P40" s="76" t="n">
        <v>0.02</v>
      </c>
      <c r="Q40" s="76" t="n">
        <v>0.02</v>
      </c>
      <c r="R40" s="35"/>
    </row>
    <row r="41" customFormat="false" ht="12.75" hidden="false" customHeight="false" outlineLevel="0" collapsed="false">
      <c r="A41" s="35"/>
      <c r="B41" s="189" t="s">
        <v>334</v>
      </c>
      <c r="C41" s="88"/>
      <c r="D41" s="88"/>
      <c r="E41" s="88"/>
      <c r="F41" s="88"/>
      <c r="G41" s="88"/>
      <c r="H41" s="88"/>
      <c r="I41" s="88"/>
      <c r="J41" s="88"/>
      <c r="K41" s="88"/>
      <c r="L41" s="88"/>
      <c r="M41" s="88"/>
      <c r="N41" s="88"/>
      <c r="O41" s="263" t="n">
        <f aca="false">SUM(C41:N41)</f>
        <v>0</v>
      </c>
      <c r="P41" s="76" t="n">
        <v>0.02</v>
      </c>
      <c r="Q41" s="76" t="n">
        <v>0.02</v>
      </c>
      <c r="R41" s="35"/>
    </row>
    <row r="42" customFormat="false" ht="12.75" hidden="false" customHeight="false" outlineLevel="0" collapsed="false">
      <c r="A42" s="35"/>
      <c r="B42" s="189" t="s">
        <v>335</v>
      </c>
      <c r="C42" s="88"/>
      <c r="D42" s="88"/>
      <c r="E42" s="88"/>
      <c r="F42" s="88"/>
      <c r="G42" s="88"/>
      <c r="H42" s="88"/>
      <c r="I42" s="88"/>
      <c r="J42" s="88"/>
      <c r="K42" s="88"/>
      <c r="L42" s="88"/>
      <c r="M42" s="88"/>
      <c r="N42" s="88"/>
      <c r="O42" s="263" t="n">
        <f aca="false">SUM(C42:N42)</f>
        <v>0</v>
      </c>
      <c r="P42" s="76" t="n">
        <v>0.02</v>
      </c>
      <c r="Q42" s="76" t="n">
        <v>0.02</v>
      </c>
      <c r="R42" s="35"/>
    </row>
    <row r="43" customFormat="false" ht="12.75" hidden="false" customHeight="false" outlineLevel="0" collapsed="false">
      <c r="A43" s="35"/>
      <c r="B43" s="189" t="s">
        <v>336</v>
      </c>
      <c r="C43" s="88"/>
      <c r="D43" s="88"/>
      <c r="E43" s="88"/>
      <c r="F43" s="88"/>
      <c r="G43" s="88"/>
      <c r="H43" s="88"/>
      <c r="I43" s="88"/>
      <c r="J43" s="88"/>
      <c r="K43" s="88"/>
      <c r="L43" s="88"/>
      <c r="M43" s="88"/>
      <c r="N43" s="88"/>
      <c r="O43" s="263" t="n">
        <f aca="false">SUM(C43:N43)</f>
        <v>0</v>
      </c>
      <c r="P43" s="76" t="n">
        <v>0.02</v>
      </c>
      <c r="Q43" s="76" t="n">
        <v>0.02</v>
      </c>
      <c r="R43" s="35"/>
    </row>
    <row r="44" customFormat="false" ht="12.75" hidden="false" customHeight="false" outlineLevel="0" collapsed="false">
      <c r="A44" s="35"/>
      <c r="B44" s="189" t="s">
        <v>337</v>
      </c>
      <c r="C44" s="88"/>
      <c r="D44" s="88"/>
      <c r="E44" s="88"/>
      <c r="F44" s="88"/>
      <c r="G44" s="88"/>
      <c r="H44" s="88"/>
      <c r="I44" s="88"/>
      <c r="J44" s="88"/>
      <c r="K44" s="88"/>
      <c r="L44" s="88"/>
      <c r="M44" s="88"/>
      <c r="N44" s="88"/>
      <c r="O44" s="263" t="n">
        <f aca="false">SUM(C44:N44)</f>
        <v>0</v>
      </c>
      <c r="P44" s="76" t="n">
        <v>0.02</v>
      </c>
      <c r="Q44" s="76" t="n">
        <v>0.02</v>
      </c>
      <c r="R44" s="35"/>
    </row>
    <row r="45" customFormat="false" ht="12.75" hidden="false" customHeight="false" outlineLevel="0" collapsed="false">
      <c r="A45" s="35"/>
      <c r="B45" s="189" t="s">
        <v>338</v>
      </c>
      <c r="C45" s="88"/>
      <c r="D45" s="88"/>
      <c r="E45" s="88"/>
      <c r="F45" s="88"/>
      <c r="G45" s="88"/>
      <c r="H45" s="88"/>
      <c r="I45" s="88"/>
      <c r="J45" s="88"/>
      <c r="K45" s="88"/>
      <c r="L45" s="88"/>
      <c r="M45" s="88"/>
      <c r="N45" s="88"/>
      <c r="O45" s="263" t="n">
        <f aca="false">SUM(C45:N45)</f>
        <v>0</v>
      </c>
      <c r="P45" s="76" t="n">
        <v>0.02</v>
      </c>
      <c r="Q45" s="76" t="n">
        <v>0.02</v>
      </c>
      <c r="R45" s="35"/>
    </row>
    <row r="46" customFormat="false" ht="12.75" hidden="false" customHeight="false" outlineLevel="0" collapsed="false">
      <c r="A46" s="35"/>
      <c r="B46" s="189" t="s">
        <v>339</v>
      </c>
      <c r="C46" s="88"/>
      <c r="D46" s="88"/>
      <c r="E46" s="88"/>
      <c r="F46" s="88"/>
      <c r="G46" s="88"/>
      <c r="H46" s="88"/>
      <c r="I46" s="88"/>
      <c r="J46" s="88"/>
      <c r="K46" s="88"/>
      <c r="L46" s="88"/>
      <c r="M46" s="88"/>
      <c r="N46" s="88"/>
      <c r="O46" s="263" t="n">
        <f aca="false">SUM(C46:N46)</f>
        <v>0</v>
      </c>
      <c r="P46" s="76" t="n">
        <v>0.02</v>
      </c>
      <c r="Q46" s="76" t="n">
        <v>0.02</v>
      </c>
      <c r="R46" s="35"/>
    </row>
    <row r="47" customFormat="false" ht="12.75" hidden="false" customHeight="false" outlineLevel="0" collapsed="false">
      <c r="A47" s="35"/>
      <c r="B47" s="284" t="s">
        <v>340</v>
      </c>
      <c r="C47" s="195" t="n">
        <f aca="false">SUM(C37:C46)</f>
        <v>0</v>
      </c>
      <c r="D47" s="195" t="n">
        <f aca="false">SUM(D37:D46)</f>
        <v>0</v>
      </c>
      <c r="E47" s="195" t="n">
        <f aca="false">SUM(E37:E46)</f>
        <v>0</v>
      </c>
      <c r="F47" s="195" t="n">
        <f aca="false">SUM(F37:F46)</f>
        <v>0</v>
      </c>
      <c r="G47" s="195" t="n">
        <f aca="false">SUM(G37:G46)</f>
        <v>0</v>
      </c>
      <c r="H47" s="195" t="n">
        <f aca="false">SUM(H37:H46)</f>
        <v>0</v>
      </c>
      <c r="I47" s="195" t="n">
        <f aca="false">SUM(I37:I46)</f>
        <v>0</v>
      </c>
      <c r="J47" s="195" t="n">
        <f aca="false">SUM(J37:J46)</f>
        <v>0</v>
      </c>
      <c r="K47" s="195" t="n">
        <f aca="false">SUM(K37:K46)</f>
        <v>0</v>
      </c>
      <c r="L47" s="195" t="n">
        <f aca="false">SUM(L37:L46)</f>
        <v>0</v>
      </c>
      <c r="M47" s="195" t="n">
        <f aca="false">SUM(M37:M46)</f>
        <v>0</v>
      </c>
      <c r="N47" s="195" t="n">
        <f aca="false">SUM(N37:N46)</f>
        <v>0</v>
      </c>
      <c r="O47" s="195" t="n">
        <f aca="false">SUM(C47:N47)</f>
        <v>0</v>
      </c>
      <c r="P47" s="285"/>
      <c r="Q47" s="80"/>
      <c r="R47" s="35"/>
    </row>
    <row r="48" customFormat="false" ht="6.75" hidden="false" customHeight="true" outlineLevel="0" collapsed="false">
      <c r="A48" s="35"/>
      <c r="B48" s="52"/>
      <c r="C48" s="131"/>
      <c r="D48" s="131"/>
      <c r="E48" s="131"/>
      <c r="F48" s="131"/>
      <c r="G48" s="131"/>
      <c r="H48" s="131"/>
      <c r="I48" s="131"/>
      <c r="J48" s="131"/>
      <c r="K48" s="131"/>
      <c r="L48" s="131"/>
      <c r="M48" s="131"/>
      <c r="N48" s="131"/>
      <c r="O48" s="131"/>
      <c r="P48" s="80"/>
      <c r="Q48" s="80"/>
      <c r="R48" s="35"/>
    </row>
    <row r="49" customFormat="false" ht="15.75" hidden="false" customHeight="false" outlineLevel="0" collapsed="false">
      <c r="A49" s="35"/>
      <c r="B49" s="286" t="s">
        <v>341</v>
      </c>
      <c r="C49" s="287" t="n">
        <f aca="false">C19+C24+C30+C35+C47</f>
        <v>0</v>
      </c>
      <c r="D49" s="287" t="n">
        <f aca="false">D19+D24+D30+D35+D47</f>
        <v>0</v>
      </c>
      <c r="E49" s="287" t="n">
        <f aca="false">E19+E24+E30+E35+E47</f>
        <v>0</v>
      </c>
      <c r="F49" s="287" t="n">
        <f aca="false">F19+F24+F30+F35+F47</f>
        <v>0</v>
      </c>
      <c r="G49" s="287" t="n">
        <f aca="false">G19+G24+G30+G35+G47</f>
        <v>0</v>
      </c>
      <c r="H49" s="287" t="n">
        <f aca="false">H19+H24+H30+H35+H47</f>
        <v>0</v>
      </c>
      <c r="I49" s="287" t="n">
        <f aca="false">I19+I24+I30+I35+I47</f>
        <v>0</v>
      </c>
      <c r="J49" s="287" t="n">
        <f aca="false">J19+J24+J30+J35+J47</f>
        <v>0</v>
      </c>
      <c r="K49" s="287" t="n">
        <f aca="false">K19+K24+K30+K35+K47</f>
        <v>0</v>
      </c>
      <c r="L49" s="287" t="n">
        <f aca="false">L19+L24+L30+L35+L47</f>
        <v>0</v>
      </c>
      <c r="M49" s="287" t="n">
        <f aca="false">M19+M24+M30+M35+M47</f>
        <v>0</v>
      </c>
      <c r="N49" s="287" t="n">
        <f aca="false">N19+N24+N30+N35+N47</f>
        <v>0</v>
      </c>
      <c r="O49" s="288" t="n">
        <f aca="false">SUM(C49:N49)</f>
        <v>0</v>
      </c>
      <c r="P49" s="80"/>
      <c r="Q49" s="80"/>
      <c r="R49" s="35"/>
    </row>
    <row r="50" customFormat="false" ht="13.5" hidden="false" customHeight="false" outlineLevel="0" collapsed="false">
      <c r="A50" s="35"/>
      <c r="B50" s="35"/>
      <c r="C50" s="35"/>
      <c r="D50" s="48"/>
      <c r="E50" s="35"/>
      <c r="F50" s="35"/>
      <c r="G50" s="35"/>
      <c r="H50" s="35"/>
      <c r="I50" s="35"/>
      <c r="J50" s="35"/>
      <c r="K50" s="35"/>
      <c r="L50" s="35"/>
      <c r="M50" s="35"/>
      <c r="N50" s="35"/>
      <c r="O50" s="35"/>
      <c r="P50" s="35"/>
      <c r="Q50" s="35"/>
      <c r="R50" s="35"/>
    </row>
    <row r="51" customFormat="false" ht="13.5" hidden="false" customHeight="false" outlineLevel="0" collapsed="false">
      <c r="A51" s="35"/>
      <c r="B51" s="35"/>
      <c r="C51" s="35"/>
      <c r="D51" s="48"/>
      <c r="E51" s="35"/>
      <c r="F51" s="35"/>
      <c r="G51" s="35"/>
      <c r="H51" s="35"/>
      <c r="I51" s="35"/>
      <c r="J51" s="35"/>
      <c r="K51" s="35"/>
      <c r="L51" s="35"/>
      <c r="M51" s="35"/>
      <c r="N51" s="35"/>
      <c r="O51" s="35"/>
      <c r="P51" s="35"/>
      <c r="Q51" s="35"/>
      <c r="R51" s="35"/>
    </row>
    <row r="52" customFormat="false" ht="13.5" hidden="false" customHeight="false" outlineLevel="0" collapsed="false">
      <c r="A52" s="35"/>
      <c r="B52" s="289" t="s">
        <v>342</v>
      </c>
    </row>
    <row r="53" customFormat="false" ht="13.5" hidden="false" customHeight="false" outlineLevel="0" collapsed="false">
      <c r="A53" s="35"/>
      <c r="B53" s="189"/>
      <c r="C53" s="88"/>
      <c r="D53" s="88"/>
      <c r="E53" s="88"/>
      <c r="F53" s="88"/>
      <c r="G53" s="88"/>
      <c r="H53" s="88"/>
      <c r="I53" s="88"/>
      <c r="J53" s="88"/>
      <c r="K53" s="88"/>
      <c r="L53" s="88"/>
      <c r="M53" s="88"/>
      <c r="N53" s="88"/>
      <c r="O53" s="290" t="n">
        <f aca="false">SUM(C53:N53)</f>
        <v>0</v>
      </c>
      <c r="P53" s="76" t="n">
        <v>0.02</v>
      </c>
      <c r="Q53" s="76" t="n">
        <v>0.02</v>
      </c>
      <c r="R53" s="35"/>
    </row>
    <row r="54" customFormat="false" ht="13.5" hidden="false" customHeight="false" outlineLevel="0" collapsed="false">
      <c r="A54" s="35"/>
      <c r="B54" s="189"/>
      <c r="C54" s="88"/>
      <c r="D54" s="88"/>
      <c r="E54" s="88"/>
      <c r="F54" s="88"/>
      <c r="G54" s="88"/>
      <c r="H54" s="88"/>
      <c r="I54" s="88"/>
      <c r="J54" s="88"/>
      <c r="K54" s="88"/>
      <c r="L54" s="88"/>
      <c r="M54" s="88"/>
      <c r="N54" s="88"/>
      <c r="O54" s="291" t="n">
        <f aca="false">SUM(C54:N54)</f>
        <v>0</v>
      </c>
      <c r="P54" s="76" t="n">
        <v>0.02</v>
      </c>
      <c r="Q54" s="76" t="n">
        <v>0.02</v>
      </c>
      <c r="R54" s="35"/>
    </row>
    <row r="55" customFormat="false" ht="12.75" hidden="false" customHeight="false" outlineLevel="0" collapsed="false">
      <c r="A55" s="35"/>
      <c r="B55" s="292" t="s">
        <v>343</v>
      </c>
      <c r="C55" s="293" t="n">
        <f aca="false">SUM(C53:C54)</f>
        <v>0</v>
      </c>
      <c r="D55" s="293" t="n">
        <f aca="false">SUM(D53:D54)</f>
        <v>0</v>
      </c>
      <c r="E55" s="293" t="n">
        <f aca="false">SUM(E53:E54)</f>
        <v>0</v>
      </c>
      <c r="F55" s="293" t="n">
        <f aca="false">SUM(F53:F54)</f>
        <v>0</v>
      </c>
      <c r="G55" s="293" t="n">
        <f aca="false">SUM(G53:G54)</f>
        <v>0</v>
      </c>
      <c r="H55" s="293" t="n">
        <f aca="false">SUM(H53:H54)</f>
        <v>0</v>
      </c>
      <c r="I55" s="293" t="n">
        <f aca="false">SUM(I53:I54)</f>
        <v>0</v>
      </c>
      <c r="J55" s="293" t="n">
        <f aca="false">SUM(J53:J54)</f>
        <v>0</v>
      </c>
      <c r="K55" s="293" t="n">
        <f aca="false">SUM(K53:K54)</f>
        <v>0</v>
      </c>
      <c r="L55" s="293" t="n">
        <f aca="false">SUM(L53:L54)</f>
        <v>0</v>
      </c>
      <c r="M55" s="293" t="n">
        <f aca="false">SUM(M53:M54)</f>
        <v>0</v>
      </c>
      <c r="N55" s="293" t="n">
        <f aca="false">SUM(N53:N54)</f>
        <v>0</v>
      </c>
      <c r="O55" s="202" t="n">
        <f aca="false">SUM(C55:N55)</f>
        <v>0</v>
      </c>
      <c r="P55" s="294"/>
      <c r="Q55" s="294"/>
      <c r="R55" s="35"/>
    </row>
    <row r="56" customFormat="false" ht="6" hidden="false" customHeight="true" outlineLevel="0" collapsed="false">
      <c r="A56" s="35"/>
      <c r="B56" s="52"/>
      <c r="C56" s="52"/>
      <c r="D56" s="48"/>
      <c r="E56" s="35"/>
      <c r="F56" s="35"/>
      <c r="G56" s="35"/>
      <c r="H56" s="35"/>
      <c r="I56" s="35"/>
      <c r="J56" s="35"/>
      <c r="K56" s="35"/>
      <c r="L56" s="35"/>
      <c r="M56" s="35"/>
      <c r="N56" s="35"/>
      <c r="O56" s="35"/>
      <c r="P56" s="35"/>
      <c r="Q56" s="35"/>
      <c r="R56" s="35"/>
    </row>
    <row r="57" customFormat="false" ht="33.75" hidden="false" customHeight="true" outlineLevel="0" collapsed="false">
      <c r="A57" s="35"/>
      <c r="B57" s="35"/>
      <c r="C57" s="295" t="str">
        <f aca="false">IF(C49&lt;=0,"Recuerde que, independientemente de cuando tenga previsto iniciar su actividad, DEBE CUMPLIMENTAR EL AÑO COMPLETO. El programa tendrá en cuenta la fecha de inicio de actividad.","")</f>
        <v>Recuerde que, independientemente de cuando tenga previsto iniciar su actividad, DEBE CUMPLIMENTAR EL AÑO COMPLETO. El programa tendrá en cuenta la fecha de inicio de actividad.</v>
      </c>
      <c r="D57" s="295"/>
      <c r="E57" s="295"/>
      <c r="F57" s="295"/>
      <c r="G57" s="295"/>
      <c r="H57" s="295"/>
      <c r="I57" s="295"/>
      <c r="J57" s="295"/>
      <c r="K57" s="295"/>
      <c r="L57" s="295"/>
      <c r="M57" s="295"/>
      <c r="N57" s="35"/>
      <c r="O57" s="35"/>
      <c r="P57" s="35"/>
      <c r="Q57" s="35"/>
      <c r="R57" s="35"/>
    </row>
    <row r="58" customFormat="false" ht="14.25" hidden="false" customHeight="false" outlineLevel="0" collapsed="false">
      <c r="A58" s="35"/>
      <c r="B58" s="35"/>
      <c r="C58" s="276"/>
      <c r="D58" s="48"/>
      <c r="E58" s="35"/>
      <c r="F58" s="35"/>
      <c r="G58" s="35"/>
      <c r="H58" s="35"/>
      <c r="I58" s="35"/>
      <c r="J58" s="35"/>
      <c r="K58" s="35"/>
      <c r="L58" s="35"/>
      <c r="M58" s="35"/>
      <c r="N58" s="35"/>
      <c r="O58" s="35"/>
      <c r="P58" s="35"/>
      <c r="Q58" s="35"/>
      <c r="R58" s="35"/>
    </row>
  </sheetData>
  <sheetProtection sheet="true" password="cc4b"/>
  <mergeCells count="3">
    <mergeCell ref="B6:L6"/>
    <mergeCell ref="R10:R11"/>
    <mergeCell ref="C57:M57"/>
  </mergeCells>
  <dataValidations count="2">
    <dataValidation allowBlank="true" error="El dato debe ser numérico." errorStyle="stop" operator="between" showDropDown="false" showErrorMessage="true" showInputMessage="true" sqref="C13:Q54" type="decimal">
      <formula1>0</formula1>
      <formula2>9999999999.99</formula2>
    </dataValidation>
    <dataValidation allowBlank="true" error="La fecha no puede ser anterior a la de inicio de la actividad ni superar el tercer año." errorStyle="stop" operator="between" showDropDown="false" showErrorMessage="true" showInputMessage="true" sqref="R14:R18" type="date">
      <formula1>$E$3</formula1>
      <formula2>DATE($G$3+2,12,31)</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X119"/>
  <sheetViews>
    <sheetView showFormulas="false" showGridLines="false" showRowColHeaders="true" showZeros="true" rightToLeft="false" tabSelected="false" showOutlineSymbols="true" defaultGridColor="true" view="normal" topLeftCell="A1" colorId="64" zoomScale="115" zoomScaleNormal="115" zoomScalePageLayoutView="100" workbookViewId="0">
      <selection pane="topLeft" activeCell="A3" activeCellId="0" sqref="A3"/>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5.12"/>
    <col collapsed="false" customWidth="true" hidden="false" outlineLevel="0" max="3" min="3" style="0" width="5.39"/>
    <col collapsed="false" customWidth="true" hidden="false" outlineLevel="0" max="4" min="4" style="0" width="2.83"/>
    <col collapsed="false" customWidth="true" hidden="false" outlineLevel="0" max="5" min="5" style="0" width="33.98"/>
    <col collapsed="false" customWidth="true" hidden="false" outlineLevel="0" max="6" min="6" style="93" width="13.62"/>
    <col collapsed="false" customWidth="true" hidden="false" outlineLevel="0" max="7" min="7" style="0" width="10.51"/>
    <col collapsed="false" customWidth="true" hidden="false" outlineLevel="0" max="10" min="8" style="0" width="11.46"/>
    <col collapsed="false" customWidth="true" hidden="true" outlineLevel="0" max="11" min="11" style="0" width="10.12"/>
    <col collapsed="false" customWidth="true" hidden="true" outlineLevel="0" max="12" min="12" style="0" width="16.58"/>
    <col collapsed="false" customWidth="true" hidden="true" outlineLevel="0" max="13" min="13" style="0" width="17.53"/>
    <col collapsed="false" customWidth="true" hidden="true" outlineLevel="0" max="14" min="14" style="0" width="15.37"/>
    <col collapsed="false" customWidth="true" hidden="true" outlineLevel="0" max="17" min="15" style="0" width="15.64"/>
    <col collapsed="false" customWidth="true" hidden="false" outlineLevel="0" max="18" min="18" style="0" width="14.15"/>
    <col collapsed="false" customWidth="true" hidden="false" outlineLevel="0" max="19" min="19" style="0" width="12"/>
    <col collapsed="false" customWidth="true" hidden="false" outlineLevel="0" max="20" min="20" style="0" width="12.68"/>
    <col collapsed="false" customWidth="true" hidden="false" outlineLevel="0" max="21" min="21" style="0" width="16.04"/>
    <col collapsed="false" customWidth="true" hidden="false" outlineLevel="0" max="256" min="22" style="0" width="11.46"/>
  </cols>
  <sheetData>
    <row r="1" s="298" customFormat="true" ht="10.5" hidden="false" customHeight="true" outlineLevel="0" collapsed="false">
      <c r="F1" s="299"/>
    </row>
    <row r="2" customFormat="false" ht="10.5" hidden="false" customHeight="true" outlineLevel="0" collapsed="false"/>
    <row r="3" customFormat="false" ht="10.5" hidden="false" customHeight="true" outlineLevel="0" collapsed="false"/>
    <row r="4" customFormat="false" ht="10.5" hidden="false" customHeight="true" outlineLevel="0" collapsed="false"/>
    <row r="5" customFormat="false" ht="10.5" hidden="false" customHeight="true" outlineLevel="0" collapsed="false"/>
    <row r="7" customFormat="false" ht="20.25" hidden="false" customHeight="false" outlineLevel="0" collapsed="false">
      <c r="B7" s="300" t="str">
        <f aca="false">'Datos generales'!C6</f>
        <v>La tienda S.L</v>
      </c>
      <c r="C7" s="300"/>
      <c r="D7" s="300"/>
      <c r="E7" s="300"/>
      <c r="F7" s="300"/>
      <c r="G7" s="300"/>
    </row>
    <row r="8" customFormat="false" ht="20.25" hidden="false" customHeight="false" outlineLevel="0" collapsed="false">
      <c r="D8" s="301"/>
      <c r="E8" s="301"/>
      <c r="F8" s="301"/>
    </row>
    <row r="10" customFormat="false" ht="14.25" hidden="false" customHeight="false" outlineLevel="0" collapsed="false">
      <c r="B10" s="51" t="s">
        <v>344</v>
      </c>
      <c r="E10" s="51"/>
      <c r="F10" s="48"/>
    </row>
    <row r="11" customFormat="false" ht="9" hidden="false" customHeight="true" outlineLevel="0" collapsed="false">
      <c r="B11" s="179" t="s">
        <v>176</v>
      </c>
      <c r="E11" s="52"/>
      <c r="F11" s="48"/>
    </row>
    <row r="12" customFormat="false" ht="18" hidden="false" customHeight="false" outlineLevel="0" collapsed="false">
      <c r="B12" s="302" t="s">
        <v>345</v>
      </c>
      <c r="E12" s="302"/>
    </row>
    <row r="13" customFormat="false" ht="6.75" hidden="false" customHeight="true" outlineLevel="0" collapsed="false">
      <c r="D13" s="302"/>
      <c r="E13" s="302"/>
    </row>
    <row r="14" customFormat="false" ht="12.75" hidden="false" customHeight="false" outlineLevel="0" collapsed="false">
      <c r="B14" s="303" t="s">
        <v>177</v>
      </c>
      <c r="C14" s="303"/>
      <c r="D14" s="303"/>
      <c r="E14" s="303"/>
      <c r="F14" s="304" t="s">
        <v>178</v>
      </c>
      <c r="G14" s="304"/>
    </row>
    <row r="15" customFormat="false" ht="20.25" hidden="false" customHeight="false" outlineLevel="0" collapsed="false">
      <c r="B15" s="303"/>
      <c r="C15" s="303"/>
      <c r="D15" s="303"/>
      <c r="E15" s="303"/>
      <c r="F15" s="305" t="s">
        <v>183</v>
      </c>
      <c r="G15" s="306" t="s">
        <v>346</v>
      </c>
    </row>
    <row r="16" customFormat="false" ht="3" hidden="false" customHeight="true" outlineLevel="0" collapsed="false">
      <c r="B16" s="307"/>
      <c r="C16" s="307"/>
      <c r="D16" s="307"/>
      <c r="E16" s="307"/>
      <c r="F16" s="74"/>
    </row>
    <row r="17" customFormat="false" ht="13.5" hidden="false" customHeight="false" outlineLevel="0" collapsed="false">
      <c r="B17" s="309" t="s">
        <v>347</v>
      </c>
      <c r="C17" s="310"/>
      <c r="D17" s="310"/>
      <c r="E17" s="310"/>
      <c r="F17" s="311" t="str">
        <f aca="false">IF(F53=0,0," ")</f>
        <v> </v>
      </c>
      <c r="G17" s="312"/>
    </row>
    <row r="18" customFormat="false" ht="12.75" hidden="false" customHeight="false" outlineLevel="0" collapsed="false">
      <c r="B18" s="117"/>
      <c r="C18" s="185" t="s">
        <v>348</v>
      </c>
      <c r="F18" s="93" t="str">
        <f aca="false">IF(F31=0,0,".")</f>
        <v>.</v>
      </c>
      <c r="G18" s="313"/>
    </row>
    <row r="19" customFormat="false" ht="12.75" hidden="false" customHeight="false" outlineLevel="0" collapsed="false">
      <c r="B19" s="117"/>
      <c r="D19" s="314" t="str">
        <f aca="false">'Entrada Inver_Finan'!C42</f>
        <v>Aplicaciones Informáticas</v>
      </c>
      <c r="E19" s="314"/>
      <c r="F19" s="315" t="n">
        <f aca="false">'Entrada Inver_Finan'!D42</f>
        <v>800</v>
      </c>
      <c r="G19" s="316" t="n">
        <f aca="false">IF($F$83&lt;&gt;0,F19/$F$83,"")</f>
        <v>0.00289830919887111</v>
      </c>
    </row>
    <row r="20" customFormat="false" ht="12.75" hidden="false" customHeight="false" outlineLevel="0" collapsed="false">
      <c r="B20" s="117"/>
      <c r="D20" s="314" t="str">
        <f aca="false">'Entrada Inver_Finan'!C43</f>
        <v>Licencias y concesiones administrativas</v>
      </c>
      <c r="E20" s="317"/>
      <c r="F20" s="318" t="n">
        <f aca="false">'Entrada Inver_Finan'!D43</f>
        <v>250</v>
      </c>
      <c r="G20" s="319" t="n">
        <f aca="false">IF($F$83&lt;&gt;0,F20/$F$83,"")</f>
        <v>0.000905721624647221</v>
      </c>
    </row>
    <row r="21" customFormat="false" ht="12.75" hidden="false" customHeight="false" outlineLevel="0" collapsed="false">
      <c r="B21" s="117"/>
      <c r="D21" s="314" t="str">
        <f aca="false">'Entrada Inver_Finan'!C44</f>
        <v>Propiedad Industrial</v>
      </c>
      <c r="E21" s="317"/>
      <c r="F21" s="318" t="n">
        <f aca="false">'Entrada Inver_Finan'!D44</f>
        <v>0</v>
      </c>
      <c r="G21" s="319" t="n">
        <f aca="false">IF($F$83&lt;&gt;0,F21/$F$83,"")</f>
        <v>0</v>
      </c>
    </row>
    <row r="22" customFormat="false" ht="12.75" hidden="false" customHeight="false" outlineLevel="0" collapsed="false">
      <c r="B22" s="117"/>
      <c r="D22" s="314" t="str">
        <f aca="false">'Entrada Inver_Finan'!C45</f>
        <v>Investigación y desarrrollo</v>
      </c>
      <c r="E22" s="317"/>
      <c r="F22" s="318" t="n">
        <f aca="false">'Entrada Inver_Finan'!D45</f>
        <v>0</v>
      </c>
      <c r="G22" s="319" t="n">
        <f aca="false">IF($F$83&lt;&gt;0,F22/$F$83,"")</f>
        <v>0</v>
      </c>
    </row>
    <row r="23" customFormat="false" ht="12.75" hidden="false" customHeight="false" outlineLevel="0" collapsed="false">
      <c r="B23" s="117"/>
      <c r="D23" s="314" t="str">
        <f aca="false">'Entrada Inver_Finan'!C46</f>
        <v>Otro inmovilizado intangible</v>
      </c>
      <c r="E23" s="317"/>
      <c r="F23" s="318" t="n">
        <f aca="false">'Entrada Inver_Finan'!D46</f>
        <v>0</v>
      </c>
      <c r="G23" s="319" t="n">
        <f aca="false">IF($F$83&lt;&gt;0,F23/$F$83,"")</f>
        <v>0</v>
      </c>
    </row>
    <row r="24" customFormat="false" ht="12.75" hidden="false" customHeight="false" outlineLevel="0" collapsed="false">
      <c r="B24" s="117"/>
      <c r="D24" s="314" t="n">
        <f aca="false">'Entrada Inver_Finan'!C47</f>
        <v>0</v>
      </c>
      <c r="E24" s="317"/>
      <c r="F24" s="318" t="n">
        <f aca="false">'Entrada Inver_Finan'!D47</f>
        <v>0</v>
      </c>
      <c r="G24" s="319" t="n">
        <f aca="false">IF($F$83&lt;&gt;0,F24/$F$83,"")</f>
        <v>0</v>
      </c>
    </row>
    <row r="25" customFormat="false" ht="12.75" hidden="false" customHeight="false" outlineLevel="0" collapsed="false">
      <c r="B25" s="117"/>
      <c r="D25" s="314" t="n">
        <f aca="false">'Entrada Inver_Finan'!C48</f>
        <v>0</v>
      </c>
      <c r="E25" s="317"/>
      <c r="F25" s="318" t="n">
        <f aca="false">'Entrada Inver_Finan'!D48</f>
        <v>0</v>
      </c>
      <c r="G25" s="319" t="n">
        <f aca="false">IF($F$83&lt;&gt;0,F25/$F$83,"")</f>
        <v>0</v>
      </c>
    </row>
    <row r="26" customFormat="false" ht="12.75" hidden="false" customHeight="false" outlineLevel="0" collapsed="false">
      <c r="B26" s="117"/>
      <c r="D26" s="314" t="n">
        <f aca="false">'Entrada Inver_Finan'!C49</f>
        <v>0</v>
      </c>
      <c r="E26" s="317"/>
      <c r="F26" s="318" t="n">
        <f aca="false">'Entrada Inver_Finan'!D49</f>
        <v>0</v>
      </c>
      <c r="G26" s="319" t="n">
        <f aca="false">IF($F$83&lt;&gt;0,F26/$F$83,"")</f>
        <v>0</v>
      </c>
    </row>
    <row r="27" customFormat="false" ht="12.75" hidden="false" customHeight="false" outlineLevel="0" collapsed="false">
      <c r="B27" s="117"/>
      <c r="D27" s="314" t="n">
        <f aca="false">'Entrada Inver_Finan'!C50</f>
        <v>0</v>
      </c>
      <c r="E27" s="320"/>
      <c r="F27" s="318" t="n">
        <f aca="false">'Entrada Inver_Finan'!D50</f>
        <v>0</v>
      </c>
      <c r="G27" s="319" t="n">
        <f aca="false">IF($F$83&lt;&gt;0,F27/$F$83,"")</f>
        <v>0</v>
      </c>
    </row>
    <row r="28" customFormat="false" ht="12.75" hidden="false" customHeight="false" outlineLevel="0" collapsed="false">
      <c r="B28" s="117"/>
      <c r="D28" s="314" t="str">
        <f aca="false">'Entrada Inver_Finan'!C52</f>
        <v>Fondo de comercio</v>
      </c>
      <c r="E28" s="320"/>
      <c r="F28" s="318" t="n">
        <f aca="false">'Entrada Inver_Finan'!D52</f>
        <v>0</v>
      </c>
      <c r="G28" s="319" t="n">
        <f aca="false">IF($F$83&lt;&gt;0,F28/$F$83,"")</f>
        <v>0</v>
      </c>
    </row>
    <row r="29" customFormat="false" ht="12.75" hidden="false" customHeight="false" outlineLevel="0" collapsed="false">
      <c r="B29" s="117"/>
      <c r="D29" s="314" t="n">
        <f aca="false">'Entrada Inver_Finan'!C53</f>
        <v>0</v>
      </c>
      <c r="E29" s="320"/>
      <c r="F29" s="318" t="n">
        <f aca="false">'Entrada Inver_Finan'!D53</f>
        <v>0</v>
      </c>
      <c r="G29" s="319" t="n">
        <f aca="false">IF($F$83&lt;&gt;0,F29/$F$83,"")</f>
        <v>0</v>
      </c>
    </row>
    <row r="30" customFormat="false" ht="12.75" hidden="false" customHeight="false" outlineLevel="0" collapsed="false">
      <c r="B30" s="117"/>
      <c r="D30" s="314" t="n">
        <f aca="false">'Entrada Inver_Finan'!C54</f>
        <v>0</v>
      </c>
      <c r="E30" s="320"/>
      <c r="F30" s="318" t="n">
        <f aca="false">'Entrada Inver_Finan'!D54</f>
        <v>0</v>
      </c>
      <c r="G30" s="319" t="n">
        <f aca="false">IF($F$83&lt;&gt;0,F30/$F$83,"")</f>
        <v>0</v>
      </c>
    </row>
    <row r="31" customFormat="false" ht="12.75" hidden="false" customHeight="false" outlineLevel="0" collapsed="false">
      <c r="B31" s="117"/>
      <c r="C31" s="321" t="s">
        <v>349</v>
      </c>
      <c r="D31" s="322"/>
      <c r="E31" s="322"/>
      <c r="F31" s="323" t="n">
        <f aca="false">SUM(F19:F30)</f>
        <v>1050</v>
      </c>
      <c r="G31" s="324" t="n">
        <f aca="false">IF($F$83&lt;&gt;0,F31/$F$83,"")</f>
        <v>0.00380403082351833</v>
      </c>
    </row>
    <row r="32" customFormat="false" ht="12.75" hidden="false" customHeight="false" outlineLevel="0" collapsed="false">
      <c r="B32" s="117"/>
      <c r="C32" s="185" t="s">
        <v>350</v>
      </c>
      <c r="F32" s="93" t="str">
        <f aca="false">IF(F45=0,0,".")</f>
        <v>.</v>
      </c>
      <c r="G32" s="313"/>
    </row>
    <row r="33" customFormat="false" ht="12.75" hidden="false" customHeight="false" outlineLevel="0" collapsed="false">
      <c r="B33" s="117"/>
      <c r="D33" s="314" t="str">
        <f aca="false">'Entrada Inver_Finan'!C28</f>
        <v>Edificios/Locales</v>
      </c>
      <c r="E33" s="314"/>
      <c r="F33" s="315" t="n">
        <f aca="false">'Entrada Inver_Finan'!D28</f>
        <v>200000</v>
      </c>
      <c r="G33" s="316" t="n">
        <f aca="false">IF($F$83&lt;&gt;0,F33/$F$83,"")</f>
        <v>0.724577299717777</v>
      </c>
    </row>
    <row r="34" customFormat="false" ht="12.75" hidden="false" customHeight="false" outlineLevel="0" collapsed="false">
      <c r="B34" s="117"/>
      <c r="D34" s="317" t="str">
        <f aca="false">'Entrada Inver_Finan'!C29</f>
        <v>Instalaciones / Acondicionamiento</v>
      </c>
      <c r="E34" s="317"/>
      <c r="F34" s="318" t="n">
        <f aca="false">'Entrada Inver_Finan'!D29</f>
        <v>20000</v>
      </c>
      <c r="G34" s="319" t="n">
        <f aca="false">IF($F$83&lt;&gt;0,F34/$F$83,"")</f>
        <v>0.0724577299717777</v>
      </c>
    </row>
    <row r="35" customFormat="false" ht="12.75" hidden="false" customHeight="false" outlineLevel="0" collapsed="false">
      <c r="B35" s="117"/>
      <c r="D35" s="317" t="str">
        <f aca="false">'Entrada Inver_Finan'!C30</f>
        <v>Maquinaria</v>
      </c>
      <c r="E35" s="317"/>
      <c r="F35" s="318" t="n">
        <f aca="false">'Entrada Inver_Finan'!D30</f>
        <v>0</v>
      </c>
      <c r="G35" s="319" t="n">
        <f aca="false">IF($F$83&lt;&gt;0,F35/$F$83,"")</f>
        <v>0</v>
      </c>
    </row>
    <row r="36" customFormat="false" ht="12.75" hidden="false" customHeight="false" outlineLevel="0" collapsed="false">
      <c r="B36" s="117"/>
      <c r="D36" s="317" t="str">
        <f aca="false">'Entrada Inver_Finan'!C31</f>
        <v>Utillaje, herramientas,...</v>
      </c>
      <c r="E36" s="317"/>
      <c r="F36" s="318" t="n">
        <f aca="false">'Entrada Inver_Finan'!D31</f>
        <v>600</v>
      </c>
      <c r="G36" s="319" t="n">
        <f aca="false">IF($F$83&lt;&gt;0,F36/$F$83,"")</f>
        <v>0.00217373189915333</v>
      </c>
    </row>
    <row r="37" customFormat="false" ht="12.75" hidden="false" customHeight="false" outlineLevel="0" collapsed="false">
      <c r="B37" s="117"/>
      <c r="D37" s="317" t="str">
        <f aca="false">'Entrada Inver_Finan'!C32</f>
        <v>Mobiliario</v>
      </c>
      <c r="E37" s="317"/>
      <c r="F37" s="318" t="n">
        <f aca="false">'Entrada Inver_Finan'!D32</f>
        <v>3000</v>
      </c>
      <c r="G37" s="319" t="n">
        <f aca="false">IF($F$83&lt;&gt;0,F37/$F$83,"")</f>
        <v>0.0108686594957667</v>
      </c>
    </row>
    <row r="38" customFormat="false" ht="12.75" hidden="false" customHeight="false" outlineLevel="0" collapsed="false">
      <c r="B38" s="117"/>
      <c r="D38" s="317" t="str">
        <f aca="false">'Entrada Inver_Finan'!C33</f>
        <v>Elementos de transporte</v>
      </c>
      <c r="E38" s="317"/>
      <c r="F38" s="318" t="n">
        <f aca="false">'Entrada Inver_Finan'!D33</f>
        <v>35000</v>
      </c>
      <c r="G38" s="319" t="n">
        <f aca="false">IF($F$83&lt;&gt;0,F38/$F$83,"")</f>
        <v>0.126801027450611</v>
      </c>
    </row>
    <row r="39" customFormat="false" ht="12.75" hidden="false" customHeight="false" outlineLevel="0" collapsed="false">
      <c r="B39" s="117"/>
      <c r="D39" s="314" t="str">
        <f aca="false">'Entrada Inver_Finan'!C34</f>
        <v>Equipos informáticos</v>
      </c>
      <c r="E39" s="314"/>
      <c r="F39" s="315" t="n">
        <f aca="false">'Entrada Inver_Finan'!D34</f>
        <v>2000</v>
      </c>
      <c r="G39" s="316" t="n">
        <f aca="false">IF($F$83&lt;&gt;0,F39/$F$83,"")</f>
        <v>0.00724577299717777</v>
      </c>
    </row>
    <row r="40" customFormat="false" ht="12.75" hidden="false" customHeight="false" outlineLevel="0" collapsed="false">
      <c r="B40" s="117"/>
      <c r="D40" s="317" t="str">
        <f aca="false">'Entrada Inver_Finan'!C35</f>
        <v>Otro inmovilizado material</v>
      </c>
      <c r="E40" s="317"/>
      <c r="F40" s="318" t="n">
        <f aca="false">'Entrada Inver_Finan'!D35</f>
        <v>0</v>
      </c>
      <c r="G40" s="319" t="n">
        <f aca="false">IF($F$83&lt;&gt;0,F40/$F$83,"")</f>
        <v>0</v>
      </c>
    </row>
    <row r="41" customFormat="false" ht="12.75" hidden="false" customHeight="false" outlineLevel="0" collapsed="false">
      <c r="B41" s="117"/>
      <c r="D41" s="317" t="n">
        <f aca="false">'Entrada Inver_Finan'!C36</f>
        <v>0</v>
      </c>
      <c r="E41" s="317"/>
      <c r="F41" s="318" t="n">
        <f aca="false">'Entrada Inver_Finan'!D36</f>
        <v>0</v>
      </c>
      <c r="G41" s="319" t="n">
        <f aca="false">IF($F$83&lt;&gt;0,F41/$F$83,"")</f>
        <v>0</v>
      </c>
    </row>
    <row r="42" customFormat="false" ht="12.75" hidden="false" customHeight="false" outlineLevel="0" collapsed="false">
      <c r="B42" s="117"/>
      <c r="D42" s="317" t="n">
        <f aca="false">'Entrada Inver_Finan'!C37</f>
        <v>0</v>
      </c>
      <c r="E42" s="317"/>
      <c r="F42" s="325" t="n">
        <f aca="false">'Entrada Inver_Finan'!D37</f>
        <v>0</v>
      </c>
      <c r="G42" s="319" t="n">
        <f aca="false">IF($F$83&lt;&gt;0,F42/$F$83,"")</f>
        <v>0</v>
      </c>
    </row>
    <row r="43" customFormat="false" ht="12.75" hidden="false" customHeight="false" outlineLevel="0" collapsed="false">
      <c r="B43" s="117"/>
      <c r="D43" s="317" t="str">
        <f aca="false">'Entrada Inver_Finan'!C38</f>
        <v>Edificios /Locales de segunda mano</v>
      </c>
      <c r="E43" s="317"/>
      <c r="F43" s="325" t="n">
        <f aca="false">'Entrada Inver_Finan'!D38</f>
        <v>0</v>
      </c>
      <c r="G43" s="319" t="n">
        <f aca="false">IF($F$83&lt;&gt;0,F43/$F$83,"")</f>
        <v>0</v>
      </c>
    </row>
    <row r="44" customFormat="false" ht="12.75" hidden="false" customHeight="false" outlineLevel="0" collapsed="false">
      <c r="B44" s="117"/>
      <c r="D44" s="320" t="str">
        <f aca="false">'Entrada Inver_Finan'!C39</f>
        <v>Solares sin edificar</v>
      </c>
      <c r="E44" s="320"/>
      <c r="F44" s="326" t="n">
        <f aca="false">'Entrada Inver_Finan'!D39</f>
        <v>0</v>
      </c>
      <c r="G44" s="327" t="n">
        <f aca="false">IF($F$83&lt;&gt;0,F44/$F$83,"")</f>
        <v>0</v>
      </c>
    </row>
    <row r="45" customFormat="false" ht="12.75" hidden="false" customHeight="false" outlineLevel="0" collapsed="false">
      <c r="B45" s="117"/>
      <c r="C45" s="321" t="s">
        <v>351</v>
      </c>
      <c r="D45" s="322"/>
      <c r="E45" s="322"/>
      <c r="F45" s="323" t="n">
        <f aca="false">SUM(F33:F44)</f>
        <v>260600</v>
      </c>
      <c r="G45" s="324" t="n">
        <f aca="false">IF($F$83&lt;&gt;0,F45/$F$83,"")</f>
        <v>0.944124221532264</v>
      </c>
    </row>
    <row r="46" customFormat="false" ht="12.75" hidden="false" customHeight="false" outlineLevel="0" collapsed="false">
      <c r="B46" s="117"/>
      <c r="C46" s="52" t="s">
        <v>352</v>
      </c>
      <c r="F46" s="93" t="n">
        <f aca="false">IF(F51=0,0,".")</f>
        <v>0</v>
      </c>
      <c r="G46" s="313"/>
    </row>
    <row r="47" customFormat="false" ht="12.75" hidden="false" customHeight="false" outlineLevel="0" collapsed="false">
      <c r="B47" s="117"/>
      <c r="D47" s="314" t="str">
        <f aca="false">'Entrada Inver_Finan'!C57</f>
        <v>Fianza del local</v>
      </c>
      <c r="E47" s="314"/>
      <c r="F47" s="328" t="n">
        <f aca="false">'Entrada Inver_Finan'!D57</f>
        <v>0</v>
      </c>
      <c r="G47" s="316" t="n">
        <f aca="false">IF($F$83&lt;&gt;0,F47/$F$83,"")</f>
        <v>0</v>
      </c>
    </row>
    <row r="48" customFormat="false" ht="12.75" hidden="false" customHeight="false" outlineLevel="0" collapsed="false">
      <c r="B48" s="117"/>
      <c r="D48" s="320" t="str">
        <f aca="false">'Entrada Inver_Finan'!C58</f>
        <v>Otras fianzas o garantías prestadas</v>
      </c>
      <c r="E48" s="320"/>
      <c r="F48" s="326" t="n">
        <f aca="false">'Entrada Inver_Finan'!D58</f>
        <v>0</v>
      </c>
      <c r="G48" s="327" t="n">
        <f aca="false">IF($F$83&lt;&gt;0,F48/$F$83,"")</f>
        <v>0</v>
      </c>
    </row>
    <row r="49" customFormat="false" ht="12.75" hidden="false" customHeight="false" outlineLevel="0" collapsed="false">
      <c r="B49" s="117"/>
      <c r="D49" s="317" t="str">
        <f aca="false">'Entrada Inver_Finan'!C59</f>
        <v>Cuentas a plazo y otras inversiones</v>
      </c>
      <c r="E49" s="317"/>
      <c r="F49" s="325" t="n">
        <f aca="false">'Entrada Inver_Finan'!D59</f>
        <v>0</v>
      </c>
      <c r="G49" s="319" t="n">
        <f aca="false">IF($F$83&lt;&gt;0,F49/$F$83,"")</f>
        <v>0</v>
      </c>
    </row>
    <row r="50" customFormat="false" ht="12.75" hidden="false" customHeight="false" outlineLevel="0" collapsed="false">
      <c r="B50" s="117"/>
      <c r="D50" s="317" t="n">
        <f aca="false">'Entrada Inver_Finan'!C60</f>
        <v>0</v>
      </c>
      <c r="E50" s="317"/>
      <c r="F50" s="318" t="n">
        <f aca="false">'Entrada Inver_Finan'!D60</f>
        <v>0</v>
      </c>
      <c r="G50" s="319" t="n">
        <f aca="false">IF($F$83&lt;&gt;0,F50/$F$83,"")</f>
        <v>0</v>
      </c>
    </row>
    <row r="51" customFormat="false" ht="12.75" hidden="false" customHeight="false" outlineLevel="0" collapsed="false">
      <c r="B51" s="329"/>
      <c r="C51" s="330" t="s">
        <v>353</v>
      </c>
      <c r="D51" s="322"/>
      <c r="E51" s="322"/>
      <c r="F51" s="323" t="n">
        <f aca="false">SUM(F47:F49)</f>
        <v>0</v>
      </c>
      <c r="G51" s="324" t="n">
        <f aca="false">IF($F$83&lt;&gt;0,F51/$F$83,"")</f>
        <v>0</v>
      </c>
    </row>
    <row r="52" customFormat="false" ht="6.75" hidden="false" customHeight="true" outlineLevel="0" collapsed="false">
      <c r="C52" s="52"/>
      <c r="F52" s="131"/>
    </row>
    <row r="53" customFormat="false" ht="13.5" hidden="false" customHeight="false" outlineLevel="0" collapsed="false">
      <c r="B53" s="332" t="s">
        <v>354</v>
      </c>
      <c r="C53" s="333"/>
      <c r="D53" s="333"/>
      <c r="E53" s="333"/>
      <c r="F53" s="334" t="n">
        <f aca="false">F45+F31+F51</f>
        <v>261650</v>
      </c>
      <c r="G53" s="324" t="n">
        <f aca="false">IF($F$83&lt;&gt;0,F53/$F$83,"")</f>
        <v>0.947928252355782</v>
      </c>
    </row>
    <row r="54" customFormat="false" ht="6" hidden="false" customHeight="true" outlineLevel="0" collapsed="false">
      <c r="B54" s="335"/>
      <c r="C54" s="336"/>
      <c r="D54" s="336"/>
      <c r="E54" s="336"/>
      <c r="F54" s="335"/>
      <c r="G54" s="331"/>
    </row>
    <row r="55" customFormat="false" ht="13.5" hidden="false" customHeight="false" outlineLevel="0" collapsed="false">
      <c r="B55" s="337" t="s">
        <v>355</v>
      </c>
      <c r="C55" s="338"/>
      <c r="D55" s="338"/>
      <c r="E55" s="338"/>
      <c r="F55" s="339" t="n">
        <f aca="false">IF(F57=0,0," ")</f>
        <v>0</v>
      </c>
      <c r="G55" s="340"/>
    </row>
    <row r="56" customFormat="false" ht="13.5" hidden="false" customHeight="false" outlineLevel="0" collapsed="false">
      <c r="B56" s="341"/>
      <c r="C56" s="336"/>
      <c r="D56" s="314" t="str">
        <f aca="false">'Entrada Inver_Finan'!C67</f>
        <v>Formación del personal</v>
      </c>
      <c r="E56" s="314"/>
      <c r="F56" s="328" t="n">
        <f aca="false">'Entrada Inver_Finan'!D67</f>
        <v>0</v>
      </c>
      <c r="G56" s="316" t="n">
        <f aca="false">IF($F$83&lt;&gt;0,F56/$F$83,"")</f>
        <v>0</v>
      </c>
    </row>
    <row r="57" customFormat="false" ht="13.5" hidden="false" customHeight="false" outlineLevel="0" collapsed="false">
      <c r="B57" s="342" t="s">
        <v>356</v>
      </c>
      <c r="C57" s="343"/>
      <c r="D57" s="343"/>
      <c r="E57" s="343"/>
      <c r="F57" s="344" t="n">
        <f aca="false">SUM(F56)</f>
        <v>0</v>
      </c>
      <c r="G57" s="345" t="n">
        <f aca="false">IF($F$83&lt;&gt;0,F57/$F$83,"")</f>
        <v>0</v>
      </c>
    </row>
    <row r="58" customFormat="false" ht="5.25" hidden="false" customHeight="true" outlineLevel="0" collapsed="false">
      <c r="B58" s="207"/>
      <c r="F58" s="267"/>
    </row>
    <row r="59" customFormat="false" ht="14.25" hidden="false" customHeight="true" outlineLevel="0" collapsed="false">
      <c r="B59" s="337" t="s">
        <v>357</v>
      </c>
      <c r="C59" s="346"/>
      <c r="D59" s="346"/>
      <c r="E59" s="346"/>
      <c r="F59" s="347" t="str">
        <f aca="false">IF(F68=0,0," ")</f>
        <v> </v>
      </c>
      <c r="G59" s="340"/>
    </row>
    <row r="60" customFormat="false" ht="14.25" hidden="false" customHeight="true" outlineLevel="0" collapsed="false">
      <c r="B60" s="348"/>
      <c r="D60" s="314" t="str">
        <f aca="false">'Entrada Inver_Finan'!C66</f>
        <v>Gastos de constitución</v>
      </c>
      <c r="E60" s="349"/>
      <c r="F60" s="315" t="n">
        <f aca="false">'Entrada Inver_Finan'!D66</f>
        <v>700</v>
      </c>
      <c r="G60" s="316" t="n">
        <f aca="false">IF($F$83&lt;&gt;0,F60/$F$83,"")</f>
        <v>0.00253602054901222</v>
      </c>
    </row>
    <row r="61" customFormat="false" ht="11.25" hidden="false" customHeight="true" outlineLevel="0" collapsed="false">
      <c r="B61" s="348"/>
      <c r="D61" s="314" t="str">
        <f aca="false">'Entrada Inver_Finan'!C68</f>
        <v>Estudios e informes previos</v>
      </c>
      <c r="E61" s="350"/>
      <c r="F61" s="315" t="n">
        <f aca="false">'Entrada Inver_Finan'!D68</f>
        <v>250</v>
      </c>
      <c r="G61" s="316" t="n">
        <f aca="false">IF($F$83&lt;&gt;0,F61/$F$83,"")</f>
        <v>0.000905721624647221</v>
      </c>
    </row>
    <row r="62" customFormat="false" ht="11.25" hidden="false" customHeight="true" outlineLevel="0" collapsed="false">
      <c r="B62" s="348"/>
      <c r="D62" s="314" t="str">
        <f aca="false">'Entrada Inver_Finan'!C69</f>
        <v>Publicidad y propaganda</v>
      </c>
      <c r="E62" s="350"/>
      <c r="F62" s="315" t="n">
        <f aca="false">'Entrada Inver_Finan'!D69</f>
        <v>300</v>
      </c>
      <c r="G62" s="316" t="n">
        <f aca="false">IF($F$83&lt;&gt;0,F62/$F$83,"")</f>
        <v>0.00108686594957667</v>
      </c>
    </row>
    <row r="63" customFormat="false" ht="11.25" hidden="false" customHeight="true" outlineLevel="0" collapsed="false">
      <c r="B63" s="348"/>
      <c r="D63" s="314" t="str">
        <f aca="false">'Entrada Inver_Finan'!C70</f>
        <v>Contratos de suministro: luz, agua, teléfono, etc.</v>
      </c>
      <c r="E63" s="350"/>
      <c r="F63" s="315" t="n">
        <f aca="false">'Entrada Inver_Finan'!D70</f>
        <v>150</v>
      </c>
      <c r="G63" s="316" t="n">
        <f aca="false">IF($F$83&lt;&gt;0,F63/$F$83,"")</f>
        <v>0.000543432974788333</v>
      </c>
    </row>
    <row r="64" customFormat="false" ht="11.25" hidden="false" customHeight="true" outlineLevel="0" collapsed="false">
      <c r="B64" s="348"/>
      <c r="D64" s="314" t="str">
        <f aca="false">'Entrada Inver_Finan'!C71</f>
        <v>Derechos de traspaso</v>
      </c>
      <c r="E64" s="350"/>
      <c r="F64" s="315" t="n">
        <f aca="false">'Entrada Inver_Finan'!D71</f>
        <v>0</v>
      </c>
      <c r="G64" s="316" t="n">
        <f aca="false">IF($F$83&lt;&gt;0,F64/$F$83,"")</f>
        <v>0</v>
      </c>
      <c r="J64" s="93"/>
      <c r="K64" s="104" t="s">
        <v>358</v>
      </c>
      <c r="L64" s="104"/>
      <c r="M64" s="104"/>
      <c r="N64" s="104"/>
      <c r="O64" s="104"/>
      <c r="P64" s="104"/>
      <c r="Q64" s="104"/>
      <c r="R64" s="104"/>
      <c r="S64" s="104"/>
      <c r="T64" s="104"/>
      <c r="U64" s="104"/>
      <c r="V64" s="104"/>
      <c r="W64" s="104"/>
      <c r="X64" s="104"/>
    </row>
    <row r="65" customFormat="false" ht="11.25" hidden="false" customHeight="true" outlineLevel="0" collapsed="false">
      <c r="B65" s="348"/>
      <c r="D65" s="314" t="str">
        <f aca="false">'Entrada Inver_Finan'!C72</f>
        <v>Material de oficina</v>
      </c>
      <c r="E65" s="350"/>
      <c r="F65" s="315" t="n">
        <f aca="false">'Entrada Inver_Finan'!D72</f>
        <v>50</v>
      </c>
      <c r="G65" s="316" t="n">
        <f aca="false">IF($F$83&lt;&gt;0,F65/$F$83,"")</f>
        <v>0.000181144324929444</v>
      </c>
      <c r="J65" s="93"/>
      <c r="K65" s="104"/>
      <c r="L65" s="104"/>
      <c r="M65" s="104"/>
      <c r="N65" s="104"/>
      <c r="O65" s="104"/>
      <c r="P65" s="104"/>
      <c r="Q65" s="104"/>
      <c r="R65" s="104"/>
      <c r="S65" s="104"/>
      <c r="T65" s="104"/>
      <c r="U65" s="104"/>
      <c r="V65" s="104"/>
    </row>
    <row r="66" customFormat="false" ht="11.25" hidden="false" customHeight="true" outlineLevel="0" collapsed="false">
      <c r="B66" s="348"/>
      <c r="D66" s="314" t="str">
        <f aca="false">'Entrada Inver_Finan'!C73</f>
        <v>Otros gastos de primer establecimiento</v>
      </c>
      <c r="E66" s="350"/>
      <c r="F66" s="315" t="n">
        <f aca="false">'Entrada Inver_Finan'!D73</f>
        <v>100</v>
      </c>
      <c r="G66" s="316" t="n">
        <f aca="false">IF($F$83&lt;&gt;0,F66/$F$83,"")</f>
        <v>0.000362288649858889</v>
      </c>
      <c r="J66" s="93"/>
      <c r="K66" s="104"/>
      <c r="L66" s="104"/>
      <c r="M66" s="104"/>
      <c r="N66" s="104"/>
      <c r="O66" s="104"/>
      <c r="P66" s="104" t="n">
        <f aca="false">'Datos generales'!$P$10+1</f>
        <v>2024</v>
      </c>
      <c r="Q66" s="104"/>
      <c r="R66" s="104"/>
      <c r="S66" s="104"/>
      <c r="T66" s="104"/>
      <c r="U66" s="104"/>
      <c r="V66" s="104"/>
      <c r="W66" s="104"/>
      <c r="X66" s="104"/>
    </row>
    <row r="67" customFormat="false" ht="14.25" hidden="false" customHeight="true" outlineLevel="0" collapsed="false">
      <c r="B67" s="348"/>
      <c r="D67" s="314" t="n">
        <f aca="false">'Entrada Inver_Finan'!C74</f>
        <v>0</v>
      </c>
      <c r="E67" s="350"/>
      <c r="F67" s="315" t="n">
        <f aca="false">'Entrada Inver_Finan'!D74</f>
        <v>0</v>
      </c>
      <c r="G67" s="316" t="n">
        <f aca="false">IF($F$83&lt;&gt;0,F67/$F$83,"")</f>
        <v>0</v>
      </c>
      <c r="J67" s="93"/>
      <c r="K67" s="104"/>
      <c r="L67" s="351"/>
      <c r="M67" s="104"/>
      <c r="N67" s="352"/>
      <c r="O67" s="104"/>
      <c r="P67" s="104"/>
      <c r="Q67" s="104"/>
      <c r="R67" s="104"/>
      <c r="S67" s="104"/>
      <c r="T67" s="104"/>
      <c r="U67" s="104"/>
      <c r="V67" s="104"/>
    </row>
    <row r="68" s="353" customFormat="true" ht="15" hidden="false" customHeight="true" outlineLevel="0" collapsed="false">
      <c r="B68" s="342" t="s">
        <v>359</v>
      </c>
      <c r="C68" s="343"/>
      <c r="D68" s="343"/>
      <c r="E68" s="343"/>
      <c r="F68" s="344" t="n">
        <f aca="false">SUM(F60:F67)</f>
        <v>1550</v>
      </c>
      <c r="G68" s="345" t="n">
        <f aca="false">IF($F$83&lt;&gt;0,F68/$F$83,"")</f>
        <v>0.00561547407281277</v>
      </c>
      <c r="J68" s="354"/>
      <c r="K68" s="104"/>
      <c r="L68" s="104"/>
      <c r="M68" s="104"/>
      <c r="N68" s="104"/>
      <c r="O68" s="104"/>
      <c r="P68" s="104"/>
      <c r="Q68" s="104"/>
      <c r="R68" s="104"/>
      <c r="S68" s="104"/>
      <c r="T68" s="104"/>
      <c r="U68" s="104"/>
      <c r="V68" s="104"/>
      <c r="W68" s="104"/>
      <c r="X68" s="104"/>
    </row>
    <row r="69" customFormat="false" ht="5.25" hidden="false" customHeight="true" outlineLevel="0" collapsed="false">
      <c r="B69" s="207"/>
      <c r="F69" s="267"/>
      <c r="G69" s="331"/>
      <c r="J69" s="93"/>
      <c r="K69" s="104"/>
      <c r="L69" s="104"/>
      <c r="M69" s="104"/>
      <c r="N69" s="104"/>
      <c r="O69" s="104"/>
      <c r="P69" s="104"/>
      <c r="Q69" s="104"/>
      <c r="R69" s="104"/>
    </row>
    <row r="70" customFormat="false" ht="13.5" hidden="false" customHeight="false" outlineLevel="0" collapsed="false">
      <c r="B70" s="355" t="s">
        <v>360</v>
      </c>
      <c r="C70" s="346"/>
      <c r="D70" s="346"/>
      <c r="E70" s="346"/>
      <c r="F70" s="356" t="str">
        <f aca="false">IF(F81=0,0,".")</f>
        <v>.</v>
      </c>
      <c r="G70" s="357"/>
      <c r="K70" s="104"/>
      <c r="L70" s="104"/>
      <c r="M70" s="104"/>
      <c r="N70" s="104"/>
      <c r="O70" s="104"/>
      <c r="P70" s="104"/>
      <c r="Q70" s="104"/>
      <c r="R70" s="104"/>
      <c r="S70" s="104"/>
      <c r="T70" s="104"/>
      <c r="U70" s="104"/>
    </row>
    <row r="71" customFormat="false" ht="12.75" hidden="false" customHeight="false" outlineLevel="0" collapsed="false">
      <c r="B71" s="117"/>
      <c r="C71" s="314" t="str">
        <f aca="false">'Entrada Inver_Finan'!C79</f>
        <v>Pienso para perro adulto 12 kg</v>
      </c>
      <c r="D71" s="350"/>
      <c r="E71" s="350"/>
      <c r="F71" s="315" t="n">
        <f aca="false">IF('Datos generales'!$D$10='Previsión de negocio'!G234,'Previsión de negocio'!F234,0)</f>
        <v>2475</v>
      </c>
      <c r="G71" s="316" t="n">
        <f aca="false">IF($F$83&lt;&gt;0,F71/$F$83,"")</f>
        <v>0.00896664408400749</v>
      </c>
      <c r="K71" s="351"/>
      <c r="L71" s="104"/>
      <c r="M71" s="104"/>
      <c r="N71" s="104"/>
      <c r="O71" s="104"/>
      <c r="P71" s="104"/>
      <c r="Q71" s="104"/>
      <c r="R71" s="104"/>
      <c r="S71" s="104"/>
      <c r="T71" s="104"/>
      <c r="U71" s="104"/>
    </row>
    <row r="72" customFormat="false" ht="12.75" hidden="false" customHeight="false" outlineLevel="0" collapsed="false">
      <c r="B72" s="117"/>
      <c r="C72" s="317" t="str">
        <f aca="false">'Entrada Inver_Finan'!C80</f>
        <v>Pienso para gato adulto 10 kg</v>
      </c>
      <c r="D72" s="358"/>
      <c r="E72" s="358"/>
      <c r="F72" s="315" t="n">
        <f aca="false">IF('Datos generales'!$D$10='Previsión de negocio'!G235,'Previsión de negocio'!F235,0)</f>
        <v>2250</v>
      </c>
      <c r="G72" s="319" t="n">
        <f aca="false">IF($F$83&lt;&gt;0,F72/$F$83,"")</f>
        <v>0.00815149462182499</v>
      </c>
      <c r="K72" s="351"/>
      <c r="L72" s="104"/>
      <c r="M72" s="104"/>
      <c r="N72" s="104"/>
      <c r="O72" s="104"/>
      <c r="P72" s="104"/>
      <c r="Q72" s="104"/>
      <c r="R72" s="104"/>
      <c r="S72" s="104"/>
      <c r="T72" s="104"/>
      <c r="U72" s="104"/>
    </row>
    <row r="73" customFormat="false" ht="12.75" hidden="false" customHeight="false" outlineLevel="0" collapsed="false">
      <c r="B73" s="117"/>
      <c r="C73" s="317" t="str">
        <f aca="false">'Entrada Inver_Finan'!C81</f>
        <v>Pienso para loros 12 kg</v>
      </c>
      <c r="D73" s="358"/>
      <c r="E73" s="358"/>
      <c r="F73" s="315" t="n">
        <f aca="false">IF('Datos generales'!$D$10='Previsión de negocio'!G236,'Previsión de negocio'!F236,0)</f>
        <v>2145</v>
      </c>
      <c r="G73" s="319" t="n">
        <f aca="false">IF($F$83&lt;&gt;0,F73/$F$83,"")</f>
        <v>0.00777109153947316</v>
      </c>
      <c r="K73" s="351"/>
      <c r="L73" s="104"/>
      <c r="M73" s="104"/>
      <c r="N73" s="104"/>
      <c r="O73" s="104"/>
      <c r="P73" s="104"/>
      <c r="Q73" s="104"/>
      <c r="R73" s="104"/>
      <c r="S73" s="104"/>
      <c r="T73" s="104"/>
      <c r="U73" s="104"/>
    </row>
    <row r="74" customFormat="false" ht="12.75" hidden="false" customHeight="false" outlineLevel="0" collapsed="false">
      <c r="B74" s="117"/>
      <c r="C74" s="317" t="str">
        <f aca="false">'Entrada Inver_Finan'!C82</f>
        <v>Pienso para cobayas 3 kg</v>
      </c>
      <c r="D74" s="358"/>
      <c r="E74" s="358"/>
      <c r="F74" s="315" t="n">
        <f aca="false">IF('Datos generales'!$D$10='Previsión de negocio'!G237,'Previsión de negocio'!F237,0)</f>
        <v>664</v>
      </c>
      <c r="G74" s="319" t="n">
        <f aca="false">IF($F$83&lt;&gt;0,F74/$F$83,"")</f>
        <v>0.00240559663506302</v>
      </c>
      <c r="K74" s="351"/>
      <c r="L74" s="104"/>
      <c r="M74" s="104"/>
      <c r="N74" s="104"/>
      <c r="O74" s="104"/>
      <c r="P74" s="104"/>
      <c r="Q74" s="104"/>
      <c r="R74" s="104"/>
      <c r="S74" s="104"/>
      <c r="T74" s="104"/>
      <c r="U74" s="104"/>
    </row>
    <row r="75" customFormat="false" ht="12.75" hidden="false" customHeight="false" outlineLevel="0" collapsed="false">
      <c r="B75" s="117"/>
      <c r="C75" s="317" t="str">
        <f aca="false">'Entrada Inver_Finan'!C83</f>
        <v>Pienso para conejo adulto 1,75 kg</v>
      </c>
      <c r="D75" s="358"/>
      <c r="E75" s="358"/>
      <c r="F75" s="315" t="n">
        <f aca="false">IF('Datos generales'!$D$10='Previsión de negocio'!G238,'Previsión de negocio'!F238,0)</f>
        <v>532</v>
      </c>
      <c r="G75" s="319" t="n">
        <f aca="false">IF($F$83&lt;&gt;0,F75/$F$83,"")</f>
        <v>0.00192737561724929</v>
      </c>
      <c r="K75" s="351"/>
      <c r="L75" s="104"/>
      <c r="M75" s="104"/>
      <c r="N75" s="104"/>
      <c r="O75" s="104"/>
      <c r="P75" s="104"/>
      <c r="Q75" s="104"/>
      <c r="R75" s="104"/>
      <c r="S75" s="104"/>
      <c r="T75" s="104"/>
      <c r="U75" s="104"/>
    </row>
    <row r="76" customFormat="false" ht="12.75" hidden="false" customHeight="false" outlineLevel="0" collapsed="false">
      <c r="B76" s="117"/>
      <c r="C76" s="317" t="str">
        <f aca="false">'Entrada Inver_Finan'!C84</f>
        <v>Pienso para hamsters 1 kg</v>
      </c>
      <c r="D76" s="358"/>
      <c r="E76" s="358"/>
      <c r="F76" s="315" t="n">
        <f aca="false">IF('Datos generales'!$D$10='Previsión de negocio'!G239,'Previsión de negocio'!F239,0)</f>
        <v>742</v>
      </c>
      <c r="G76" s="319" t="n">
        <f aca="false">IF($F$83&lt;&gt;0,F76/$F$83,"")</f>
        <v>0.00268818178195295</v>
      </c>
      <c r="K76" s="351"/>
      <c r="L76" s="104"/>
      <c r="M76" s="104"/>
      <c r="N76" s="104"/>
      <c r="O76" s="104"/>
      <c r="P76" s="104"/>
      <c r="Q76" s="104"/>
      <c r="R76" s="104"/>
      <c r="S76" s="104"/>
      <c r="T76" s="104"/>
      <c r="U76" s="104"/>
    </row>
    <row r="77" customFormat="false" ht="12.75" hidden="false" customHeight="false" outlineLevel="0" collapsed="false">
      <c r="B77" s="117"/>
      <c r="C77" s="317" t="str">
        <f aca="false">'Entrada Inver_Finan'!C85</f>
        <v>Pienso natural para perro 3 kg</v>
      </c>
      <c r="D77" s="358"/>
      <c r="E77" s="358"/>
      <c r="F77" s="315" t="n">
        <f aca="false">IF('Datos generales'!$D$10='Previsión de negocio'!G240,'Previsión de negocio'!F240,0)</f>
        <v>612</v>
      </c>
      <c r="G77" s="319" t="n">
        <f aca="false">IF($F$83&lt;&gt;0,F77/$F$83,"")</f>
        <v>0.0022172065371364</v>
      </c>
      <c r="K77" s="351"/>
      <c r="L77" s="104"/>
      <c r="M77" s="104"/>
      <c r="N77" s="104"/>
      <c r="O77" s="104"/>
      <c r="P77" s="104"/>
      <c r="Q77" s="104"/>
      <c r="R77" s="104"/>
      <c r="S77" s="104"/>
      <c r="T77" s="104"/>
      <c r="U77" s="104"/>
    </row>
    <row r="78" customFormat="false" ht="12.75" hidden="false" customHeight="false" outlineLevel="0" collapsed="false">
      <c r="B78" s="117"/>
      <c r="C78" s="317" t="str">
        <f aca="false">'Entrada Inver_Finan'!C86</f>
        <v>Pienso natural para cachorros 6 kg</v>
      </c>
      <c r="D78" s="358"/>
      <c r="E78" s="358"/>
      <c r="F78" s="315" t="n">
        <f aca="false">IF('Datos generales'!$D$10='Previsión de negocio'!G241,'Previsión de negocio'!F241,0)</f>
        <v>1624</v>
      </c>
      <c r="G78" s="319" t="n">
        <f aca="false">IF($F$83&lt;&gt;0,F78/$F$83,"")</f>
        <v>0.00588356767370835</v>
      </c>
      <c r="K78" s="222" t="s">
        <v>361</v>
      </c>
      <c r="L78" s="64"/>
      <c r="M78" s="64"/>
      <c r="N78" s="35"/>
      <c r="O78" s="222" t="n">
        <f aca="false">'Entrada Inver_Finan'!D134</f>
        <v>0</v>
      </c>
      <c r="P78" s="64"/>
      <c r="Q78" s="104"/>
      <c r="R78" s="104"/>
      <c r="S78" s="104"/>
      <c r="T78" s="104"/>
      <c r="U78" s="104"/>
      <c r="V78" s="104"/>
      <c r="W78" s="104"/>
      <c r="X78" s="104"/>
    </row>
    <row r="79" customFormat="false" ht="12.75" hidden="false" customHeight="false" outlineLevel="0" collapsed="false">
      <c r="B79" s="117"/>
      <c r="C79" s="317" t="str">
        <f aca="false">'Entrada Inver_Finan'!C87</f>
        <v>Menú natural semihúmedo perro</v>
      </c>
      <c r="D79" s="358"/>
      <c r="E79" s="358"/>
      <c r="F79" s="315" t="n">
        <f aca="false">IF('Datos generales'!$D$10='Previsión de negocio'!G242,'Previsión de negocio'!F242,0)</f>
        <v>909</v>
      </c>
      <c r="G79" s="319" t="n">
        <f aca="false">IF($F$83&lt;&gt;0,F79/$F$83,"")</f>
        <v>0.0032932038272173</v>
      </c>
      <c r="K79" s="222" t="s">
        <v>362</v>
      </c>
      <c r="L79" s="64"/>
      <c r="M79" s="64"/>
      <c r="N79" s="64"/>
      <c r="O79" s="64" t="n">
        <f aca="false">O78*'Datos generales'!D16</f>
        <v>0</v>
      </c>
      <c r="P79" s="64"/>
      <c r="Q79" s="104"/>
      <c r="R79" s="104"/>
      <c r="S79" s="104"/>
      <c r="T79" s="104"/>
      <c r="U79" s="104"/>
      <c r="V79" s="104"/>
      <c r="W79" s="104"/>
      <c r="X79" s="104"/>
    </row>
    <row r="80" customFormat="false" ht="12.75" hidden="false" customHeight="false" outlineLevel="0" collapsed="false">
      <c r="B80" s="117"/>
      <c r="C80" s="359" t="str">
        <f aca="false">'Entrada Inver_Finan'!C88</f>
        <v>Comida húmeda para gatos 26 pouches</v>
      </c>
      <c r="F80" s="315" t="n">
        <f aca="false">IF('Datos generales'!$D$10='Previsión de negocio'!G243,'Previsión de negocio'!F243,0)</f>
        <v>870</v>
      </c>
      <c r="G80" s="360" t="n">
        <f aca="false">IF($F$83&lt;&gt;0,F80/$F$83,"")</f>
        <v>0.00315191125377233</v>
      </c>
      <c r="K80" s="222" t="s">
        <v>363</v>
      </c>
      <c r="L80" s="64"/>
      <c r="M80" s="64"/>
      <c r="N80" s="64"/>
      <c r="O80" s="222" t="n">
        <f aca="false">SUM(O78:O79)</f>
        <v>0</v>
      </c>
      <c r="P80" s="64"/>
      <c r="Q80" s="104"/>
      <c r="R80" s="104"/>
      <c r="S80" s="104"/>
      <c r="T80" s="104"/>
      <c r="U80" s="104"/>
      <c r="V80" s="104"/>
      <c r="W80" s="104"/>
      <c r="X80" s="104"/>
    </row>
    <row r="81" customFormat="false" ht="13.5" hidden="false" customHeight="false" outlineLevel="0" collapsed="false">
      <c r="B81" s="361" t="s">
        <v>364</v>
      </c>
      <c r="C81" s="322"/>
      <c r="D81" s="322"/>
      <c r="E81" s="322"/>
      <c r="F81" s="362" t="n">
        <f aca="false">SUM(F71:F80)</f>
        <v>12823</v>
      </c>
      <c r="G81" s="324" t="n">
        <f aca="false">IF($F$83&lt;&gt;0,F81/$F$83,"")</f>
        <v>0.0464562735714053</v>
      </c>
      <c r="K81" s="93"/>
      <c r="L81" s="93"/>
      <c r="M81" s="93"/>
      <c r="N81" s="93"/>
      <c r="O81" s="93"/>
      <c r="P81" s="93"/>
      <c r="Q81" s="93"/>
      <c r="R81" s="93"/>
      <c r="S81" s="93"/>
      <c r="T81" s="93"/>
      <c r="U81" s="93"/>
    </row>
    <row r="82" customFormat="false" ht="6" hidden="false" customHeight="true" outlineLevel="0" collapsed="false">
      <c r="B82" s="23"/>
      <c r="F82" s="267"/>
    </row>
    <row r="83" s="363" customFormat="true" ht="18.75" hidden="false" customHeight="false" outlineLevel="0" collapsed="false">
      <c r="B83" s="364" t="s">
        <v>365</v>
      </c>
      <c r="C83" s="365"/>
      <c r="D83" s="365"/>
      <c r="E83" s="365"/>
      <c r="F83" s="366" t="n">
        <f aca="false">F53+F57+F68+F81</f>
        <v>276023</v>
      </c>
      <c r="G83" s="367" t="n">
        <f aca="false">IF($F$83&lt;&gt;0,F83/$F$83,"")</f>
        <v>1</v>
      </c>
      <c r="J83" s="368"/>
    </row>
    <row r="84" customFormat="false" ht="12.75" hidden="false" customHeight="false" outlineLevel="0" collapsed="false">
      <c r="D84" s="35"/>
      <c r="E84" s="35"/>
      <c r="F84" s="48"/>
    </row>
    <row r="85" customFormat="false" ht="13.5" hidden="false" customHeight="false" outlineLevel="0" collapsed="false">
      <c r="D85" s="35"/>
      <c r="E85" s="35"/>
      <c r="F85" s="48"/>
      <c r="G85" s="369"/>
      <c r="K85" s="370" t="s">
        <v>366</v>
      </c>
      <c r="L85" s="371"/>
      <c r="M85" s="371"/>
      <c r="N85" s="371"/>
      <c r="O85" s="372" t="str">
        <f aca="false">IF(O89=0,0,".")</f>
        <v>.</v>
      </c>
      <c r="P85" s="372"/>
      <c r="Q85" s="373"/>
    </row>
    <row r="86" customFormat="false" ht="9.75" hidden="false" customHeight="true" outlineLevel="0" collapsed="false">
      <c r="B86" s="37"/>
      <c r="C86" s="70"/>
      <c r="F86" s="48"/>
      <c r="G86" s="369"/>
      <c r="K86" s="374"/>
      <c r="L86" s="375" t="s">
        <v>367</v>
      </c>
      <c r="M86" s="376"/>
      <c r="N86" s="376"/>
      <c r="O86" s="377" t="n">
        <f aca="false">(F53-F43-F44-F51-F103-F94)*'Datos generales'!D19</f>
        <v>27198</v>
      </c>
      <c r="P86" s="377"/>
      <c r="Q86" s="378" t="n">
        <f aca="false">IF($F$83&lt;&gt;0,O86/$F$83,"")</f>
        <v>0.0985352669886205</v>
      </c>
    </row>
    <row r="87" customFormat="false" ht="18" hidden="false" customHeight="false" outlineLevel="0" collapsed="false">
      <c r="B87" s="379" t="s">
        <v>368</v>
      </c>
      <c r="C87" s="70"/>
      <c r="F87" s="48"/>
      <c r="G87" s="369"/>
      <c r="K87" s="374"/>
      <c r="L87" s="380" t="s">
        <v>369</v>
      </c>
      <c r="M87" s="381"/>
      <c r="N87" s="381"/>
      <c r="O87" s="377" t="n">
        <f aca="false">F68*'Datos generales'!D19</f>
        <v>186</v>
      </c>
      <c r="P87" s="377"/>
      <c r="Q87" s="378" t="n">
        <f aca="false">IF($F$83&lt;&gt;0,O87/$F$83,"")</f>
        <v>0.000673856888737533</v>
      </c>
    </row>
    <row r="88" customFormat="false" ht="10.5" hidden="false" customHeight="true" outlineLevel="0" collapsed="false">
      <c r="C88" s="27"/>
      <c r="F88" s="48"/>
      <c r="G88" s="35"/>
      <c r="K88" s="374"/>
      <c r="L88" s="64" t="s">
        <v>370</v>
      </c>
      <c r="M88" s="104"/>
      <c r="N88" s="104"/>
      <c r="O88" s="222" t="n">
        <f aca="false">F81*'Datos generales'!$D$16</f>
        <v>1282.3</v>
      </c>
      <c r="P88" s="222"/>
      <c r="Q88" s="382" t="n">
        <f aca="false">IF($F$83&lt;&gt;0,O88/$F$83,"")</f>
        <v>0.00464562735714053</v>
      </c>
    </row>
    <row r="89" customFormat="false" ht="13.5" hidden="false" customHeight="false" outlineLevel="0" collapsed="false">
      <c r="B89" s="303" t="s">
        <v>177</v>
      </c>
      <c r="C89" s="303"/>
      <c r="D89" s="303"/>
      <c r="E89" s="303"/>
      <c r="F89" s="304" t="s">
        <v>371</v>
      </c>
      <c r="G89" s="304"/>
      <c r="K89" s="383" t="s">
        <v>372</v>
      </c>
      <c r="L89" s="384"/>
      <c r="M89" s="384"/>
      <c r="N89" s="384"/>
      <c r="O89" s="385" t="n">
        <f aca="false">SUM(O86:O88)</f>
        <v>28666.3</v>
      </c>
      <c r="P89" s="385"/>
      <c r="Q89" s="386" t="n">
        <f aca="false">IF($F$83&lt;&gt;0,O89/$F$83,"")</f>
        <v>0.103854751234499</v>
      </c>
    </row>
    <row r="90" customFormat="false" ht="20.25" hidden="false" customHeight="false" outlineLevel="0" collapsed="false">
      <c r="B90" s="303"/>
      <c r="C90" s="303"/>
      <c r="D90" s="303"/>
      <c r="E90" s="303"/>
      <c r="F90" s="387" t="s">
        <v>183</v>
      </c>
      <c r="G90" s="388" t="s">
        <v>373</v>
      </c>
      <c r="L90" s="64" t="s">
        <v>374</v>
      </c>
      <c r="O90" s="48" t="n">
        <f aca="false">O88+F81</f>
        <v>14105.3</v>
      </c>
    </row>
    <row r="91" customFormat="false" ht="4.5" hidden="false" customHeight="true" outlineLevel="0" collapsed="false">
      <c r="B91" s="307"/>
      <c r="C91" s="307"/>
      <c r="D91" s="307"/>
      <c r="E91" s="307"/>
      <c r="F91" s="389"/>
    </row>
    <row r="92" customFormat="false" ht="13.5" hidden="false" customHeight="false" outlineLevel="0" collapsed="false">
      <c r="B92" s="391" t="str">
        <f aca="false">'Entrada Inver_Finan'!C98</f>
        <v>RECURSOS PROPIOS:</v>
      </c>
      <c r="C92" s="392"/>
      <c r="D92" s="392"/>
      <c r="E92" s="346"/>
      <c r="F92" s="356" t="str">
        <f aca="false">IF(F98=0,0," ")</f>
        <v> </v>
      </c>
      <c r="G92" s="357"/>
    </row>
    <row r="93" customFormat="false" ht="12.75" hidden="false" customHeight="false" outlineLevel="0" collapsed="false">
      <c r="B93" s="117"/>
      <c r="C93" s="393" t="str">
        <f aca="false">'Entrada Inver_Finan'!C99</f>
        <v>Aportaciones dinerarias</v>
      </c>
      <c r="D93" s="350"/>
      <c r="E93" s="350"/>
      <c r="F93" s="394" t="n">
        <f aca="false">'Entrada Inver_Finan'!D99</f>
        <v>120000</v>
      </c>
      <c r="G93" s="316" t="n">
        <f aca="false">IF($F$83&lt;&gt;0,F93/$F$83,"")</f>
        <v>0.434746379830666</v>
      </c>
    </row>
    <row r="94" customFormat="false" ht="12.75" hidden="false" customHeight="false" outlineLevel="0" collapsed="false">
      <c r="B94" s="117"/>
      <c r="C94" s="393" t="str">
        <f aca="false">'Entrada Inver_Finan'!C100</f>
        <v>Aportaciones no dinerarias</v>
      </c>
      <c r="D94" s="358"/>
      <c r="E94" s="358"/>
      <c r="F94" s="394" t="n">
        <f aca="false">'Entrada Inver_Finan'!D100</f>
        <v>0</v>
      </c>
      <c r="G94" s="316" t="n">
        <f aca="false">IF($F$83&lt;&gt;0,F94/$F$83,"")</f>
        <v>0</v>
      </c>
    </row>
    <row r="95" customFormat="false" ht="12.75" hidden="false" customHeight="false" outlineLevel="0" collapsed="false">
      <c r="B95" s="117"/>
      <c r="C95" s="393" t="str">
        <f aca="false">'Entrada Inver_Finan'!C101</f>
        <v>Capital</v>
      </c>
      <c r="D95" s="358"/>
      <c r="E95" s="358"/>
      <c r="F95" s="395" t="n">
        <f aca="false">'Entrada Inver_Finan'!D101</f>
        <v>120000</v>
      </c>
      <c r="G95" s="316" t="n">
        <f aca="false">IF($F$83&lt;&gt;0,F95/$F$83,"")</f>
        <v>0.434746379830666</v>
      </c>
    </row>
    <row r="96" customFormat="false" ht="12.75" hidden="false" customHeight="false" outlineLevel="0" collapsed="false">
      <c r="B96" s="117"/>
      <c r="C96" s="393" t="str">
        <f aca="false">'Entrada Inver_Finan'!C102</f>
        <v>Subvenciones</v>
      </c>
      <c r="D96" s="358"/>
      <c r="E96" s="358"/>
      <c r="F96" s="395" t="n">
        <f aca="false">'Entrada Inver_Finan'!D102</f>
        <v>0</v>
      </c>
      <c r="G96" s="316" t="n">
        <f aca="false">IF($F$83&lt;&gt;0,F96/$F$83,"")</f>
        <v>0</v>
      </c>
    </row>
    <row r="97" customFormat="false" ht="12.75" hidden="false" customHeight="false" outlineLevel="0" collapsed="false">
      <c r="B97" s="117"/>
      <c r="C97" s="393" t="str">
        <f aca="false">'Entrada Inver_Finan'!C103</f>
        <v>Donaciones</v>
      </c>
      <c r="D97" s="358"/>
      <c r="E97" s="358"/>
      <c r="F97" s="395" t="n">
        <f aca="false">'Entrada Inver_Finan'!D103</f>
        <v>0</v>
      </c>
      <c r="G97" s="316" t="n">
        <f aca="false">IF($F$83&lt;&gt;0,F97/$F$83,"")</f>
        <v>0</v>
      </c>
    </row>
    <row r="98" customFormat="false" ht="13.5" hidden="false" customHeight="false" outlineLevel="0" collapsed="false">
      <c r="B98" s="332" t="str">
        <f aca="false">'Entrada Inver_Finan'!C104</f>
        <v>TOTAL RECURSOS PROPIOS:</v>
      </c>
      <c r="C98" s="322"/>
      <c r="D98" s="322"/>
      <c r="E98" s="322"/>
      <c r="F98" s="334" t="n">
        <f aca="false">SUM(F95:F97)</f>
        <v>120000</v>
      </c>
      <c r="G98" s="396" t="n">
        <f aca="false">IF(F$116=0,"",F98/$F$116)</f>
        <v>0.375</v>
      </c>
    </row>
    <row r="99" customFormat="false" ht="4.5" hidden="false" customHeight="true" outlineLevel="0" collapsed="false">
      <c r="B99" s="335"/>
      <c r="F99" s="335"/>
    </row>
    <row r="100" customFormat="false" ht="13.5" hidden="false" customHeight="false" outlineLevel="0" collapsed="false">
      <c r="B100" s="309" t="s">
        <v>241</v>
      </c>
      <c r="C100" s="346"/>
      <c r="D100" s="346"/>
      <c r="E100" s="346"/>
      <c r="F100" s="356" t="str">
        <f aca="false">IF(F114=0,0," ")</f>
        <v> </v>
      </c>
      <c r="G100" s="357"/>
    </row>
    <row r="101" customFormat="false" ht="12.75" hidden="false" customHeight="false" outlineLevel="0" collapsed="false">
      <c r="B101" s="117"/>
      <c r="C101" s="52" t="s">
        <v>375</v>
      </c>
      <c r="F101" s="93" t="str">
        <f aca="false">IF(F106=0,0," ")</f>
        <v> </v>
      </c>
      <c r="G101" s="313"/>
    </row>
    <row r="102" customFormat="false" ht="12.75" hidden="false" customHeight="false" outlineLevel="0" collapsed="false">
      <c r="B102" s="117"/>
      <c r="D102" s="393" t="str">
        <f aca="false">'Entrada Inver_Finan'!C108</f>
        <v>Préstamos a largo plazo financieros:</v>
      </c>
      <c r="E102" s="393"/>
      <c r="F102" s="395" t="n">
        <f aca="false">'Entrada Inver_Finan'!D112+'Entrada Inver_Finan'!K109+'Entrada Inver_Finan'!K110+'Entrada Inver_Finan'!K111</f>
        <v>165000</v>
      </c>
      <c r="G102" s="316" t="n">
        <f aca="false">IF($F$83&lt;&gt;0,F102/$F$83,"")</f>
        <v>0.597776272267166</v>
      </c>
    </row>
    <row r="103" customFormat="false" ht="12.75" hidden="false" customHeight="false" outlineLevel="0" collapsed="false">
      <c r="B103" s="117"/>
      <c r="D103" s="393" t="str">
        <f aca="false">'Entrada Inver_Finan'!C113</f>
        <v>Arrendamientos financieros (Leasing)</v>
      </c>
      <c r="E103" s="393"/>
      <c r="F103" s="395" t="n">
        <f aca="false">'Entrada Inver_Finan'!D117</f>
        <v>35000</v>
      </c>
      <c r="G103" s="316" t="n">
        <f aca="false">IF($F$83&lt;&gt;0,F103/$F$83,"")</f>
        <v>0.126801027450611</v>
      </c>
    </row>
    <row r="104" customFormat="false" ht="12.75" hidden="false" customHeight="false" outlineLevel="0" collapsed="false">
      <c r="B104" s="117"/>
      <c r="D104" s="398" t="str">
        <f aca="false">'Entrada Inver_Finan'!C119</f>
        <v>Deudas con socios a largo plazo</v>
      </c>
      <c r="E104" s="398"/>
      <c r="F104" s="399" t="n">
        <f aca="false">'Entrada Inver_Finan'!I119</f>
        <v>0</v>
      </c>
      <c r="G104" s="319" t="n">
        <f aca="false">IF($F$83&lt;&gt;0,F104/$F$83,"")</f>
        <v>0</v>
      </c>
    </row>
    <row r="105" customFormat="false" ht="12.75" hidden="false" customHeight="false" outlineLevel="0" collapsed="false">
      <c r="B105" s="117"/>
      <c r="D105" s="400" t="str">
        <f aca="false">'Entrada Inver_Finan'!C120</f>
        <v>Otros acreedores a largo plazo</v>
      </c>
      <c r="E105" s="400"/>
      <c r="F105" s="401" t="n">
        <f aca="false">'Entrada Inver_Finan'!I120</f>
        <v>0</v>
      </c>
      <c r="G105" s="327" t="n">
        <f aca="false">IF($F$83&lt;&gt;0,F105/$F$83,"")</f>
        <v>0</v>
      </c>
    </row>
    <row r="106" customFormat="false" ht="12.75" hidden="false" customHeight="false" outlineLevel="0" collapsed="false">
      <c r="B106" s="117"/>
      <c r="C106" s="402" t="str">
        <f aca="false">'Entrada Inver_Finan'!C122</f>
        <v>TOTAL CREDITOS A LARGO PLAZO:</v>
      </c>
      <c r="D106" s="322"/>
      <c r="E106" s="322"/>
      <c r="F106" s="403" t="n">
        <f aca="false">F102+F103+F104+F105</f>
        <v>200000</v>
      </c>
      <c r="G106" s="404" t="n">
        <f aca="false">IF($F$83&lt;&gt;0,F106/$F$83,"")</f>
        <v>0.724577299717777</v>
      </c>
    </row>
    <row r="107" customFormat="false" ht="12.75" hidden="false" customHeight="false" outlineLevel="0" collapsed="false">
      <c r="B107" s="117"/>
      <c r="C107" s="52" t="str">
        <f aca="false">'Entrada Inver_Finan'!C124</f>
        <v>CREDITOS A CORTO PLAZO:</v>
      </c>
      <c r="F107" s="93" t="n">
        <f aca="false">IF(F112=0,0,".")</f>
        <v>0</v>
      </c>
      <c r="G107" s="313"/>
    </row>
    <row r="108" customFormat="false" ht="12.75" hidden="false" customHeight="false" outlineLevel="0" collapsed="false">
      <c r="B108" s="117"/>
      <c r="D108" s="393" t="str">
        <f aca="false">'Entrada Inver_Finan'!C125</f>
        <v>Préstamos a corto plazo financieros:</v>
      </c>
      <c r="E108" s="393"/>
      <c r="F108" s="395" t="n">
        <f aca="false">'Entrada Inver_Finan'!D129</f>
        <v>0</v>
      </c>
      <c r="G108" s="405" t="n">
        <f aca="false">IF($F$83&lt;&gt;0,F108/$F$83,"")</f>
        <v>0</v>
      </c>
    </row>
    <row r="109" customFormat="false" ht="25.5" hidden="false" customHeight="true" outlineLevel="0" collapsed="false">
      <c r="B109" s="117"/>
      <c r="D109" s="406" t="s">
        <v>376</v>
      </c>
      <c r="E109" s="406"/>
      <c r="F109" s="407" t="n">
        <f aca="false">O80</f>
        <v>0</v>
      </c>
      <c r="G109" s="408" t="n">
        <f aca="false">IF($F$83&lt;&gt;0,F109/$F$83,"")</f>
        <v>0</v>
      </c>
    </row>
    <row r="110" customFormat="false" ht="12.75" hidden="false" customHeight="false" outlineLevel="0" collapsed="false">
      <c r="B110" s="117"/>
      <c r="D110" s="398" t="str">
        <f aca="false">'Entrada Inver_Finan'!C136</f>
        <v>Deudas con socios a corto plazo.</v>
      </c>
      <c r="E110" s="358"/>
      <c r="F110" s="399" t="n">
        <f aca="false">'Entrada Inver_Finan'!D136</f>
        <v>0</v>
      </c>
      <c r="G110" s="319" t="n">
        <f aca="false">IF($F$83&lt;&gt;0,F110/$F$83,"")</f>
        <v>0</v>
      </c>
    </row>
    <row r="111" customFormat="false" ht="12.75" hidden="false" customHeight="false" outlineLevel="0" collapsed="false">
      <c r="B111" s="117"/>
      <c r="D111" s="398" t="str">
        <f aca="false">'Entrada Inver_Finan'!C137</f>
        <v>Otros acreedores a corto plazo</v>
      </c>
      <c r="E111" s="358"/>
      <c r="F111" s="399" t="n">
        <f aca="false">'Entrada Inver_Finan'!D137</f>
        <v>0</v>
      </c>
      <c r="G111" s="319" t="n">
        <f aca="false">IF($F$83&lt;&gt;0,F111/$F$83,"")</f>
        <v>0</v>
      </c>
    </row>
    <row r="112" customFormat="false" ht="12.75" hidden="false" customHeight="false" outlineLevel="0" collapsed="false">
      <c r="B112" s="117"/>
      <c r="C112" s="402" t="str">
        <f aca="false">'Entrada Inver_Finan'!C138</f>
        <v>TOTAL CREDITOS A CORTO PLAZO:</v>
      </c>
      <c r="D112" s="322"/>
      <c r="E112" s="322"/>
      <c r="F112" s="403" t="n">
        <f aca="false">F108+F109+F110+F111</f>
        <v>0</v>
      </c>
      <c r="G112" s="324" t="n">
        <f aca="false">IF($F$83&lt;&gt;0,F112/$F$83,"")</f>
        <v>0</v>
      </c>
    </row>
    <row r="113" customFormat="false" ht="6.75" hidden="false" customHeight="true" outlineLevel="0" collapsed="false">
      <c r="B113" s="117"/>
      <c r="C113" s="409"/>
      <c r="F113" s="410"/>
    </row>
    <row r="114" customFormat="false" ht="15.75" hidden="false" customHeight="true" outlineLevel="0" collapsed="false">
      <c r="B114" s="332" t="str">
        <f aca="false">'Entrada Inver_Finan'!C139</f>
        <v>TOTAL RECURSOS AJENOS:</v>
      </c>
      <c r="C114" s="322"/>
      <c r="D114" s="322"/>
      <c r="E114" s="322"/>
      <c r="F114" s="334" t="n">
        <f aca="false">F106+F112</f>
        <v>200000</v>
      </c>
      <c r="G114" s="396" t="n">
        <f aca="false">IF(F$116=0,"",F114/$F$116)</f>
        <v>0.625</v>
      </c>
    </row>
    <row r="115" customFormat="false" ht="6.75" hidden="false" customHeight="true" outlineLevel="0" collapsed="false">
      <c r="B115" s="335"/>
      <c r="F115" s="131"/>
    </row>
    <row r="116" s="363" customFormat="true" ht="18.75" hidden="false" customHeight="false" outlineLevel="0" collapsed="false">
      <c r="B116" s="413" t="s">
        <v>294</v>
      </c>
      <c r="C116" s="365"/>
      <c r="D116" s="365"/>
      <c r="E116" s="365"/>
      <c r="F116" s="366" t="n">
        <f aca="false">F98+F114</f>
        <v>320000</v>
      </c>
      <c r="G116" s="414" t="n">
        <f aca="false">IF(F$116=0,"",F116/$F$116)</f>
        <v>1</v>
      </c>
    </row>
    <row r="117" customFormat="false" ht="15.75" hidden="false" customHeight="true" outlineLevel="0" collapsed="false">
      <c r="B117" s="128"/>
      <c r="F117" s="415"/>
    </row>
    <row r="118" customFormat="false" ht="20.25" hidden="false" customHeight="true" outlineLevel="0" collapsed="false">
      <c r="B118" s="413" t="s">
        <v>377</v>
      </c>
      <c r="C118" s="365"/>
      <c r="D118" s="365"/>
      <c r="E118" s="365"/>
      <c r="F118" s="417" t="n">
        <f aca="false">TESORERIA!C35</f>
        <v>310.700000000012</v>
      </c>
      <c r="G118" s="331"/>
    </row>
    <row r="119" customFormat="false" ht="12.75" hidden="false" customHeight="true" outlineLevel="0" collapsed="false">
      <c r="B119" s="335"/>
      <c r="F119" s="131"/>
    </row>
  </sheetData>
  <sheetProtection sheet="true" password="cc4b"/>
  <mergeCells count="6">
    <mergeCell ref="B7:G7"/>
    <mergeCell ref="B14:E15"/>
    <mergeCell ref="F14:G14"/>
    <mergeCell ref="B89:E90"/>
    <mergeCell ref="F89:G89"/>
    <mergeCell ref="D109:E109"/>
  </mergeCells>
  <printOptions headings="false" gridLines="false" gridLinesSet="true" horizontalCentered="true" verticalCentered="true"/>
  <pageMargins left="0.75" right="0.75" top="1" bottom="1" header="0.511811023622047" footer="0.511811023622047"/>
  <pageSetup paperSize="9" scale="100" fitToWidth="1" fitToHeight="2" pageOrder="downThenOver" orientation="portrait" blackAndWhite="false" draft="false" cellComments="none" horizontalDpi="300" verticalDpi="300" copies="1"/>
  <headerFooter differentFirst="false" differentOddEven="false">
    <oddHeader/>
    <oddFooter/>
  </headerFooter>
  <rowBreaks count="1" manualBreakCount="1">
    <brk id="84" man="true" max="16383" min="0"/>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true"/>
  </sheetPr>
  <dimension ref="A1:V290"/>
  <sheetViews>
    <sheetView showFormulas="false" showGridLines="false" showRowColHeaders="true" showZeros="true" rightToLeft="false" tabSelected="false" showOutlineSymbols="true" defaultGridColor="true" view="normal" topLeftCell="A101" colorId="64" zoomScale="100" zoomScaleNormal="100" zoomScalePageLayoutView="100" workbookViewId="0">
      <selection pane="topLeft" activeCell="C59" activeCellId="0" sqref="C59"/>
    </sheetView>
  </sheetViews>
  <sheetFormatPr defaultColWidth="8.90234375" defaultRowHeight="12.75" zeroHeight="false" outlineLevelRow="0" outlineLevelCol="0"/>
  <cols>
    <col collapsed="false" customWidth="true" hidden="false" outlineLevel="0" max="1" min="1" style="0" width="11.46"/>
    <col collapsed="false" customWidth="true" hidden="false" outlineLevel="0" max="2" min="2" style="0" width="3.5"/>
    <col collapsed="false" customWidth="true" hidden="false" outlineLevel="0" max="3" min="3" style="0" width="39.38"/>
    <col collapsed="false" customWidth="true" hidden="false" outlineLevel="0" max="4" min="4" style="418" width="13.62"/>
    <col collapsed="false" customWidth="true" hidden="false" outlineLevel="0" max="17" min="5" style="0" width="13.62"/>
    <col collapsed="false" customWidth="true" hidden="false" outlineLevel="0" max="18" min="18" style="93" width="13.62"/>
    <col collapsed="false" customWidth="true" hidden="false" outlineLevel="0" max="19" min="19" style="0" width="12.41"/>
    <col collapsed="false" customWidth="true" hidden="false" outlineLevel="0" max="20" min="20" style="0" width="13.35"/>
    <col collapsed="false" customWidth="true" hidden="false" outlineLevel="0" max="256" min="21" style="0" width="11.46"/>
  </cols>
  <sheetData>
    <row r="1" s="421" customFormat="true" ht="13.5" hidden="false" customHeight="false" outlineLevel="0" collapsed="false">
      <c r="A1" s="298"/>
      <c r="B1" s="298"/>
      <c r="C1" s="298"/>
      <c r="D1" s="419"/>
      <c r="E1" s="420"/>
      <c r="F1" s="420"/>
      <c r="G1" s="420"/>
      <c r="H1" s="420"/>
      <c r="I1" s="420"/>
      <c r="J1" s="420"/>
      <c r="K1" s="420"/>
      <c r="L1" s="420"/>
      <c r="M1" s="420"/>
      <c r="N1" s="420"/>
      <c r="O1" s="420"/>
      <c r="P1" s="299"/>
      <c r="Q1" s="299"/>
      <c r="R1" s="299"/>
    </row>
    <row r="2" customFormat="false" ht="12.75" hidden="false" customHeight="false" outlineLevel="0" collapsed="false">
      <c r="D2" s="265"/>
      <c r="E2" s="48"/>
      <c r="F2" s="48"/>
      <c r="G2" s="48"/>
      <c r="H2" s="48"/>
      <c r="I2" s="48"/>
      <c r="J2" s="48"/>
      <c r="K2" s="48"/>
      <c r="L2" s="48"/>
      <c r="M2" s="48"/>
      <c r="N2" s="48"/>
      <c r="O2" s="48"/>
      <c r="P2" s="93"/>
      <c r="Q2" s="93"/>
    </row>
    <row r="3" customFormat="false" ht="12.75" hidden="false" customHeight="false" outlineLevel="0" collapsed="false">
      <c r="D3" s="265"/>
      <c r="E3" s="48"/>
      <c r="F3" s="48"/>
      <c r="G3" s="48"/>
      <c r="H3" s="48"/>
      <c r="I3" s="48"/>
      <c r="J3" s="48"/>
      <c r="K3" s="48"/>
      <c r="L3" s="48"/>
      <c r="M3" s="48"/>
      <c r="N3" s="48"/>
      <c r="O3" s="48"/>
      <c r="P3" s="93"/>
      <c r="Q3" s="93"/>
    </row>
    <row r="4" customFormat="false" ht="36" hidden="false" customHeight="true" outlineLevel="0" collapsed="false">
      <c r="C4" s="422" t="s">
        <v>378</v>
      </c>
      <c r="D4" s="422"/>
      <c r="E4" s="422"/>
      <c r="F4" s="422"/>
      <c r="G4" s="48"/>
      <c r="H4" s="48"/>
      <c r="I4" s="48"/>
      <c r="J4" s="48"/>
      <c r="K4" s="48"/>
      <c r="L4" s="48"/>
      <c r="M4" s="48"/>
      <c r="N4" s="48"/>
      <c r="O4" s="48"/>
      <c r="P4" s="93"/>
      <c r="Q4" s="93"/>
    </row>
    <row r="5" customFormat="false" ht="12.75" hidden="false" customHeight="false" outlineLevel="0" collapsed="false">
      <c r="D5" s="265"/>
      <c r="E5" s="48"/>
      <c r="F5" s="48"/>
      <c r="G5" s="48"/>
      <c r="H5" s="48"/>
      <c r="I5" s="48"/>
      <c r="J5" s="48"/>
      <c r="K5" s="48"/>
      <c r="L5" s="48"/>
      <c r="M5" s="48"/>
      <c r="N5" s="48"/>
      <c r="O5" s="48"/>
      <c r="P5" s="93"/>
      <c r="Q5" s="93"/>
    </row>
    <row r="6" customFormat="false" ht="12.75" hidden="false" customHeight="false" outlineLevel="0" collapsed="false">
      <c r="F6" s="93"/>
      <c r="H6" s="48"/>
      <c r="I6" s="48"/>
      <c r="J6" s="48"/>
      <c r="K6" s="48"/>
      <c r="L6" s="48"/>
      <c r="M6" s="48"/>
      <c r="N6" s="48"/>
      <c r="O6" s="48"/>
      <c r="P6" s="93"/>
      <c r="Q6" s="93"/>
    </row>
    <row r="7" customFormat="false" ht="20.25" hidden="false" customHeight="false" outlineLevel="0" collapsed="false">
      <c r="B7" s="300" t="str">
        <f aca="false">'Datos generales'!C6</f>
        <v>La tienda S.L</v>
      </c>
      <c r="C7" s="300"/>
      <c r="D7" s="300"/>
      <c r="E7" s="300"/>
      <c r="F7" s="300"/>
      <c r="G7" s="300"/>
      <c r="H7" s="48"/>
      <c r="I7" s="48"/>
      <c r="J7" s="48"/>
      <c r="K7" s="48"/>
      <c r="L7" s="48"/>
      <c r="M7" s="48"/>
      <c r="N7" s="48"/>
      <c r="O7" s="48"/>
      <c r="P7" s="93"/>
      <c r="Q7" s="93"/>
    </row>
    <row r="8" customFormat="false" ht="20.25" hidden="false" customHeight="false" outlineLevel="0" collapsed="false">
      <c r="B8" s="301"/>
      <c r="C8" s="301"/>
      <c r="D8" s="423"/>
      <c r="E8" s="301"/>
      <c r="F8" s="301"/>
      <c r="G8" s="301"/>
      <c r="H8" s="48"/>
      <c r="I8" s="48"/>
      <c r="J8" s="48"/>
      <c r="K8" s="48"/>
      <c r="L8" s="48"/>
      <c r="M8" s="48"/>
      <c r="N8" s="48"/>
      <c r="O8" s="48"/>
      <c r="P8" s="93"/>
      <c r="Q8" s="93"/>
    </row>
    <row r="10" customFormat="false" ht="14.25" hidden="false" customHeight="false" outlineLevel="0" collapsed="false">
      <c r="B10" s="51" t="s">
        <v>379</v>
      </c>
      <c r="C10" s="51"/>
    </row>
    <row r="11" customFormat="false" ht="13.5" hidden="false" customHeight="false" outlineLevel="0" collapsed="false">
      <c r="D11" s="424"/>
      <c r="E11" s="425"/>
      <c r="F11" s="425"/>
      <c r="G11" s="425"/>
      <c r="J11" s="425"/>
      <c r="K11" s="425"/>
      <c r="L11" s="425"/>
      <c r="M11" s="425"/>
      <c r="N11" s="425"/>
      <c r="O11" s="425"/>
    </row>
    <row r="12" customFormat="false" ht="15" hidden="false" customHeight="false" outlineLevel="0" collapsed="false">
      <c r="D12" s="426" t="s">
        <v>380</v>
      </c>
      <c r="E12" s="427" t="s">
        <v>381</v>
      </c>
      <c r="F12" s="428" t="s">
        <v>382</v>
      </c>
      <c r="I12" s="428"/>
    </row>
    <row r="13" customFormat="false" ht="13.5" hidden="false" customHeight="false" outlineLevel="0" collapsed="false">
      <c r="B13" s="429" t="s">
        <v>302</v>
      </c>
      <c r="C13" s="429"/>
      <c r="D13" s="430" t="s">
        <v>136</v>
      </c>
      <c r="E13" s="430" t="s">
        <v>136</v>
      </c>
      <c r="F13" s="431" t="s">
        <v>136</v>
      </c>
      <c r="I13" s="197"/>
    </row>
    <row r="14" customFormat="false" ht="12.75" hidden="false" customHeight="false" outlineLevel="0" collapsed="false">
      <c r="B14" s="432" t="s">
        <v>383</v>
      </c>
      <c r="C14" s="433" t="s">
        <v>384</v>
      </c>
      <c r="D14" s="434" t="n">
        <f aca="false">R53</f>
        <v>214296</v>
      </c>
      <c r="E14" s="435" t="n">
        <f aca="false">Q133</f>
        <v>287304</v>
      </c>
      <c r="F14" s="436" t="n">
        <f aca="false">Q211</f>
        <v>328908</v>
      </c>
      <c r="I14" s="437"/>
    </row>
    <row r="15" customFormat="false" ht="24" hidden="false" customHeight="false" outlineLevel="0" collapsed="false">
      <c r="B15" s="432" t="s">
        <v>385</v>
      </c>
      <c r="C15" s="433" t="s">
        <v>386</v>
      </c>
      <c r="D15" s="434" t="n">
        <f aca="false">R54</f>
        <v>-225</v>
      </c>
      <c r="E15" s="435" t="n">
        <f aca="false">Q134</f>
        <v>225</v>
      </c>
      <c r="F15" s="436" t="n">
        <f aca="false">Q212</f>
        <v>0</v>
      </c>
      <c r="I15" s="437"/>
    </row>
    <row r="16" customFormat="false" ht="24" hidden="false" customHeight="false" outlineLevel="0" collapsed="false">
      <c r="B16" s="432" t="s">
        <v>387</v>
      </c>
      <c r="C16" s="438" t="s">
        <v>388</v>
      </c>
      <c r="D16" s="434"/>
      <c r="E16" s="435"/>
      <c r="F16" s="436"/>
      <c r="I16" s="437"/>
    </row>
    <row r="17" customFormat="false" ht="12.75" hidden="false" customHeight="false" outlineLevel="0" collapsed="false">
      <c r="B17" s="432" t="s">
        <v>389</v>
      </c>
      <c r="C17" s="439" t="s">
        <v>390</v>
      </c>
      <c r="D17" s="440" t="n">
        <f aca="false">R60</f>
        <v>163510.8</v>
      </c>
      <c r="E17" s="441" t="n">
        <f aca="false">Q140</f>
        <v>223477.2</v>
      </c>
      <c r="F17" s="442" t="n">
        <f aca="false">Q218</f>
        <v>255857.4</v>
      </c>
      <c r="I17" s="443"/>
    </row>
    <row r="18" customFormat="false" ht="12.75" hidden="false" customHeight="false" outlineLevel="0" collapsed="false">
      <c r="B18" s="432" t="s">
        <v>391</v>
      </c>
      <c r="C18" s="444" t="s">
        <v>392</v>
      </c>
      <c r="D18" s="445" t="n">
        <f aca="false">R61</f>
        <v>0</v>
      </c>
      <c r="E18" s="441" t="n">
        <f aca="false">Q141</f>
        <v>0</v>
      </c>
      <c r="F18" s="442" t="n">
        <f aca="false">Q219</f>
        <v>0</v>
      </c>
      <c r="I18" s="443"/>
    </row>
    <row r="19" customFormat="false" ht="12.75" hidden="false" customHeight="false" outlineLevel="0" collapsed="false">
      <c r="B19" s="432" t="s">
        <v>393</v>
      </c>
      <c r="C19" s="433" t="s">
        <v>394</v>
      </c>
      <c r="D19" s="440" t="n">
        <f aca="false">R72</f>
        <v>0</v>
      </c>
      <c r="E19" s="441" t="n">
        <f aca="false">Q152</f>
        <v>0</v>
      </c>
      <c r="F19" s="442" t="n">
        <f aca="false">Q230</f>
        <v>0</v>
      </c>
      <c r="I19" s="446"/>
    </row>
    <row r="20" customFormat="false" ht="12.75" hidden="false" customHeight="true" outlineLevel="0" collapsed="false">
      <c r="B20" s="432" t="s">
        <v>395</v>
      </c>
      <c r="C20" s="438" t="s">
        <v>396</v>
      </c>
      <c r="D20" s="440" t="n">
        <f aca="false">R105</f>
        <v>850</v>
      </c>
      <c r="E20" s="441" t="n">
        <f aca="false">Q184</f>
        <v>0</v>
      </c>
      <c r="F20" s="442" t="n">
        <f aca="false">Q262</f>
        <v>0</v>
      </c>
      <c r="I20" s="446"/>
    </row>
    <row r="21" customFormat="false" ht="12.75" hidden="false" customHeight="false" outlineLevel="0" collapsed="false">
      <c r="B21" s="432" t="s">
        <v>397</v>
      </c>
      <c r="C21" s="438" t="s">
        <v>398</v>
      </c>
      <c r="D21" s="440" t="n">
        <f aca="false">R108</f>
        <v>12166.6666666667</v>
      </c>
      <c r="E21" s="441" t="n">
        <f aca="false">Q186</f>
        <v>12166.6666666667</v>
      </c>
      <c r="F21" s="442" t="n">
        <f aca="false">Q264</f>
        <v>12166.6666666667</v>
      </c>
      <c r="I21" s="446"/>
    </row>
    <row r="22" customFormat="false" ht="24" hidden="false" customHeight="false" outlineLevel="0" collapsed="false">
      <c r="B22" s="432" t="s">
        <v>399</v>
      </c>
      <c r="C22" s="438" t="s">
        <v>400</v>
      </c>
      <c r="D22" s="447" t="n">
        <f aca="false">R110</f>
        <v>0</v>
      </c>
      <c r="E22" s="448" t="n">
        <f aca="false">Q188</f>
        <v>0</v>
      </c>
      <c r="F22" s="449" t="n">
        <f aca="false">Q266</f>
        <v>0</v>
      </c>
      <c r="G22" s="93"/>
      <c r="H22" s="93"/>
      <c r="I22" s="93"/>
      <c r="J22" s="93"/>
      <c r="L22" s="93"/>
    </row>
    <row r="23" customFormat="false" ht="12.75" hidden="false" customHeight="false" outlineLevel="0" collapsed="false">
      <c r="B23" s="450"/>
      <c r="C23" s="451"/>
      <c r="D23" s="452"/>
      <c r="E23" s="453"/>
      <c r="F23" s="454"/>
      <c r="I23" s="446"/>
    </row>
    <row r="24" customFormat="false" ht="14.25" hidden="false" customHeight="false" outlineLevel="0" collapsed="false">
      <c r="B24" s="455" t="s">
        <v>401</v>
      </c>
      <c r="C24" s="456"/>
      <c r="D24" s="457" t="n">
        <f aca="false">R112</f>
        <v>37543.5333333333</v>
      </c>
      <c r="E24" s="458" t="n">
        <f aca="false">Q190</f>
        <v>51885.1333333334</v>
      </c>
      <c r="F24" s="459" t="n">
        <f aca="false">Q268</f>
        <v>60883.9333333333</v>
      </c>
      <c r="H24" s="93"/>
      <c r="I24" s="446"/>
    </row>
    <row r="25" customFormat="false" ht="14.25" hidden="false" customHeight="false" outlineLevel="0" collapsed="false">
      <c r="B25" s="460"/>
      <c r="C25" s="335"/>
      <c r="D25" s="461"/>
      <c r="E25" s="462"/>
      <c r="F25" s="463"/>
      <c r="H25" s="93"/>
      <c r="I25" s="446"/>
    </row>
    <row r="26" customFormat="false" ht="12.75" hidden="false" customHeight="false" outlineLevel="0" collapsed="false">
      <c r="B26" s="464" t="s">
        <v>402</v>
      </c>
      <c r="C26" s="465" t="s">
        <v>342</v>
      </c>
      <c r="D26" s="466" t="n">
        <f aca="false">R116</f>
        <v>0</v>
      </c>
      <c r="E26" s="467" t="n">
        <f aca="false">Q194</f>
        <v>0</v>
      </c>
      <c r="F26" s="468" t="n">
        <f aca="false">Q272</f>
        <v>0</v>
      </c>
      <c r="I26" s="446"/>
    </row>
    <row r="27" customFormat="false" ht="12.75" hidden="false" customHeight="false" outlineLevel="0" collapsed="false">
      <c r="B27" s="464" t="s">
        <v>403</v>
      </c>
      <c r="C27" s="469" t="s">
        <v>404</v>
      </c>
      <c r="D27" s="440" t="n">
        <f aca="false">R123</f>
        <v>15000</v>
      </c>
      <c r="E27" s="441" t="n">
        <f aca="false">Q201</f>
        <v>0</v>
      </c>
      <c r="F27" s="442" t="n">
        <f aca="false">Q279</f>
        <v>0</v>
      </c>
      <c r="I27" s="446"/>
      <c r="L27" s="23"/>
      <c r="M27" s="23"/>
      <c r="N27" s="23"/>
      <c r="O27" s="23"/>
    </row>
    <row r="28" customFormat="false" ht="12.75" hidden="false" customHeight="false" outlineLevel="0" collapsed="false">
      <c r="B28" s="470"/>
      <c r="C28" s="23"/>
      <c r="D28" s="452"/>
      <c r="E28" s="453"/>
      <c r="F28" s="454"/>
      <c r="I28" s="446"/>
      <c r="L28" s="23"/>
      <c r="M28" s="23"/>
      <c r="N28" s="23"/>
      <c r="O28" s="23"/>
    </row>
    <row r="29" s="23" customFormat="true" ht="19.5" hidden="false" customHeight="true" outlineLevel="0" collapsed="false">
      <c r="B29" s="455" t="s">
        <v>405</v>
      </c>
      <c r="C29" s="456"/>
      <c r="D29" s="471" t="n">
        <f aca="false">R125</f>
        <v>-15000</v>
      </c>
      <c r="E29" s="472" t="n">
        <f aca="false">Q203</f>
        <v>0</v>
      </c>
      <c r="F29" s="473" t="n">
        <f aca="false">Q281</f>
        <v>0</v>
      </c>
      <c r="I29" s="443"/>
      <c r="R29" s="267"/>
    </row>
    <row r="30" s="23" customFormat="true" ht="19.5" hidden="false" customHeight="true" outlineLevel="0" collapsed="false">
      <c r="B30" s="460"/>
      <c r="C30" s="335"/>
      <c r="D30" s="461"/>
      <c r="E30" s="462"/>
      <c r="F30" s="463"/>
      <c r="I30" s="443"/>
      <c r="R30" s="267"/>
    </row>
    <row r="31" customFormat="false" ht="14.25" hidden="false" customHeight="false" outlineLevel="0" collapsed="false">
      <c r="B31" s="455" t="s">
        <v>406</v>
      </c>
      <c r="C31" s="456"/>
      <c r="D31" s="457" t="n">
        <f aca="false">R127</f>
        <v>22543.5333333333</v>
      </c>
      <c r="E31" s="458" t="n">
        <f aca="false">Q205</f>
        <v>51885.1333333334</v>
      </c>
      <c r="F31" s="459" t="n">
        <f aca="false">Q283</f>
        <v>60883.9333333333</v>
      </c>
      <c r="I31" s="446"/>
    </row>
    <row r="32" customFormat="false" ht="12.75" hidden="false" customHeight="false" outlineLevel="0" collapsed="false">
      <c r="B32" s="474"/>
      <c r="D32" s="475"/>
      <c r="E32" s="476"/>
      <c r="F32" s="477"/>
    </row>
    <row r="33" customFormat="false" ht="13.5" hidden="false" customHeight="false" outlineLevel="0" collapsed="false">
      <c r="B33" s="464" t="s">
        <v>407</v>
      </c>
      <c r="C33" s="465" t="s">
        <v>408</v>
      </c>
      <c r="D33" s="478" t="n">
        <f aca="false">'Impuesto sociedades'!F68</f>
        <v>3381.53</v>
      </c>
      <c r="E33" s="479" t="n">
        <f aca="false">'Impuesto sociedades'!I68</f>
        <v>7782.77</v>
      </c>
      <c r="F33" s="480" t="n">
        <f aca="false">'Impuesto sociedades'!L68</f>
        <v>15220.9833333333</v>
      </c>
      <c r="G33" s="481"/>
      <c r="Q33" s="482"/>
    </row>
    <row r="34" customFormat="false" ht="13.5" hidden="false" customHeight="false" outlineLevel="0" collapsed="false">
      <c r="B34" s="470"/>
      <c r="C34" s="23"/>
      <c r="D34" s="452"/>
      <c r="E34" s="453"/>
      <c r="F34" s="454"/>
      <c r="G34" s="481"/>
      <c r="Q34" s="482"/>
    </row>
    <row r="35" customFormat="false" ht="14.25" hidden="false" customHeight="false" outlineLevel="0" collapsed="false">
      <c r="B35" s="455" t="s">
        <v>409</v>
      </c>
      <c r="C35" s="456"/>
      <c r="D35" s="457" t="n">
        <f aca="false">D31-D33</f>
        <v>19162.0033333333</v>
      </c>
      <c r="E35" s="458" t="n">
        <f aca="false">E31-E33</f>
        <v>44102.3633333334</v>
      </c>
      <c r="F35" s="459" t="n">
        <f aca="false">F31-F33</f>
        <v>45662.95</v>
      </c>
      <c r="G35" s="481"/>
      <c r="Q35" s="483"/>
    </row>
    <row r="36" customFormat="false" ht="14.25" hidden="false" customHeight="false" outlineLevel="0" collapsed="false">
      <c r="B36" s="484"/>
      <c r="C36" s="485"/>
      <c r="D36" s="486"/>
      <c r="E36" s="487"/>
      <c r="F36" s="488"/>
      <c r="G36" s="481"/>
      <c r="Q36" s="482"/>
    </row>
    <row r="37" customFormat="false" ht="15" hidden="false" customHeight="false" outlineLevel="0" collapsed="false">
      <c r="B37" s="23"/>
      <c r="C37" s="23"/>
      <c r="D37" s="489"/>
      <c r="E37" s="453"/>
      <c r="F37" s="453"/>
      <c r="G37" s="481"/>
    </row>
    <row r="38" customFormat="false" ht="14.25" hidden="false" customHeight="false" outlineLevel="0" collapsed="false">
      <c r="B38" s="490" t="s">
        <v>410</v>
      </c>
      <c r="C38" s="491"/>
      <c r="D38" s="492" t="n">
        <f aca="false">IF(D31&gt;0,D35*'Datos generales'!E44+'Datos generales'!D44,0)</f>
        <v>9581.00166666667</v>
      </c>
      <c r="E38" s="493" t="n">
        <f aca="false">IF(E31&gt;0,E35*'Datos generales'!G44+'Datos generales'!F44,0)</f>
        <v>22051.1816666667</v>
      </c>
      <c r="F38" s="494" t="n">
        <f aca="false">IF(F31&gt;0,F35*'Datos generales'!I44+'Datos generales'!H44,0)</f>
        <v>22831.475</v>
      </c>
      <c r="G38" s="481"/>
      <c r="Q38" s="483"/>
    </row>
    <row r="39" customFormat="false" ht="13.5" hidden="false" customHeight="false" outlineLevel="0" collapsed="false">
      <c r="B39" s="495" t="s">
        <v>411</v>
      </c>
      <c r="C39" s="496"/>
      <c r="D39" s="497" t="n">
        <f aca="false">D31-D33-D38</f>
        <v>9581.00166666667</v>
      </c>
      <c r="E39" s="498" t="n">
        <f aca="false">E31-E33-E38</f>
        <v>22051.1816666667</v>
      </c>
      <c r="F39" s="499" t="n">
        <f aca="false">F31-F33-F38</f>
        <v>22831.475</v>
      </c>
      <c r="G39" s="481"/>
      <c r="Q39" s="483"/>
    </row>
    <row r="40" customFormat="false" ht="14.25" hidden="false" customHeight="false" outlineLevel="0" collapsed="false">
      <c r="B40" s="500" t="s">
        <v>412</v>
      </c>
      <c r="C40" s="501"/>
      <c r="D40" s="502" t="n">
        <f aca="false">BALANCES!E39+'AMORTIZACION CONTABLE'!H38</f>
        <v>31328.67</v>
      </c>
      <c r="E40" s="503" t="n">
        <f aca="false">BALANCES!G39+'AMORTIZACION CONTABLE'!J38</f>
        <v>56269.03</v>
      </c>
      <c r="F40" s="504" t="n">
        <f aca="false">BALANCES!I39+'AMORTIZACION CONTABLE'!L38</f>
        <v>57829.6166666667</v>
      </c>
      <c r="G40" s="425"/>
      <c r="H40" s="425"/>
      <c r="Q40" s="483"/>
    </row>
    <row r="41" customFormat="false" ht="14.25" hidden="false" customHeight="false" outlineLevel="0" collapsed="false">
      <c r="B41" s="23"/>
      <c r="C41" s="23"/>
      <c r="D41" s="505"/>
      <c r="E41" s="506"/>
      <c r="F41" s="506"/>
      <c r="G41" s="425"/>
      <c r="H41" s="425"/>
      <c r="Q41" s="483"/>
    </row>
    <row r="42" customFormat="false" ht="13.5" hidden="false" customHeight="false" outlineLevel="0" collapsed="false">
      <c r="B42" s="23"/>
      <c r="C42" s="23"/>
      <c r="D42" s="505"/>
      <c r="E42" s="506"/>
      <c r="F42" s="506"/>
      <c r="G42" s="425"/>
      <c r="H42" s="425"/>
      <c r="Q42" s="483"/>
    </row>
    <row r="43" customFormat="false" ht="7.5" hidden="false" customHeight="true" outlineLevel="0" collapsed="false">
      <c r="B43" s="425"/>
      <c r="C43" s="425"/>
      <c r="D43" s="424"/>
      <c r="E43" s="481"/>
      <c r="F43" s="425"/>
      <c r="G43" s="425"/>
      <c r="M43" s="93"/>
      <c r="Q43" s="482"/>
    </row>
    <row r="44" customFormat="false" ht="14.25" hidden="true" customHeight="false" outlineLevel="0" collapsed="false">
      <c r="B44" s="490" t="s">
        <v>413</v>
      </c>
      <c r="C44" s="491"/>
      <c r="D44" s="492" t="n">
        <f aca="false">D14+D16+D18-(R57+D15)</f>
        <v>61725</v>
      </c>
      <c r="E44" s="493" t="n">
        <f aca="false">E14+E16+E18-(Q137+E15)</f>
        <v>77967</v>
      </c>
      <c r="F44" s="494" t="n">
        <f aca="false">F14+F16+F18-(Q215+F15)</f>
        <v>89496</v>
      </c>
      <c r="G44" s="425"/>
      <c r="M44" s="93"/>
      <c r="Q44" s="482"/>
    </row>
    <row r="45" customFormat="false" ht="13.5" hidden="true" customHeight="false" outlineLevel="0" collapsed="false">
      <c r="B45" s="495" t="s">
        <v>414</v>
      </c>
      <c r="C45" s="496"/>
      <c r="D45" s="497" t="n">
        <f aca="false">R58+R59+R103+R88</f>
        <v>11564.8</v>
      </c>
      <c r="E45" s="498" t="n">
        <f aca="false">Q138+Q139+Q182+Q168</f>
        <v>14365.2</v>
      </c>
      <c r="F45" s="499" t="n">
        <f aca="false">Q216+Q217+Q260+Q246</f>
        <v>16445.4</v>
      </c>
      <c r="G45" s="425"/>
      <c r="M45" s="93"/>
      <c r="Q45" s="482"/>
    </row>
    <row r="46" customFormat="false" ht="14.25" hidden="true" customHeight="false" outlineLevel="0" collapsed="false">
      <c r="B46" s="507" t="s">
        <v>415</v>
      </c>
      <c r="C46" s="508"/>
      <c r="D46" s="509" t="n">
        <f aca="false">D44-D45</f>
        <v>50160.2</v>
      </c>
      <c r="E46" s="510" t="n">
        <f aca="false">E44-E45</f>
        <v>63601.8</v>
      </c>
      <c r="F46" s="511" t="n">
        <f aca="false">F44-F45</f>
        <v>73050.6</v>
      </c>
      <c r="G46" s="425"/>
      <c r="M46" s="93"/>
      <c r="Q46" s="482"/>
    </row>
    <row r="47" customFormat="false" ht="14.25" hidden="false" customHeight="false" outlineLevel="0" collapsed="false">
      <c r="B47" s="512" t="s">
        <v>416</v>
      </c>
      <c r="C47" s="513"/>
      <c r="D47" s="492" t="n">
        <f aca="false">BALANCES!E107</f>
        <v>67179.1567280193</v>
      </c>
      <c r="E47" s="493" t="n">
        <f aca="false">BALANCES!G107</f>
        <v>0</v>
      </c>
      <c r="F47" s="494" t="n">
        <f aca="false">BALANCES!I107</f>
        <v>0</v>
      </c>
      <c r="G47" s="425"/>
      <c r="M47" s="93"/>
      <c r="Q47" s="482"/>
    </row>
    <row r="48" customFormat="false" ht="14.25" hidden="false" customHeight="false" outlineLevel="0" collapsed="false">
      <c r="B48" s="484" t="s">
        <v>417</v>
      </c>
      <c r="C48" s="485"/>
      <c r="D48" s="502" t="n">
        <f aca="false">D24+SUM(D21:D22)</f>
        <v>49710.2</v>
      </c>
      <c r="E48" s="502" t="n">
        <f aca="false">E24+SUM(E21:E22)</f>
        <v>64051.8</v>
      </c>
      <c r="F48" s="514" t="n">
        <f aca="false">F24+SUM(F21:F22)</f>
        <v>73050.6</v>
      </c>
      <c r="G48" s="425"/>
      <c r="M48" s="93"/>
      <c r="Q48" s="482"/>
    </row>
    <row r="49" customFormat="false" ht="14.25" hidden="false" customHeight="false" outlineLevel="0" collapsed="false">
      <c r="B49" s="23"/>
      <c r="C49" s="23"/>
      <c r="D49" s="505"/>
      <c r="E49" s="506"/>
      <c r="F49" s="506"/>
      <c r="G49" s="425"/>
      <c r="M49" s="93"/>
      <c r="Q49" s="482"/>
    </row>
    <row r="50" customFormat="false" ht="13.5" hidden="false" customHeight="false" outlineLevel="0" collapsed="false">
      <c r="B50" s="425"/>
      <c r="C50" s="425"/>
      <c r="D50" s="424"/>
      <c r="E50" s="425"/>
      <c r="F50" s="425"/>
      <c r="G50" s="425"/>
      <c r="H50" s="425"/>
      <c r="I50" s="425"/>
      <c r="J50" s="425"/>
      <c r="K50" s="425"/>
      <c r="L50" s="425"/>
      <c r="M50" s="425"/>
      <c r="N50" s="425"/>
      <c r="O50" s="425"/>
      <c r="P50" s="425"/>
      <c r="Q50" s="481"/>
      <c r="R50" s="515"/>
    </row>
    <row r="51" customFormat="false" ht="15" hidden="false" customHeight="false" outlineLevel="0" collapsed="false">
      <c r="B51" s="425"/>
      <c r="C51" s="51" t="s">
        <v>418</v>
      </c>
      <c r="D51" s="424"/>
      <c r="E51" s="425"/>
      <c r="G51" s="425"/>
      <c r="H51" s="425"/>
      <c r="J51" s="223"/>
      <c r="K51" s="425"/>
      <c r="L51" s="425"/>
      <c r="M51" s="425"/>
      <c r="N51" s="425"/>
      <c r="O51" s="425"/>
      <c r="P51" s="425"/>
      <c r="Q51" s="481"/>
      <c r="R51" s="515"/>
    </row>
    <row r="52" customFormat="false" ht="26.25" hidden="false" customHeight="true" outlineLevel="0" collapsed="false">
      <c r="B52" s="429" t="str">
        <f aca="false">B13</f>
        <v>Conceptos</v>
      </c>
      <c r="C52" s="429"/>
      <c r="D52" s="516" t="s">
        <v>419</v>
      </c>
      <c r="E52" s="517" t="s">
        <v>303</v>
      </c>
      <c r="F52" s="517" t="s">
        <v>304</v>
      </c>
      <c r="G52" s="517" t="s">
        <v>305</v>
      </c>
      <c r="H52" s="517" t="s">
        <v>127</v>
      </c>
      <c r="I52" s="517" t="s">
        <v>128</v>
      </c>
      <c r="J52" s="517" t="s">
        <v>129</v>
      </c>
      <c r="K52" s="517" t="s">
        <v>130</v>
      </c>
      <c r="L52" s="517" t="s">
        <v>306</v>
      </c>
      <c r="M52" s="517" t="s">
        <v>307</v>
      </c>
      <c r="N52" s="517" t="s">
        <v>308</v>
      </c>
      <c r="O52" s="517" t="s">
        <v>309</v>
      </c>
      <c r="P52" s="517" t="s">
        <v>310</v>
      </c>
      <c r="Q52" s="518" t="s">
        <v>420</v>
      </c>
      <c r="R52" s="519" t="s">
        <v>136</v>
      </c>
      <c r="S52" s="425"/>
    </row>
    <row r="53" customFormat="false" ht="12.75" hidden="false" customHeight="false" outlineLevel="0" collapsed="false">
      <c r="B53" s="520" t="str">
        <f aca="false">C14</f>
        <v>Importe neto de la cifra de negocios:</v>
      </c>
      <c r="C53" s="469"/>
      <c r="D53" s="521"/>
      <c r="E53" s="435" t="n">
        <f aca="false">IF('Datos generales'!$O$10&gt;'Datos generales'!E$1,0,'Presupuesto de ventas'!D60)</f>
        <v>17858</v>
      </c>
      <c r="F53" s="435" t="n">
        <f aca="false">IF('Datos generales'!$O$10&gt;'Datos generales'!F$1,0,'Presupuesto de ventas'!E60)</f>
        <v>17858</v>
      </c>
      <c r="G53" s="435" t="n">
        <f aca="false">IF('Datos generales'!$O$10&gt;'Datos generales'!G$1,0,'Presupuesto de ventas'!F60)</f>
        <v>17858</v>
      </c>
      <c r="H53" s="435" t="n">
        <f aca="false">IF('Datos generales'!$O$10&gt;'Datos generales'!H$1,0,'Presupuesto de ventas'!G60)</f>
        <v>17858</v>
      </c>
      <c r="I53" s="435" t="n">
        <f aca="false">IF('Datos generales'!$O$10&gt;'Datos generales'!I$1,0,'Presupuesto de ventas'!H60)</f>
        <v>17858</v>
      </c>
      <c r="J53" s="435" t="n">
        <f aca="false">IF('Datos generales'!$O$10&gt;'Datos generales'!J$1,0,'Presupuesto de ventas'!I60)</f>
        <v>17858</v>
      </c>
      <c r="K53" s="435" t="n">
        <f aca="false">IF('Datos generales'!$O$10&gt;'Datos generales'!K$1,0,'Presupuesto de ventas'!J60)</f>
        <v>17858</v>
      </c>
      <c r="L53" s="435" t="n">
        <f aca="false">IF('Datos generales'!$O$10&gt;'Datos generales'!L$1,0,'Presupuesto de ventas'!K60)</f>
        <v>17858</v>
      </c>
      <c r="M53" s="435" t="n">
        <f aca="false">IF('Datos generales'!$O$10&gt;'Datos generales'!M$1,0,'Presupuesto de ventas'!L60)</f>
        <v>17858</v>
      </c>
      <c r="N53" s="435" t="n">
        <f aca="false">IF('Datos generales'!$O$10&gt;'Datos generales'!N$1,0,'Presupuesto de ventas'!M60)</f>
        <v>17858</v>
      </c>
      <c r="O53" s="435" t="n">
        <f aca="false">IF('Datos generales'!$O$10&gt;'Datos generales'!O$1,0,'Presupuesto de ventas'!N60)</f>
        <v>17858</v>
      </c>
      <c r="P53" s="435" t="n">
        <f aca="false">IF('Datos generales'!$O$10&gt;'Datos generales'!P$1,0,'Presupuesto de ventas'!O60)</f>
        <v>17858</v>
      </c>
      <c r="Q53" s="522"/>
      <c r="R53" s="523" t="n">
        <f aca="false">SUM(D53:Q53)</f>
        <v>214296</v>
      </c>
      <c r="S53" s="476"/>
      <c r="T53" s="476"/>
      <c r="U53" s="476"/>
    </row>
    <row r="54" s="363" customFormat="true" ht="28.5" hidden="false" customHeight="true" outlineLevel="0" collapsed="false">
      <c r="B54" s="524" t="s">
        <v>421</v>
      </c>
      <c r="C54" s="524"/>
      <c r="D54" s="525"/>
      <c r="E54" s="526" t="n">
        <f aca="false">IF('Datos generales'!$D$22&lt;=0,'Margen B'!C144,'Margen B'!C143)</f>
        <v>0</v>
      </c>
      <c r="F54" s="526" t="n">
        <f aca="false">IF('Datos generales'!$D$22&lt;=0,'Margen B'!D144,'Margen B'!D143)</f>
        <v>0</v>
      </c>
      <c r="G54" s="526" t="n">
        <f aca="false">IF('Datos generales'!$D$22&lt;=0,'Margen B'!E144,'Margen B'!E143)</f>
        <v>0</v>
      </c>
      <c r="H54" s="526" t="n">
        <f aca="false">IF('Datos generales'!$D$22&lt;=0,'Margen B'!F144,'Margen B'!F143)</f>
        <v>0</v>
      </c>
      <c r="I54" s="526" t="n">
        <f aca="false">IF('Datos generales'!$D$22&lt;=0,'Margen B'!G144,'Margen B'!G143)</f>
        <v>0</v>
      </c>
      <c r="J54" s="526" t="n">
        <f aca="false">IF('Datos generales'!$D$22&lt;=0,'Margen B'!H144,'Margen B'!H143)</f>
        <v>0</v>
      </c>
      <c r="K54" s="526" t="n">
        <f aca="false">IF('Datos generales'!$D$22&lt;=0,'Margen B'!I144,'Margen B'!I143)</f>
        <v>0</v>
      </c>
      <c r="L54" s="526" t="n">
        <f aca="false">IF('Datos generales'!$D$22&lt;=0,'Margen B'!J144,'Margen B'!J143)</f>
        <v>0</v>
      </c>
      <c r="M54" s="526" t="n">
        <f aca="false">IF('Datos generales'!$D$22&lt;=0,'Margen B'!K144,'Margen B'!K143)</f>
        <v>0</v>
      </c>
      <c r="N54" s="526" t="n">
        <f aca="false">IF('Datos generales'!$D$22&lt;=0,'Margen B'!L144,'Margen B'!L143)</f>
        <v>0</v>
      </c>
      <c r="O54" s="526" t="n">
        <f aca="false">IF('Datos generales'!$D$22&lt;=0,'Margen B'!M144,'Margen B'!M143)</f>
        <v>0</v>
      </c>
      <c r="P54" s="526" t="n">
        <f aca="false">IF('Datos generales'!$D$22&lt;=0,'Margen B'!N144,'Margen B'!N143)</f>
        <v>0</v>
      </c>
      <c r="Q54" s="527" t="n">
        <f aca="false">IF('Datos generales'!D22&lt;=0, 'Margen B'!P144-'Margen B'!O144-'PRESUPUESTO INICIAL INVER_FINAN'!O90, 'Margen B'!P143-'Margen B'!O143-'PRESUPUESTO INICIAL INVER_FINAN'!F81)</f>
        <v>-225</v>
      </c>
      <c r="R54" s="523" t="n">
        <f aca="false">SUM(D54:Q54)</f>
        <v>-225</v>
      </c>
    </row>
    <row r="55" s="363" customFormat="true" ht="14.25" hidden="false" customHeight="false" outlineLevel="0" collapsed="false">
      <c r="B55" s="520" t="s">
        <v>422</v>
      </c>
      <c r="C55" s="528"/>
      <c r="D55" s="525"/>
      <c r="E55" s="525"/>
      <c r="F55" s="525"/>
      <c r="G55" s="525"/>
      <c r="H55" s="525"/>
      <c r="I55" s="525"/>
      <c r="J55" s="525"/>
      <c r="K55" s="525"/>
      <c r="L55" s="525"/>
      <c r="M55" s="525"/>
      <c r="N55" s="525"/>
      <c r="O55" s="525"/>
      <c r="P55" s="525"/>
      <c r="Q55" s="529"/>
      <c r="R55" s="530"/>
    </row>
    <row r="56" customFormat="false" ht="12.75" hidden="false" customHeight="false" outlineLevel="0" collapsed="false">
      <c r="B56" s="470" t="s">
        <v>423</v>
      </c>
      <c r="C56" s="23"/>
      <c r="D56" s="489"/>
      <c r="E56" s="453"/>
      <c r="F56" s="453"/>
      <c r="G56" s="453"/>
      <c r="H56" s="453"/>
      <c r="I56" s="489"/>
      <c r="J56" s="453"/>
      <c r="K56" s="453"/>
      <c r="L56" s="453"/>
      <c r="M56" s="453"/>
      <c r="N56" s="453"/>
      <c r="O56" s="453"/>
      <c r="P56" s="453"/>
      <c r="Q56" s="531"/>
      <c r="R56" s="532"/>
      <c r="S56" s="476"/>
      <c r="T56" s="476"/>
      <c r="U56" s="476"/>
    </row>
    <row r="57" customFormat="false" ht="12.75" hidden="false" customHeight="false" outlineLevel="0" collapsed="false">
      <c r="B57" s="450"/>
      <c r="C57" s="350" t="s">
        <v>424</v>
      </c>
      <c r="D57" s="533"/>
      <c r="E57" s="534" t="n">
        <f aca="false">IF('Datos generales'!$O$10&gt;'Datos generales'!E$1,0,'Margen B'!D104)</f>
        <v>12733</v>
      </c>
      <c r="F57" s="534" t="n">
        <f aca="false">IF('Datos generales'!$O$10&gt;'Datos generales'!F$1,0,'Margen B'!E104)</f>
        <v>12733</v>
      </c>
      <c r="G57" s="534" t="n">
        <f aca="false">IF('Datos generales'!$O$10&gt;'Datos generales'!G$1,0,'Margen B'!F104)</f>
        <v>12733</v>
      </c>
      <c r="H57" s="534" t="n">
        <f aca="false">IF('Datos generales'!$O$10&gt;'Datos generales'!H$1,0,'Margen B'!G104)</f>
        <v>12733</v>
      </c>
      <c r="I57" s="533" t="n">
        <f aca="false">IF('Datos generales'!$O$10&gt;'Datos generales'!I$1,0,'Margen B'!H104)</f>
        <v>12733</v>
      </c>
      <c r="J57" s="534" t="n">
        <f aca="false">IF('Datos generales'!$O$10&gt;'Datos generales'!J$1,0,'Margen B'!I104)</f>
        <v>12733</v>
      </c>
      <c r="K57" s="534" t="n">
        <f aca="false">IF('Datos generales'!$O$10&gt;'Datos generales'!K$1,0,'Margen B'!J104)</f>
        <v>12733</v>
      </c>
      <c r="L57" s="534" t="n">
        <f aca="false">IF('Datos generales'!$O$10&gt;'Datos generales'!L$1,0,'Margen B'!K104)</f>
        <v>12733</v>
      </c>
      <c r="M57" s="534" t="n">
        <f aca="false">IF('Datos generales'!$O$10&gt;'Datos generales'!M$1,0,'Margen B'!L104)</f>
        <v>12733</v>
      </c>
      <c r="N57" s="534" t="n">
        <f aca="false">IF('Datos generales'!$O$10&gt;'Datos generales'!N$1,0,'Margen B'!M104)</f>
        <v>12733</v>
      </c>
      <c r="O57" s="534" t="n">
        <f aca="false">IF('Datos generales'!$O$10&gt;'Datos generales'!O$1,0,'Margen B'!N104)</f>
        <v>12733</v>
      </c>
      <c r="P57" s="534" t="n">
        <f aca="false">IF('Datos generales'!$O$10&gt;'Datos generales'!P$1,0,'Margen B'!O104)</f>
        <v>12733</v>
      </c>
      <c r="Q57" s="535"/>
      <c r="R57" s="536" t="n">
        <f aca="false">SUM(D57:Q57)</f>
        <v>152796</v>
      </c>
      <c r="S57" s="476"/>
      <c r="T57" s="476"/>
      <c r="U57" s="476"/>
    </row>
    <row r="58" customFormat="false" ht="24" hidden="false" customHeight="false" outlineLevel="0" collapsed="false">
      <c r="B58" s="450"/>
      <c r="C58" s="537" t="s">
        <v>425</v>
      </c>
      <c r="D58" s="538"/>
      <c r="E58" s="539" t="n">
        <f aca="false">'Margen B'!D118</f>
        <v>0</v>
      </c>
      <c r="F58" s="539" t="n">
        <f aca="false">'Margen B'!E118</f>
        <v>0</v>
      </c>
      <c r="G58" s="539" t="n">
        <f aca="false">'Margen B'!F118</f>
        <v>0</v>
      </c>
      <c r="H58" s="539" t="n">
        <f aca="false">'Margen B'!G118</f>
        <v>0</v>
      </c>
      <c r="I58" s="539" t="n">
        <f aca="false">'Margen B'!H118</f>
        <v>0</v>
      </c>
      <c r="J58" s="539" t="n">
        <f aca="false">'Margen B'!I118</f>
        <v>0</v>
      </c>
      <c r="K58" s="539" t="n">
        <f aca="false">'Margen B'!J118</f>
        <v>0</v>
      </c>
      <c r="L58" s="539" t="n">
        <f aca="false">'Margen B'!K118</f>
        <v>0</v>
      </c>
      <c r="M58" s="539" t="n">
        <f aca="false">'Margen B'!L118</f>
        <v>0</v>
      </c>
      <c r="N58" s="539" t="n">
        <f aca="false">'Margen B'!M118</f>
        <v>0</v>
      </c>
      <c r="O58" s="539" t="n">
        <f aca="false">'Margen B'!N118</f>
        <v>0</v>
      </c>
      <c r="P58" s="539" t="n">
        <f aca="false">'Margen B'!O118</f>
        <v>0</v>
      </c>
      <c r="Q58" s="522"/>
      <c r="R58" s="523" t="n">
        <f aca="false">SUM(D58:Q58)</f>
        <v>0</v>
      </c>
      <c r="S58" s="476"/>
      <c r="T58" s="476"/>
      <c r="U58" s="476"/>
    </row>
    <row r="59" customFormat="false" ht="24" hidden="false" customHeight="false" outlineLevel="0" collapsed="false">
      <c r="B59" s="450"/>
      <c r="C59" s="537" t="s">
        <v>143</v>
      </c>
      <c r="D59" s="538"/>
      <c r="E59" s="448" t="n">
        <f aca="false">'Margen B'!D128</f>
        <v>892.9</v>
      </c>
      <c r="F59" s="448" t="n">
        <f aca="false">'Margen B'!E128</f>
        <v>892.9</v>
      </c>
      <c r="G59" s="448" t="n">
        <f aca="false">'Margen B'!F128</f>
        <v>892.9</v>
      </c>
      <c r="H59" s="448" t="n">
        <f aca="false">'Margen B'!G128</f>
        <v>892.9</v>
      </c>
      <c r="I59" s="448" t="n">
        <f aca="false">'Margen B'!H128</f>
        <v>892.9</v>
      </c>
      <c r="J59" s="448" t="n">
        <f aca="false">'Margen B'!I128</f>
        <v>892.9</v>
      </c>
      <c r="K59" s="448" t="n">
        <f aca="false">'Margen B'!J128</f>
        <v>892.9</v>
      </c>
      <c r="L59" s="448" t="n">
        <f aca="false">'Margen B'!K128</f>
        <v>892.9</v>
      </c>
      <c r="M59" s="448" t="n">
        <f aca="false">'Margen B'!L128</f>
        <v>892.9</v>
      </c>
      <c r="N59" s="448" t="n">
        <f aca="false">'Margen B'!M128</f>
        <v>892.9</v>
      </c>
      <c r="O59" s="448" t="n">
        <f aca="false">'Margen B'!N128</f>
        <v>892.9</v>
      </c>
      <c r="P59" s="448" t="n">
        <f aca="false">'Margen B'!O128</f>
        <v>892.9</v>
      </c>
      <c r="Q59" s="522"/>
      <c r="R59" s="540" t="n">
        <f aca="false">SUM(D59:Q59)</f>
        <v>10714.8</v>
      </c>
      <c r="S59" s="476"/>
      <c r="T59" s="476"/>
      <c r="U59" s="476"/>
    </row>
    <row r="60" s="363" customFormat="true" ht="15" hidden="false" customHeight="true" outlineLevel="0" collapsed="false">
      <c r="B60" s="541" t="s">
        <v>426</v>
      </c>
      <c r="C60" s="542"/>
      <c r="D60" s="543" t="n">
        <f aca="false">SUM(D57:D59)</f>
        <v>0</v>
      </c>
      <c r="E60" s="544" t="n">
        <f aca="false">SUM(E57:E59)+E54</f>
        <v>13625.9</v>
      </c>
      <c r="F60" s="544" t="n">
        <f aca="false">SUM(F57:F59)+F54</f>
        <v>13625.9</v>
      </c>
      <c r="G60" s="544" t="n">
        <f aca="false">SUM(G57:G59)+G54</f>
        <v>13625.9</v>
      </c>
      <c r="H60" s="544" t="n">
        <f aca="false">SUM(H57:H59)+H54</f>
        <v>13625.9</v>
      </c>
      <c r="I60" s="544" t="n">
        <f aca="false">SUM(I57:I59)+I54</f>
        <v>13625.9</v>
      </c>
      <c r="J60" s="544" t="n">
        <f aca="false">SUM(J57:J59)+J54</f>
        <v>13625.9</v>
      </c>
      <c r="K60" s="544" t="n">
        <f aca="false">SUM(K57:K59)+K54</f>
        <v>13625.9</v>
      </c>
      <c r="L60" s="544" t="n">
        <f aca="false">SUM(L57:L59)+L54</f>
        <v>13625.9</v>
      </c>
      <c r="M60" s="544" t="n">
        <f aca="false">SUM(M57:M59)+M54</f>
        <v>13625.9</v>
      </c>
      <c r="N60" s="544" t="n">
        <f aca="false">SUM(N57:N59)+N54</f>
        <v>13625.9</v>
      </c>
      <c r="O60" s="544" t="n">
        <f aca="false">SUM(O57:O59)+O54</f>
        <v>13625.9</v>
      </c>
      <c r="P60" s="544" t="n">
        <f aca="false">SUM(P57:P59)+P54</f>
        <v>13625.9</v>
      </c>
      <c r="Q60" s="544"/>
      <c r="R60" s="545" t="n">
        <f aca="false">SUM(D60:Q60)</f>
        <v>163510.8</v>
      </c>
      <c r="S60" s="476"/>
      <c r="T60" s="546"/>
      <c r="U60" s="546"/>
    </row>
    <row r="61" customFormat="false" ht="12.75" hidden="false" customHeight="false" outlineLevel="0" collapsed="false">
      <c r="B61" s="547" t="s">
        <v>392</v>
      </c>
      <c r="C61" s="548"/>
      <c r="D61" s="549"/>
      <c r="E61" s="550"/>
      <c r="F61" s="550"/>
      <c r="G61" s="550"/>
      <c r="H61" s="550"/>
      <c r="I61" s="550"/>
      <c r="J61" s="550"/>
      <c r="K61" s="550"/>
      <c r="L61" s="550"/>
      <c r="M61" s="550"/>
      <c r="N61" s="550"/>
      <c r="O61" s="550"/>
      <c r="P61" s="550"/>
      <c r="Q61" s="313"/>
      <c r="R61" s="551" t="n">
        <f aca="false">SUM(D61:Q61)</f>
        <v>0</v>
      </c>
    </row>
    <row r="62" customFormat="false" ht="12.75" hidden="false" customHeight="false" outlineLevel="0" collapsed="false">
      <c r="B62" s="450"/>
      <c r="C62" s="451"/>
      <c r="D62" s="552"/>
      <c r="E62" s="539"/>
      <c r="F62" s="539"/>
      <c r="G62" s="539"/>
      <c r="H62" s="539"/>
      <c r="I62" s="539"/>
      <c r="J62" s="539"/>
      <c r="K62" s="539"/>
      <c r="L62" s="539"/>
      <c r="M62" s="539"/>
      <c r="N62" s="539"/>
      <c r="O62" s="539"/>
      <c r="P62" s="539"/>
      <c r="Q62" s="531"/>
      <c r="R62" s="553"/>
      <c r="S62" s="476"/>
      <c r="T62" s="476"/>
    </row>
    <row r="63" s="363" customFormat="true" ht="15" hidden="false" customHeight="true" outlineLevel="0" collapsed="false">
      <c r="B63" s="554" t="s">
        <v>427</v>
      </c>
      <c r="C63" s="542"/>
      <c r="D63" s="555" t="n">
        <f aca="false">+D53+D54-D60+D61</f>
        <v>0</v>
      </c>
      <c r="E63" s="556" t="n">
        <f aca="false">+E53+E54-E60+E61</f>
        <v>4232.1</v>
      </c>
      <c r="F63" s="556" t="n">
        <f aca="false">+F53+F54-F60+F61</f>
        <v>4232.1</v>
      </c>
      <c r="G63" s="556" t="n">
        <f aca="false">+G53+G54-G60+G61</f>
        <v>4232.1</v>
      </c>
      <c r="H63" s="556" t="n">
        <f aca="false">+H53+H54-H60+H61</f>
        <v>4232.1</v>
      </c>
      <c r="I63" s="556" t="n">
        <f aca="false">+I53+I54-I60+I61</f>
        <v>4232.1</v>
      </c>
      <c r="J63" s="556" t="n">
        <f aca="false">+J53+J54-J60+J61</f>
        <v>4232.1</v>
      </c>
      <c r="K63" s="556" t="n">
        <f aca="false">+K53+K54-K60+K61</f>
        <v>4232.1</v>
      </c>
      <c r="L63" s="556" t="n">
        <f aca="false">+L53+L54-L60+L61</f>
        <v>4232.1</v>
      </c>
      <c r="M63" s="556" t="n">
        <f aca="false">+M53+M54-M60+M61</f>
        <v>4232.1</v>
      </c>
      <c r="N63" s="556" t="n">
        <f aca="false">+N53+N54-N60+N61</f>
        <v>4232.1</v>
      </c>
      <c r="O63" s="556" t="n">
        <f aca="false">+O53+O54-O60+O61</f>
        <v>4232.1</v>
      </c>
      <c r="P63" s="556" t="n">
        <f aca="false">+P53+P54-P60+P61</f>
        <v>4232.1</v>
      </c>
      <c r="Q63" s="556" t="n">
        <f aca="false">+Q53+Q54-Q60+Q61</f>
        <v>-225</v>
      </c>
      <c r="R63" s="557" t="n">
        <f aca="false">SUM(D63:Q63)</f>
        <v>50560.2</v>
      </c>
      <c r="S63" s="546"/>
      <c r="T63" s="546"/>
      <c r="U63" s="546"/>
    </row>
    <row r="64" s="363" customFormat="true" ht="9" hidden="false" customHeight="true" outlineLevel="0" collapsed="false">
      <c r="B64" s="460"/>
      <c r="D64" s="558"/>
      <c r="E64" s="462"/>
      <c r="F64" s="462"/>
      <c r="G64" s="462"/>
      <c r="H64" s="462"/>
      <c r="I64" s="462"/>
      <c r="J64" s="462"/>
      <c r="K64" s="462"/>
      <c r="L64" s="462"/>
      <c r="M64" s="462"/>
      <c r="N64" s="462"/>
      <c r="O64" s="462"/>
      <c r="P64" s="462"/>
      <c r="Q64" s="559"/>
      <c r="R64" s="560"/>
      <c r="S64" s="546"/>
      <c r="T64" s="546"/>
      <c r="U64" s="546"/>
    </row>
    <row r="65" customFormat="false" ht="12.75" hidden="false" customHeight="false" outlineLevel="0" collapsed="false">
      <c r="B65" s="470" t="str">
        <f aca="false">'Previsión de Gastos'!B12</f>
        <v>Gastos de personal:</v>
      </c>
      <c r="D65" s="561"/>
      <c r="E65" s="476"/>
      <c r="F65" s="476"/>
      <c r="G65" s="476"/>
      <c r="H65" s="476"/>
      <c r="I65" s="476"/>
      <c r="J65" s="476"/>
      <c r="K65" s="476"/>
      <c r="L65" s="476"/>
      <c r="M65" s="476"/>
      <c r="N65" s="476"/>
      <c r="O65" s="476"/>
      <c r="P65" s="476"/>
      <c r="Q65" s="535"/>
      <c r="R65" s="536"/>
      <c r="S65" s="476"/>
      <c r="T65" s="476"/>
    </row>
    <row r="66" customFormat="false" ht="12.75" hidden="false" customHeight="false" outlineLevel="0" collapsed="false">
      <c r="B66" s="474"/>
      <c r="C66" s="350" t="str">
        <f aca="false">'Previsión de Gastos'!B13</f>
        <v>Formación del personal</v>
      </c>
      <c r="D66" s="562" t="n">
        <f aca="false">'Entrada Inver_Finan'!D67</f>
        <v>0</v>
      </c>
      <c r="E66" s="563" t="n">
        <f aca="false">IF('Datos generales'!$O$10&gt;'Datos generales'!E$1,0,'Previsión de Gastos'!C13)</f>
        <v>0</v>
      </c>
      <c r="F66" s="563" t="n">
        <f aca="false">IF('Datos generales'!$O$10&gt;'Datos generales'!F$1,0,'Previsión de Gastos'!D13)</f>
        <v>0</v>
      </c>
      <c r="G66" s="563" t="n">
        <f aca="false">IF('Datos generales'!$O$10&gt;'Datos generales'!G$1,0,'Previsión de Gastos'!E13)</f>
        <v>0</v>
      </c>
      <c r="H66" s="563" t="n">
        <f aca="false">IF('Datos generales'!$O$10&gt;'Datos generales'!H$1,0,'Previsión de Gastos'!F13)</f>
        <v>0</v>
      </c>
      <c r="I66" s="563" t="n">
        <f aca="false">IF('Datos generales'!$O$10&gt;'Datos generales'!I$1,0,'Previsión de Gastos'!G13)</f>
        <v>0</v>
      </c>
      <c r="J66" s="563" t="n">
        <f aca="false">IF('Datos generales'!$O$10&gt;'Datos generales'!J$1,0,'Previsión de Gastos'!H13)</f>
        <v>0</v>
      </c>
      <c r="K66" s="563" t="n">
        <f aca="false">IF('Datos generales'!$O$10&gt;'Datos generales'!K$1,0,'Previsión de Gastos'!I13)</f>
        <v>0</v>
      </c>
      <c r="L66" s="563" t="n">
        <f aca="false">IF('Datos generales'!$O$10&gt;'Datos generales'!L$1,0,'Previsión de Gastos'!J13)</f>
        <v>0</v>
      </c>
      <c r="M66" s="563" t="n">
        <f aca="false">IF('Datos generales'!$O$10&gt;'Datos generales'!M$1,0,'Previsión de Gastos'!K13)</f>
        <v>0</v>
      </c>
      <c r="N66" s="563" t="n">
        <f aca="false">IF('Datos generales'!$O$10&gt;'Datos generales'!N$1,0,'Previsión de Gastos'!L13)</f>
        <v>0</v>
      </c>
      <c r="O66" s="563" t="n">
        <f aca="false">IF('Datos generales'!$O$10&gt;'Datos generales'!O$1,0,'Previsión de Gastos'!M13)</f>
        <v>0</v>
      </c>
      <c r="P66" s="563" t="n">
        <f aca="false">IF('Datos generales'!$O$10&gt;'Datos generales'!P$1,0,'Previsión de Gastos'!N13)</f>
        <v>0</v>
      </c>
      <c r="Q66" s="564"/>
      <c r="R66" s="551" t="n">
        <f aca="false">SUM(D66:Q66)</f>
        <v>0</v>
      </c>
    </row>
    <row r="67" customFormat="false" ht="12.75" hidden="false" customHeight="false" outlineLevel="0" collapsed="false">
      <c r="B67" s="474"/>
      <c r="C67" s="350" t="str">
        <f aca="false">'Previsión de Gastos'!B14</f>
        <v>Promotor  (Sueldo + S.S.)</v>
      </c>
      <c r="D67" s="565"/>
      <c r="E67" s="566" t="n">
        <f aca="false">IF('Previsión de Gastos'!$T$14&gt;'Datos generales'!E$1,0,'Previsión de Gastos'!C14)</f>
        <v>0</v>
      </c>
      <c r="F67" s="566" t="n">
        <f aca="false">IF('Previsión de Gastos'!$T$14&gt;'Datos generales'!F$1,0,'Previsión de Gastos'!D14)</f>
        <v>0</v>
      </c>
      <c r="G67" s="566" t="n">
        <f aca="false">IF('Previsión de Gastos'!$T$14&gt;'Datos generales'!G$1,0,'Previsión de Gastos'!E14)</f>
        <v>0</v>
      </c>
      <c r="H67" s="566" t="n">
        <f aca="false">IF('Previsión de Gastos'!$T$14&gt;'Datos generales'!H$1,0,'Previsión de Gastos'!F14)</f>
        <v>0</v>
      </c>
      <c r="I67" s="566" t="n">
        <f aca="false">IF('Previsión de Gastos'!$T$14&gt;'Datos generales'!I$1,0,'Previsión de Gastos'!G14)</f>
        <v>0</v>
      </c>
      <c r="J67" s="566" t="n">
        <f aca="false">IF('Previsión de Gastos'!$T$14&gt;'Datos generales'!J$1,0,'Previsión de Gastos'!H14)</f>
        <v>0</v>
      </c>
      <c r="K67" s="566" t="n">
        <f aca="false">IF('Previsión de Gastos'!$T$14&gt;'Datos generales'!K$1,0,'Previsión de Gastos'!I14)</f>
        <v>0</v>
      </c>
      <c r="L67" s="566" t="n">
        <f aca="false">IF('Previsión de Gastos'!$T$14&gt;'Datos generales'!L$1,0,'Previsión de Gastos'!J14)</f>
        <v>0</v>
      </c>
      <c r="M67" s="566" t="n">
        <f aca="false">IF('Previsión de Gastos'!$T$14&gt;'Datos generales'!M$1,0,'Previsión de Gastos'!K14)</f>
        <v>0</v>
      </c>
      <c r="N67" s="566" t="n">
        <f aca="false">IF('Previsión de Gastos'!$T$14&gt;'Datos generales'!N$1,0,'Previsión de Gastos'!L14)</f>
        <v>0</v>
      </c>
      <c r="O67" s="566" t="n">
        <f aca="false">IF('Previsión de Gastos'!$T$14&gt;'Datos generales'!O$1,0,'Previsión de Gastos'!M14)</f>
        <v>0</v>
      </c>
      <c r="P67" s="566" t="n">
        <f aca="false">IF('Previsión de Gastos'!$T$14&gt;'Datos generales'!P$1,0,'Previsión de Gastos'!N14)</f>
        <v>0</v>
      </c>
      <c r="Q67" s="522"/>
      <c r="R67" s="523" t="n">
        <f aca="false">SUM(D67:Q67)</f>
        <v>0</v>
      </c>
      <c r="S67" s="476"/>
      <c r="T67" s="476"/>
      <c r="U67" s="476"/>
    </row>
    <row r="68" customFormat="false" ht="12.75" hidden="false" customHeight="false" outlineLevel="0" collapsed="false">
      <c r="B68" s="474"/>
      <c r="C68" s="350" t="str">
        <f aca="false">'Previsión de Gastos'!B15</f>
        <v>Asalariado (Sueldo + S.S.)</v>
      </c>
      <c r="D68" s="526"/>
      <c r="E68" s="566" t="n">
        <f aca="false">IF('Previsión de Gastos'!$T$15&gt;'Datos generales'!E$1,0,'Previsión de Gastos'!C15)</f>
        <v>0</v>
      </c>
      <c r="F68" s="566" t="n">
        <f aca="false">IF('Previsión de Gastos'!$T$15&gt;'Datos generales'!F$1,0,'Previsión de Gastos'!D15)</f>
        <v>0</v>
      </c>
      <c r="G68" s="566" t="n">
        <f aca="false">IF('Previsión de Gastos'!$T$15&gt;'Datos generales'!G$1,0,'Previsión de Gastos'!E15)</f>
        <v>0</v>
      </c>
      <c r="H68" s="566" t="n">
        <f aca="false">IF('Previsión de Gastos'!$T$15&gt;'Datos generales'!H$1,0,'Previsión de Gastos'!F15)</f>
        <v>0</v>
      </c>
      <c r="I68" s="566" t="n">
        <f aca="false">IF('Previsión de Gastos'!$T$15&gt;'Datos generales'!I$1,0,'Previsión de Gastos'!G15)</f>
        <v>0</v>
      </c>
      <c r="J68" s="566" t="n">
        <f aca="false">IF('Previsión de Gastos'!$T$15&gt;'Datos generales'!J$1,0,'Previsión de Gastos'!H15)</f>
        <v>0</v>
      </c>
      <c r="K68" s="566" t="n">
        <f aca="false">IF('Previsión de Gastos'!$T$15&gt;'Datos generales'!K$1,0,'Previsión de Gastos'!I15)</f>
        <v>0</v>
      </c>
      <c r="L68" s="566" t="n">
        <f aca="false">IF('Previsión de Gastos'!$T$15&gt;'Datos generales'!L$1,0,'Previsión de Gastos'!J15)</f>
        <v>0</v>
      </c>
      <c r="M68" s="566" t="n">
        <f aca="false">IF('Previsión de Gastos'!$T$15&gt;'Datos generales'!M$1,0,'Previsión de Gastos'!K15)</f>
        <v>0</v>
      </c>
      <c r="N68" s="566" t="n">
        <f aca="false">IF('Previsión de Gastos'!$T$15&gt;'Datos generales'!N$1,0,'Previsión de Gastos'!L15)</f>
        <v>0</v>
      </c>
      <c r="O68" s="566" t="n">
        <f aca="false">IF('Previsión de Gastos'!$T$15&gt;'Datos generales'!O$1,0,'Previsión de Gastos'!M15)</f>
        <v>0</v>
      </c>
      <c r="P68" s="566" t="n">
        <f aca="false">IF('Previsión de Gastos'!$T$15&gt;'Datos generales'!P$1,0,'Previsión de Gastos'!N15)</f>
        <v>0</v>
      </c>
      <c r="Q68" s="567"/>
      <c r="R68" s="540" t="n">
        <f aca="false">SUM(D68:Q68)</f>
        <v>0</v>
      </c>
    </row>
    <row r="69" customFormat="false" ht="12.75" hidden="false" customHeight="false" outlineLevel="0" collapsed="false">
      <c r="B69" s="474"/>
      <c r="C69" s="350" t="n">
        <f aca="false">'Previsión de Gastos'!B16</f>
        <v>0</v>
      </c>
      <c r="D69" s="448"/>
      <c r="E69" s="566" t="n">
        <f aca="false">IF('Previsión de Gastos'!$T$16&gt;'Datos generales'!E$1,0,'Previsión de Gastos'!C16)</f>
        <v>0</v>
      </c>
      <c r="F69" s="566" t="n">
        <f aca="false">IF('Previsión de Gastos'!$T$16&gt;'Datos generales'!F$1,0,'Previsión de Gastos'!D16)</f>
        <v>0</v>
      </c>
      <c r="G69" s="566" t="n">
        <f aca="false">IF('Previsión de Gastos'!$T$16&gt;'Datos generales'!G$1,0,'Previsión de Gastos'!E16)</f>
        <v>0</v>
      </c>
      <c r="H69" s="566" t="n">
        <f aca="false">IF('Previsión de Gastos'!$T$16&gt;'Datos generales'!H$1,0,'Previsión de Gastos'!F16)</f>
        <v>0</v>
      </c>
      <c r="I69" s="566" t="n">
        <f aca="false">IF('Previsión de Gastos'!$T$16&gt;'Datos generales'!I$1,0,'Previsión de Gastos'!G16)</f>
        <v>0</v>
      </c>
      <c r="J69" s="566" t="n">
        <f aca="false">IF('Previsión de Gastos'!$T$16&gt;'Datos generales'!J$1,0,'Previsión de Gastos'!H16)</f>
        <v>0</v>
      </c>
      <c r="K69" s="566" t="n">
        <f aca="false">IF('Previsión de Gastos'!$T$16&gt;'Datos generales'!K$1,0,'Previsión de Gastos'!I16)</f>
        <v>0</v>
      </c>
      <c r="L69" s="566" t="n">
        <f aca="false">IF('Previsión de Gastos'!$T$16&gt;'Datos generales'!L$1,0,'Previsión de Gastos'!J16)</f>
        <v>0</v>
      </c>
      <c r="M69" s="566" t="n">
        <f aca="false">IF('Previsión de Gastos'!$T$16&gt;'Datos generales'!M$1,0,'Previsión de Gastos'!K16)</f>
        <v>0</v>
      </c>
      <c r="N69" s="566" t="n">
        <f aca="false">IF('Previsión de Gastos'!$T$16&gt;'Datos generales'!N$1,0,'Previsión de Gastos'!L16)</f>
        <v>0</v>
      </c>
      <c r="O69" s="566" t="n">
        <f aca="false">IF('Previsión de Gastos'!$T$16&gt;'Datos generales'!O$1,0,'Previsión de Gastos'!M16)</f>
        <v>0</v>
      </c>
      <c r="P69" s="566" t="n">
        <f aca="false">IF('Previsión de Gastos'!$T$16&gt;'Datos generales'!P$1,0,'Previsión de Gastos'!N16)</f>
        <v>0</v>
      </c>
      <c r="Q69" s="522"/>
      <c r="R69" s="523" t="n">
        <f aca="false">SUM(D69:Q69)</f>
        <v>0</v>
      </c>
      <c r="S69" s="476"/>
      <c r="T69" s="476"/>
      <c r="U69" s="476"/>
    </row>
    <row r="70" customFormat="false" ht="12.75" hidden="false" customHeight="false" outlineLevel="0" collapsed="false">
      <c r="B70" s="474"/>
      <c r="C70" s="358" t="n">
        <f aca="false">'Previsión de Gastos'!B17</f>
        <v>0</v>
      </c>
      <c r="D70" s="526"/>
      <c r="E70" s="566" t="n">
        <f aca="false">IF('Previsión de Gastos'!$T$17&gt;'Datos generales'!E$1,0,'Previsión de Gastos'!C17)</f>
        <v>0</v>
      </c>
      <c r="F70" s="566" t="n">
        <f aca="false">IF('Previsión de Gastos'!$T$17&gt;'Datos generales'!F$1,0,'Previsión de Gastos'!D17)</f>
        <v>0</v>
      </c>
      <c r="G70" s="566" t="n">
        <f aca="false">IF('Previsión de Gastos'!$T$17&gt;'Datos generales'!G$1,0,'Previsión de Gastos'!E17)</f>
        <v>0</v>
      </c>
      <c r="H70" s="566" t="n">
        <f aca="false">IF('Previsión de Gastos'!$T$17&gt;'Datos generales'!H$1,0,'Previsión de Gastos'!F17)</f>
        <v>0</v>
      </c>
      <c r="I70" s="566" t="n">
        <f aca="false">IF('Previsión de Gastos'!$T$17&gt;'Datos generales'!I$1,0,'Previsión de Gastos'!G17)</f>
        <v>0</v>
      </c>
      <c r="J70" s="566" t="n">
        <f aca="false">IF('Previsión de Gastos'!$T$17&gt;'Datos generales'!J$1,0,'Previsión de Gastos'!H17)</f>
        <v>0</v>
      </c>
      <c r="K70" s="566" t="n">
        <f aca="false">IF('Previsión de Gastos'!$T$17&gt;'Datos generales'!K$1,0,'Previsión de Gastos'!I17)</f>
        <v>0</v>
      </c>
      <c r="L70" s="566" t="n">
        <f aca="false">IF('Previsión de Gastos'!$T$17&gt;'Datos generales'!L$1,0,'Previsión de Gastos'!J17)</f>
        <v>0</v>
      </c>
      <c r="M70" s="566" t="n">
        <f aca="false">IF('Previsión de Gastos'!$T$17&gt;'Datos generales'!M$1,0,'Previsión de Gastos'!K17)</f>
        <v>0</v>
      </c>
      <c r="N70" s="566" t="n">
        <f aca="false">IF('Previsión de Gastos'!$T$17&gt;'Datos generales'!N$1,0,'Previsión de Gastos'!L17)</f>
        <v>0</v>
      </c>
      <c r="O70" s="566" t="n">
        <f aca="false">IF('Previsión de Gastos'!$T$17&gt;'Datos generales'!O$1,0,'Previsión de Gastos'!M17)</f>
        <v>0</v>
      </c>
      <c r="P70" s="566" t="n">
        <f aca="false">IF('Previsión de Gastos'!$T$17&gt;'Datos generales'!P$1,0,'Previsión de Gastos'!N17)</f>
        <v>0</v>
      </c>
      <c r="Q70" s="567"/>
      <c r="R70" s="540" t="n">
        <f aca="false">SUM(D70:Q70)</f>
        <v>0</v>
      </c>
    </row>
    <row r="71" customFormat="false" ht="12.75" hidden="false" customHeight="false" outlineLevel="0" collapsed="false">
      <c r="B71" s="474"/>
      <c r="C71" s="0" t="n">
        <f aca="false">'Previsión de Gastos'!B18</f>
        <v>0</v>
      </c>
      <c r="D71" s="526"/>
      <c r="E71" s="448" t="n">
        <f aca="false">IF('Previsión de Gastos'!$T$18&gt;'Datos generales'!E$1,0,'Previsión de Gastos'!C18)</f>
        <v>0</v>
      </c>
      <c r="F71" s="448" t="n">
        <f aca="false">IF('Previsión de Gastos'!$T$18&gt;'Datos generales'!F$1,0,'Previsión de Gastos'!D18)</f>
        <v>0</v>
      </c>
      <c r="G71" s="448" t="n">
        <f aca="false">IF('Previsión de Gastos'!$T$18&gt;'Datos generales'!G$1,0,'Previsión de Gastos'!E18)</f>
        <v>0</v>
      </c>
      <c r="H71" s="448" t="n">
        <f aca="false">IF('Previsión de Gastos'!$T$18&gt;'Datos generales'!H$1,0,'Previsión de Gastos'!F18)</f>
        <v>0</v>
      </c>
      <c r="I71" s="448" t="n">
        <f aca="false">IF('Previsión de Gastos'!$T$18&gt;'Datos generales'!I$1,0,'Previsión de Gastos'!G18)</f>
        <v>0</v>
      </c>
      <c r="J71" s="448" t="n">
        <f aca="false">IF('Previsión de Gastos'!$T$18&gt;'Datos generales'!J$1,0,'Previsión de Gastos'!H18)</f>
        <v>0</v>
      </c>
      <c r="K71" s="448" t="n">
        <f aca="false">IF('Previsión de Gastos'!$T$18&gt;'Datos generales'!K$1,0,'Previsión de Gastos'!I18)</f>
        <v>0</v>
      </c>
      <c r="L71" s="448" t="n">
        <f aca="false">IF('Previsión de Gastos'!$T$18&gt;'Datos generales'!L$1,0,'Previsión de Gastos'!J18)</f>
        <v>0</v>
      </c>
      <c r="M71" s="448" t="n">
        <f aca="false">IF('Previsión de Gastos'!$T$18&gt;'Datos generales'!M$1,0,'Previsión de Gastos'!K18)</f>
        <v>0</v>
      </c>
      <c r="N71" s="448" t="n">
        <f aca="false">IF('Previsión de Gastos'!$T$18&gt;'Datos generales'!N$1,0,'Previsión de Gastos'!L18)</f>
        <v>0</v>
      </c>
      <c r="O71" s="448" t="n">
        <f aca="false">IF('Previsión de Gastos'!$T$18&gt;'Datos generales'!O$1,0,'Previsión de Gastos'!M18)</f>
        <v>0</v>
      </c>
      <c r="P71" s="448" t="n">
        <f aca="false">IF('Previsión de Gastos'!$T$18&gt;'Datos generales'!P$1,0,'Previsión de Gastos'!N18)</f>
        <v>0</v>
      </c>
      <c r="Q71" s="567"/>
      <c r="R71" s="540" t="n">
        <f aca="false">SUM(D71:Q71)</f>
        <v>0</v>
      </c>
    </row>
    <row r="72" customFormat="false" ht="12.75" hidden="false" customHeight="false" outlineLevel="0" collapsed="false">
      <c r="B72" s="568" t="str">
        <f aca="false">'Previsión de Gastos'!B19</f>
        <v>Total Gastos de personal</v>
      </c>
      <c r="C72" s="569"/>
      <c r="D72" s="570" t="n">
        <f aca="false">SUM(D66:D71)</f>
        <v>0</v>
      </c>
      <c r="E72" s="571" t="n">
        <f aca="false">SUM(E66:E71)</f>
        <v>0</v>
      </c>
      <c r="F72" s="571" t="n">
        <f aca="false">SUM(F66:F71)</f>
        <v>0</v>
      </c>
      <c r="G72" s="571" t="n">
        <f aca="false">SUM(G66:G71)</f>
        <v>0</v>
      </c>
      <c r="H72" s="571" t="n">
        <f aca="false">SUM(H66:H71)</f>
        <v>0</v>
      </c>
      <c r="I72" s="571" t="n">
        <f aca="false">SUM(I66:I71)</f>
        <v>0</v>
      </c>
      <c r="J72" s="571" t="n">
        <f aca="false">SUM(J66:J71)</f>
        <v>0</v>
      </c>
      <c r="K72" s="571" t="n">
        <f aca="false">SUM(K66:K71)</f>
        <v>0</v>
      </c>
      <c r="L72" s="571" t="n">
        <f aca="false">SUM(L66:L71)</f>
        <v>0</v>
      </c>
      <c r="M72" s="571" t="n">
        <f aca="false">SUM(M66:M71)</f>
        <v>0</v>
      </c>
      <c r="N72" s="571" t="n">
        <f aca="false">SUM(N66:N71)</f>
        <v>0</v>
      </c>
      <c r="O72" s="571" t="n">
        <f aca="false">SUM(O66:O71)</f>
        <v>0</v>
      </c>
      <c r="P72" s="571" t="n">
        <f aca="false">SUM(P66:P71)</f>
        <v>0</v>
      </c>
      <c r="Q72" s="572"/>
      <c r="R72" s="573" t="n">
        <f aca="false">SUM(D72:Q72)</f>
        <v>0</v>
      </c>
      <c r="S72" s="476"/>
      <c r="T72" s="476"/>
      <c r="U72" s="476"/>
    </row>
    <row r="73" customFormat="false" ht="4.5" hidden="false" customHeight="true" outlineLevel="0" collapsed="false">
      <c r="B73" s="470"/>
      <c r="C73" s="23"/>
      <c r="D73" s="561"/>
      <c r="E73" s="476"/>
      <c r="F73" s="476"/>
      <c r="G73" s="476"/>
      <c r="H73" s="476"/>
      <c r="I73" s="476"/>
      <c r="J73" s="476"/>
      <c r="K73" s="476"/>
      <c r="L73" s="476"/>
      <c r="M73" s="476"/>
      <c r="N73" s="476"/>
      <c r="O73" s="476"/>
      <c r="P73" s="476"/>
      <c r="Q73" s="535"/>
      <c r="R73" s="536"/>
      <c r="S73" s="476"/>
      <c r="T73" s="476"/>
    </row>
    <row r="74" customFormat="false" ht="15" hidden="false" customHeight="true" outlineLevel="0" collapsed="false">
      <c r="B74" s="574" t="s">
        <v>396</v>
      </c>
      <c r="C74" s="23"/>
      <c r="D74" s="561"/>
      <c r="E74" s="476"/>
      <c r="F74" s="476"/>
      <c r="G74" s="476"/>
      <c r="H74" s="476"/>
      <c r="I74" s="476"/>
      <c r="J74" s="476"/>
      <c r="K74" s="476"/>
      <c r="L74" s="476"/>
      <c r="M74" s="476"/>
      <c r="N74" s="476"/>
      <c r="O74" s="476"/>
      <c r="P74" s="476"/>
      <c r="Q74" s="535"/>
      <c r="R74" s="536"/>
      <c r="T74" s="476"/>
    </row>
    <row r="75" customFormat="false" ht="6" hidden="false" customHeight="true" outlineLevel="0" collapsed="false">
      <c r="B75" s="470"/>
      <c r="C75" s="23"/>
      <c r="D75" s="561"/>
      <c r="E75" s="476"/>
      <c r="F75" s="476"/>
      <c r="G75" s="476"/>
      <c r="H75" s="476"/>
      <c r="I75" s="476"/>
      <c r="J75" s="476"/>
      <c r="K75" s="476"/>
      <c r="L75" s="476"/>
      <c r="M75" s="476"/>
      <c r="N75" s="476"/>
      <c r="O75" s="476"/>
      <c r="P75" s="476"/>
      <c r="Q75" s="535"/>
      <c r="R75" s="536"/>
      <c r="S75" s="476"/>
      <c r="T75" s="476"/>
    </row>
    <row r="76" customFormat="false" ht="12.75" hidden="false" customHeight="false" outlineLevel="0" collapsed="false">
      <c r="B76" s="474"/>
      <c r="C76" s="23" t="str">
        <f aca="false">'Previsión de Gastos'!B20</f>
        <v>Tributos e impuestos:</v>
      </c>
      <c r="Q76" s="313"/>
      <c r="R76" s="575"/>
    </row>
    <row r="77" customFormat="false" ht="12.75" hidden="false" customHeight="false" outlineLevel="0" collapsed="false">
      <c r="B77" s="474"/>
      <c r="C77" s="350" t="str">
        <f aca="false">'Previsión de Gastos'!B21</f>
        <v>IBI</v>
      </c>
      <c r="D77" s="562"/>
      <c r="E77" s="563" t="n">
        <f aca="false">IF('Datos generales'!$O$10&gt;'Datos generales'!E$1,0,'Previsión de Gastos'!C21)</f>
        <v>0</v>
      </c>
      <c r="F77" s="563" t="n">
        <f aca="false">IF('Datos generales'!$O$10&gt;'Datos generales'!F$1,0,'Previsión de Gastos'!D21)</f>
        <v>0</v>
      </c>
      <c r="G77" s="563" t="n">
        <f aca="false">IF('Datos generales'!$O$10&gt;'Datos generales'!G$1,0,'Previsión de Gastos'!E21)</f>
        <v>0</v>
      </c>
      <c r="H77" s="563" t="n">
        <f aca="false">IF('Datos generales'!$O$10&gt;'Datos generales'!H$1,0,'Previsión de Gastos'!F21)</f>
        <v>0</v>
      </c>
      <c r="I77" s="563" t="n">
        <f aca="false">IF('Datos generales'!$O$10&gt;'Datos generales'!I$1,0,'Previsión de Gastos'!G21)</f>
        <v>0</v>
      </c>
      <c r="J77" s="563" t="n">
        <f aca="false">IF('Datos generales'!$O$10&gt;'Datos generales'!J$1,0,'Previsión de Gastos'!H21)</f>
        <v>0</v>
      </c>
      <c r="K77" s="563" t="n">
        <f aca="false">IF('Datos generales'!$O$10&gt;'Datos generales'!K$1,0,'Previsión de Gastos'!I21)</f>
        <v>0</v>
      </c>
      <c r="L77" s="563" t="n">
        <f aca="false">IF('Datos generales'!$O$10&gt;'Datos generales'!L$1,0,'Previsión de Gastos'!J21)</f>
        <v>0</v>
      </c>
      <c r="M77" s="563" t="n">
        <f aca="false">IF('Datos generales'!$O$10&gt;'Datos generales'!M$1,0,'Previsión de Gastos'!K21)</f>
        <v>0</v>
      </c>
      <c r="N77" s="563" t="n">
        <f aca="false">IF('Datos generales'!$O$10&gt;'Datos generales'!N$1,0,'Previsión de Gastos'!L21)</f>
        <v>0</v>
      </c>
      <c r="O77" s="563" t="n">
        <f aca="false">IF('Datos generales'!$O$10&gt;'Datos generales'!O$1,0,'Previsión de Gastos'!M21)</f>
        <v>0</v>
      </c>
      <c r="P77" s="563" t="n">
        <f aca="false">IF('Datos generales'!$O$10&gt;'Datos generales'!P$1,0,'Previsión de Gastos'!N21)</f>
        <v>0</v>
      </c>
      <c r="Q77" s="564"/>
      <c r="R77" s="551" t="n">
        <f aca="false">SUM(D77:Q77)</f>
        <v>0</v>
      </c>
    </row>
    <row r="78" customFormat="false" ht="12.75" hidden="false" customHeight="false" outlineLevel="0" collapsed="false">
      <c r="B78" s="474"/>
      <c r="C78" s="350" t="str">
        <f aca="false">'Previsión de Gastos'!B22</f>
        <v>Impuesto de vehículos de tracción mecánica </v>
      </c>
      <c r="D78" s="576"/>
      <c r="E78" s="526" t="n">
        <f aca="false">IF('Datos generales'!$O$10&gt;'Datos generales'!E$1,0,'Previsión de Gastos'!C22)</f>
        <v>0</v>
      </c>
      <c r="F78" s="526" t="n">
        <f aca="false">IF('Datos generales'!$O$10&gt;'Datos generales'!F$1,0,'Previsión de Gastos'!D22)</f>
        <v>0</v>
      </c>
      <c r="G78" s="526" t="n">
        <f aca="false">IF('Datos generales'!$O$10&gt;'Datos generales'!G$1,0,'Previsión de Gastos'!E22)</f>
        <v>0</v>
      </c>
      <c r="H78" s="526" t="n">
        <f aca="false">IF('Datos generales'!$O$10&gt;'Datos generales'!H$1,0,'Previsión de Gastos'!F22)</f>
        <v>0</v>
      </c>
      <c r="I78" s="526" t="n">
        <f aca="false">IF('Datos generales'!$O$10&gt;'Datos generales'!I$1,0,'Previsión de Gastos'!G22)</f>
        <v>0</v>
      </c>
      <c r="J78" s="526" t="n">
        <f aca="false">IF('Datos generales'!$O$10&gt;'Datos generales'!J$1,0,'Previsión de Gastos'!H22)</f>
        <v>0</v>
      </c>
      <c r="K78" s="526" t="n">
        <f aca="false">IF('Datos generales'!$O$10&gt;'Datos generales'!K$1,0,'Previsión de Gastos'!I22)</f>
        <v>0</v>
      </c>
      <c r="L78" s="526" t="n">
        <f aca="false">IF('Datos generales'!$O$10&gt;'Datos generales'!L$1,0,'Previsión de Gastos'!J22)</f>
        <v>0</v>
      </c>
      <c r="M78" s="526" t="n">
        <f aca="false">IF('Datos generales'!$O$10&gt;'Datos generales'!M$1,0,'Previsión de Gastos'!K22)</f>
        <v>0</v>
      </c>
      <c r="N78" s="526" t="n">
        <f aca="false">IF('Datos generales'!$O$10&gt;'Datos generales'!N$1,0,'Previsión de Gastos'!L22)</f>
        <v>0</v>
      </c>
      <c r="O78" s="526" t="n">
        <f aca="false">IF('Datos generales'!$O$10&gt;'Datos generales'!O$1,0,'Previsión de Gastos'!M22)</f>
        <v>0</v>
      </c>
      <c r="P78" s="526" t="n">
        <f aca="false">IF('Datos generales'!$O$10&gt;'Datos generales'!P$1,0,'Previsión de Gastos'!N22)</f>
        <v>0</v>
      </c>
      <c r="Q78" s="567"/>
      <c r="R78" s="540" t="n">
        <f aca="false">SUM(D78:Q78)</f>
        <v>0</v>
      </c>
    </row>
    <row r="79" customFormat="false" ht="12.75" hidden="false" customHeight="false" outlineLevel="0" collapsed="false">
      <c r="B79" s="474"/>
      <c r="C79" s="350" t="str">
        <f aca="false">'Previsión de Gastos'!B23</f>
        <v>Impuestos</v>
      </c>
      <c r="D79" s="576"/>
      <c r="E79" s="526" t="n">
        <f aca="false">IF('Datos generales'!$O$10&gt;'Datos generales'!E$1,0,'Previsión de Gastos'!C23)</f>
        <v>0</v>
      </c>
      <c r="F79" s="526" t="n">
        <f aca="false">IF('Datos generales'!$O$10&gt;'Datos generales'!F$1,0,'Previsión de Gastos'!D23)</f>
        <v>0</v>
      </c>
      <c r="G79" s="526" t="n">
        <f aca="false">IF('Datos generales'!$O$10&gt;'Datos generales'!G$1,0,'Previsión de Gastos'!E23)</f>
        <v>0</v>
      </c>
      <c r="H79" s="526" t="n">
        <f aca="false">IF('Datos generales'!$O$10&gt;'Datos generales'!H$1,0,'Previsión de Gastos'!F23)</f>
        <v>0</v>
      </c>
      <c r="I79" s="526" t="n">
        <f aca="false">IF('Datos generales'!$O$10&gt;'Datos generales'!I$1,0,'Previsión de Gastos'!G23)</f>
        <v>0</v>
      </c>
      <c r="J79" s="526" t="n">
        <f aca="false">IF('Datos generales'!$O$10&gt;'Datos generales'!J$1,0,'Previsión de Gastos'!H23)</f>
        <v>0</v>
      </c>
      <c r="K79" s="526" t="n">
        <f aca="false">IF('Datos generales'!$O$10&gt;'Datos generales'!K$1,0,'Previsión de Gastos'!I23)</f>
        <v>0</v>
      </c>
      <c r="L79" s="526" t="n">
        <f aca="false">IF('Datos generales'!$O$10&gt;'Datos generales'!L$1,0,'Previsión de Gastos'!J23)</f>
        <v>0</v>
      </c>
      <c r="M79" s="526" t="n">
        <f aca="false">IF('Datos generales'!$O$10&gt;'Datos generales'!M$1,0,'Previsión de Gastos'!K23)</f>
        <v>0</v>
      </c>
      <c r="N79" s="526" t="n">
        <f aca="false">IF('Datos generales'!$O$10&gt;'Datos generales'!N$1,0,'Previsión de Gastos'!L23)</f>
        <v>0</v>
      </c>
      <c r="O79" s="526" t="n">
        <f aca="false">IF('Datos generales'!$O$10&gt;'Datos generales'!O$1,0,'Previsión de Gastos'!M23)</f>
        <v>0</v>
      </c>
      <c r="P79" s="526" t="n">
        <f aca="false">IF('Datos generales'!$O$10&gt;'Datos generales'!P$1,0,'Previsión de Gastos'!N23)</f>
        <v>0</v>
      </c>
      <c r="Q79" s="567"/>
      <c r="R79" s="540" t="n">
        <f aca="false">SUM(D79:Q79)</f>
        <v>0</v>
      </c>
    </row>
    <row r="80" customFormat="false" ht="12.75" hidden="false" customHeight="false" outlineLevel="0" collapsed="false">
      <c r="B80" s="474"/>
      <c r="C80" s="358" t="s">
        <v>428</v>
      </c>
      <c r="D80" s="577" t="n">
        <f aca="false">IF('Datos generales'!$D$22&lt;=0,'Datos generales'!D19*('Entrada Inver_Finan'!D63-'Entrada Inver_Finan'!D100+'Entrada Inver_Finan'!G93-'Préstamos LP'!J11),0)</f>
        <v>0</v>
      </c>
      <c r="E80" s="577" t="n">
        <f aca="true">IF('Datos generales'!$D$22&lt;=0,OFFSET('Préstamos LP'!$X$35,'Datos generales'!D1,0,1,1),0)</f>
        <v>0</v>
      </c>
      <c r="F80" s="577" t="n">
        <f aca="true">IF('Datos generales'!$D$22&lt;=0,OFFSET('Préstamos LP'!$X$35,'Datos generales'!E1,0,1,1),0)</f>
        <v>0</v>
      </c>
      <c r="G80" s="577" t="n">
        <f aca="true">IF('Datos generales'!$D$22&lt;=0,OFFSET('Préstamos LP'!$X$35,'Datos generales'!F1,0,1,1),0)</f>
        <v>0</v>
      </c>
      <c r="H80" s="577" t="n">
        <f aca="true">IF('Datos generales'!$D$22&lt;=0,OFFSET('Préstamos LP'!$X$35,'Datos generales'!G1,0,1,1),0)</f>
        <v>0</v>
      </c>
      <c r="I80" s="577" t="n">
        <f aca="true">IF('Datos generales'!$D$22&lt;=0,OFFSET('Préstamos LP'!$X$35,'Datos generales'!H1,0,1,1),0)</f>
        <v>0</v>
      </c>
      <c r="J80" s="577" t="n">
        <f aca="true">IF('Datos generales'!$D$22&lt;=0,OFFSET('Préstamos LP'!$X$35,'Datos generales'!I1,0,1,1),0)</f>
        <v>0</v>
      </c>
      <c r="K80" s="577" t="n">
        <f aca="true">IF('Datos generales'!$D$22&lt;=0,OFFSET('Préstamos LP'!$X$35,'Datos generales'!J1,0,1,1),0)</f>
        <v>0</v>
      </c>
      <c r="L80" s="577" t="n">
        <f aca="true">IF('Datos generales'!$D$22&lt;=0,OFFSET('Préstamos LP'!$X$35,'Datos generales'!K1,0,1,1),0)</f>
        <v>0</v>
      </c>
      <c r="M80" s="577" t="n">
        <f aca="true">IF('Datos generales'!$D$22&lt;=0,OFFSET('Préstamos LP'!$X$35,'Datos generales'!L1,0,1,1),0)</f>
        <v>0</v>
      </c>
      <c r="N80" s="577" t="n">
        <f aca="true">IF('Datos generales'!$D$22&lt;=0,OFFSET('Préstamos LP'!$X$35,'Datos generales'!M1,0,1,1),0)</f>
        <v>0</v>
      </c>
      <c r="O80" s="577" t="n">
        <f aca="true">IF('Datos generales'!$D$22&lt;=0,OFFSET('Préstamos LP'!$X$35,'Datos generales'!N1,0,1,1),0)</f>
        <v>0</v>
      </c>
      <c r="P80" s="577" t="n">
        <f aca="true">IF('Datos generales'!$D$22&lt;=0,OFFSET('Préstamos LP'!$X$35,'Datos generales'!O1,0,1,1),0)</f>
        <v>0</v>
      </c>
      <c r="Q80" s="578" t="n">
        <f aca="false">IF('Datos generales'!$D$22&lt;=0,'Datos generales'!D19*('Entrada Inver_Finan'!F63-'Préstamos LP'!J12),0)</f>
        <v>0</v>
      </c>
      <c r="R80" s="540" t="n">
        <f aca="false">SUM(D80:P80)</f>
        <v>0</v>
      </c>
      <c r="S80" s="93"/>
      <c r="T80" s="93"/>
      <c r="U80" s="93"/>
      <c r="V80" s="93"/>
    </row>
    <row r="81" customFormat="false" ht="12.75" hidden="false" customHeight="false" outlineLevel="0" collapsed="false">
      <c r="B81" s="470"/>
      <c r="C81" s="569" t="str">
        <f aca="false">'Previsión de Gastos'!B24</f>
        <v>Total Tributos e impuestos</v>
      </c>
      <c r="D81" s="579" t="n">
        <f aca="false">SUM(D77:D80)</f>
        <v>0</v>
      </c>
      <c r="E81" s="362" t="n">
        <f aca="false">SUM(E77:E80)</f>
        <v>0</v>
      </c>
      <c r="F81" s="362" t="n">
        <f aca="false">SUM(F77:F80)</f>
        <v>0</v>
      </c>
      <c r="G81" s="362" t="n">
        <f aca="false">SUM(G77:G80)</f>
        <v>0</v>
      </c>
      <c r="H81" s="362" t="n">
        <f aca="false">SUM(H77:H80)</f>
        <v>0</v>
      </c>
      <c r="I81" s="362" t="n">
        <f aca="false">SUM(I77:I80)</f>
        <v>0</v>
      </c>
      <c r="J81" s="362" t="n">
        <f aca="false">SUM(J77:J80)</f>
        <v>0</v>
      </c>
      <c r="K81" s="362" t="n">
        <f aca="false">SUM(K77:K80)</f>
        <v>0</v>
      </c>
      <c r="L81" s="362" t="n">
        <f aca="false">SUM(L77:L80)</f>
        <v>0</v>
      </c>
      <c r="M81" s="362" t="n">
        <f aca="false">SUM(M77:M80)</f>
        <v>0</v>
      </c>
      <c r="N81" s="362" t="n">
        <f aca="false">SUM(N77:N80)</f>
        <v>0</v>
      </c>
      <c r="O81" s="362" t="n">
        <f aca="false">SUM(O77:O80)</f>
        <v>0</v>
      </c>
      <c r="P81" s="362" t="n">
        <f aca="false">SUM(P77:P80)</f>
        <v>0</v>
      </c>
      <c r="Q81" s="580" t="n">
        <f aca="false">SUM(Q77:Q80)</f>
        <v>0</v>
      </c>
      <c r="R81" s="581" t="n">
        <f aca="false">SUM(D81:Q81)</f>
        <v>0</v>
      </c>
    </row>
    <row r="82" customFormat="false" ht="12.75" hidden="false" customHeight="false" outlineLevel="0" collapsed="false">
      <c r="B82" s="474"/>
      <c r="C82" s="23" t="str">
        <f aca="false">'Previsión de Gastos'!B31</f>
        <v>Gastos comerciales:</v>
      </c>
      <c r="Q82" s="313"/>
      <c r="R82" s="575" t="n">
        <f aca="false">SUM(D82:Q82)</f>
        <v>0</v>
      </c>
    </row>
    <row r="83" customFormat="false" ht="12.75" hidden="false" customHeight="false" outlineLevel="0" collapsed="false">
      <c r="B83" s="474"/>
      <c r="C83" s="350" t="str">
        <f aca="false">'Previsión de Gastos'!B32</f>
        <v>Publicidad y propaganda</v>
      </c>
      <c r="D83" s="562"/>
      <c r="E83" s="563" t="n">
        <f aca="false">IF('Datos generales'!$O$10&gt;'Datos generales'!E$1,0,'Previsión de Gastos'!C32)</f>
        <v>0</v>
      </c>
      <c r="F83" s="563" t="n">
        <f aca="false">IF('Datos generales'!$O$10&gt;'Datos generales'!F$1,0,'Previsión de Gastos'!D32)</f>
        <v>0</v>
      </c>
      <c r="G83" s="563" t="n">
        <f aca="false">IF('Datos generales'!$O$10&gt;'Datos generales'!G$1,0,'Previsión de Gastos'!E32)</f>
        <v>0</v>
      </c>
      <c r="H83" s="563" t="n">
        <f aca="false">IF('Datos generales'!$O$10&gt;'Datos generales'!H$1,0,'Previsión de Gastos'!F32)</f>
        <v>0</v>
      </c>
      <c r="I83" s="563" t="n">
        <f aca="false">IF('Datos generales'!$O$10&gt;'Datos generales'!I$1,0,'Previsión de Gastos'!G32)</f>
        <v>0</v>
      </c>
      <c r="J83" s="563" t="n">
        <f aca="false">IF('Datos generales'!$O$10&gt;'Datos generales'!J$1,0,'Previsión de Gastos'!H32)</f>
        <v>0</v>
      </c>
      <c r="K83" s="563" t="n">
        <f aca="false">IF('Datos generales'!$O$10&gt;'Datos generales'!K$1,0,'Previsión de Gastos'!I32)</f>
        <v>0</v>
      </c>
      <c r="L83" s="563" t="n">
        <f aca="false">IF('Datos generales'!$O$10&gt;'Datos generales'!L$1,0,'Previsión de Gastos'!J32)</f>
        <v>0</v>
      </c>
      <c r="M83" s="563" t="n">
        <f aca="false">IF('Datos generales'!$O$10&gt;'Datos generales'!M$1,0,'Previsión de Gastos'!K32)</f>
        <v>0</v>
      </c>
      <c r="N83" s="563" t="n">
        <f aca="false">IF('Datos generales'!$O$10&gt;'Datos generales'!N$1,0,'Previsión de Gastos'!L32)</f>
        <v>0</v>
      </c>
      <c r="O83" s="563" t="n">
        <f aca="false">IF('Datos generales'!$O$10&gt;'Datos generales'!O$1,0,'Previsión de Gastos'!M32)</f>
        <v>0</v>
      </c>
      <c r="P83" s="563" t="n">
        <f aca="false">IF('Datos generales'!$O$10&gt;'Datos generales'!P$1,0,'Previsión de Gastos'!N32)</f>
        <v>0</v>
      </c>
      <c r="Q83" s="564"/>
      <c r="R83" s="551" t="n">
        <f aca="false">SUM(D83:Q83)</f>
        <v>0</v>
      </c>
    </row>
    <row r="84" customFormat="false" ht="12.75" hidden="false" customHeight="false" outlineLevel="0" collapsed="false">
      <c r="B84" s="474"/>
      <c r="C84" s="350" t="n">
        <f aca="false">'Previsión de Gastos'!B33</f>
        <v>0</v>
      </c>
      <c r="D84" s="576"/>
      <c r="E84" s="526" t="n">
        <f aca="false">IF('Datos generales'!$O$10&gt;'Datos generales'!E$1,0,'Previsión de Gastos'!C33)</f>
        <v>0</v>
      </c>
      <c r="F84" s="526" t="n">
        <f aca="false">IF('Datos generales'!$O$10&gt;'Datos generales'!F$1,0,'Previsión de Gastos'!D33)</f>
        <v>0</v>
      </c>
      <c r="G84" s="526" t="n">
        <f aca="false">IF('Datos generales'!$O$10&gt;'Datos generales'!G$1,0,'Previsión de Gastos'!E33)</f>
        <v>0</v>
      </c>
      <c r="H84" s="526" t="n">
        <f aca="false">IF('Datos generales'!$O$10&gt;'Datos generales'!H$1,0,'Previsión de Gastos'!F33)</f>
        <v>0</v>
      </c>
      <c r="I84" s="526" t="n">
        <f aca="false">IF('Datos generales'!$O$10&gt;'Datos generales'!I$1,0,'Previsión de Gastos'!G33)</f>
        <v>0</v>
      </c>
      <c r="J84" s="526" t="n">
        <f aca="false">IF('Datos generales'!$O$10&gt;'Datos generales'!J$1,0,'Previsión de Gastos'!H33)</f>
        <v>0</v>
      </c>
      <c r="K84" s="526" t="n">
        <f aca="false">IF('Datos generales'!$O$10&gt;'Datos generales'!K$1,0,'Previsión de Gastos'!I33)</f>
        <v>0</v>
      </c>
      <c r="L84" s="526" t="n">
        <f aca="false">IF('Datos generales'!$O$10&gt;'Datos generales'!L$1,0,'Previsión de Gastos'!J33)</f>
        <v>0</v>
      </c>
      <c r="M84" s="526" t="n">
        <f aca="false">IF('Datos generales'!$O$10&gt;'Datos generales'!M$1,0,'Previsión de Gastos'!K33)</f>
        <v>0</v>
      </c>
      <c r="N84" s="526" t="n">
        <f aca="false">IF('Datos generales'!$O$10&gt;'Datos generales'!N$1,0,'Previsión de Gastos'!L33)</f>
        <v>0</v>
      </c>
      <c r="O84" s="526" t="n">
        <f aca="false">IF('Datos generales'!$O$10&gt;'Datos generales'!O$1,0,'Previsión de Gastos'!M33)</f>
        <v>0</v>
      </c>
      <c r="P84" s="526" t="n">
        <f aca="false">IF('Datos generales'!$O$10&gt;'Datos generales'!P$1,0,'Previsión de Gastos'!N33)</f>
        <v>0</v>
      </c>
      <c r="Q84" s="567"/>
      <c r="R84" s="540" t="n">
        <f aca="false">SUM(D84:Q84)</f>
        <v>0</v>
      </c>
    </row>
    <row r="85" customFormat="false" ht="12.75" hidden="false" customHeight="false" outlineLevel="0" collapsed="false">
      <c r="B85" s="474"/>
      <c r="C85" s="350" t="n">
        <f aca="false">'Previsión de Gastos'!B34</f>
        <v>0</v>
      </c>
      <c r="D85" s="576"/>
      <c r="E85" s="526" t="n">
        <f aca="false">IF('Datos generales'!$O$10&gt;'Datos generales'!E$1,0,'Previsión de Gastos'!C34)</f>
        <v>0</v>
      </c>
      <c r="F85" s="526" t="n">
        <f aca="false">IF('Datos generales'!$O$10&gt;'Datos generales'!F$1,0,'Previsión de Gastos'!D34)</f>
        <v>0</v>
      </c>
      <c r="G85" s="526" t="n">
        <f aca="false">IF('Datos generales'!$O$10&gt;'Datos generales'!G$1,0,'Previsión de Gastos'!E34)</f>
        <v>0</v>
      </c>
      <c r="H85" s="526" t="n">
        <f aca="false">IF('Datos generales'!$O$10&gt;'Datos generales'!H$1,0,'Previsión de Gastos'!F34)</f>
        <v>0</v>
      </c>
      <c r="I85" s="526" t="n">
        <f aca="false">IF('Datos generales'!$O$10&gt;'Datos generales'!I$1,0,'Previsión de Gastos'!G34)</f>
        <v>0</v>
      </c>
      <c r="J85" s="526" t="n">
        <f aca="false">IF('Datos generales'!$O$10&gt;'Datos generales'!J$1,0,'Previsión de Gastos'!H34)</f>
        <v>0</v>
      </c>
      <c r="K85" s="526" t="n">
        <f aca="false">IF('Datos generales'!$O$10&gt;'Datos generales'!K$1,0,'Previsión de Gastos'!I34)</f>
        <v>0</v>
      </c>
      <c r="L85" s="526" t="n">
        <f aca="false">IF('Datos generales'!$O$10&gt;'Datos generales'!L$1,0,'Previsión de Gastos'!J34)</f>
        <v>0</v>
      </c>
      <c r="M85" s="526" t="n">
        <f aca="false">IF('Datos generales'!$O$10&gt;'Datos generales'!M$1,0,'Previsión de Gastos'!K34)</f>
        <v>0</v>
      </c>
      <c r="N85" s="526" t="n">
        <f aca="false">IF('Datos generales'!$O$10&gt;'Datos generales'!N$1,0,'Previsión de Gastos'!L34)</f>
        <v>0</v>
      </c>
      <c r="O85" s="526" t="n">
        <f aca="false">IF('Datos generales'!$O$10&gt;'Datos generales'!O$1,0,'Previsión de Gastos'!M34)</f>
        <v>0</v>
      </c>
      <c r="P85" s="526" t="n">
        <f aca="false">IF('Datos generales'!$O$10&gt;'Datos generales'!P$1,0,'Previsión de Gastos'!N34)</f>
        <v>0</v>
      </c>
      <c r="Q85" s="567"/>
      <c r="R85" s="540" t="n">
        <f aca="false">SUM(D85:Q85)</f>
        <v>0</v>
      </c>
    </row>
    <row r="86" s="23" customFormat="true" ht="12.75" hidden="false" customHeight="false" outlineLevel="0" collapsed="false">
      <c r="B86" s="474"/>
      <c r="C86" s="469" t="s">
        <v>136</v>
      </c>
      <c r="D86" s="582"/>
      <c r="E86" s="583" t="n">
        <f aca="false">SUM(E83:E85)</f>
        <v>0</v>
      </c>
      <c r="F86" s="583" t="n">
        <f aca="false">SUM(F83:F85)</f>
        <v>0</v>
      </c>
      <c r="G86" s="583" t="n">
        <f aca="false">SUM(G83:G85)</f>
        <v>0</v>
      </c>
      <c r="H86" s="583" t="n">
        <f aca="false">SUM(H83:H85)</f>
        <v>0</v>
      </c>
      <c r="I86" s="583" t="n">
        <f aca="false">SUM(I83:I85)</f>
        <v>0</v>
      </c>
      <c r="J86" s="583" t="n">
        <f aca="false">SUM(J83:J85)</f>
        <v>0</v>
      </c>
      <c r="K86" s="583" t="n">
        <f aca="false">SUM(K83:K85)</f>
        <v>0</v>
      </c>
      <c r="L86" s="583" t="n">
        <f aca="false">SUM(L83:L85)</f>
        <v>0</v>
      </c>
      <c r="M86" s="583" t="n">
        <f aca="false">SUM(M83:M85)</f>
        <v>0</v>
      </c>
      <c r="N86" s="583" t="n">
        <f aca="false">SUM(N83:N85)</f>
        <v>0</v>
      </c>
      <c r="O86" s="583" t="n">
        <f aca="false">SUM(O83:O85)</f>
        <v>0</v>
      </c>
      <c r="P86" s="583" t="n">
        <f aca="false">SUM(P83:P85)</f>
        <v>0</v>
      </c>
      <c r="Q86" s="584" t="n">
        <f aca="false">SUM(Q83:Q85)</f>
        <v>0</v>
      </c>
      <c r="R86" s="585" t="n">
        <f aca="false">SUM(D86:Q86)</f>
        <v>0</v>
      </c>
    </row>
    <row r="87" customFormat="false" ht="12.75" hidden="false" customHeight="false" outlineLevel="0" collapsed="false">
      <c r="B87" s="474"/>
      <c r="C87" s="358" t="s">
        <v>429</v>
      </c>
      <c r="D87" s="526"/>
      <c r="E87" s="526" t="n">
        <f aca="false">IF('Datos generales'!$O$10&gt;'Datos generales'!E$1,0,IF('Datos generales'!$D$22&lt;=0,'Datos generales'!$D$19*E86,0))</f>
        <v>0</v>
      </c>
      <c r="F87" s="526" t="n">
        <f aca="false">IF('Datos generales'!$O$10&gt;'Datos generales'!F$1,0,IF('Datos generales'!$D$22&lt;=0,'Datos generales'!$D$19*F86,0))</f>
        <v>0</v>
      </c>
      <c r="G87" s="526" t="n">
        <f aca="false">IF('Datos generales'!$O$10&gt;'Datos generales'!G$1,0,IF('Datos generales'!$D$22&lt;=0,'Datos generales'!$D$19*G86,0))</f>
        <v>0</v>
      </c>
      <c r="H87" s="526" t="n">
        <f aca="false">IF('Datos generales'!$O$10&gt;'Datos generales'!H$1,0,IF('Datos generales'!$D$22&lt;=0,'Datos generales'!$D$19*H86,0))</f>
        <v>0</v>
      </c>
      <c r="I87" s="526" t="n">
        <f aca="false">IF('Datos generales'!$O$10&gt;'Datos generales'!I$1,0,IF('Datos generales'!$D$22&lt;=0,'Datos generales'!$D$19*I86,0))</f>
        <v>0</v>
      </c>
      <c r="J87" s="526" t="n">
        <f aca="false">IF('Datos generales'!$O$10&gt;'Datos generales'!J$1,0,IF('Datos generales'!$D$22&lt;=0,'Datos generales'!$D$19*J86,0))</f>
        <v>0</v>
      </c>
      <c r="K87" s="526" t="n">
        <f aca="false">IF('Datos generales'!$O$10&gt;'Datos generales'!K$1,0,IF('Datos generales'!$D$22&lt;=0,'Datos generales'!$D$19*K86,0))</f>
        <v>0</v>
      </c>
      <c r="L87" s="526" t="n">
        <f aca="false">IF('Datos generales'!$O$10&gt;'Datos generales'!L$1,0,IF('Datos generales'!$D$22&lt;=0,'Datos generales'!$D$19*L86,0))</f>
        <v>0</v>
      </c>
      <c r="M87" s="526" t="n">
        <f aca="false">IF('Datos generales'!$O$10&gt;'Datos generales'!M$1,0,IF('Datos generales'!$D$22&lt;=0,'Datos generales'!$D$19*M86,0))</f>
        <v>0</v>
      </c>
      <c r="N87" s="526" t="n">
        <f aca="false">IF('Datos generales'!$O$10&gt;'Datos generales'!N$1,0,IF('Datos generales'!$D$22&lt;=0,'Datos generales'!$D$19*N86,0))</f>
        <v>0</v>
      </c>
      <c r="O87" s="526" t="n">
        <f aca="false">IF('Datos generales'!$O$10&gt;'Datos generales'!O$1,0,IF('Datos generales'!$D$22&lt;=0,'Datos generales'!$D$19*O86,0))</f>
        <v>0</v>
      </c>
      <c r="P87" s="526" t="n">
        <f aca="false">IF('Datos generales'!$O$10&gt;'Datos generales'!P$1,0,IF('Datos generales'!$D$22&lt;=0,'Datos generales'!$D$19*P86,0))</f>
        <v>0</v>
      </c>
      <c r="Q87" s="567"/>
      <c r="R87" s="540" t="n">
        <f aca="false">SUM(D87:Q87)</f>
        <v>0</v>
      </c>
    </row>
    <row r="88" customFormat="false" ht="12.75" hidden="false" customHeight="false" outlineLevel="0" collapsed="false">
      <c r="B88" s="470"/>
      <c r="C88" s="569" t="str">
        <f aca="false">'Previsión de Gastos'!B35</f>
        <v>Total Gastos comerciales</v>
      </c>
      <c r="D88" s="579" t="n">
        <f aca="false">SUM(D82:D87)</f>
        <v>0</v>
      </c>
      <c r="E88" s="362" t="n">
        <f aca="false">SUM(E86:E87)</f>
        <v>0</v>
      </c>
      <c r="F88" s="362" t="n">
        <f aca="false">SUM(F86:F87)</f>
        <v>0</v>
      </c>
      <c r="G88" s="362" t="n">
        <f aca="false">SUM(G86:G87)</f>
        <v>0</v>
      </c>
      <c r="H88" s="362" t="n">
        <f aca="false">SUM(H86:H87)</f>
        <v>0</v>
      </c>
      <c r="I88" s="362" t="n">
        <f aca="false">SUM(I86:I87)</f>
        <v>0</v>
      </c>
      <c r="J88" s="362" t="n">
        <f aca="false">SUM(J86:J87)</f>
        <v>0</v>
      </c>
      <c r="K88" s="362" t="n">
        <f aca="false">SUM(K86:K87)</f>
        <v>0</v>
      </c>
      <c r="L88" s="362" t="n">
        <f aca="false">SUM(L86:L87)</f>
        <v>0</v>
      </c>
      <c r="M88" s="362" t="n">
        <f aca="false">SUM(M86:M87)</f>
        <v>0</v>
      </c>
      <c r="N88" s="362" t="n">
        <f aca="false">SUM(N86:N87)</f>
        <v>0</v>
      </c>
      <c r="O88" s="362" t="n">
        <f aca="false">SUM(O86:O87)</f>
        <v>0</v>
      </c>
      <c r="P88" s="362" t="n">
        <f aca="false">SUM(P86:P87)</f>
        <v>0</v>
      </c>
      <c r="Q88" s="580" t="n">
        <f aca="false">SUM(Q86:Q87)</f>
        <v>0</v>
      </c>
      <c r="R88" s="581" t="n">
        <f aca="false">SUM(D88:Q88)</f>
        <v>0</v>
      </c>
    </row>
    <row r="89" customFormat="false" ht="12.75" hidden="false" customHeight="false" outlineLevel="0" collapsed="false">
      <c r="B89" s="474"/>
      <c r="C89" s="23" t="str">
        <f aca="false">'Previsión de Gastos'!B36</f>
        <v>Otros gastos (Servicios exteriores):</v>
      </c>
      <c r="D89" s="561"/>
      <c r="E89" s="476"/>
      <c r="F89" s="476"/>
      <c r="G89" s="476"/>
      <c r="H89" s="476"/>
      <c r="I89" s="476"/>
      <c r="J89" s="476"/>
      <c r="K89" s="476"/>
      <c r="L89" s="476"/>
      <c r="M89" s="476"/>
      <c r="N89" s="476"/>
      <c r="O89" s="476"/>
      <c r="P89" s="476"/>
      <c r="Q89" s="535"/>
      <c r="R89" s="536"/>
      <c r="S89" s="476"/>
      <c r="T89" s="476"/>
      <c r="U89" s="476"/>
    </row>
    <row r="90" customFormat="false" ht="12.75" hidden="false" customHeight="false" outlineLevel="0" collapsed="false">
      <c r="B90" s="470"/>
      <c r="C90" s="548" t="s">
        <v>430</v>
      </c>
      <c r="D90" s="586" t="n">
        <f aca="false">'Entrada Inver_Finan'!D75-'Entrada Inver_Finan'!D66</f>
        <v>850</v>
      </c>
      <c r="E90" s="587"/>
      <c r="F90" s="587"/>
      <c r="G90" s="587"/>
      <c r="H90" s="587"/>
      <c r="I90" s="587"/>
      <c r="J90" s="587"/>
      <c r="K90" s="587"/>
      <c r="L90" s="587"/>
      <c r="M90" s="587"/>
      <c r="N90" s="587"/>
      <c r="O90" s="587"/>
      <c r="P90" s="587"/>
      <c r="Q90" s="588"/>
      <c r="R90" s="589" t="n">
        <f aca="false">SUM(D90:Q90)</f>
        <v>850</v>
      </c>
      <c r="S90" s="476"/>
      <c r="T90" s="476"/>
      <c r="U90" s="476"/>
    </row>
    <row r="91" customFormat="false" ht="12.75" hidden="false" customHeight="false" outlineLevel="0" collapsed="false">
      <c r="B91" s="474"/>
      <c r="C91" s="350" t="str">
        <f aca="false">'Previsión de Gastos'!B37</f>
        <v>Suministros: luz, agua, teléfono, etc.</v>
      </c>
      <c r="D91" s="565"/>
      <c r="E91" s="566" t="n">
        <f aca="false">IF('Datos generales'!$O$10&gt;'Datos generales'!E$1,0,'Previsión de Gastos'!C37)</f>
        <v>0</v>
      </c>
      <c r="F91" s="566" t="n">
        <f aca="false">IF('Datos generales'!$O$10&gt;'Datos generales'!F$1,0,'Previsión de Gastos'!D37)</f>
        <v>0</v>
      </c>
      <c r="G91" s="566" t="n">
        <f aca="false">IF('Datos generales'!$O$10&gt;'Datos generales'!G$1,0,'Previsión de Gastos'!E37)</f>
        <v>0</v>
      </c>
      <c r="H91" s="566" t="n">
        <f aca="false">IF('Datos generales'!$O$10&gt;'Datos generales'!H$1,0,'Previsión de Gastos'!F37)</f>
        <v>0</v>
      </c>
      <c r="I91" s="566" t="n">
        <f aca="false">IF('Datos generales'!$O$10&gt;'Datos generales'!I$1,0,'Previsión de Gastos'!G37)</f>
        <v>0</v>
      </c>
      <c r="J91" s="566" t="n">
        <f aca="false">IF('Datos generales'!$O$10&gt;'Datos generales'!J$1,0,'Previsión de Gastos'!H37)</f>
        <v>0</v>
      </c>
      <c r="K91" s="566" t="n">
        <f aca="false">IF('Datos generales'!$O$10&gt;'Datos generales'!K$1,0,'Previsión de Gastos'!I37)</f>
        <v>0</v>
      </c>
      <c r="L91" s="566" t="n">
        <f aca="false">IF('Datos generales'!$O$10&gt;'Datos generales'!L$1,0,'Previsión de Gastos'!J37)</f>
        <v>0</v>
      </c>
      <c r="M91" s="566" t="n">
        <f aca="false">IF('Datos generales'!$O$10&gt;'Datos generales'!M$1,0,'Previsión de Gastos'!K37)</f>
        <v>0</v>
      </c>
      <c r="N91" s="566" t="n">
        <f aca="false">IF('Datos generales'!$O$10&gt;'Datos generales'!N$1,0,'Previsión de Gastos'!L37)</f>
        <v>0</v>
      </c>
      <c r="O91" s="566" t="n">
        <f aca="false">IF('Datos generales'!$O$10&gt;'Datos generales'!O$1,0,'Previsión de Gastos'!M37)</f>
        <v>0</v>
      </c>
      <c r="P91" s="566" t="n">
        <f aca="false">IF('Datos generales'!$O$10&gt;'Datos generales'!P$1,0,'Previsión de Gastos'!N37)</f>
        <v>0</v>
      </c>
      <c r="Q91" s="588"/>
      <c r="R91" s="589" t="n">
        <f aca="false">SUM(D91:Q91)</f>
        <v>0</v>
      </c>
      <c r="S91" s="476"/>
      <c r="T91" s="476"/>
      <c r="U91" s="476"/>
    </row>
    <row r="92" customFormat="false" ht="12.75" hidden="false" customHeight="false" outlineLevel="0" collapsed="false">
      <c r="B92" s="474"/>
      <c r="C92" s="350" t="str">
        <f aca="false">'Previsión de Gastos'!B38</f>
        <v>Servicios de profesionales indep.</v>
      </c>
      <c r="D92" s="538"/>
      <c r="E92" s="448" t="n">
        <f aca="false">IF('Datos generales'!$O$10&gt;'Datos generales'!E$1,0,'Previsión de Gastos'!C38)</f>
        <v>0</v>
      </c>
      <c r="F92" s="448" t="n">
        <f aca="false">IF('Datos generales'!$O$10&gt;'Datos generales'!F$1,0,'Previsión de Gastos'!D38)</f>
        <v>0</v>
      </c>
      <c r="G92" s="448" t="n">
        <f aca="false">IF('Datos generales'!$O$10&gt;'Datos generales'!G$1,0,'Previsión de Gastos'!E38)</f>
        <v>0</v>
      </c>
      <c r="H92" s="448" t="n">
        <f aca="false">IF('Datos generales'!$O$10&gt;'Datos generales'!H$1,0,'Previsión de Gastos'!F38)</f>
        <v>0</v>
      </c>
      <c r="I92" s="448" t="n">
        <f aca="false">IF('Datos generales'!$O$10&gt;'Datos generales'!I$1,0,'Previsión de Gastos'!G38)</f>
        <v>0</v>
      </c>
      <c r="J92" s="448" t="n">
        <f aca="false">IF('Datos generales'!$O$10&gt;'Datos generales'!J$1,0,'Previsión de Gastos'!H38)</f>
        <v>0</v>
      </c>
      <c r="K92" s="448" t="n">
        <f aca="false">IF('Datos generales'!$O$10&gt;'Datos generales'!K$1,0,'Previsión de Gastos'!I38)</f>
        <v>0</v>
      </c>
      <c r="L92" s="448" t="n">
        <f aca="false">IF('Datos generales'!$O$10&gt;'Datos generales'!L$1,0,'Previsión de Gastos'!J38)</f>
        <v>0</v>
      </c>
      <c r="M92" s="448" t="n">
        <f aca="false">IF('Datos generales'!$O$10&gt;'Datos generales'!M$1,0,'Previsión de Gastos'!K38)</f>
        <v>0</v>
      </c>
      <c r="N92" s="448" t="n">
        <f aca="false">IF('Datos generales'!$O$10&gt;'Datos generales'!N$1,0,'Previsión de Gastos'!L38)</f>
        <v>0</v>
      </c>
      <c r="O92" s="448" t="n">
        <f aca="false">IF('Datos generales'!$O$10&gt;'Datos generales'!O$1,0,'Previsión de Gastos'!M38)</f>
        <v>0</v>
      </c>
      <c r="P92" s="448" t="n">
        <f aca="false">IF('Datos generales'!$O$10&gt;'Datos generales'!P$1,0,'Previsión de Gastos'!N38)</f>
        <v>0</v>
      </c>
      <c r="Q92" s="522"/>
      <c r="R92" s="523" t="n">
        <f aca="false">SUM(D92:Q92)</f>
        <v>0</v>
      </c>
      <c r="S92" s="476"/>
      <c r="T92" s="476"/>
      <c r="U92" s="476"/>
    </row>
    <row r="93" customFormat="false" ht="12.75" hidden="false" customHeight="false" outlineLevel="0" collapsed="false">
      <c r="B93" s="474"/>
      <c r="C93" s="350" t="str">
        <f aca="false">'Previsión de Gastos'!B39</f>
        <v>Material de oficina</v>
      </c>
      <c r="D93" s="538"/>
      <c r="E93" s="448" t="n">
        <f aca="false">IF('Datos generales'!$O$10&gt;'Datos generales'!E$1,0,'Previsión de Gastos'!C39)</f>
        <v>0</v>
      </c>
      <c r="F93" s="448" t="n">
        <f aca="false">IF('Datos generales'!$O$10&gt;'Datos generales'!F$1,0,'Previsión de Gastos'!D39)</f>
        <v>0</v>
      </c>
      <c r="G93" s="448" t="n">
        <f aca="false">IF('Datos generales'!$O$10&gt;'Datos generales'!G$1,0,'Previsión de Gastos'!E39)</f>
        <v>0</v>
      </c>
      <c r="H93" s="448" t="n">
        <f aca="false">IF('Datos generales'!$O$10&gt;'Datos generales'!H$1,0,'Previsión de Gastos'!F39)</f>
        <v>0</v>
      </c>
      <c r="I93" s="448" t="n">
        <f aca="false">IF('Datos generales'!$O$10&gt;'Datos generales'!I$1,0,'Previsión de Gastos'!G39)</f>
        <v>0</v>
      </c>
      <c r="J93" s="448" t="n">
        <f aca="false">IF('Datos generales'!$O$10&gt;'Datos generales'!J$1,0,'Previsión de Gastos'!H39)</f>
        <v>0</v>
      </c>
      <c r="K93" s="448" t="n">
        <f aca="false">IF('Datos generales'!$O$10&gt;'Datos generales'!K$1,0,'Previsión de Gastos'!I39)</f>
        <v>0</v>
      </c>
      <c r="L93" s="448" t="n">
        <f aca="false">IF('Datos generales'!$O$10&gt;'Datos generales'!L$1,0,'Previsión de Gastos'!J39)</f>
        <v>0</v>
      </c>
      <c r="M93" s="448" t="n">
        <f aca="false">IF('Datos generales'!$O$10&gt;'Datos generales'!M$1,0,'Previsión de Gastos'!K39)</f>
        <v>0</v>
      </c>
      <c r="N93" s="448" t="n">
        <f aca="false">IF('Datos generales'!$O$10&gt;'Datos generales'!N$1,0,'Previsión de Gastos'!L39)</f>
        <v>0</v>
      </c>
      <c r="O93" s="448" t="n">
        <f aca="false">IF('Datos generales'!$O$10&gt;'Datos generales'!O$1,0,'Previsión de Gastos'!M39)</f>
        <v>0</v>
      </c>
      <c r="P93" s="448" t="n">
        <f aca="false">IF('Datos generales'!$O$10&gt;'Datos generales'!P$1,0,'Previsión de Gastos'!N39)</f>
        <v>0</v>
      </c>
      <c r="Q93" s="522"/>
      <c r="R93" s="523" t="n">
        <f aca="false">SUM(D93:Q93)</f>
        <v>0</v>
      </c>
      <c r="S93" s="476"/>
      <c r="T93" s="476"/>
      <c r="U93" s="476"/>
    </row>
    <row r="94" customFormat="false" ht="12.75" hidden="false" customHeight="false" outlineLevel="0" collapsed="false">
      <c r="B94" s="474"/>
      <c r="C94" s="350" t="str">
        <f aca="false">'Previsión de Gastos'!B40</f>
        <v>Primas de Seguros</v>
      </c>
      <c r="D94" s="576"/>
      <c r="E94" s="526" t="n">
        <f aca="false">IF('Datos generales'!$O$10&gt;'Datos generales'!E$1,0,'Previsión de Gastos'!C40)</f>
        <v>0</v>
      </c>
      <c r="F94" s="526" t="n">
        <f aca="false">IF('Datos generales'!$O$10&gt;'Datos generales'!F$1,0,'Previsión de Gastos'!D40)</f>
        <v>0</v>
      </c>
      <c r="G94" s="526" t="n">
        <f aca="false">IF('Datos generales'!$O$10&gt;'Datos generales'!G$1,0,'Previsión de Gastos'!E40)</f>
        <v>0</v>
      </c>
      <c r="H94" s="526" t="n">
        <f aca="false">IF('Datos generales'!$O$10&gt;'Datos generales'!H$1,0,'Previsión de Gastos'!F40)</f>
        <v>0</v>
      </c>
      <c r="I94" s="526" t="n">
        <f aca="false">IF('Datos generales'!$O$10&gt;'Datos generales'!I$1,0,'Previsión de Gastos'!G40)</f>
        <v>0</v>
      </c>
      <c r="J94" s="526" t="n">
        <f aca="false">IF('Datos generales'!$O$10&gt;'Datos generales'!J$1,0,'Previsión de Gastos'!H40)</f>
        <v>0</v>
      </c>
      <c r="K94" s="526" t="n">
        <f aca="false">IF('Datos generales'!$O$10&gt;'Datos generales'!K$1,0,'Previsión de Gastos'!I40)</f>
        <v>0</v>
      </c>
      <c r="L94" s="526" t="n">
        <f aca="false">IF('Datos generales'!$O$10&gt;'Datos generales'!L$1,0,'Previsión de Gastos'!J40)</f>
        <v>0</v>
      </c>
      <c r="M94" s="526" t="n">
        <f aca="false">IF('Datos generales'!$O$10&gt;'Datos generales'!M$1,0,'Previsión de Gastos'!K40)</f>
        <v>0</v>
      </c>
      <c r="N94" s="526" t="n">
        <f aca="false">IF('Datos generales'!$O$10&gt;'Datos generales'!N$1,0,'Previsión de Gastos'!L40)</f>
        <v>0</v>
      </c>
      <c r="O94" s="526" t="n">
        <f aca="false">IF('Datos generales'!$O$10&gt;'Datos generales'!O$1,0,'Previsión de Gastos'!M40)</f>
        <v>0</v>
      </c>
      <c r="P94" s="526" t="n">
        <f aca="false">IF('Datos generales'!$O$10&gt;'Datos generales'!P$1,0,'Previsión de Gastos'!N40)</f>
        <v>0</v>
      </c>
      <c r="Q94" s="567"/>
      <c r="R94" s="540" t="n">
        <f aca="false">SUM(D94:Q94)</f>
        <v>0</v>
      </c>
    </row>
    <row r="95" customFormat="false" ht="12.75" hidden="false" customHeight="false" outlineLevel="0" collapsed="false">
      <c r="B95" s="474"/>
      <c r="C95" s="350" t="str">
        <f aca="false">'Previsión de Gastos'!B41</f>
        <v>Trabajos realizados por otras empresas</v>
      </c>
      <c r="D95" s="576"/>
      <c r="E95" s="526" t="n">
        <f aca="false">IF('Datos generales'!$O$10&gt;'Datos generales'!E$1,0,'Previsión de Gastos'!C41)</f>
        <v>0</v>
      </c>
      <c r="F95" s="526" t="n">
        <f aca="false">IF('Datos generales'!$O$10&gt;'Datos generales'!F$1,0,'Previsión de Gastos'!D41)</f>
        <v>0</v>
      </c>
      <c r="G95" s="526" t="n">
        <f aca="false">IF('Datos generales'!$O$10&gt;'Datos generales'!G$1,0,'Previsión de Gastos'!E41)</f>
        <v>0</v>
      </c>
      <c r="H95" s="526" t="n">
        <f aca="false">IF('Datos generales'!$O$10&gt;'Datos generales'!H$1,0,'Previsión de Gastos'!F41)</f>
        <v>0</v>
      </c>
      <c r="I95" s="526" t="n">
        <f aca="false">IF('Datos generales'!$O$10&gt;'Datos generales'!I$1,0,'Previsión de Gastos'!G41)</f>
        <v>0</v>
      </c>
      <c r="J95" s="526" t="n">
        <f aca="false">IF('Datos generales'!$O$10&gt;'Datos generales'!J$1,0,'Previsión de Gastos'!H41)</f>
        <v>0</v>
      </c>
      <c r="K95" s="526" t="n">
        <f aca="false">IF('Datos generales'!$O$10&gt;'Datos generales'!K$1,0,'Previsión de Gastos'!I41)</f>
        <v>0</v>
      </c>
      <c r="L95" s="526" t="n">
        <f aca="false">IF('Datos generales'!$O$10&gt;'Datos generales'!L$1,0,'Previsión de Gastos'!J41)</f>
        <v>0</v>
      </c>
      <c r="M95" s="526" t="n">
        <f aca="false">IF('Datos generales'!$O$10&gt;'Datos generales'!M$1,0,'Previsión de Gastos'!K41)</f>
        <v>0</v>
      </c>
      <c r="N95" s="526" t="n">
        <f aca="false">IF('Datos generales'!$O$10&gt;'Datos generales'!N$1,0,'Previsión de Gastos'!L41)</f>
        <v>0</v>
      </c>
      <c r="O95" s="526" t="n">
        <f aca="false">IF('Datos generales'!$O$10&gt;'Datos generales'!O$1,0,'Previsión de Gastos'!M41)</f>
        <v>0</v>
      </c>
      <c r="P95" s="526" t="n">
        <f aca="false">IF('Datos generales'!$O$10&gt;'Datos generales'!P$1,0,'Previsión de Gastos'!N41)</f>
        <v>0</v>
      </c>
      <c r="Q95" s="567"/>
      <c r="R95" s="540" t="n">
        <f aca="false">SUM(D95:Q95)</f>
        <v>0</v>
      </c>
    </row>
    <row r="96" customFormat="false" ht="12.75" hidden="false" customHeight="false" outlineLevel="0" collapsed="false">
      <c r="B96" s="474"/>
      <c r="C96" s="350" t="str">
        <f aca="false">'Previsión de Gastos'!B42</f>
        <v>Arrendamientos</v>
      </c>
      <c r="D96" s="538"/>
      <c r="E96" s="448" t="n">
        <f aca="false">IF('Datos generales'!$O$10&gt;'Datos generales'!E$1,0,'Previsión de Gastos'!C42)</f>
        <v>0</v>
      </c>
      <c r="F96" s="448" t="n">
        <f aca="false">IF('Datos generales'!$O$10&gt;'Datos generales'!F$1,0,'Previsión de Gastos'!D42)</f>
        <v>0</v>
      </c>
      <c r="G96" s="448" t="n">
        <f aca="false">IF('Datos generales'!$O$10&gt;'Datos generales'!G$1,0,'Previsión de Gastos'!E42)</f>
        <v>0</v>
      </c>
      <c r="H96" s="448" t="n">
        <f aca="false">IF('Datos generales'!$O$10&gt;'Datos generales'!H$1,0,'Previsión de Gastos'!F42)</f>
        <v>0</v>
      </c>
      <c r="I96" s="448" t="n">
        <f aca="false">IF('Datos generales'!$O$10&gt;'Datos generales'!I$1,0,'Previsión de Gastos'!G42)</f>
        <v>0</v>
      </c>
      <c r="J96" s="448" t="n">
        <f aca="false">IF('Datos generales'!$O$10&gt;'Datos generales'!J$1,0,'Previsión de Gastos'!H42)</f>
        <v>0</v>
      </c>
      <c r="K96" s="448" t="n">
        <f aca="false">IF('Datos generales'!$O$10&gt;'Datos generales'!K$1,0,'Previsión de Gastos'!I42)</f>
        <v>0</v>
      </c>
      <c r="L96" s="448" t="n">
        <f aca="false">IF('Datos generales'!$O$10&gt;'Datos generales'!L$1,0,'Previsión de Gastos'!J42)</f>
        <v>0</v>
      </c>
      <c r="M96" s="448" t="n">
        <f aca="false">IF('Datos generales'!$O$10&gt;'Datos generales'!M$1,0,'Previsión de Gastos'!K42)</f>
        <v>0</v>
      </c>
      <c r="N96" s="448" t="n">
        <f aca="false">IF('Datos generales'!$O$10&gt;'Datos generales'!N$1,0,'Previsión de Gastos'!L42)</f>
        <v>0</v>
      </c>
      <c r="O96" s="448" t="n">
        <f aca="false">IF('Datos generales'!$O$10&gt;'Datos generales'!O$1,0,'Previsión de Gastos'!M42)</f>
        <v>0</v>
      </c>
      <c r="P96" s="448" t="n">
        <f aca="false">IF('Datos generales'!$O$10&gt;'Datos generales'!P$1,0,'Previsión de Gastos'!N42)</f>
        <v>0</v>
      </c>
      <c r="Q96" s="522"/>
      <c r="R96" s="523" t="n">
        <f aca="false">SUM(D96:Q96)</f>
        <v>0</v>
      </c>
      <c r="S96" s="476"/>
      <c r="T96" s="476"/>
      <c r="U96" s="476"/>
    </row>
    <row r="97" customFormat="false" ht="12.75" hidden="false" customHeight="false" outlineLevel="0" collapsed="false">
      <c r="B97" s="474"/>
      <c r="C97" s="350" t="str">
        <f aca="false">'Previsión de Gastos'!B43</f>
        <v>Mantenimiento y reparación</v>
      </c>
      <c r="D97" s="538"/>
      <c r="E97" s="448" t="n">
        <f aca="false">IF('Datos generales'!$O$10&gt;'Datos generales'!E$1,0,'Previsión de Gastos'!C43)</f>
        <v>0</v>
      </c>
      <c r="F97" s="448" t="n">
        <f aca="false">IF('Datos generales'!$O$10&gt;'Datos generales'!F$1,0,'Previsión de Gastos'!D43)</f>
        <v>0</v>
      </c>
      <c r="G97" s="448" t="n">
        <f aca="false">IF('Datos generales'!$O$10&gt;'Datos generales'!G$1,0,'Previsión de Gastos'!E43)</f>
        <v>0</v>
      </c>
      <c r="H97" s="448" t="n">
        <f aca="false">IF('Datos generales'!$O$10&gt;'Datos generales'!H$1,0,'Previsión de Gastos'!F43)</f>
        <v>0</v>
      </c>
      <c r="I97" s="448" t="n">
        <f aca="false">IF('Datos generales'!$O$10&gt;'Datos generales'!I$1,0,'Previsión de Gastos'!G43)</f>
        <v>0</v>
      </c>
      <c r="J97" s="448" t="n">
        <f aca="false">IF('Datos generales'!$O$10&gt;'Datos generales'!J$1,0,'Previsión de Gastos'!H43)</f>
        <v>0</v>
      </c>
      <c r="K97" s="448" t="n">
        <f aca="false">IF('Datos generales'!$O$10&gt;'Datos generales'!K$1,0,'Previsión de Gastos'!I43)</f>
        <v>0</v>
      </c>
      <c r="L97" s="448" t="n">
        <f aca="false">IF('Datos generales'!$O$10&gt;'Datos generales'!L$1,0,'Previsión de Gastos'!J43)</f>
        <v>0</v>
      </c>
      <c r="M97" s="448" t="n">
        <f aca="false">IF('Datos generales'!$O$10&gt;'Datos generales'!M$1,0,'Previsión de Gastos'!K43)</f>
        <v>0</v>
      </c>
      <c r="N97" s="448" t="n">
        <f aca="false">IF('Datos generales'!$O$10&gt;'Datos generales'!N$1,0,'Previsión de Gastos'!L43)</f>
        <v>0</v>
      </c>
      <c r="O97" s="448" t="n">
        <f aca="false">IF('Datos generales'!$O$10&gt;'Datos generales'!O$1,0,'Previsión de Gastos'!M43)</f>
        <v>0</v>
      </c>
      <c r="P97" s="448" t="n">
        <f aca="false">IF('Datos generales'!$O$10&gt;'Datos generales'!P$1,0,'Previsión de Gastos'!N43)</f>
        <v>0</v>
      </c>
      <c r="Q97" s="522"/>
      <c r="R97" s="523" t="n">
        <f aca="false">SUM(D97:Q97)</f>
        <v>0</v>
      </c>
      <c r="S97" s="476"/>
      <c r="T97" s="476"/>
      <c r="U97" s="476"/>
    </row>
    <row r="98" customFormat="false" ht="12.75" hidden="false" customHeight="false" outlineLevel="0" collapsed="false">
      <c r="B98" s="474"/>
      <c r="C98" s="350" t="str">
        <f aca="false">'Previsión de Gastos'!B44</f>
        <v>Limpieza</v>
      </c>
      <c r="D98" s="576"/>
      <c r="E98" s="526" t="n">
        <f aca="false">IF('Datos generales'!$O$10&gt;'Datos generales'!E$1,0,'Previsión de Gastos'!C44)</f>
        <v>0</v>
      </c>
      <c r="F98" s="526" t="n">
        <f aca="false">IF('Datos generales'!$O$10&gt;'Datos generales'!F$1,0,'Previsión de Gastos'!D44)</f>
        <v>0</v>
      </c>
      <c r="G98" s="526" t="n">
        <f aca="false">IF('Datos generales'!$O$10&gt;'Datos generales'!G$1,0,'Previsión de Gastos'!E44)</f>
        <v>0</v>
      </c>
      <c r="H98" s="526" t="n">
        <f aca="false">IF('Datos generales'!$O$10&gt;'Datos generales'!H$1,0,'Previsión de Gastos'!F44)</f>
        <v>0</v>
      </c>
      <c r="I98" s="526" t="n">
        <f aca="false">IF('Datos generales'!$O$10&gt;'Datos generales'!I$1,0,'Previsión de Gastos'!G44)</f>
        <v>0</v>
      </c>
      <c r="J98" s="526" t="n">
        <f aca="false">IF('Datos generales'!$O$10&gt;'Datos generales'!J$1,0,'Previsión de Gastos'!H44)</f>
        <v>0</v>
      </c>
      <c r="K98" s="526" t="n">
        <f aca="false">IF('Datos generales'!$O$10&gt;'Datos generales'!K$1,0,'Previsión de Gastos'!I44)</f>
        <v>0</v>
      </c>
      <c r="L98" s="526" t="n">
        <f aca="false">IF('Datos generales'!$O$10&gt;'Datos generales'!L$1,0,'Previsión de Gastos'!J44)</f>
        <v>0</v>
      </c>
      <c r="M98" s="526" t="n">
        <f aca="false">IF('Datos generales'!$O$10&gt;'Datos generales'!M$1,0,'Previsión de Gastos'!K44)</f>
        <v>0</v>
      </c>
      <c r="N98" s="526" t="n">
        <f aca="false">IF('Datos generales'!$O$10&gt;'Datos generales'!N$1,0,'Previsión de Gastos'!L44)</f>
        <v>0</v>
      </c>
      <c r="O98" s="526" t="n">
        <f aca="false">IF('Datos generales'!$O$10&gt;'Datos generales'!O$1,0,'Previsión de Gastos'!M44)</f>
        <v>0</v>
      </c>
      <c r="P98" s="526" t="n">
        <f aca="false">IF('Datos generales'!$O$10&gt;'Datos generales'!P$1,0,'Previsión de Gastos'!N44)</f>
        <v>0</v>
      </c>
      <c r="Q98" s="567"/>
      <c r="R98" s="540" t="n">
        <f aca="false">SUM(D98:Q98)</f>
        <v>0</v>
      </c>
    </row>
    <row r="99" customFormat="false" ht="12.75" hidden="false" customHeight="false" outlineLevel="0" collapsed="false">
      <c r="B99" s="474"/>
      <c r="C99" s="350" t="str">
        <f aca="false">'Previsión de Gastos'!B45</f>
        <v>Hosting</v>
      </c>
      <c r="D99" s="576"/>
      <c r="E99" s="526" t="n">
        <f aca="false">IF('Datos generales'!$O$10&gt;'Datos generales'!E$1,0,'Previsión de Gastos'!C45)</f>
        <v>0</v>
      </c>
      <c r="F99" s="526" t="n">
        <f aca="false">IF('Datos generales'!$O$10&gt;'Datos generales'!F$1,0,'Previsión de Gastos'!D45)</f>
        <v>0</v>
      </c>
      <c r="G99" s="526" t="n">
        <f aca="false">IF('Datos generales'!$O$10&gt;'Datos generales'!G$1,0,'Previsión de Gastos'!E45)</f>
        <v>0</v>
      </c>
      <c r="H99" s="526" t="n">
        <f aca="false">IF('Datos generales'!$O$10&gt;'Datos generales'!H$1,0,'Previsión de Gastos'!F45)</f>
        <v>0</v>
      </c>
      <c r="I99" s="526" t="n">
        <f aca="false">IF('Datos generales'!$O$10&gt;'Datos generales'!I$1,0,'Previsión de Gastos'!G45)</f>
        <v>0</v>
      </c>
      <c r="J99" s="526" t="n">
        <f aca="false">IF('Datos generales'!$O$10&gt;'Datos generales'!J$1,0,'Previsión de Gastos'!H45)</f>
        <v>0</v>
      </c>
      <c r="K99" s="526" t="n">
        <f aca="false">IF('Datos generales'!$O$10&gt;'Datos generales'!K$1,0,'Previsión de Gastos'!I45)</f>
        <v>0</v>
      </c>
      <c r="L99" s="526" t="n">
        <f aca="false">IF('Datos generales'!$O$10&gt;'Datos generales'!L$1,0,'Previsión de Gastos'!J45)</f>
        <v>0</v>
      </c>
      <c r="M99" s="526" t="n">
        <f aca="false">IF('Datos generales'!$O$10&gt;'Datos generales'!M$1,0,'Previsión de Gastos'!K45)</f>
        <v>0</v>
      </c>
      <c r="N99" s="526" t="n">
        <f aca="false">IF('Datos generales'!$O$10&gt;'Datos generales'!N$1,0,'Previsión de Gastos'!L45)</f>
        <v>0</v>
      </c>
      <c r="O99" s="526" t="n">
        <f aca="false">IF('Datos generales'!$O$10&gt;'Datos generales'!O$1,0,'Previsión de Gastos'!M45)</f>
        <v>0</v>
      </c>
      <c r="P99" s="526" t="n">
        <f aca="false">IF('Datos generales'!$O$10&gt;'Datos generales'!P$1,0,'Previsión de Gastos'!N45)</f>
        <v>0</v>
      </c>
      <c r="Q99" s="567"/>
      <c r="R99" s="540" t="n">
        <f aca="false">SUM(D99:Q99)</f>
        <v>0</v>
      </c>
    </row>
    <row r="100" customFormat="false" ht="12.75" hidden="false" customHeight="false" outlineLevel="0" collapsed="false">
      <c r="B100" s="474"/>
      <c r="C100" s="350" t="str">
        <f aca="false">'Previsión de Gastos'!B46</f>
        <v>Varios</v>
      </c>
      <c r="D100" s="576"/>
      <c r="E100" s="526" t="n">
        <f aca="false">IF('Datos generales'!$O$10&gt;'Datos generales'!E$1,0,'Previsión de Gastos'!C46)</f>
        <v>0</v>
      </c>
      <c r="F100" s="526" t="n">
        <f aca="false">IF('Datos generales'!$O$10&gt;'Datos generales'!F$1,0,'Previsión de Gastos'!D46)</f>
        <v>0</v>
      </c>
      <c r="G100" s="526" t="n">
        <f aca="false">IF('Datos generales'!$O$10&gt;'Datos generales'!G$1,0,'Previsión de Gastos'!E46)</f>
        <v>0</v>
      </c>
      <c r="H100" s="526" t="n">
        <f aca="false">IF('Datos generales'!$O$10&gt;'Datos generales'!H$1,0,'Previsión de Gastos'!F46)</f>
        <v>0</v>
      </c>
      <c r="I100" s="526" t="n">
        <f aca="false">IF('Datos generales'!$O$10&gt;'Datos generales'!I$1,0,'Previsión de Gastos'!G46)</f>
        <v>0</v>
      </c>
      <c r="J100" s="526" t="n">
        <f aca="false">IF('Datos generales'!$O$10&gt;'Datos generales'!J$1,0,'Previsión de Gastos'!H46)</f>
        <v>0</v>
      </c>
      <c r="K100" s="526" t="n">
        <f aca="false">IF('Datos generales'!$O$10&gt;'Datos generales'!K$1,0,'Previsión de Gastos'!I46)</f>
        <v>0</v>
      </c>
      <c r="L100" s="526" t="n">
        <f aca="false">IF('Datos generales'!$O$10&gt;'Datos generales'!L$1,0,'Previsión de Gastos'!J46)</f>
        <v>0</v>
      </c>
      <c r="M100" s="526" t="n">
        <f aca="false">IF('Datos generales'!$O$10&gt;'Datos generales'!M$1,0,'Previsión de Gastos'!K46)</f>
        <v>0</v>
      </c>
      <c r="N100" s="526" t="n">
        <f aca="false">IF('Datos generales'!$O$10&gt;'Datos generales'!N$1,0,'Previsión de Gastos'!L46)</f>
        <v>0</v>
      </c>
      <c r="O100" s="526" t="n">
        <f aca="false">IF('Datos generales'!$O$10&gt;'Datos generales'!O$1,0,'Previsión de Gastos'!M46)</f>
        <v>0</v>
      </c>
      <c r="P100" s="526" t="n">
        <f aca="false">IF('Datos generales'!$O$10&gt;'Datos generales'!P$1,0,'Previsión de Gastos'!N46)</f>
        <v>0</v>
      </c>
      <c r="Q100" s="567"/>
      <c r="R100" s="540" t="n">
        <f aca="false">SUM(D100:Q100)</f>
        <v>0</v>
      </c>
    </row>
    <row r="101" s="23" customFormat="true" ht="12.75" hidden="false" customHeight="false" outlineLevel="0" collapsed="false">
      <c r="B101" s="474"/>
      <c r="C101" s="469" t="s">
        <v>136</v>
      </c>
      <c r="D101" s="583" t="n">
        <f aca="false">SUM(D90:D100)</f>
        <v>850</v>
      </c>
      <c r="E101" s="583" t="n">
        <f aca="false">SUM(E91:E100)</f>
        <v>0</v>
      </c>
      <c r="F101" s="583" t="n">
        <f aca="false">SUM(F91:F100)</f>
        <v>0</v>
      </c>
      <c r="G101" s="583" t="n">
        <f aca="false">SUM(G91:G100)</f>
        <v>0</v>
      </c>
      <c r="H101" s="583" t="n">
        <f aca="false">SUM(H91:H100)</f>
        <v>0</v>
      </c>
      <c r="I101" s="583" t="n">
        <f aca="false">SUM(I91:I100)</f>
        <v>0</v>
      </c>
      <c r="J101" s="583" t="n">
        <f aca="false">SUM(J91:J100)</f>
        <v>0</v>
      </c>
      <c r="K101" s="583" t="n">
        <f aca="false">SUM(K91:K100)</f>
        <v>0</v>
      </c>
      <c r="L101" s="583" t="n">
        <f aca="false">SUM(L91:L100)</f>
        <v>0</v>
      </c>
      <c r="M101" s="583" t="n">
        <f aca="false">SUM(M91:M100)</f>
        <v>0</v>
      </c>
      <c r="N101" s="583" t="n">
        <f aca="false">SUM(N91:N100)</f>
        <v>0</v>
      </c>
      <c r="O101" s="583" t="n">
        <f aca="false">SUM(O91:O100)</f>
        <v>0</v>
      </c>
      <c r="P101" s="583" t="n">
        <f aca="false">SUM(P91:P100)</f>
        <v>0</v>
      </c>
      <c r="Q101" s="584" t="n">
        <f aca="false">SUM(Q91:Q100)</f>
        <v>0</v>
      </c>
      <c r="R101" s="585" t="n">
        <f aca="false">SUM(D101:Q101)</f>
        <v>850</v>
      </c>
    </row>
    <row r="102" customFormat="false" ht="12.75" hidden="false" customHeight="false" outlineLevel="0" collapsed="false">
      <c r="B102" s="474"/>
      <c r="C102" s="358" t="s">
        <v>429</v>
      </c>
      <c r="D102" s="526" t="n">
        <f aca="false">IF('Datos generales'!$D$22&lt;=0,'Datos generales'!D19*D101+'Datos generales'!D19*'Entrada Inver_Finan'!D66,0)</f>
        <v>0</v>
      </c>
      <c r="E102" s="526" t="n">
        <f aca="false">IF('Datos generales'!$O$10&gt;'Datos generales'!E$1,0,IF('Datos generales'!$D$22&lt;=0,'Datos generales'!$D$19*E101,0))</f>
        <v>0</v>
      </c>
      <c r="F102" s="526" t="n">
        <f aca="false">IF('Datos generales'!$O$10&gt;'Datos generales'!F$1,0,IF('Datos generales'!$D$22&lt;=0,'Datos generales'!$D$19*F101,0))</f>
        <v>0</v>
      </c>
      <c r="G102" s="526" t="n">
        <f aca="false">IF('Datos generales'!$O$10&gt;'Datos generales'!G$1,0,IF('Datos generales'!$D$22&lt;=0,'Datos generales'!$D$19*G101,0))</f>
        <v>0</v>
      </c>
      <c r="H102" s="526" t="n">
        <f aca="false">IF('Datos generales'!$O$10&gt;'Datos generales'!H$1,0,IF('Datos generales'!$D$22&lt;=0,'Datos generales'!$D$19*H101,0))</f>
        <v>0</v>
      </c>
      <c r="I102" s="526" t="n">
        <f aca="false">IF('Datos generales'!$O$10&gt;'Datos generales'!I$1,0,IF('Datos generales'!$D$22&lt;=0,'Datos generales'!$D$19*I101,0))</f>
        <v>0</v>
      </c>
      <c r="J102" s="526" t="n">
        <f aca="false">IF('Datos generales'!$O$10&gt;'Datos generales'!J$1,0,IF('Datos generales'!$D$22&lt;=0,'Datos generales'!$D$19*J101,0))</f>
        <v>0</v>
      </c>
      <c r="K102" s="526" t="n">
        <f aca="false">IF('Datos generales'!$O$10&gt;'Datos generales'!K$1,0,IF('Datos generales'!$D$22&lt;=0,'Datos generales'!$D$19*K101,0))</f>
        <v>0</v>
      </c>
      <c r="L102" s="526" t="n">
        <f aca="false">IF('Datos generales'!$O$10&gt;'Datos generales'!L$1,0,IF('Datos generales'!$D$22&lt;=0,'Datos generales'!$D$19*L101,0))</f>
        <v>0</v>
      </c>
      <c r="M102" s="526" t="n">
        <f aca="false">IF('Datos generales'!$O$10&gt;'Datos generales'!M$1,0,IF('Datos generales'!$D$22&lt;=0,'Datos generales'!$D$19*M101,0))</f>
        <v>0</v>
      </c>
      <c r="N102" s="526" t="n">
        <f aca="false">IF('Datos generales'!$O$10&gt;'Datos generales'!N$1,0,IF('Datos generales'!$D$22&lt;=0,'Datos generales'!$D$19*N101,0))</f>
        <v>0</v>
      </c>
      <c r="O102" s="526" t="n">
        <f aca="false">IF('Datos generales'!$O$10&gt;'Datos generales'!O$1,0,IF('Datos generales'!$D$22&lt;=0,'Datos generales'!$D$19*O101,0))</f>
        <v>0</v>
      </c>
      <c r="P102" s="526" t="n">
        <f aca="false">IF('Datos generales'!$O$10&gt;'Datos generales'!P$1,0,IF('Datos generales'!$D$22&lt;=0,'Datos generales'!$D$19*P101,0))</f>
        <v>0</v>
      </c>
      <c r="Q102" s="567"/>
      <c r="R102" s="540" t="n">
        <f aca="false">SUM(D102:Q102)</f>
        <v>0</v>
      </c>
    </row>
    <row r="103" customFormat="false" ht="12.75" hidden="false" customHeight="false" outlineLevel="0" collapsed="false">
      <c r="B103" s="474"/>
      <c r="C103" s="569" t="str">
        <f aca="false">'Previsión de Gastos'!B47</f>
        <v>Total Otros gastos (Servicios exteriores)</v>
      </c>
      <c r="D103" s="590" t="n">
        <f aca="false">SUM(D101:D102)</f>
        <v>850</v>
      </c>
      <c r="E103" s="591" t="n">
        <f aca="false">SUM(E101:E102)</f>
        <v>0</v>
      </c>
      <c r="F103" s="591" t="n">
        <f aca="false">SUM(F101:F102)</f>
        <v>0</v>
      </c>
      <c r="G103" s="591" t="n">
        <f aca="false">SUM(G101:G102)</f>
        <v>0</v>
      </c>
      <c r="H103" s="591" t="n">
        <f aca="false">SUM(H101:H102)</f>
        <v>0</v>
      </c>
      <c r="I103" s="591" t="n">
        <f aca="false">SUM(I101:I102)</f>
        <v>0</v>
      </c>
      <c r="J103" s="591" t="n">
        <f aca="false">SUM(J101:J102)</f>
        <v>0</v>
      </c>
      <c r="K103" s="591" t="n">
        <f aca="false">SUM(K101:K102)</f>
        <v>0</v>
      </c>
      <c r="L103" s="591" t="n">
        <f aca="false">SUM(L101:L102)</f>
        <v>0</v>
      </c>
      <c r="M103" s="591" t="n">
        <f aca="false">SUM(M101:M102)</f>
        <v>0</v>
      </c>
      <c r="N103" s="591" t="n">
        <f aca="false">SUM(N101:N102)</f>
        <v>0</v>
      </c>
      <c r="O103" s="591" t="n">
        <f aca="false">SUM(O101:O102)</f>
        <v>0</v>
      </c>
      <c r="P103" s="591" t="n">
        <f aca="false">SUM(P101:P102)</f>
        <v>0</v>
      </c>
      <c r="Q103" s="592" t="n">
        <f aca="false">SUM(Q101:Q102)</f>
        <v>0</v>
      </c>
      <c r="R103" s="593" t="n">
        <f aca="false">SUM(D103:Q103)</f>
        <v>850</v>
      </c>
      <c r="S103" s="476"/>
      <c r="T103" s="476"/>
      <c r="U103" s="476"/>
    </row>
    <row r="104" customFormat="false" ht="18" hidden="false" customHeight="true" outlineLevel="0" collapsed="false">
      <c r="B104" s="474"/>
      <c r="D104" s="561"/>
      <c r="E104" s="476"/>
      <c r="F104" s="476"/>
      <c r="G104" s="476"/>
      <c r="H104" s="476"/>
      <c r="I104" s="476"/>
      <c r="J104" s="476"/>
      <c r="K104" s="476"/>
      <c r="L104" s="476"/>
      <c r="M104" s="476"/>
      <c r="N104" s="476"/>
      <c r="O104" s="476"/>
      <c r="P104" s="476"/>
      <c r="Q104" s="535"/>
      <c r="R104" s="536"/>
      <c r="S104" s="476"/>
    </row>
    <row r="105" s="336" customFormat="true" ht="13.5" hidden="false" customHeight="false" outlineLevel="0" collapsed="false">
      <c r="B105" s="594" t="s">
        <v>431</v>
      </c>
      <c r="C105" s="595"/>
      <c r="D105" s="596" t="n">
        <f aca="false">D81+D88+D103</f>
        <v>850</v>
      </c>
      <c r="E105" s="597" t="n">
        <f aca="false">E81+E88+E103</f>
        <v>0</v>
      </c>
      <c r="F105" s="597" t="n">
        <f aca="false">F81+F88+F103</f>
        <v>0</v>
      </c>
      <c r="G105" s="597" t="n">
        <f aca="false">G81+G88+G103</f>
        <v>0</v>
      </c>
      <c r="H105" s="597" t="n">
        <f aca="false">H81+H88+H103</f>
        <v>0</v>
      </c>
      <c r="I105" s="597" t="n">
        <f aca="false">I81+I88+I103</f>
        <v>0</v>
      </c>
      <c r="J105" s="597" t="n">
        <f aca="false">J81+J88+J103</f>
        <v>0</v>
      </c>
      <c r="K105" s="597" t="n">
        <f aca="false">K81+K88+K103</f>
        <v>0</v>
      </c>
      <c r="L105" s="597" t="n">
        <f aca="false">L81+L88+L103</f>
        <v>0</v>
      </c>
      <c r="M105" s="597" t="n">
        <f aca="false">M81+M88+M103</f>
        <v>0</v>
      </c>
      <c r="N105" s="597" t="n">
        <f aca="false">N81+N88+N103</f>
        <v>0</v>
      </c>
      <c r="O105" s="597" t="n">
        <f aca="false">O81+O88+O103</f>
        <v>0</v>
      </c>
      <c r="P105" s="597" t="n">
        <f aca="false">P81+P88+P103</f>
        <v>0</v>
      </c>
      <c r="Q105" s="598" t="n">
        <f aca="false">Q81+Q88</f>
        <v>0</v>
      </c>
      <c r="R105" s="599" t="n">
        <f aca="false">SUM(D105:Q105)</f>
        <v>850</v>
      </c>
      <c r="S105" s="600"/>
      <c r="T105" s="600"/>
      <c r="U105" s="600"/>
    </row>
    <row r="106" customFormat="false" ht="10.5" hidden="false" customHeight="true" outlineLevel="0" collapsed="false">
      <c r="B106" s="474"/>
      <c r="D106" s="489"/>
      <c r="E106" s="453"/>
      <c r="F106" s="453"/>
      <c r="G106" s="453"/>
      <c r="H106" s="453"/>
      <c r="I106" s="453"/>
      <c r="J106" s="453"/>
      <c r="K106" s="453"/>
      <c r="L106" s="453"/>
      <c r="M106" s="453"/>
      <c r="N106" s="453"/>
      <c r="O106" s="453"/>
      <c r="P106" s="453"/>
      <c r="Q106" s="535"/>
      <c r="R106" s="536"/>
      <c r="S106" s="476"/>
    </row>
    <row r="107" s="363" customFormat="true" ht="14.25" hidden="false" customHeight="false" outlineLevel="0" collapsed="false">
      <c r="B107" s="601" t="s">
        <v>432</v>
      </c>
      <c r="C107" s="602"/>
      <c r="D107" s="543" t="n">
        <f aca="false">+D63-D72-D105</f>
        <v>-850</v>
      </c>
      <c r="E107" s="544" t="n">
        <f aca="false">+E63-E72-E105</f>
        <v>4232.1</v>
      </c>
      <c r="F107" s="544" t="n">
        <f aca="false">+F63-F72-F105</f>
        <v>4232.1</v>
      </c>
      <c r="G107" s="544" t="n">
        <f aca="false">+G63-G72-G105</f>
        <v>4232.1</v>
      </c>
      <c r="H107" s="544" t="n">
        <f aca="false">+H63-H72-H105</f>
        <v>4232.1</v>
      </c>
      <c r="I107" s="544" t="n">
        <f aca="false">+I63-I72-I105</f>
        <v>4232.1</v>
      </c>
      <c r="J107" s="544" t="n">
        <f aca="false">+J63-J72-J105</f>
        <v>4232.1</v>
      </c>
      <c r="K107" s="544" t="n">
        <f aca="false">+K63-K72-K105</f>
        <v>4232.1</v>
      </c>
      <c r="L107" s="544" t="n">
        <f aca="false">+L63-L72-L105</f>
        <v>4232.1</v>
      </c>
      <c r="M107" s="544" t="n">
        <f aca="false">+M63-M72-M105</f>
        <v>4232.1</v>
      </c>
      <c r="N107" s="544" t="n">
        <f aca="false">+N63-N72-N105</f>
        <v>4232.1</v>
      </c>
      <c r="O107" s="544" t="n">
        <f aca="false">+O63-O72-O105</f>
        <v>4232.1</v>
      </c>
      <c r="P107" s="544" t="n">
        <f aca="false">+P63-P72-P105</f>
        <v>4232.1</v>
      </c>
      <c r="Q107" s="603" t="n">
        <f aca="false">+Q63-Q72-Q105</f>
        <v>-225</v>
      </c>
      <c r="R107" s="604" t="n">
        <f aca="false">SUM(D107:Q107)</f>
        <v>49710.2</v>
      </c>
      <c r="S107" s="600"/>
      <c r="T107" s="546"/>
      <c r="U107" s="546"/>
    </row>
    <row r="108" customFormat="false" ht="12.75" hidden="false" customHeight="false" outlineLevel="0" collapsed="false">
      <c r="B108" s="605" t="s">
        <v>433</v>
      </c>
      <c r="C108" s="465"/>
      <c r="D108" s="565" t="n">
        <f aca="false">IF('Datos generales'!$O$10&gt;'Datos generales'!D$1,0,'AMORTIZACION CONTABLE'!$G$38)</f>
        <v>0</v>
      </c>
      <c r="E108" s="566" t="n">
        <f aca="false">IF('Datos generales'!$O$10&gt;'Datos generales'!E$1,0,'AMORTIZACION CONTABLE'!$G$38)</f>
        <v>1013.88888888889</v>
      </c>
      <c r="F108" s="566" t="n">
        <f aca="false">IF('Datos generales'!$O$10&gt;'Datos generales'!F$1,0,'AMORTIZACION CONTABLE'!$G$38)</f>
        <v>1013.88888888889</v>
      </c>
      <c r="G108" s="566" t="n">
        <f aca="false">IF('Datos generales'!$O$10&gt;'Datos generales'!G$1,0,'AMORTIZACION CONTABLE'!$G$38)</f>
        <v>1013.88888888889</v>
      </c>
      <c r="H108" s="566" t="n">
        <f aca="false">IF('Datos generales'!$O$10&gt;'Datos generales'!H$1,0,'AMORTIZACION CONTABLE'!$G$38)</f>
        <v>1013.88888888889</v>
      </c>
      <c r="I108" s="566" t="n">
        <f aca="false">IF('Datos generales'!$O$10&gt;'Datos generales'!I$1,0,'AMORTIZACION CONTABLE'!$G$38)</f>
        <v>1013.88888888889</v>
      </c>
      <c r="J108" s="566" t="n">
        <f aca="false">IF('Datos generales'!$O$10&gt;'Datos generales'!J$1,0,'AMORTIZACION CONTABLE'!$G$38)</f>
        <v>1013.88888888889</v>
      </c>
      <c r="K108" s="566" t="n">
        <f aca="false">IF('Datos generales'!$O$10&gt;'Datos generales'!K$1,0,'AMORTIZACION CONTABLE'!$G$38)</f>
        <v>1013.88888888889</v>
      </c>
      <c r="L108" s="566" t="n">
        <f aca="false">IF('Datos generales'!$O$10&gt;'Datos generales'!L$1,0,'AMORTIZACION CONTABLE'!$G$38)</f>
        <v>1013.88888888889</v>
      </c>
      <c r="M108" s="566" t="n">
        <f aca="false">IF('Datos generales'!$O$10&gt;'Datos generales'!M$1,0,'AMORTIZACION CONTABLE'!$G$38)</f>
        <v>1013.88888888889</v>
      </c>
      <c r="N108" s="566" t="n">
        <f aca="false">IF('Datos generales'!$O$10&gt;'Datos generales'!N$1,0,'AMORTIZACION CONTABLE'!$G$38)</f>
        <v>1013.88888888889</v>
      </c>
      <c r="O108" s="566" t="n">
        <f aca="false">IF('Datos generales'!$O$10&gt;'Datos generales'!O$1,0,'AMORTIZACION CONTABLE'!$G$38)</f>
        <v>1013.88888888889</v>
      </c>
      <c r="P108" s="566" t="n">
        <f aca="false">IF('Datos generales'!$O$10&gt;'Datos generales'!P$1,0,'AMORTIZACION CONTABLE'!$G$38)</f>
        <v>1013.88888888889</v>
      </c>
      <c r="Q108" s="588"/>
      <c r="R108" s="589" t="n">
        <f aca="false">SUM(D108:Q108)</f>
        <v>12166.6666666667</v>
      </c>
      <c r="S108" s="476"/>
      <c r="T108" s="476"/>
      <c r="U108" s="476"/>
    </row>
    <row r="109" customFormat="false" ht="12.75" hidden="false" customHeight="false" outlineLevel="0" collapsed="false">
      <c r="B109" s="470"/>
      <c r="C109" s="23"/>
      <c r="D109" s="533"/>
      <c r="E109" s="534"/>
      <c r="F109" s="534"/>
      <c r="G109" s="534"/>
      <c r="H109" s="534"/>
      <c r="I109" s="534"/>
      <c r="J109" s="534"/>
      <c r="K109" s="534"/>
      <c r="L109" s="534"/>
      <c r="M109" s="534"/>
      <c r="N109" s="534"/>
      <c r="O109" s="534"/>
      <c r="P109" s="534"/>
      <c r="Q109" s="535"/>
      <c r="R109" s="536"/>
      <c r="S109" s="476"/>
      <c r="T109" s="476"/>
    </row>
    <row r="110" customFormat="false" ht="27.75" hidden="false" customHeight="true" outlineLevel="0" collapsed="false">
      <c r="B110" s="606" t="s">
        <v>434</v>
      </c>
      <c r="C110" s="606"/>
      <c r="D110" s="562"/>
      <c r="E110" s="563"/>
      <c r="F110" s="563"/>
      <c r="G110" s="563"/>
      <c r="H110" s="563"/>
      <c r="I110" s="563"/>
      <c r="J110" s="563"/>
      <c r="K110" s="563"/>
      <c r="L110" s="563"/>
      <c r="M110" s="563"/>
      <c r="N110" s="563"/>
      <c r="O110" s="563"/>
      <c r="P110" s="563"/>
      <c r="Q110" s="607" t="n">
        <f aca="false">'Entrada Inver_Finan'!D102+'Entrada Inver_Finan'!D103+'Entrada Inver_Finan'!E102+'Entrada Inver_Finan'!E103</f>
        <v>0</v>
      </c>
      <c r="R110" s="551" t="n">
        <f aca="false">SUM(D110:Q110)</f>
        <v>0</v>
      </c>
    </row>
    <row r="111" customFormat="false" ht="8.25" hidden="false" customHeight="true" outlineLevel="0" collapsed="false">
      <c r="B111" s="470"/>
      <c r="C111" s="23"/>
      <c r="D111" s="533"/>
      <c r="E111" s="534"/>
      <c r="F111" s="534"/>
      <c r="G111" s="534"/>
      <c r="H111" s="534"/>
      <c r="I111" s="534"/>
      <c r="J111" s="534"/>
      <c r="K111" s="534"/>
      <c r="L111" s="534"/>
      <c r="M111" s="534"/>
      <c r="N111" s="534"/>
      <c r="O111" s="534"/>
      <c r="P111" s="534"/>
      <c r="Q111" s="535"/>
      <c r="R111" s="536"/>
      <c r="S111" s="476"/>
      <c r="T111" s="476"/>
    </row>
    <row r="112" s="363" customFormat="true" ht="14.25" hidden="false" customHeight="false" outlineLevel="0" collapsed="false">
      <c r="B112" s="601" t="s">
        <v>401</v>
      </c>
      <c r="C112" s="602"/>
      <c r="D112" s="543" t="n">
        <f aca="false">+D63-D72-D105-D108+D110</f>
        <v>-850</v>
      </c>
      <c r="E112" s="544" t="n">
        <f aca="false">+E63-E72-E105-E108+E110</f>
        <v>3218.21111111111</v>
      </c>
      <c r="F112" s="544" t="n">
        <f aca="false">+F63-F72-F105-F108+F110</f>
        <v>3218.21111111111</v>
      </c>
      <c r="G112" s="544" t="n">
        <f aca="false">+G63-G72-G105-G108+G110</f>
        <v>3218.21111111111</v>
      </c>
      <c r="H112" s="544" t="n">
        <f aca="false">+H63-H72-H105-H108+H110</f>
        <v>3218.21111111111</v>
      </c>
      <c r="I112" s="544" t="n">
        <f aca="false">+I63-I72-I105-I108+I110</f>
        <v>3218.21111111111</v>
      </c>
      <c r="J112" s="544" t="n">
        <f aca="false">+J63-J72-J105-J108+J110</f>
        <v>3218.21111111111</v>
      </c>
      <c r="K112" s="544" t="n">
        <f aca="false">+K63-K72-K105-K108+K110</f>
        <v>3218.21111111111</v>
      </c>
      <c r="L112" s="544" t="n">
        <f aca="false">+L63-L72-L105-L108+L110</f>
        <v>3218.21111111111</v>
      </c>
      <c r="M112" s="544" t="n">
        <f aca="false">+M63-M72-M105-M108+M110</f>
        <v>3218.21111111111</v>
      </c>
      <c r="N112" s="544" t="n">
        <f aca="false">+N63-N72-N105-N108+N110</f>
        <v>3218.21111111111</v>
      </c>
      <c r="O112" s="544" t="n">
        <f aca="false">+O63-O72-O105-O108+O110</f>
        <v>3218.21111111111</v>
      </c>
      <c r="P112" s="544" t="n">
        <f aca="false">+P63-P72-P105-P108+P110</f>
        <v>3218.21111111111</v>
      </c>
      <c r="Q112" s="603" t="n">
        <f aca="false">+Q63-Q72-Q105-Q108+Q110</f>
        <v>-225</v>
      </c>
      <c r="R112" s="604" t="n">
        <f aca="false">SUM(D112:Q112)</f>
        <v>37543.5333333333</v>
      </c>
      <c r="S112" s="600"/>
      <c r="T112" s="546"/>
      <c r="U112" s="546"/>
    </row>
    <row r="113" customFormat="false" ht="12.75" hidden="false" customHeight="false" outlineLevel="0" collapsed="false">
      <c r="B113" s="470" t="str">
        <f aca="false">'Previsión de Gastos'!B52</f>
        <v>Ingresos financieros</v>
      </c>
      <c r="C113" s="23"/>
      <c r="D113" s="43"/>
      <c r="E113" s="23"/>
      <c r="F113" s="23"/>
      <c r="G113" s="23"/>
      <c r="H113" s="23"/>
      <c r="I113" s="23"/>
      <c r="J113" s="23"/>
      <c r="K113" s="23"/>
      <c r="L113" s="23"/>
      <c r="M113" s="23"/>
      <c r="N113" s="23"/>
      <c r="O113" s="23"/>
      <c r="P113" s="23"/>
      <c r="Q113" s="313"/>
      <c r="R113" s="575" t="n">
        <f aca="false">SUM(D113:Q113)</f>
        <v>0</v>
      </c>
    </row>
    <row r="114" customFormat="false" ht="12.75" hidden="false" customHeight="false" outlineLevel="0" collapsed="false">
      <c r="B114" s="474"/>
      <c r="C114" s="350" t="n">
        <f aca="false">'Previsión de Gastos'!B53</f>
        <v>0</v>
      </c>
      <c r="D114" s="562" t="n">
        <f aca="false">IF('Datos generales'!$O$10&gt;'Datos generales'!D$1,0,'Previsión de Gastos'!B53)</f>
        <v>0</v>
      </c>
      <c r="E114" s="563" t="n">
        <f aca="false">IF('Datos generales'!$O$10&gt;'Datos generales'!E$1,0,'Previsión de Gastos'!C53)</f>
        <v>0</v>
      </c>
      <c r="F114" s="563" t="n">
        <f aca="false">IF('Datos generales'!$O$10&gt;'Datos generales'!F$1,0,'Previsión de Gastos'!D53)</f>
        <v>0</v>
      </c>
      <c r="G114" s="563" t="n">
        <f aca="false">IF('Datos generales'!$O$10&gt;'Datos generales'!G$1,0,'Previsión de Gastos'!E53)</f>
        <v>0</v>
      </c>
      <c r="H114" s="563" t="n">
        <f aca="false">IF('Datos generales'!$O$10&gt;'Datos generales'!H$1,0,'Previsión de Gastos'!F53)</f>
        <v>0</v>
      </c>
      <c r="I114" s="563" t="n">
        <f aca="false">IF('Datos generales'!$O$10&gt;'Datos generales'!I$1,0,'Previsión de Gastos'!G53)</f>
        <v>0</v>
      </c>
      <c r="J114" s="563" t="n">
        <f aca="false">IF('Datos generales'!$O$10&gt;'Datos generales'!J$1,0,'Previsión de Gastos'!H53)</f>
        <v>0</v>
      </c>
      <c r="K114" s="563" t="n">
        <f aca="false">IF('Datos generales'!$O$10&gt;'Datos generales'!K$1,0,'Previsión de Gastos'!I53)</f>
        <v>0</v>
      </c>
      <c r="L114" s="563" t="n">
        <f aca="false">IF('Datos generales'!$O$10&gt;'Datos generales'!L$1,0,'Previsión de Gastos'!J53)</f>
        <v>0</v>
      </c>
      <c r="M114" s="563" t="n">
        <f aca="false">IF('Datos generales'!$O$10&gt;'Datos generales'!M$1,0,'Previsión de Gastos'!K53)</f>
        <v>0</v>
      </c>
      <c r="N114" s="563" t="n">
        <f aca="false">IF('Datos generales'!$O$10&gt;'Datos generales'!N$1,0,'Previsión de Gastos'!L53)</f>
        <v>0</v>
      </c>
      <c r="O114" s="563" t="n">
        <f aca="false">IF('Datos generales'!$O$10&gt;'Datos generales'!O$1,0,'Previsión de Gastos'!M53)</f>
        <v>0</v>
      </c>
      <c r="P114" s="563" t="n">
        <f aca="false">IF('Datos generales'!$O$10&gt;'Datos generales'!P$1,0,'Previsión de Gastos'!N53)</f>
        <v>0</v>
      </c>
      <c r="Q114" s="564"/>
      <c r="R114" s="551" t="n">
        <f aca="false">SUM(D114:Q114)</f>
        <v>0</v>
      </c>
    </row>
    <row r="115" customFormat="false" ht="12.75" hidden="false" customHeight="false" outlineLevel="0" collapsed="false">
      <c r="B115" s="474"/>
      <c r="C115" s="358" t="n">
        <f aca="false">'Previsión de Gastos'!B54</f>
        <v>0</v>
      </c>
      <c r="D115" s="576" t="n">
        <f aca="false">IF('Datos generales'!$O$10&gt;'Datos generales'!D$1,0,'Previsión de Gastos'!B54)</f>
        <v>0</v>
      </c>
      <c r="E115" s="526" t="n">
        <f aca="false">IF('Datos generales'!$O$10&gt;'Datos generales'!E$1,0,'Previsión de Gastos'!C54)</f>
        <v>0</v>
      </c>
      <c r="F115" s="526" t="n">
        <f aca="false">IF('Datos generales'!$O$10&gt;'Datos generales'!F$1,0,'Previsión de Gastos'!D54)</f>
        <v>0</v>
      </c>
      <c r="G115" s="526" t="n">
        <f aca="false">IF('Datos generales'!$O$10&gt;'Datos generales'!G$1,0,'Previsión de Gastos'!E54)</f>
        <v>0</v>
      </c>
      <c r="H115" s="526" t="n">
        <f aca="false">IF('Datos generales'!$O$10&gt;'Datos generales'!H$1,0,'Previsión de Gastos'!F54)</f>
        <v>0</v>
      </c>
      <c r="I115" s="526" t="n">
        <f aca="false">IF('Datos generales'!$O$10&gt;'Datos generales'!I$1,0,'Previsión de Gastos'!G54)</f>
        <v>0</v>
      </c>
      <c r="J115" s="526" t="n">
        <f aca="false">IF('Datos generales'!$O$10&gt;'Datos generales'!J$1,0,'Previsión de Gastos'!H54)</f>
        <v>0</v>
      </c>
      <c r="K115" s="526" t="n">
        <f aca="false">IF('Datos generales'!$O$10&gt;'Datos generales'!K$1,0,'Previsión de Gastos'!I54)</f>
        <v>0</v>
      </c>
      <c r="L115" s="526" t="n">
        <f aca="false">IF('Datos generales'!$O$10&gt;'Datos generales'!L$1,0,'Previsión de Gastos'!J54)</f>
        <v>0</v>
      </c>
      <c r="M115" s="526" t="n">
        <f aca="false">IF('Datos generales'!$O$10&gt;'Datos generales'!M$1,0,'Previsión de Gastos'!K54)</f>
        <v>0</v>
      </c>
      <c r="N115" s="526" t="n">
        <f aca="false">IF('Datos generales'!$O$10&gt;'Datos generales'!N$1,0,'Previsión de Gastos'!L54)</f>
        <v>0</v>
      </c>
      <c r="O115" s="526" t="n">
        <f aca="false">IF('Datos generales'!$O$10&gt;'Datos generales'!O$1,0,'Previsión de Gastos'!M54)</f>
        <v>0</v>
      </c>
      <c r="P115" s="526" t="n">
        <f aca="false">IF('Datos generales'!$O$10&gt;'Datos generales'!P$1,0,'Previsión de Gastos'!N54)</f>
        <v>0</v>
      </c>
      <c r="Q115" s="567"/>
      <c r="R115" s="540" t="n">
        <f aca="false">SUM(D115:Q115)</f>
        <v>0</v>
      </c>
    </row>
    <row r="116" customFormat="false" ht="12.75" hidden="false" customHeight="false" outlineLevel="0" collapsed="false">
      <c r="B116" s="568" t="str">
        <f aca="false">'Previsión de Gastos'!B55</f>
        <v>Total Ingresos financieros</v>
      </c>
      <c r="C116" s="608"/>
      <c r="D116" s="609" t="n">
        <f aca="false">SUM(D114:D115)</f>
        <v>0</v>
      </c>
      <c r="E116" s="610" t="n">
        <f aca="false">SUM(E114:E115)</f>
        <v>0</v>
      </c>
      <c r="F116" s="610" t="n">
        <f aca="false">SUM(F114:F115)</f>
        <v>0</v>
      </c>
      <c r="G116" s="610" t="n">
        <f aca="false">SUM(G114:G115)</f>
        <v>0</v>
      </c>
      <c r="H116" s="610" t="n">
        <f aca="false">SUM(H114:H115)</f>
        <v>0</v>
      </c>
      <c r="I116" s="610" t="n">
        <f aca="false">SUM(I114:I115)</f>
        <v>0</v>
      </c>
      <c r="J116" s="610" t="n">
        <f aca="false">SUM(J114:J115)</f>
        <v>0</v>
      </c>
      <c r="K116" s="610" t="n">
        <f aca="false">SUM(K114:K115)</f>
        <v>0</v>
      </c>
      <c r="L116" s="610" t="n">
        <f aca="false">SUM(L114:L115)</f>
        <v>0</v>
      </c>
      <c r="M116" s="610" t="n">
        <f aca="false">SUM(M114:M115)</f>
        <v>0</v>
      </c>
      <c r="N116" s="610" t="n">
        <f aca="false">SUM(N114:N115)</f>
        <v>0</v>
      </c>
      <c r="O116" s="610" t="n">
        <f aca="false">SUM(O114:O115)</f>
        <v>0</v>
      </c>
      <c r="P116" s="610" t="n">
        <f aca="false">SUM(P114:P115)</f>
        <v>0</v>
      </c>
      <c r="Q116" s="611" t="n">
        <f aca="false">SUM(Q114:Q115)</f>
        <v>0</v>
      </c>
      <c r="R116" s="612" t="n">
        <f aca="false">SUM(D116:Q116)</f>
        <v>0</v>
      </c>
    </row>
    <row r="117" customFormat="false" ht="12.75" hidden="false" customHeight="false" outlineLevel="0" collapsed="false">
      <c r="B117" s="470" t="str">
        <f aca="false">'Previsión de Gastos'!B25</f>
        <v>Gastos financieros:</v>
      </c>
      <c r="C117" s="23"/>
      <c r="D117" s="561"/>
      <c r="E117" s="476"/>
      <c r="F117" s="476"/>
      <c r="G117" s="476"/>
      <c r="H117" s="476"/>
      <c r="I117" s="476"/>
      <c r="J117" s="476"/>
      <c r="K117" s="476"/>
      <c r="L117" s="476"/>
      <c r="M117" s="476"/>
      <c r="N117" s="476"/>
      <c r="O117" s="476"/>
      <c r="P117" s="476"/>
      <c r="Q117" s="535"/>
      <c r="R117" s="536"/>
      <c r="S117" s="476"/>
      <c r="T117" s="476"/>
      <c r="U117" s="476"/>
    </row>
    <row r="118" customFormat="false" ht="12.75" hidden="false" customHeight="false" outlineLevel="0" collapsed="false">
      <c r="B118" s="474"/>
      <c r="C118" s="350" t="str">
        <f aca="false">'Previsión de Gastos'!B26</f>
        <v>Gastos amortización préstamos Largo Plazo</v>
      </c>
      <c r="D118" s="586"/>
      <c r="E118" s="587" t="n">
        <f aca="true">OFFSET('Préstamos LP'!$E$35,'Datos generales'!D1,0,1,1)</f>
        <v>0</v>
      </c>
      <c r="F118" s="587" t="n">
        <f aca="true">OFFSET('Préstamos LP'!$E$35,'Datos generales'!E1,0,1,1)</f>
        <v>0</v>
      </c>
      <c r="G118" s="587" t="n">
        <f aca="true">OFFSET('Préstamos LP'!$E$35,'Datos generales'!F1,0,1,1)</f>
        <v>0</v>
      </c>
      <c r="H118" s="587" t="n">
        <f aca="true">OFFSET('Préstamos LP'!$E$35,'Datos generales'!G1,0,1,1)</f>
        <v>0</v>
      </c>
      <c r="I118" s="587" t="n">
        <f aca="true">OFFSET('Préstamos LP'!$E$35,'Datos generales'!H1,0,1,1)</f>
        <v>0</v>
      </c>
      <c r="J118" s="587" t="n">
        <f aca="true">OFFSET('Préstamos LP'!$E$35,'Datos generales'!I1,0,1,1)</f>
        <v>0</v>
      </c>
      <c r="K118" s="587" t="n">
        <f aca="true">OFFSET('Préstamos LP'!$E$35,'Datos generales'!J1,0,1,1)</f>
        <v>0</v>
      </c>
      <c r="L118" s="587" t="n">
        <f aca="true">OFFSET('Préstamos LP'!$E$35,'Datos generales'!K1,0,1,1)</f>
        <v>0</v>
      </c>
      <c r="M118" s="587" t="n">
        <f aca="true">OFFSET('Préstamos LP'!$E$35,'Datos generales'!L1,0,1,1)</f>
        <v>0</v>
      </c>
      <c r="N118" s="587" t="n">
        <f aca="true">OFFSET('Préstamos LP'!$E$35,'Datos generales'!M1,0,1,1)</f>
        <v>0</v>
      </c>
      <c r="O118" s="587" t="n">
        <f aca="true">OFFSET('Préstamos LP'!$E$35,'Datos generales'!N1,0,1,1)</f>
        <v>0</v>
      </c>
      <c r="P118" s="587" t="n">
        <f aca="true">OFFSET('Préstamos LP'!$E$35,'Datos generales'!O1,0,1,1)</f>
        <v>0</v>
      </c>
      <c r="Q118" s="588"/>
      <c r="R118" s="613" t="n">
        <f aca="false">SUM(D118:Q118)</f>
        <v>0</v>
      </c>
      <c r="S118" s="476"/>
      <c r="T118" s="476"/>
      <c r="U118" s="476"/>
    </row>
    <row r="119" customFormat="false" ht="12.75" hidden="false" customHeight="false" outlineLevel="0" collapsed="false">
      <c r="B119" s="474"/>
      <c r="C119" s="350" t="s">
        <v>435</v>
      </c>
      <c r="D119" s="577" t="n">
        <f aca="false">'Préstamos LP'!$D$34</f>
        <v>15000</v>
      </c>
      <c r="E119" s="587" t="n">
        <f aca="true">OFFSET('Préstamos LP'!$D$35,'Datos generales'!D1,0,1,1)</f>
        <v>0</v>
      </c>
      <c r="F119" s="587" t="n">
        <f aca="true">OFFSET('Préstamos LP'!$D$35,'Datos generales'!E1,0,1,1)</f>
        <v>0</v>
      </c>
      <c r="G119" s="587" t="n">
        <f aca="true">OFFSET('Préstamos LP'!$D$35,'Datos generales'!F1,0,1,1)</f>
        <v>0</v>
      </c>
      <c r="H119" s="587" t="n">
        <f aca="true">OFFSET('Préstamos LP'!$D$35,'Datos generales'!G1,0,1,1)</f>
        <v>0</v>
      </c>
      <c r="I119" s="587" t="n">
        <f aca="true">OFFSET('Préstamos LP'!$D$35,'Datos generales'!H1,0,1,1)</f>
        <v>0</v>
      </c>
      <c r="J119" s="587" t="n">
        <f aca="true">OFFSET('Préstamos LP'!$D$35,'Datos generales'!I1,0,1,1)</f>
        <v>0</v>
      </c>
      <c r="K119" s="587" t="n">
        <f aca="true">OFFSET('Préstamos LP'!$D$35,'Datos generales'!J1,0,1,1)</f>
        <v>0</v>
      </c>
      <c r="L119" s="587" t="n">
        <f aca="true">OFFSET('Préstamos LP'!$D$35,'Datos generales'!K1,0,1,1)</f>
        <v>0</v>
      </c>
      <c r="M119" s="587" t="n">
        <f aca="true">OFFSET('Préstamos LP'!$D$35,'Datos generales'!L1,0,1,1)</f>
        <v>0</v>
      </c>
      <c r="N119" s="587" t="n">
        <f aca="true">OFFSET('Préstamos LP'!$E$35,'Datos generales'!M2,0,1,1)</f>
        <v>0</v>
      </c>
      <c r="O119" s="587" t="n">
        <f aca="true">OFFSET('Préstamos LP'!$D$35,'Datos generales'!N1,0,1,1)</f>
        <v>0</v>
      </c>
      <c r="P119" s="587" t="n">
        <f aca="true">OFFSET('Préstamos LP'!$D$35,'Datos generales'!O1,0,1,1)</f>
        <v>0</v>
      </c>
      <c r="Q119" s="588"/>
      <c r="R119" s="540" t="n">
        <f aca="false">SUM(D119:Q119)</f>
        <v>15000</v>
      </c>
      <c r="T119" s="476"/>
    </row>
    <row r="120" customFormat="false" ht="12.75" hidden="false" customHeight="false" outlineLevel="0" collapsed="false">
      <c r="B120" s="474"/>
      <c r="C120" s="350" t="str">
        <f aca="false">'Previsión de Gastos'!B27</f>
        <v>Gastos amortización préstamos Corto Plazo</v>
      </c>
      <c r="D120" s="614"/>
      <c r="E120" s="577" t="n">
        <f aca="true">OFFSET('Préstamos CP'!$D$24,'Datos generales'!D1,0,1,1)</f>
        <v>0</v>
      </c>
      <c r="F120" s="577" t="n">
        <f aca="true">OFFSET('Préstamos CP'!$D$24,'Datos generales'!E1,0,1,1)</f>
        <v>0</v>
      </c>
      <c r="G120" s="577" t="n">
        <f aca="true">OFFSET('Préstamos CP'!$D$24,'Datos generales'!F1,0,1,1)</f>
        <v>0</v>
      </c>
      <c r="H120" s="577" t="n">
        <f aca="true">OFFSET('Préstamos CP'!$D$24,'Datos generales'!G1,0,1,1)</f>
        <v>0</v>
      </c>
      <c r="I120" s="577" t="n">
        <f aca="true">OFFSET('Préstamos CP'!$D$24,'Datos generales'!H1,0,1,1)</f>
        <v>0</v>
      </c>
      <c r="J120" s="577" t="n">
        <f aca="true">OFFSET('Préstamos CP'!$D$24,'Datos generales'!I1,0,1,1)</f>
        <v>0</v>
      </c>
      <c r="K120" s="577" t="n">
        <f aca="true">OFFSET('Préstamos CP'!$D$24,'Datos generales'!J1,0,1,1)</f>
        <v>0</v>
      </c>
      <c r="L120" s="577" t="n">
        <f aca="true">OFFSET('Préstamos CP'!$D$24,'Datos generales'!K1,0,1,1)</f>
        <v>0</v>
      </c>
      <c r="M120" s="577" t="n">
        <f aca="true">OFFSET('Préstamos CP'!$D$24,'Datos generales'!L1,0,1,1)</f>
        <v>0</v>
      </c>
      <c r="N120" s="577" t="n">
        <f aca="true">OFFSET('Préstamos CP'!$D$24,'Datos generales'!M2,0,1,1)</f>
        <v>0</v>
      </c>
      <c r="O120" s="577" t="n">
        <f aca="true">OFFSET('Préstamos CP'!$D$24,'Datos generales'!N1,0,1,1)</f>
        <v>0</v>
      </c>
      <c r="P120" s="577" t="n">
        <f aca="true">OFFSET('Préstamos CP'!$D$24,'Datos generales'!O1,0,1,1)</f>
        <v>0</v>
      </c>
      <c r="Q120" s="567"/>
      <c r="R120" s="615" t="n">
        <f aca="false">SUM(D120:Q120)</f>
        <v>0</v>
      </c>
    </row>
    <row r="121" customFormat="false" ht="12.75" hidden="false" customHeight="false" outlineLevel="0" collapsed="false">
      <c r="B121" s="474"/>
      <c r="C121" s="358" t="str">
        <f aca="false">'Previsión de Gastos'!B28</f>
        <v>Arrendamientos Financieros</v>
      </c>
      <c r="D121" s="576"/>
      <c r="E121" s="526" t="n">
        <f aca="false">IF('Datos generales'!$O$10&gt;'Datos generales'!E$1,0,'Previsión de Gastos'!C28)</f>
        <v>0</v>
      </c>
      <c r="F121" s="526" t="n">
        <f aca="false">IF('Datos generales'!$O$10&gt;'Datos generales'!F$1,0,'Previsión de Gastos'!D28)</f>
        <v>0</v>
      </c>
      <c r="G121" s="526" t="n">
        <f aca="false">IF('Datos generales'!$O$10&gt;'Datos generales'!G$1,0,'Previsión de Gastos'!E28)</f>
        <v>0</v>
      </c>
      <c r="H121" s="526" t="n">
        <f aca="false">IF('Datos generales'!$O$10&gt;'Datos generales'!H$1,0,'Previsión de Gastos'!F28)</f>
        <v>0</v>
      </c>
      <c r="I121" s="526" t="n">
        <f aca="false">IF('Datos generales'!$O$10&gt;'Datos generales'!I$1,0,'Previsión de Gastos'!G28)</f>
        <v>0</v>
      </c>
      <c r="J121" s="526" t="n">
        <f aca="false">IF('Datos generales'!$O$10&gt;'Datos generales'!J$1,0,'Previsión de Gastos'!H28)</f>
        <v>0</v>
      </c>
      <c r="K121" s="526" t="n">
        <f aca="false">IF('Datos generales'!$O$10&gt;'Datos generales'!K$1,0,'Previsión de Gastos'!I28)</f>
        <v>0</v>
      </c>
      <c r="L121" s="526" t="n">
        <f aca="false">IF('Datos generales'!$O$10&gt;'Datos generales'!L$1,0,'Previsión de Gastos'!J28)</f>
        <v>0</v>
      </c>
      <c r="M121" s="526" t="n">
        <f aca="false">IF('Datos generales'!$O$10&gt;'Datos generales'!M$1,0,'Previsión de Gastos'!K28)</f>
        <v>0</v>
      </c>
      <c r="N121" s="526" t="n">
        <f aca="false">IF('Datos generales'!$O$10&gt;'Datos generales'!N$1,0,'Previsión de Gastos'!L28)</f>
        <v>0</v>
      </c>
      <c r="O121" s="526" t="n">
        <f aca="false">IF('Datos generales'!$O$10&gt;'Datos generales'!O$1,0,'Previsión de Gastos'!M28)</f>
        <v>0</v>
      </c>
      <c r="P121" s="526" t="n">
        <f aca="false">IF('Datos generales'!$O$10&gt;'Datos generales'!P$1,0,'Previsión de Gastos'!N28)</f>
        <v>0</v>
      </c>
      <c r="Q121" s="567"/>
      <c r="R121" s="616" t="n">
        <f aca="false">SUM(D121:Q121)</f>
        <v>0</v>
      </c>
    </row>
    <row r="122" customFormat="false" ht="12.75" hidden="false" customHeight="false" outlineLevel="0" collapsed="false">
      <c r="B122" s="474"/>
      <c r="C122" s="358" t="n">
        <f aca="false">'Previsión de Gastos'!B29</f>
        <v>0</v>
      </c>
      <c r="D122" s="576" t="n">
        <f aca="false">IF('Datos generales'!$O$10&gt;'Datos generales'!D$1,0,'Previsión de Gastos'!B29)</f>
        <v>0</v>
      </c>
      <c r="E122" s="526" t="n">
        <f aca="false">IF('Datos generales'!$O$10&gt;'Datos generales'!E$1,0,'Previsión de Gastos'!C29)</f>
        <v>0</v>
      </c>
      <c r="F122" s="526" t="n">
        <f aca="false">IF('Datos generales'!$O$10&gt;'Datos generales'!F$1,0,'Previsión de Gastos'!D29)</f>
        <v>0</v>
      </c>
      <c r="G122" s="526" t="n">
        <f aca="false">IF('Datos generales'!$O$10&gt;'Datos generales'!G$1,0,'Previsión de Gastos'!E29)</f>
        <v>0</v>
      </c>
      <c r="H122" s="526" t="n">
        <f aca="false">IF('Datos generales'!$O$10&gt;'Datos generales'!H$1,0,'Previsión de Gastos'!F29)</f>
        <v>0</v>
      </c>
      <c r="I122" s="526" t="n">
        <f aca="false">IF('Datos generales'!$O$10&gt;'Datos generales'!I$1,0,'Previsión de Gastos'!G29)</f>
        <v>0</v>
      </c>
      <c r="J122" s="526" t="n">
        <f aca="false">IF('Datos generales'!$O$10&gt;'Datos generales'!J$1,0,'Previsión de Gastos'!H29)</f>
        <v>0</v>
      </c>
      <c r="K122" s="526" t="n">
        <f aca="false">IF('Datos generales'!$O$10&gt;'Datos generales'!K$1,0,'Previsión de Gastos'!I29)</f>
        <v>0</v>
      </c>
      <c r="L122" s="526" t="n">
        <f aca="false">IF('Datos generales'!$O$10&gt;'Datos generales'!L$1,0,'Previsión de Gastos'!J29)</f>
        <v>0</v>
      </c>
      <c r="M122" s="526" t="n">
        <f aca="false">IF('Datos generales'!$O$10&gt;'Datos generales'!M$1,0,'Previsión de Gastos'!K29)</f>
        <v>0</v>
      </c>
      <c r="N122" s="526" t="n">
        <f aca="false">IF('Datos generales'!$O$10&gt;'Datos generales'!N$1,0,'Previsión de Gastos'!L29)</f>
        <v>0</v>
      </c>
      <c r="O122" s="526" t="n">
        <f aca="false">IF('Datos generales'!$O$10&gt;'Datos generales'!O$1,0,'Previsión de Gastos'!M29)</f>
        <v>0</v>
      </c>
      <c r="P122" s="526" t="n">
        <f aca="false">IF('Datos generales'!$O$10&gt;'Datos generales'!P$1,0,'Previsión de Gastos'!N29)</f>
        <v>0</v>
      </c>
      <c r="Q122" s="567"/>
      <c r="R122" s="540" t="n">
        <f aca="false">SUM(D122:Q122)</f>
        <v>0</v>
      </c>
    </row>
    <row r="123" customFormat="false" ht="12.75" hidden="false" customHeight="false" outlineLevel="0" collapsed="false">
      <c r="B123" s="568" t="str">
        <f aca="false">'Previsión de Gastos'!B30</f>
        <v>Total Gastos financieros</v>
      </c>
      <c r="C123" s="569"/>
      <c r="D123" s="590" t="n">
        <f aca="false">SUM(D118:D122)</f>
        <v>15000</v>
      </c>
      <c r="E123" s="591" t="n">
        <f aca="false">SUM(E118:E122)</f>
        <v>0</v>
      </c>
      <c r="F123" s="591" t="n">
        <f aca="false">SUM(F118:F122)</f>
        <v>0</v>
      </c>
      <c r="G123" s="591" t="n">
        <f aca="false">SUM(G118:G122)</f>
        <v>0</v>
      </c>
      <c r="H123" s="591" t="n">
        <f aca="false">SUM(H118:H122)</f>
        <v>0</v>
      </c>
      <c r="I123" s="591" t="n">
        <f aca="false">SUM(I118:I122)</f>
        <v>0</v>
      </c>
      <c r="J123" s="591" t="n">
        <f aca="false">SUM(J118:J122)</f>
        <v>0</v>
      </c>
      <c r="K123" s="591" t="n">
        <f aca="false">SUM(K118:K122)</f>
        <v>0</v>
      </c>
      <c r="L123" s="591" t="n">
        <f aca="false">SUM(L118:L122)</f>
        <v>0</v>
      </c>
      <c r="M123" s="591" t="n">
        <f aca="false">SUM(M118:M122)</f>
        <v>0</v>
      </c>
      <c r="N123" s="591" t="n">
        <f aca="false">SUM(N118:N122)</f>
        <v>0</v>
      </c>
      <c r="O123" s="591" t="n">
        <f aca="false">SUM(O118:O122)</f>
        <v>0</v>
      </c>
      <c r="P123" s="591" t="n">
        <f aca="false">SUM(P118:P122)</f>
        <v>0</v>
      </c>
      <c r="Q123" s="592" t="n">
        <f aca="false">SUM(Q118:Q122)</f>
        <v>0</v>
      </c>
      <c r="R123" s="593" t="n">
        <f aca="false">SUM(D123:Q123)</f>
        <v>15000</v>
      </c>
      <c r="S123" s="476"/>
      <c r="T123" s="476"/>
      <c r="U123" s="476"/>
    </row>
    <row r="124" customFormat="false" ht="12.75" hidden="false" customHeight="false" outlineLevel="0" collapsed="false">
      <c r="B124" s="470"/>
      <c r="C124" s="23"/>
      <c r="D124" s="489"/>
      <c r="E124" s="453"/>
      <c r="F124" s="453"/>
      <c r="G124" s="453"/>
      <c r="H124" s="453"/>
      <c r="I124" s="453"/>
      <c r="J124" s="453"/>
      <c r="K124" s="453"/>
      <c r="L124" s="453"/>
      <c r="M124" s="453"/>
      <c r="N124" s="453"/>
      <c r="O124" s="453"/>
      <c r="P124" s="453"/>
      <c r="Q124" s="617"/>
      <c r="R124" s="618"/>
      <c r="S124" s="476"/>
      <c r="T124" s="476"/>
    </row>
    <row r="125" customFormat="false" ht="14.25" hidden="false" customHeight="false" outlineLevel="0" collapsed="false">
      <c r="B125" s="554" t="s">
        <v>405</v>
      </c>
      <c r="C125" s="619"/>
      <c r="D125" s="596" t="n">
        <f aca="false">+D116-D123</f>
        <v>-15000</v>
      </c>
      <c r="E125" s="597" t="n">
        <f aca="false">+E116-E123</f>
        <v>0</v>
      </c>
      <c r="F125" s="597" t="n">
        <f aca="false">+F116-F123</f>
        <v>0</v>
      </c>
      <c r="G125" s="597" t="n">
        <f aca="false">+G116-G123</f>
        <v>0</v>
      </c>
      <c r="H125" s="597" t="n">
        <f aca="false">+H116-H123</f>
        <v>0</v>
      </c>
      <c r="I125" s="597" t="n">
        <f aca="false">+I116-I123</f>
        <v>0</v>
      </c>
      <c r="J125" s="597" t="n">
        <f aca="false">+J116-J123</f>
        <v>0</v>
      </c>
      <c r="K125" s="597" t="n">
        <f aca="false">+K116-K123</f>
        <v>0</v>
      </c>
      <c r="L125" s="597" t="n">
        <f aca="false">+L116-L123</f>
        <v>0</v>
      </c>
      <c r="M125" s="597" t="n">
        <f aca="false">+M116-M123</f>
        <v>0</v>
      </c>
      <c r="N125" s="597" t="n">
        <f aca="false">+N116-N123</f>
        <v>0</v>
      </c>
      <c r="O125" s="597" t="n">
        <f aca="false">+O116-O123</f>
        <v>0</v>
      </c>
      <c r="P125" s="597" t="n">
        <f aca="false">+P116-P123</f>
        <v>0</v>
      </c>
      <c r="Q125" s="598"/>
      <c r="R125" s="599" t="n">
        <f aca="false">SUM(D125:Q125)</f>
        <v>-15000</v>
      </c>
      <c r="S125" s="600"/>
      <c r="T125" s="476"/>
      <c r="U125" s="476"/>
    </row>
    <row r="126" customFormat="false" ht="14.25" hidden="false" customHeight="false" outlineLevel="0" collapsed="false">
      <c r="B126" s="460"/>
      <c r="C126" s="23"/>
      <c r="D126" s="489"/>
      <c r="E126" s="453"/>
      <c r="F126" s="453"/>
      <c r="G126" s="453"/>
      <c r="H126" s="453"/>
      <c r="I126" s="453"/>
      <c r="J126" s="453"/>
      <c r="K126" s="453"/>
      <c r="L126" s="453"/>
      <c r="M126" s="453"/>
      <c r="N126" s="453"/>
      <c r="O126" s="453"/>
      <c r="P126" s="453"/>
      <c r="Q126" s="535"/>
      <c r="R126" s="536"/>
      <c r="S126" s="476"/>
      <c r="T126" s="476"/>
    </row>
    <row r="127" s="363" customFormat="true" ht="15" hidden="false" customHeight="false" outlineLevel="0" collapsed="false">
      <c r="B127" s="620" t="s">
        <v>406</v>
      </c>
      <c r="C127" s="621"/>
      <c r="D127" s="622" t="n">
        <f aca="false">+D112+D125</f>
        <v>-15850</v>
      </c>
      <c r="E127" s="623" t="n">
        <f aca="false">+E112+E125</f>
        <v>3218.21111111111</v>
      </c>
      <c r="F127" s="623" t="n">
        <f aca="false">+F112+F125</f>
        <v>3218.21111111111</v>
      </c>
      <c r="G127" s="623" t="n">
        <f aca="false">+G112+G125</f>
        <v>3218.21111111111</v>
      </c>
      <c r="H127" s="623" t="n">
        <f aca="false">+H112+H125</f>
        <v>3218.21111111111</v>
      </c>
      <c r="I127" s="623" t="n">
        <f aca="false">+I112+I125</f>
        <v>3218.21111111111</v>
      </c>
      <c r="J127" s="623" t="n">
        <f aca="false">+J112+J125</f>
        <v>3218.21111111111</v>
      </c>
      <c r="K127" s="623" t="n">
        <f aca="false">+K112+K125</f>
        <v>3218.21111111111</v>
      </c>
      <c r="L127" s="623" t="n">
        <f aca="false">+L112+L125</f>
        <v>3218.21111111111</v>
      </c>
      <c r="M127" s="623" t="n">
        <f aca="false">+M112+M125</f>
        <v>3218.21111111111</v>
      </c>
      <c r="N127" s="624" t="n">
        <f aca="false">+N112+N125</f>
        <v>3218.21111111111</v>
      </c>
      <c r="O127" s="623" t="n">
        <f aca="false">+O112+O125</f>
        <v>3218.21111111111</v>
      </c>
      <c r="P127" s="623" t="n">
        <f aca="false">+P112+P125</f>
        <v>3218.21111111111</v>
      </c>
      <c r="Q127" s="625" t="n">
        <f aca="false">+Q112+Q125</f>
        <v>-225</v>
      </c>
      <c r="R127" s="626" t="n">
        <f aca="false">SUM(D127:Q127)</f>
        <v>22543.5333333333</v>
      </c>
      <c r="S127" s="546"/>
      <c r="T127" s="546"/>
      <c r="U127" s="546"/>
    </row>
    <row r="128" s="363" customFormat="true" ht="15" hidden="false" customHeight="false" outlineLevel="0" collapsed="false">
      <c r="B128" s="223"/>
      <c r="C128" s="245" t="str">
        <f aca="false">IF('Datos generales'!$D$22&lt;=0, "(*)   En empresas que no repercuten IVA. El importe de Compras aparece incrementado en este impuesto ","")</f>
        <v/>
      </c>
      <c r="D128" s="558"/>
      <c r="E128" s="462"/>
      <c r="F128" s="462"/>
      <c r="G128" s="462"/>
      <c r="H128" s="462"/>
      <c r="I128" s="462"/>
      <c r="J128" s="462"/>
      <c r="K128" s="462"/>
      <c r="L128" s="462"/>
      <c r="M128" s="462"/>
      <c r="N128" s="627"/>
      <c r="O128" s="462"/>
      <c r="P128" s="462"/>
      <c r="Q128" s="462"/>
      <c r="R128" s="462"/>
      <c r="S128" s="546"/>
      <c r="T128" s="546"/>
      <c r="U128" s="546"/>
    </row>
    <row r="129" customFormat="false" ht="14.25" hidden="false" customHeight="false" outlineLevel="0" collapsed="false">
      <c r="D129" s="561"/>
      <c r="E129" s="462"/>
      <c r="F129" s="462"/>
      <c r="G129" s="462"/>
      <c r="H129" s="462"/>
      <c r="I129" s="462"/>
      <c r="J129" s="462"/>
      <c r="K129" s="462"/>
      <c r="L129" s="462"/>
      <c r="M129" s="462"/>
      <c r="N129" s="462"/>
      <c r="O129" s="462"/>
      <c r="P129" s="462"/>
      <c r="Q129" s="476"/>
      <c r="R129" s="476"/>
    </row>
    <row r="130" customFormat="false" ht="13.5" hidden="false" customHeight="false" outlineLevel="0" collapsed="false">
      <c r="B130" s="23"/>
      <c r="C130" s="23"/>
      <c r="D130" s="628"/>
      <c r="E130" s="629"/>
      <c r="F130" s="629"/>
      <c r="G130" s="629"/>
      <c r="H130" s="629"/>
      <c r="I130" s="629"/>
      <c r="J130" s="629"/>
      <c r="K130" s="629"/>
      <c r="L130" s="629"/>
      <c r="M130" s="629"/>
      <c r="N130" s="629"/>
      <c r="O130" s="629"/>
      <c r="P130" s="476"/>
      <c r="Q130" s="476"/>
      <c r="R130" s="476"/>
      <c r="S130" s="476"/>
      <c r="T130" s="476"/>
    </row>
    <row r="131" customFormat="false" ht="15" hidden="false" customHeight="false" outlineLevel="0" collapsed="false">
      <c r="B131" s="425"/>
      <c r="C131" s="51" t="s">
        <v>436</v>
      </c>
      <c r="D131" s="628"/>
      <c r="E131" s="629"/>
      <c r="F131" s="476"/>
      <c r="G131" s="629"/>
      <c r="H131" s="629"/>
      <c r="I131" s="476"/>
      <c r="J131" s="462"/>
      <c r="K131" s="629"/>
      <c r="L131" s="629"/>
      <c r="M131" s="629"/>
      <c r="N131" s="629"/>
      <c r="O131" s="629"/>
      <c r="P131" s="629"/>
      <c r="Q131" s="629"/>
      <c r="R131" s="476"/>
      <c r="S131" s="476"/>
      <c r="T131" s="476"/>
      <c r="U131" s="476"/>
    </row>
    <row r="132" customFormat="false" ht="21" hidden="false" customHeight="false" outlineLevel="0" collapsed="false">
      <c r="B132" s="429" t="str">
        <f aca="false">B13</f>
        <v>Conceptos</v>
      </c>
      <c r="C132" s="429"/>
      <c r="D132" s="630" t="s">
        <v>303</v>
      </c>
      <c r="E132" s="631" t="s">
        <v>304</v>
      </c>
      <c r="F132" s="631" t="s">
        <v>305</v>
      </c>
      <c r="G132" s="631" t="s">
        <v>127</v>
      </c>
      <c r="H132" s="631" t="s">
        <v>128</v>
      </c>
      <c r="I132" s="631" t="s">
        <v>129</v>
      </c>
      <c r="J132" s="631" t="s">
        <v>130</v>
      </c>
      <c r="K132" s="631" t="s">
        <v>306</v>
      </c>
      <c r="L132" s="631" t="s">
        <v>307</v>
      </c>
      <c r="M132" s="631" t="s">
        <v>308</v>
      </c>
      <c r="N132" s="631" t="s">
        <v>309</v>
      </c>
      <c r="O132" s="631" t="s">
        <v>310</v>
      </c>
      <c r="P132" s="632" t="s">
        <v>420</v>
      </c>
      <c r="Q132" s="633" t="s">
        <v>136</v>
      </c>
      <c r="R132" s="476"/>
      <c r="S132" s="476"/>
      <c r="T132" s="476"/>
      <c r="U132" s="476"/>
    </row>
    <row r="133" customFormat="false" ht="12.75" hidden="false" customHeight="false" outlineLevel="0" collapsed="false">
      <c r="B133" s="520" t="str">
        <f aca="false">B53</f>
        <v>Importe neto de la cifra de negocios:</v>
      </c>
      <c r="C133" s="469"/>
      <c r="D133" s="521" t="n">
        <f aca="false">'Presupuesto de ventas'!D86</f>
        <v>23942</v>
      </c>
      <c r="E133" s="521" t="n">
        <f aca="false">'Presupuesto de ventas'!E86</f>
        <v>23942</v>
      </c>
      <c r="F133" s="521" t="n">
        <f aca="false">'Presupuesto de ventas'!F86</f>
        <v>23942</v>
      </c>
      <c r="G133" s="521" t="n">
        <f aca="false">'Presupuesto de ventas'!G86</f>
        <v>23942</v>
      </c>
      <c r="H133" s="521" t="n">
        <f aca="false">'Presupuesto de ventas'!H86</f>
        <v>23942</v>
      </c>
      <c r="I133" s="521" t="n">
        <f aca="false">'Presupuesto de ventas'!I86</f>
        <v>23942</v>
      </c>
      <c r="J133" s="521" t="n">
        <f aca="false">'Presupuesto de ventas'!J86</f>
        <v>23942</v>
      </c>
      <c r="K133" s="521" t="n">
        <f aca="false">'Presupuesto de ventas'!K86</f>
        <v>23942</v>
      </c>
      <c r="L133" s="521" t="n">
        <f aca="false">'Presupuesto de ventas'!L86</f>
        <v>23942</v>
      </c>
      <c r="M133" s="521" t="n">
        <f aca="false">'Presupuesto de ventas'!M86</f>
        <v>23942</v>
      </c>
      <c r="N133" s="521" t="n">
        <f aca="false">'Presupuesto de ventas'!N86</f>
        <v>23942</v>
      </c>
      <c r="O133" s="521" t="n">
        <f aca="false">'Presupuesto de ventas'!O86</f>
        <v>23942</v>
      </c>
      <c r="P133" s="522"/>
      <c r="Q133" s="634" t="n">
        <f aca="false">SUM(D133:P133)</f>
        <v>287304</v>
      </c>
      <c r="R133" s="476"/>
      <c r="S133" s="476"/>
      <c r="T133" s="476"/>
      <c r="U133" s="476"/>
    </row>
    <row r="134" customFormat="false" ht="27.75" hidden="false" customHeight="true" outlineLevel="0" collapsed="false">
      <c r="B134" s="606" t="str">
        <f aca="false">B54</f>
        <v>Variación de existencias de productos terminados y en curso de fabricación:</v>
      </c>
      <c r="C134" s="606"/>
      <c r="D134" s="526" t="n">
        <f aca="false">IF('Datos generales'!$D$22&lt;=0,'Margen B'!C202,'Margen B'!C201)</f>
        <v>0</v>
      </c>
      <c r="E134" s="526" t="n">
        <f aca="false">IF('Datos generales'!$D$22&lt;=0,'Margen B'!D202,'Margen B'!D201)</f>
        <v>0</v>
      </c>
      <c r="F134" s="526" t="n">
        <f aca="false">IF('Datos generales'!$D$22&lt;=0,'Margen B'!E202,'Margen B'!E201)</f>
        <v>0</v>
      </c>
      <c r="G134" s="526" t="n">
        <f aca="false">IF('Datos generales'!$D$22&lt;=0,'Margen B'!F202,'Margen B'!F201)</f>
        <v>0</v>
      </c>
      <c r="H134" s="526" t="n">
        <f aca="false">IF('Datos generales'!$D$22&lt;=0,'Margen B'!G202,'Margen B'!G201)</f>
        <v>0</v>
      </c>
      <c r="I134" s="526" t="n">
        <f aca="false">IF('Datos generales'!$D$22&lt;=0,'Margen B'!H202,'Margen B'!H201)</f>
        <v>0</v>
      </c>
      <c r="J134" s="526" t="n">
        <f aca="false">IF('Datos generales'!$D$22&lt;=0,'Margen B'!I202,'Margen B'!I201)</f>
        <v>0</v>
      </c>
      <c r="K134" s="526" t="n">
        <f aca="false">IF('Datos generales'!$D$22&lt;=0,'Margen B'!J202,'Margen B'!J201)</f>
        <v>0</v>
      </c>
      <c r="L134" s="526" t="n">
        <f aca="false">IF('Datos generales'!$D$22&lt;=0,'Margen B'!K202,'Margen B'!K201)</f>
        <v>0</v>
      </c>
      <c r="M134" s="526" t="n">
        <f aca="false">IF('Datos generales'!$D$22&lt;=0,'Margen B'!L202,'Margen B'!L201)</f>
        <v>0</v>
      </c>
      <c r="N134" s="526" t="n">
        <f aca="false">IF('Datos generales'!$D$22&lt;=0,'Margen B'!M202,'Margen B'!M201)</f>
        <v>0</v>
      </c>
      <c r="O134" s="526" t="n">
        <f aca="false">IF('Datos generales'!$D$22&lt;=0,'Margen B'!N202,'Margen B'!N201)</f>
        <v>0</v>
      </c>
      <c r="P134" s="635" t="n">
        <f aca="false">IF('Datos generales'!D22&lt;=0, 'Margen B'!P202-'Margen B'!P144-'Margen B'!O202, 'Margen B'!P201-'Margen B'!P143-'Margen B'!O201)</f>
        <v>225</v>
      </c>
      <c r="Q134" s="636" t="n">
        <f aca="false">SUM(D134:P134)</f>
        <v>225</v>
      </c>
      <c r="R134" s="476"/>
      <c r="S134" s="476"/>
      <c r="T134" s="476"/>
      <c r="U134" s="476"/>
    </row>
    <row r="135" customFormat="false" ht="14.25" hidden="false" customHeight="false" outlineLevel="0" collapsed="false">
      <c r="B135" s="520" t="str">
        <f aca="false">B55</f>
        <v>Trabajos realizados por la empresa para su activo:</v>
      </c>
      <c r="C135" s="528"/>
      <c r="D135" s="525"/>
      <c r="E135" s="525"/>
      <c r="F135" s="525"/>
      <c r="G135" s="525"/>
      <c r="H135" s="525"/>
      <c r="I135" s="525"/>
      <c r="J135" s="525"/>
      <c r="K135" s="525"/>
      <c r="L135" s="525"/>
      <c r="M135" s="525"/>
      <c r="N135" s="525"/>
      <c r="O135" s="525"/>
      <c r="P135" s="529"/>
      <c r="Q135" s="637" t="n">
        <f aca="false">SUM(D135:P135)</f>
        <v>0</v>
      </c>
      <c r="S135" s="93"/>
    </row>
    <row r="136" customFormat="false" ht="14.25" hidden="false" customHeight="false" outlineLevel="0" collapsed="false">
      <c r="B136" s="638" t="str">
        <f aca="false">B56</f>
        <v>Aprovisionamientos:</v>
      </c>
      <c r="C136" s="363"/>
      <c r="D136" s="558"/>
      <c r="E136" s="462"/>
      <c r="F136" s="462"/>
      <c r="G136" s="462"/>
      <c r="H136" s="462"/>
      <c r="I136" s="462"/>
      <c r="J136" s="462"/>
      <c r="K136" s="462"/>
      <c r="L136" s="462"/>
      <c r="M136" s="462"/>
      <c r="N136" s="462"/>
      <c r="O136" s="462"/>
      <c r="P136" s="559"/>
      <c r="Q136" s="639"/>
      <c r="R136" s="476"/>
      <c r="S136" s="476"/>
      <c r="T136" s="476"/>
      <c r="U136" s="476"/>
    </row>
    <row r="137" customFormat="false" ht="12.75" hidden="false" customHeight="false" outlineLevel="0" collapsed="false">
      <c r="B137" s="450"/>
      <c r="C137" s="0" t="s">
        <v>424</v>
      </c>
      <c r="D137" s="533" t="n">
        <f aca="false">'Margen B'!D162</f>
        <v>17426</v>
      </c>
      <c r="E137" s="534" t="n">
        <f aca="false">'Margen B'!E162</f>
        <v>17426</v>
      </c>
      <c r="F137" s="534" t="n">
        <f aca="false">'Margen B'!F162</f>
        <v>17426</v>
      </c>
      <c r="G137" s="534" t="n">
        <f aca="false">'Margen B'!G162</f>
        <v>17426</v>
      </c>
      <c r="H137" s="534" t="n">
        <f aca="false">'Margen B'!H162</f>
        <v>17426</v>
      </c>
      <c r="I137" s="534" t="n">
        <f aca="false">'Margen B'!I162</f>
        <v>17426</v>
      </c>
      <c r="J137" s="534" t="n">
        <f aca="false">'Margen B'!J162</f>
        <v>17426</v>
      </c>
      <c r="K137" s="534" t="n">
        <f aca="false">'Margen B'!K162</f>
        <v>17426</v>
      </c>
      <c r="L137" s="534" t="n">
        <f aca="false">'Margen B'!L162</f>
        <v>17426</v>
      </c>
      <c r="M137" s="534" t="n">
        <f aca="false">'Margen B'!M162</f>
        <v>17426</v>
      </c>
      <c r="N137" s="534" t="n">
        <f aca="false">'Margen B'!N162</f>
        <v>17426</v>
      </c>
      <c r="O137" s="534" t="n">
        <f aca="false">'Margen B'!O162</f>
        <v>17426</v>
      </c>
      <c r="P137" s="535"/>
      <c r="Q137" s="640" t="n">
        <f aca="false">SUM(D137:P137)</f>
        <v>209112</v>
      </c>
      <c r="R137" s="476"/>
      <c r="S137" s="476"/>
      <c r="T137" s="476"/>
      <c r="U137" s="476"/>
    </row>
    <row r="138" customFormat="false" ht="24" hidden="false" customHeight="false" outlineLevel="0" collapsed="false">
      <c r="B138" s="450"/>
      <c r="C138" s="537" t="s">
        <v>425</v>
      </c>
      <c r="D138" s="538" t="n">
        <f aca="false">'Margen B'!D176</f>
        <v>0</v>
      </c>
      <c r="E138" s="538" t="n">
        <f aca="false">'Margen B'!E176</f>
        <v>0</v>
      </c>
      <c r="F138" s="538" t="n">
        <f aca="false">'Margen B'!F176</f>
        <v>0</v>
      </c>
      <c r="G138" s="538" t="n">
        <f aca="false">'Margen B'!G176</f>
        <v>0</v>
      </c>
      <c r="H138" s="538" t="n">
        <f aca="false">'Margen B'!H176</f>
        <v>0</v>
      </c>
      <c r="I138" s="538" t="n">
        <f aca="false">'Margen B'!I176</f>
        <v>0</v>
      </c>
      <c r="J138" s="538" t="n">
        <f aca="false">'Margen B'!J176</f>
        <v>0</v>
      </c>
      <c r="K138" s="538" t="n">
        <f aca="false">'Margen B'!K176</f>
        <v>0</v>
      </c>
      <c r="L138" s="538" t="n">
        <f aca="false">'Margen B'!L176</f>
        <v>0</v>
      </c>
      <c r="M138" s="538" t="n">
        <f aca="false">'Margen B'!M176</f>
        <v>0</v>
      </c>
      <c r="N138" s="538" t="n">
        <f aca="false">'Margen B'!N176</f>
        <v>0</v>
      </c>
      <c r="O138" s="538" t="n">
        <f aca="false">'Margen B'!O176</f>
        <v>0</v>
      </c>
      <c r="P138" s="522"/>
      <c r="Q138" s="641" t="n">
        <f aca="false">SUM(D138:P138)</f>
        <v>0</v>
      </c>
      <c r="R138" s="476"/>
      <c r="S138" s="476"/>
      <c r="T138" s="476"/>
      <c r="U138" s="476"/>
    </row>
    <row r="139" customFormat="false" ht="24" hidden="false" customHeight="false" outlineLevel="0" collapsed="false">
      <c r="B139" s="450"/>
      <c r="C139" s="537" t="s">
        <v>143</v>
      </c>
      <c r="D139" s="538" t="n">
        <f aca="false">'Margen B'!D186</f>
        <v>1197.1</v>
      </c>
      <c r="E139" s="538" t="n">
        <f aca="false">'Margen B'!E186</f>
        <v>1197.1</v>
      </c>
      <c r="F139" s="538" t="n">
        <f aca="false">'Margen B'!F186</f>
        <v>1197.1</v>
      </c>
      <c r="G139" s="538" t="n">
        <f aca="false">'Margen B'!G186</f>
        <v>1197.1</v>
      </c>
      <c r="H139" s="538" t="n">
        <f aca="false">'Margen B'!H186</f>
        <v>1197.1</v>
      </c>
      <c r="I139" s="538" t="n">
        <f aca="false">'Margen B'!I186</f>
        <v>1197.1</v>
      </c>
      <c r="J139" s="538" t="n">
        <f aca="false">'Margen B'!J186</f>
        <v>1197.1</v>
      </c>
      <c r="K139" s="538" t="n">
        <f aca="false">'Margen B'!K186</f>
        <v>1197.1</v>
      </c>
      <c r="L139" s="538" t="n">
        <f aca="false">'Margen B'!L186</f>
        <v>1197.1</v>
      </c>
      <c r="M139" s="538" t="n">
        <f aca="false">'Margen B'!M186</f>
        <v>1197.1</v>
      </c>
      <c r="N139" s="538" t="n">
        <f aca="false">'Margen B'!N186</f>
        <v>1197.1</v>
      </c>
      <c r="O139" s="538" t="n">
        <f aca="false">'Margen B'!O186</f>
        <v>1197.1</v>
      </c>
      <c r="P139" s="642"/>
      <c r="Q139" s="449" t="n">
        <f aca="false">SUM(D139:P139)</f>
        <v>14365.2</v>
      </c>
      <c r="R139" s="476"/>
      <c r="S139" s="476"/>
      <c r="T139" s="476"/>
      <c r="U139" s="476"/>
    </row>
    <row r="140" s="363" customFormat="true" ht="15" hidden="false" customHeight="true" outlineLevel="0" collapsed="false">
      <c r="B140" s="554" t="str">
        <f aca="false">B60</f>
        <v>Total Aprovisionamientos</v>
      </c>
      <c r="C140" s="643"/>
      <c r="D140" s="596" t="n">
        <f aca="false">SUM(D137:D139)+D134</f>
        <v>18623.1</v>
      </c>
      <c r="E140" s="596" t="n">
        <f aca="false">SUM(E137:E139)+E134</f>
        <v>18623.1</v>
      </c>
      <c r="F140" s="596" t="n">
        <f aca="false">SUM(F137:F139)+F134</f>
        <v>18623.1</v>
      </c>
      <c r="G140" s="596" t="n">
        <f aca="false">SUM(G137:G139)+G134</f>
        <v>18623.1</v>
      </c>
      <c r="H140" s="596" t="n">
        <f aca="false">SUM(H137:H139)+H134</f>
        <v>18623.1</v>
      </c>
      <c r="I140" s="596" t="n">
        <f aca="false">SUM(I137:I139)+I134</f>
        <v>18623.1</v>
      </c>
      <c r="J140" s="596" t="n">
        <f aca="false">SUM(J137:J139)+J134</f>
        <v>18623.1</v>
      </c>
      <c r="K140" s="596" t="n">
        <f aca="false">SUM(K137:K139)+K134</f>
        <v>18623.1</v>
      </c>
      <c r="L140" s="596" t="n">
        <f aca="false">SUM(L137:L139)+L134</f>
        <v>18623.1</v>
      </c>
      <c r="M140" s="596" t="n">
        <f aca="false">SUM(M137:M139)+M134</f>
        <v>18623.1</v>
      </c>
      <c r="N140" s="596" t="n">
        <f aca="false">SUM(N137:N139)+N134</f>
        <v>18623.1</v>
      </c>
      <c r="O140" s="596" t="n">
        <f aca="false">SUM(O137:O139)+O134</f>
        <v>18623.1</v>
      </c>
      <c r="P140" s="598"/>
      <c r="Q140" s="599" t="n">
        <f aca="false">SUM(D140:P140)</f>
        <v>223477.2</v>
      </c>
      <c r="R140" s="546"/>
      <c r="S140" s="476"/>
      <c r="T140" s="546"/>
      <c r="U140" s="546"/>
    </row>
    <row r="141" customFormat="false" ht="12.75" hidden="false" customHeight="false" outlineLevel="0" collapsed="false">
      <c r="B141" s="547" t="str">
        <f aca="false">B61</f>
        <v>Otros ingresos de explotación</v>
      </c>
      <c r="C141" s="350"/>
      <c r="D141" s="550"/>
      <c r="E141" s="550"/>
      <c r="F141" s="550"/>
      <c r="G141" s="550"/>
      <c r="H141" s="550"/>
      <c r="I141" s="550"/>
      <c r="J141" s="550"/>
      <c r="K141" s="550"/>
      <c r="L141" s="550"/>
      <c r="M141" s="550"/>
      <c r="N141" s="550"/>
      <c r="O141" s="550"/>
      <c r="P141" s="313"/>
      <c r="Q141" s="644" t="n">
        <f aca="false">SUM(D141:P141)</f>
        <v>0</v>
      </c>
      <c r="S141" s="93"/>
    </row>
    <row r="142" customFormat="false" ht="12.75" hidden="false" customHeight="false" outlineLevel="0" collapsed="false">
      <c r="B142" s="470"/>
      <c r="C142" s="23"/>
      <c r="D142" s="645"/>
      <c r="E142" s="646"/>
      <c r="F142" s="646"/>
      <c r="G142" s="646"/>
      <c r="H142" s="646"/>
      <c r="I142" s="646"/>
      <c r="J142" s="646"/>
      <c r="K142" s="646"/>
      <c r="L142" s="646"/>
      <c r="M142" s="646"/>
      <c r="N142" s="646"/>
      <c r="O142" s="646"/>
      <c r="P142" s="531"/>
      <c r="Q142" s="647"/>
      <c r="R142" s="476"/>
      <c r="S142" s="476"/>
      <c r="T142" s="476"/>
    </row>
    <row r="143" customFormat="false" ht="14.25" hidden="false" customHeight="false" outlineLevel="0" collapsed="false">
      <c r="B143" s="554" t="str">
        <f aca="false">B63</f>
        <v>Margen Bruto s/Ventas</v>
      </c>
      <c r="C143" s="542"/>
      <c r="D143" s="596" t="n">
        <f aca="false">+D133+D134-D140+D141</f>
        <v>5318.9</v>
      </c>
      <c r="E143" s="597" t="n">
        <f aca="false">+E133+E134-E140+E141</f>
        <v>5318.9</v>
      </c>
      <c r="F143" s="597" t="n">
        <f aca="false">+F133+F134-F140+F141</f>
        <v>5318.9</v>
      </c>
      <c r="G143" s="597" t="n">
        <f aca="false">+G133+G134-G140+G141</f>
        <v>5318.9</v>
      </c>
      <c r="H143" s="597" t="n">
        <f aca="false">+H133+H134-H140+H141</f>
        <v>5318.9</v>
      </c>
      <c r="I143" s="597" t="n">
        <f aca="false">+I133+I134-I140+I141</f>
        <v>5318.9</v>
      </c>
      <c r="J143" s="597" t="n">
        <f aca="false">+J133+J134-J140+J141</f>
        <v>5318.9</v>
      </c>
      <c r="K143" s="597" t="n">
        <f aca="false">+K133+K134-K140+K141</f>
        <v>5318.9</v>
      </c>
      <c r="L143" s="597" t="n">
        <f aca="false">+L133+L134-L140+L141</f>
        <v>5318.9</v>
      </c>
      <c r="M143" s="597" t="n">
        <f aca="false">+M133+M134-M140+M141</f>
        <v>5318.9</v>
      </c>
      <c r="N143" s="597" t="n">
        <f aca="false">+N133+N134-N140+N141</f>
        <v>5318.9</v>
      </c>
      <c r="O143" s="597" t="n">
        <f aca="false">+O133+O134-O140+O141</f>
        <v>5318.9</v>
      </c>
      <c r="P143" s="597"/>
      <c r="Q143" s="648" t="n">
        <f aca="false">SUM(D143:P143)</f>
        <v>63826.8</v>
      </c>
      <c r="R143" s="476"/>
      <c r="S143" s="476"/>
      <c r="T143" s="476"/>
      <c r="U143" s="476"/>
    </row>
    <row r="144" customFormat="false" ht="6" hidden="false" customHeight="true" outlineLevel="0" collapsed="false">
      <c r="B144" s="460"/>
      <c r="C144" s="363"/>
      <c r="D144" s="558"/>
      <c r="E144" s="462"/>
      <c r="F144" s="462"/>
      <c r="G144" s="462"/>
      <c r="H144" s="462"/>
      <c r="I144" s="462"/>
      <c r="J144" s="462"/>
      <c r="K144" s="462"/>
      <c r="L144" s="462"/>
      <c r="M144" s="462"/>
      <c r="N144" s="462"/>
      <c r="O144" s="462"/>
      <c r="P144" s="559"/>
      <c r="Q144" s="618"/>
      <c r="R144" s="476"/>
      <c r="S144" s="476"/>
      <c r="T144" s="476"/>
    </row>
    <row r="145" customFormat="false" ht="12.75" hidden="false" customHeight="false" outlineLevel="0" collapsed="false">
      <c r="B145" s="470" t="str">
        <f aca="false">B65</f>
        <v>Gastos de personal:</v>
      </c>
      <c r="D145" s="561"/>
      <c r="E145" s="476"/>
      <c r="F145" s="476"/>
      <c r="G145" s="476"/>
      <c r="H145" s="476"/>
      <c r="I145" s="476"/>
      <c r="J145" s="476"/>
      <c r="K145" s="476"/>
      <c r="L145" s="476"/>
      <c r="M145" s="476"/>
      <c r="N145" s="476"/>
      <c r="O145" s="476"/>
      <c r="P145" s="535"/>
      <c r="Q145" s="618"/>
      <c r="R145" s="476"/>
      <c r="S145" s="476"/>
      <c r="T145" s="476"/>
    </row>
    <row r="146" customFormat="false" ht="12.75" hidden="false" customHeight="false" outlineLevel="0" collapsed="false">
      <c r="B146" s="474"/>
      <c r="C146" s="350" t="str">
        <f aca="false">C66</f>
        <v>Formación del personal</v>
      </c>
      <c r="D146" s="562" t="n">
        <f aca="false">'Previsión de Gastos'!C13+('Previsión de Gastos'!C13*'Previsión de Gastos'!$P13)</f>
        <v>0</v>
      </c>
      <c r="E146" s="563" t="n">
        <f aca="false">'Previsión de Gastos'!D13+('Previsión de Gastos'!D13*'Previsión de Gastos'!$P13)</f>
        <v>0</v>
      </c>
      <c r="F146" s="563" t="n">
        <f aca="false">'Previsión de Gastos'!E13+('Previsión de Gastos'!E13*'Previsión de Gastos'!$P13)</f>
        <v>0</v>
      </c>
      <c r="G146" s="563" t="n">
        <f aca="false">'Previsión de Gastos'!F13+('Previsión de Gastos'!F13*'Previsión de Gastos'!$P13)</f>
        <v>0</v>
      </c>
      <c r="H146" s="563" t="n">
        <f aca="false">'Previsión de Gastos'!G13+('Previsión de Gastos'!G13*'Previsión de Gastos'!$P13)</f>
        <v>0</v>
      </c>
      <c r="I146" s="563" t="n">
        <f aca="false">'Previsión de Gastos'!H13+('Previsión de Gastos'!H13*'Previsión de Gastos'!$P13)</f>
        <v>0</v>
      </c>
      <c r="J146" s="563" t="n">
        <f aca="false">'Previsión de Gastos'!I13+('Previsión de Gastos'!I13*'Previsión de Gastos'!$P13)</f>
        <v>0</v>
      </c>
      <c r="K146" s="563" t="n">
        <f aca="false">'Previsión de Gastos'!J13+('Previsión de Gastos'!J13*'Previsión de Gastos'!$P13)</f>
        <v>0</v>
      </c>
      <c r="L146" s="563" t="n">
        <f aca="false">'Previsión de Gastos'!K13+('Previsión de Gastos'!K13*'Previsión de Gastos'!$P13)</f>
        <v>0</v>
      </c>
      <c r="M146" s="563" t="n">
        <f aca="false">'Previsión de Gastos'!L13+('Previsión de Gastos'!L13*'Previsión de Gastos'!$P13)</f>
        <v>0</v>
      </c>
      <c r="N146" s="563" t="n">
        <f aca="false">'Previsión de Gastos'!M13+('Previsión de Gastos'!M13*'Previsión de Gastos'!$P13)</f>
        <v>0</v>
      </c>
      <c r="O146" s="563" t="n">
        <f aca="false">'Previsión de Gastos'!N13+('Previsión de Gastos'!N13*'Previsión de Gastos'!$P13)</f>
        <v>0</v>
      </c>
      <c r="P146" s="564"/>
      <c r="Q146" s="649" t="n">
        <f aca="false">SUM(D146:P146)</f>
        <v>0</v>
      </c>
      <c r="S146" s="93"/>
    </row>
    <row r="147" customFormat="false" ht="12.75" hidden="false" customHeight="false" outlineLevel="0" collapsed="false">
      <c r="B147" s="474"/>
      <c r="C147" s="350" t="str">
        <f aca="false">C67</f>
        <v>Promotor  (Sueldo + S.S.)</v>
      </c>
      <c r="D147" s="566" t="n">
        <f aca="false">IF('Previsión de Gastos'!$T$14&gt;'Datos generales'!E$1+12,0,'Previsión de Gastos'!C14+('Previsión de Gastos'!C14*'Previsión de Gastos'!$P14))</f>
        <v>0</v>
      </c>
      <c r="E147" s="566" t="n">
        <f aca="false">IF('Previsión de Gastos'!$T$14&gt;'Datos generales'!F$1+12,0,'Previsión de Gastos'!D14+('Previsión de Gastos'!D14*'Previsión de Gastos'!$P14))</f>
        <v>0</v>
      </c>
      <c r="F147" s="566" t="n">
        <f aca="false">IF('Previsión de Gastos'!$T$14&gt;'Datos generales'!G$1+12,0,'Previsión de Gastos'!E14+('Previsión de Gastos'!E14*'Previsión de Gastos'!$P14))</f>
        <v>0</v>
      </c>
      <c r="G147" s="566" t="n">
        <f aca="false">IF('Previsión de Gastos'!$T$14&gt;'Datos generales'!H$1+12,0,'Previsión de Gastos'!F14+('Previsión de Gastos'!F14*'Previsión de Gastos'!$P14))</f>
        <v>0</v>
      </c>
      <c r="H147" s="566" t="n">
        <f aca="false">IF('Previsión de Gastos'!$T$14&gt;'Datos generales'!I$1+12,0,'Previsión de Gastos'!G14+('Previsión de Gastos'!G14*'Previsión de Gastos'!$P14))</f>
        <v>0</v>
      </c>
      <c r="I147" s="566" t="n">
        <f aca="false">IF('Previsión de Gastos'!$T$14&gt;'Datos generales'!J$1+12,0,'Previsión de Gastos'!H14+('Previsión de Gastos'!H14*'Previsión de Gastos'!$P14))</f>
        <v>0</v>
      </c>
      <c r="J147" s="566" t="n">
        <f aca="false">IF('Previsión de Gastos'!$T$14&gt;'Datos generales'!K$1+12,0,'Previsión de Gastos'!I14+('Previsión de Gastos'!I14*'Previsión de Gastos'!$P14))</f>
        <v>0</v>
      </c>
      <c r="K147" s="566" t="n">
        <f aca="false">IF('Previsión de Gastos'!$T$14&gt;'Datos generales'!L$1+12,0,'Previsión de Gastos'!J14+('Previsión de Gastos'!J14*'Previsión de Gastos'!$P14))</f>
        <v>0</v>
      </c>
      <c r="L147" s="566" t="n">
        <f aca="false">IF('Previsión de Gastos'!$T$14&gt;'Datos generales'!M$1+12,0,'Previsión de Gastos'!K14+('Previsión de Gastos'!K14*'Previsión de Gastos'!$P14))</f>
        <v>0</v>
      </c>
      <c r="M147" s="566" t="n">
        <f aca="false">IF('Previsión de Gastos'!$T$14&gt;'Datos generales'!N$1+12,0,'Previsión de Gastos'!L14+('Previsión de Gastos'!L14*'Previsión de Gastos'!$P14))</f>
        <v>0</v>
      </c>
      <c r="N147" s="566" t="n">
        <f aca="false">IF('Previsión de Gastos'!$T$14&gt;'Datos generales'!O$1+12,0,'Previsión de Gastos'!M14+('Previsión de Gastos'!M14*'Previsión de Gastos'!$P14))</f>
        <v>0</v>
      </c>
      <c r="O147" s="566" t="n">
        <f aca="false">IF('Previsión de Gastos'!$T$14&gt;'Datos generales'!P$1+12,0,'Previsión de Gastos'!N14+('Previsión de Gastos'!N14*'Previsión de Gastos'!$P14))</f>
        <v>0</v>
      </c>
      <c r="P147" s="522"/>
      <c r="Q147" s="636" t="n">
        <f aca="false">SUM(D147:P147)</f>
        <v>0</v>
      </c>
      <c r="R147" s="476"/>
      <c r="S147" s="476"/>
      <c r="T147" s="476"/>
      <c r="U147" s="476"/>
    </row>
    <row r="148" customFormat="false" ht="12.75" hidden="false" customHeight="false" outlineLevel="0" collapsed="false">
      <c r="B148" s="474"/>
      <c r="C148" s="350" t="str">
        <f aca="false">C68</f>
        <v>Asalariado (Sueldo + S.S.)</v>
      </c>
      <c r="D148" s="565" t="n">
        <f aca="false">IF('Previsión de Gastos'!$T$15&gt;'Datos generales'!E$1+12,0,'Previsión de Gastos'!D15+('Previsión de Gastos'!D15*'Previsión de Gastos'!$P15))</f>
        <v>0</v>
      </c>
      <c r="E148" s="566" t="n">
        <f aca="false">IF('Previsión de Gastos'!$T$15&gt;'Datos generales'!F$1+12,0,'Previsión de Gastos'!D15+('Previsión de Gastos'!D15*'Previsión de Gastos'!$P15))</f>
        <v>0</v>
      </c>
      <c r="F148" s="566" t="n">
        <f aca="false">IF('Previsión de Gastos'!$T$15&gt;'Datos generales'!G$1+12,0,'Previsión de Gastos'!E15+('Previsión de Gastos'!E15*'Previsión de Gastos'!$P15))</f>
        <v>0</v>
      </c>
      <c r="G148" s="566" t="n">
        <f aca="false">IF('Previsión de Gastos'!$T$15&gt;'Datos generales'!H$1+12,0,'Previsión de Gastos'!F15+('Previsión de Gastos'!F15*'Previsión de Gastos'!$P15))</f>
        <v>0</v>
      </c>
      <c r="H148" s="566" t="n">
        <f aca="false">IF('Previsión de Gastos'!$T$15&gt;'Datos generales'!I$1+12,0,'Previsión de Gastos'!G15+('Previsión de Gastos'!G15*'Previsión de Gastos'!$P15))</f>
        <v>0</v>
      </c>
      <c r="I148" s="566" t="n">
        <f aca="false">IF('Previsión de Gastos'!$T$15&gt;'Datos generales'!J$1+12,0,'Previsión de Gastos'!H15+('Previsión de Gastos'!H15*'Previsión de Gastos'!$P15))</f>
        <v>0</v>
      </c>
      <c r="J148" s="566" t="n">
        <f aca="false">IF('Previsión de Gastos'!$T$15&gt;'Datos generales'!K$1+12,0,'Previsión de Gastos'!I15+('Previsión de Gastos'!I15*'Previsión de Gastos'!$P15))</f>
        <v>0</v>
      </c>
      <c r="K148" s="566" t="n">
        <f aca="false">IF('Previsión de Gastos'!$T$15&gt;'Datos generales'!L$1+12,0,'Previsión de Gastos'!J15+('Previsión de Gastos'!J15*'Previsión de Gastos'!$P15))</f>
        <v>0</v>
      </c>
      <c r="L148" s="566" t="n">
        <f aca="false">IF('Previsión de Gastos'!$T$15&gt;'Datos generales'!M$1+12,0,'Previsión de Gastos'!K15+('Previsión de Gastos'!K15*'Previsión de Gastos'!$P15))</f>
        <v>0</v>
      </c>
      <c r="M148" s="566" t="n">
        <f aca="false">IF('Previsión de Gastos'!$T$15&gt;'Datos generales'!N$1+12,0,'Previsión de Gastos'!L15+('Previsión de Gastos'!L15*'Previsión de Gastos'!$P15))</f>
        <v>0</v>
      </c>
      <c r="N148" s="566" t="n">
        <f aca="false">IF('Previsión de Gastos'!$T$15&gt;'Datos generales'!O$1+12,0,'Previsión de Gastos'!M15+('Previsión de Gastos'!M15*'Previsión de Gastos'!$P15))</f>
        <v>0</v>
      </c>
      <c r="O148" s="566" t="n">
        <f aca="false">IF('Previsión de Gastos'!$T$15&gt;'Datos generales'!P$1+12,0,'Previsión de Gastos'!N15+('Previsión de Gastos'!N15*'Previsión de Gastos'!$P15))</f>
        <v>0</v>
      </c>
      <c r="P148" s="567"/>
      <c r="Q148" s="637" t="n">
        <f aca="false">SUM(D148:P148)</f>
        <v>0</v>
      </c>
      <c r="S148" s="93"/>
    </row>
    <row r="149" customFormat="false" ht="12.75" hidden="false" customHeight="false" outlineLevel="0" collapsed="false">
      <c r="B149" s="474"/>
      <c r="C149" s="350" t="n">
        <f aca="false">C69</f>
        <v>0</v>
      </c>
      <c r="D149" s="566" t="n">
        <f aca="false">IF('Previsión de Gastos'!$T$16&gt;'Datos generales'!E$1+12,0,'Previsión de Gastos'!D16+('Previsión de Gastos'!D16*'Previsión de Gastos'!$P16))</f>
        <v>0</v>
      </c>
      <c r="E149" s="566" t="n">
        <f aca="false">IF('Previsión de Gastos'!$T$16&gt;'Datos generales'!F$1+12,0,'Previsión de Gastos'!D16+('Previsión de Gastos'!D16*'Previsión de Gastos'!$P16))</f>
        <v>0</v>
      </c>
      <c r="F149" s="566" t="n">
        <f aca="false">IF('Previsión de Gastos'!$T$16&gt;'Datos generales'!G$1+12,0,'Previsión de Gastos'!E16+('Previsión de Gastos'!E16*'Previsión de Gastos'!$P16))</f>
        <v>0</v>
      </c>
      <c r="G149" s="566" t="n">
        <f aca="false">IF('Previsión de Gastos'!$T$16&gt;'Datos generales'!H$1+12,0,'Previsión de Gastos'!F16+('Previsión de Gastos'!F16*'Previsión de Gastos'!$P16))</f>
        <v>0</v>
      </c>
      <c r="H149" s="566" t="n">
        <f aca="false">IF('Previsión de Gastos'!$T$16&gt;'Datos generales'!I$1+12,0,'Previsión de Gastos'!G16+('Previsión de Gastos'!G16*'Previsión de Gastos'!$P16))</f>
        <v>0</v>
      </c>
      <c r="I149" s="566" t="n">
        <f aca="false">IF('Previsión de Gastos'!$T$16&gt;'Datos generales'!J$1+12,0,'Previsión de Gastos'!H16+('Previsión de Gastos'!H16*'Previsión de Gastos'!$P16))</f>
        <v>0</v>
      </c>
      <c r="J149" s="566" t="n">
        <f aca="false">IF('Previsión de Gastos'!$T$16&gt;'Datos generales'!K$1+12,0,'Previsión de Gastos'!I16+('Previsión de Gastos'!I16*'Previsión de Gastos'!$P16))</f>
        <v>0</v>
      </c>
      <c r="K149" s="566" t="n">
        <f aca="false">IF('Previsión de Gastos'!$T$16&gt;'Datos generales'!L$1+12,0,'Previsión de Gastos'!J16+('Previsión de Gastos'!J16*'Previsión de Gastos'!$P16))</f>
        <v>0</v>
      </c>
      <c r="L149" s="566" t="n">
        <f aca="false">IF('Previsión de Gastos'!$T$16&gt;'Datos generales'!M$1+12,0,'Previsión de Gastos'!K16+('Previsión de Gastos'!K16*'Previsión de Gastos'!$P16))</f>
        <v>0</v>
      </c>
      <c r="M149" s="566" t="n">
        <f aca="false">IF('Previsión de Gastos'!$T$16&gt;'Datos generales'!N$1+12,0,'Previsión de Gastos'!L16+('Previsión de Gastos'!L16*'Previsión de Gastos'!$P16))</f>
        <v>0</v>
      </c>
      <c r="N149" s="566" t="n">
        <f aca="false">IF('Previsión de Gastos'!$T$16&gt;'Datos generales'!O$1+12,0,'Previsión de Gastos'!M16+('Previsión de Gastos'!M16*'Previsión de Gastos'!$P16))</f>
        <v>0</v>
      </c>
      <c r="O149" s="566" t="n">
        <f aca="false">IF('Previsión de Gastos'!$T$16&gt;'Datos generales'!P$1+12,0,'Previsión de Gastos'!N16+('Previsión de Gastos'!N16*'Previsión de Gastos'!$P16))</f>
        <v>0</v>
      </c>
      <c r="P149" s="522"/>
      <c r="Q149" s="636" t="n">
        <f aca="false">SUM(D149:P149)</f>
        <v>0</v>
      </c>
      <c r="R149" s="476"/>
      <c r="S149" s="476"/>
      <c r="T149" s="476"/>
      <c r="U149" s="476"/>
    </row>
    <row r="150" customFormat="false" ht="12.75" hidden="false" customHeight="false" outlineLevel="0" collapsed="false">
      <c r="B150" s="474"/>
      <c r="C150" s="358" t="n">
        <f aca="false">C70</f>
        <v>0</v>
      </c>
      <c r="D150" s="566" t="n">
        <f aca="false">IF('Previsión de Gastos'!$T$17&gt;'Datos generales'!E$1+12,0,'Previsión de Gastos'!C17+('Previsión de Gastos'!C17*'Previsión de Gastos'!$P17))</f>
        <v>0</v>
      </c>
      <c r="E150" s="566" t="n">
        <f aca="false">IF('Previsión de Gastos'!$T$17&gt;'Datos generales'!F$1+12,0,'Previsión de Gastos'!D17+('Previsión de Gastos'!D17*'Previsión de Gastos'!$P17))</f>
        <v>0</v>
      </c>
      <c r="F150" s="566" t="n">
        <f aca="false">IF('Previsión de Gastos'!$T$17&gt;'Datos generales'!G$1+12,0,'Previsión de Gastos'!E17+('Previsión de Gastos'!E17*'Previsión de Gastos'!$P17))</f>
        <v>0</v>
      </c>
      <c r="G150" s="566" t="n">
        <f aca="false">IF('Previsión de Gastos'!$T$17&gt;'Datos generales'!H$1+12,0,'Previsión de Gastos'!F17+('Previsión de Gastos'!F17*'Previsión de Gastos'!$P17))</f>
        <v>0</v>
      </c>
      <c r="H150" s="566" t="n">
        <f aca="false">IF('Previsión de Gastos'!$T$17&gt;'Datos generales'!I$1+12,0,'Previsión de Gastos'!G17+('Previsión de Gastos'!G17*'Previsión de Gastos'!$P17))</f>
        <v>0</v>
      </c>
      <c r="I150" s="566" t="n">
        <f aca="false">IF('Previsión de Gastos'!$T$17&gt;'Datos generales'!J$1+12,0,'Previsión de Gastos'!H17+('Previsión de Gastos'!H17*'Previsión de Gastos'!$P17))</f>
        <v>0</v>
      </c>
      <c r="J150" s="566" t="n">
        <f aca="false">IF('Previsión de Gastos'!$T$17&gt;'Datos generales'!K$1+12,0,'Previsión de Gastos'!I17+('Previsión de Gastos'!I17*'Previsión de Gastos'!$P17))</f>
        <v>0</v>
      </c>
      <c r="K150" s="566" t="n">
        <f aca="false">IF('Previsión de Gastos'!$T$17&gt;'Datos generales'!L$1+12,0,'Previsión de Gastos'!J17+('Previsión de Gastos'!J17*'Previsión de Gastos'!$P17))</f>
        <v>0</v>
      </c>
      <c r="L150" s="566" t="n">
        <f aca="false">IF('Previsión de Gastos'!$T$17&gt;'Datos generales'!M$1+12,0,'Previsión de Gastos'!K17+('Previsión de Gastos'!K17*'Previsión de Gastos'!$P17))</f>
        <v>0</v>
      </c>
      <c r="M150" s="566" t="n">
        <f aca="false">IF('Previsión de Gastos'!$T$17&gt;'Datos generales'!N$1+12,0,'Previsión de Gastos'!L17+('Previsión de Gastos'!L17*'Previsión de Gastos'!$P17))</f>
        <v>0</v>
      </c>
      <c r="N150" s="566" t="n">
        <f aca="false">IF('Previsión de Gastos'!$T$17&gt;'Datos generales'!O$1+12,0,'Previsión de Gastos'!M17+('Previsión de Gastos'!M17*'Previsión de Gastos'!$P17))</f>
        <v>0</v>
      </c>
      <c r="O150" s="566" t="n">
        <f aca="false">IF('Previsión de Gastos'!$T$17&gt;'Datos generales'!P$1+12,0,'Previsión de Gastos'!N17+('Previsión de Gastos'!N17*'Previsión de Gastos'!$P17))</f>
        <v>0</v>
      </c>
      <c r="P150" s="567"/>
      <c r="Q150" s="637" t="n">
        <f aca="false">SUM(D150:P150)</f>
        <v>0</v>
      </c>
      <c r="S150" s="93"/>
    </row>
    <row r="151" customFormat="false" ht="12.75" hidden="false" customHeight="false" outlineLevel="0" collapsed="false">
      <c r="B151" s="474"/>
      <c r="C151" s="0" t="n">
        <f aca="false">C71</f>
        <v>0</v>
      </c>
      <c r="D151" s="448" t="n">
        <f aca="false">IF('Previsión de Gastos'!$T$18&gt;'Datos generales'!E$1+12,0,'Previsión de Gastos'!C18+('Previsión de Gastos'!C18*'Previsión de Gastos'!$P18))</f>
        <v>0</v>
      </c>
      <c r="E151" s="448" t="n">
        <f aca="false">IF('Previsión de Gastos'!$T$18&gt;'Datos generales'!F$1+12,0,'Previsión de Gastos'!D18+('Previsión de Gastos'!D18*'Previsión de Gastos'!$P18))</f>
        <v>0</v>
      </c>
      <c r="F151" s="448" t="n">
        <f aca="false">IF('Previsión de Gastos'!$T$18&gt;'Datos generales'!G$1+12,0,'Previsión de Gastos'!E18+('Previsión de Gastos'!E18*'Previsión de Gastos'!$P18))</f>
        <v>0</v>
      </c>
      <c r="G151" s="448" t="n">
        <f aca="false">IF('Previsión de Gastos'!$T$18&gt;'Datos generales'!H$1+12,0,'Previsión de Gastos'!F18+('Previsión de Gastos'!F18*'Previsión de Gastos'!$P18))</f>
        <v>0</v>
      </c>
      <c r="H151" s="448" t="n">
        <f aca="false">IF('Previsión de Gastos'!$T$18&gt;'Datos generales'!I$1+12,0,'Previsión de Gastos'!G18+('Previsión de Gastos'!G18*'Previsión de Gastos'!$P18))</f>
        <v>0</v>
      </c>
      <c r="I151" s="448" t="n">
        <f aca="false">IF('Previsión de Gastos'!$T$18&gt;'Datos generales'!J$1+12,0,'Previsión de Gastos'!H18+('Previsión de Gastos'!H18*'Previsión de Gastos'!$P18))</f>
        <v>0</v>
      </c>
      <c r="J151" s="448" t="n">
        <f aca="false">IF('Previsión de Gastos'!$T$18&gt;'Datos generales'!K$1+12,0,'Previsión de Gastos'!I18+('Previsión de Gastos'!I18*'Previsión de Gastos'!$P18))</f>
        <v>0</v>
      </c>
      <c r="K151" s="448" t="n">
        <f aca="false">IF('Previsión de Gastos'!$T$18&gt;'Datos generales'!L$1+12,0,'Previsión de Gastos'!J18+('Previsión de Gastos'!J18*'Previsión de Gastos'!$P18))</f>
        <v>0</v>
      </c>
      <c r="L151" s="448" t="n">
        <f aca="false">IF('Previsión de Gastos'!$T$18&gt;'Datos generales'!M$1+12,0,'Previsión de Gastos'!K18+('Previsión de Gastos'!K18*'Previsión de Gastos'!$P18))</f>
        <v>0</v>
      </c>
      <c r="M151" s="448" t="n">
        <f aca="false">IF('Previsión de Gastos'!$T$18&gt;'Datos generales'!N$1+12,0,'Previsión de Gastos'!L18+('Previsión de Gastos'!L18*'Previsión de Gastos'!$P18))</f>
        <v>0</v>
      </c>
      <c r="N151" s="448" t="n">
        <f aca="false">IF('Previsión de Gastos'!$T$18&gt;'Datos generales'!O$1+12,0,'Previsión de Gastos'!M18+('Previsión de Gastos'!M18*'Previsión de Gastos'!$P18))</f>
        <v>0</v>
      </c>
      <c r="O151" s="448" t="n">
        <f aca="false">IF('Previsión de Gastos'!$T$18&gt;'Datos generales'!P$1+12,0,'Previsión de Gastos'!N18+('Previsión de Gastos'!N18*'Previsión de Gastos'!$P18))</f>
        <v>0</v>
      </c>
      <c r="P151" s="567"/>
      <c r="Q151" s="637" t="n">
        <f aca="false">SUM(D151:P151)</f>
        <v>0</v>
      </c>
      <c r="S151" s="93"/>
    </row>
    <row r="152" s="23" customFormat="true" ht="12.75" hidden="false" customHeight="false" outlineLevel="0" collapsed="false">
      <c r="B152" s="568" t="str">
        <f aca="false">B72</f>
        <v>Total Gastos de personal</v>
      </c>
      <c r="C152" s="569"/>
      <c r="D152" s="590" t="n">
        <f aca="false">SUM(D146:D151)</f>
        <v>0</v>
      </c>
      <c r="E152" s="591" t="n">
        <f aca="false">SUM(E146:E151)</f>
        <v>0</v>
      </c>
      <c r="F152" s="591" t="n">
        <f aca="false">SUM(F146:F151)</f>
        <v>0</v>
      </c>
      <c r="G152" s="591" t="n">
        <f aca="false">SUM(G146:G151)</f>
        <v>0</v>
      </c>
      <c r="H152" s="591" t="n">
        <f aca="false">SUM(H146:H151)</f>
        <v>0</v>
      </c>
      <c r="I152" s="591" t="n">
        <f aca="false">SUM(I146:I151)</f>
        <v>0</v>
      </c>
      <c r="J152" s="591" t="n">
        <f aca="false">SUM(J146:J151)</f>
        <v>0</v>
      </c>
      <c r="K152" s="591" t="n">
        <f aca="false">SUM(K146:K151)</f>
        <v>0</v>
      </c>
      <c r="L152" s="591" t="n">
        <f aca="false">SUM(L146:L151)</f>
        <v>0</v>
      </c>
      <c r="M152" s="591" t="n">
        <f aca="false">SUM(M146:M151)</f>
        <v>0</v>
      </c>
      <c r="N152" s="591" t="n">
        <f aca="false">SUM(N146:N151)</f>
        <v>0</v>
      </c>
      <c r="O152" s="591" t="n">
        <f aca="false">SUM(O146:O151)</f>
        <v>0</v>
      </c>
      <c r="P152" s="592"/>
      <c r="Q152" s="593" t="n">
        <f aca="false">SUM(D152:P152)</f>
        <v>0</v>
      </c>
      <c r="R152" s="453"/>
      <c r="S152" s="476"/>
      <c r="T152" s="453"/>
      <c r="U152" s="453"/>
    </row>
    <row r="153" customFormat="false" ht="5.25" hidden="false" customHeight="true" outlineLevel="0" collapsed="false">
      <c r="B153" s="470"/>
      <c r="C153" s="23"/>
      <c r="D153" s="561"/>
      <c r="E153" s="476"/>
      <c r="F153" s="476"/>
      <c r="G153" s="476"/>
      <c r="H153" s="476"/>
      <c r="I153" s="476"/>
      <c r="J153" s="476"/>
      <c r="K153" s="476"/>
      <c r="L153" s="476"/>
      <c r="M153" s="476"/>
      <c r="N153" s="476"/>
      <c r="O153" s="476"/>
      <c r="P153" s="535"/>
      <c r="Q153" s="618"/>
      <c r="R153" s="476"/>
      <c r="S153" s="476"/>
      <c r="T153" s="476"/>
    </row>
    <row r="154" customFormat="false" ht="12.75" hidden="false" customHeight="false" outlineLevel="0" collapsed="false">
      <c r="B154" s="470" t="str">
        <f aca="false">B74</f>
        <v>Otros gastos de explotación</v>
      </c>
      <c r="C154" s="23"/>
      <c r="D154" s="561"/>
      <c r="E154" s="476"/>
      <c r="F154" s="476"/>
      <c r="G154" s="476"/>
      <c r="H154" s="476"/>
      <c r="I154" s="476"/>
      <c r="J154" s="476"/>
      <c r="K154" s="476"/>
      <c r="L154" s="476"/>
      <c r="M154" s="476"/>
      <c r="N154" s="476"/>
      <c r="O154" s="476"/>
      <c r="P154" s="535"/>
      <c r="Q154" s="618"/>
      <c r="R154" s="476"/>
      <c r="S154" s="476"/>
      <c r="T154" s="476"/>
      <c r="U154" s="476"/>
    </row>
    <row r="155" customFormat="false" ht="5.25" hidden="false" customHeight="true" outlineLevel="0" collapsed="false">
      <c r="B155" s="470"/>
      <c r="C155" s="23"/>
      <c r="P155" s="313"/>
      <c r="Q155" s="650"/>
    </row>
    <row r="156" customFormat="false" ht="12.75" hidden="false" customHeight="false" outlineLevel="0" collapsed="false">
      <c r="B156" s="474"/>
      <c r="C156" s="23" t="str">
        <f aca="false">C76</f>
        <v>Tributos e impuestos:</v>
      </c>
      <c r="P156" s="313"/>
      <c r="Q156" s="650"/>
    </row>
    <row r="157" customFormat="false" ht="12.75" hidden="false" customHeight="false" outlineLevel="0" collapsed="false">
      <c r="B157" s="474"/>
      <c r="C157" s="350" t="str">
        <f aca="false">C77</f>
        <v>IBI</v>
      </c>
      <c r="D157" s="562" t="n">
        <f aca="false">'Previsión de Gastos'!C21+('Previsión de Gastos'!C21*'Previsión de Gastos'!$P21)</f>
        <v>0</v>
      </c>
      <c r="E157" s="563" t="n">
        <f aca="false">'Previsión de Gastos'!D21+('Previsión de Gastos'!D21*'Previsión de Gastos'!$P21)</f>
        <v>0</v>
      </c>
      <c r="F157" s="563" t="n">
        <f aca="false">'Previsión de Gastos'!E21+('Previsión de Gastos'!E21*'Previsión de Gastos'!$P21)</f>
        <v>0</v>
      </c>
      <c r="G157" s="563" t="n">
        <f aca="false">'Previsión de Gastos'!F21+('Previsión de Gastos'!F21*'Previsión de Gastos'!$P21)</f>
        <v>0</v>
      </c>
      <c r="H157" s="563" t="n">
        <f aca="false">'Previsión de Gastos'!G21+('Previsión de Gastos'!G21*'Previsión de Gastos'!$P21)</f>
        <v>0</v>
      </c>
      <c r="I157" s="563" t="n">
        <f aca="false">'Previsión de Gastos'!H21+('Previsión de Gastos'!H21*'Previsión de Gastos'!$P21)</f>
        <v>0</v>
      </c>
      <c r="J157" s="563" t="n">
        <f aca="false">'Previsión de Gastos'!I21+('Previsión de Gastos'!I21*'Previsión de Gastos'!$P21)</f>
        <v>0</v>
      </c>
      <c r="K157" s="563" t="n">
        <f aca="false">'Previsión de Gastos'!J21+('Previsión de Gastos'!J21*'Previsión de Gastos'!$P21)</f>
        <v>0</v>
      </c>
      <c r="L157" s="563" t="n">
        <f aca="false">'Previsión de Gastos'!K21+('Previsión de Gastos'!K21*'Previsión de Gastos'!$P21)</f>
        <v>0</v>
      </c>
      <c r="M157" s="563" t="n">
        <f aca="false">'Previsión de Gastos'!L21+('Previsión de Gastos'!L21*'Previsión de Gastos'!$P21)</f>
        <v>0</v>
      </c>
      <c r="N157" s="563" t="n">
        <f aca="false">'Previsión de Gastos'!M21+('Previsión de Gastos'!M21*'Previsión de Gastos'!$P21)</f>
        <v>0</v>
      </c>
      <c r="O157" s="563" t="n">
        <f aca="false">'Previsión de Gastos'!N21+('Previsión de Gastos'!N21*'Previsión de Gastos'!$P21)</f>
        <v>0</v>
      </c>
      <c r="P157" s="564"/>
      <c r="Q157" s="649" t="n">
        <f aca="false">SUM(D157:P157)</f>
        <v>0</v>
      </c>
      <c r="S157" s="93"/>
    </row>
    <row r="158" customFormat="false" ht="12.75" hidden="false" customHeight="false" outlineLevel="0" collapsed="false">
      <c r="B158" s="474"/>
      <c r="C158" s="358" t="str">
        <f aca="false">C78</f>
        <v>Impuesto de vehículos de tracción mecánica </v>
      </c>
      <c r="D158" s="576" t="n">
        <f aca="false">'Previsión de Gastos'!C22+('Previsión de Gastos'!C22*'Previsión de Gastos'!$P22)</f>
        <v>0</v>
      </c>
      <c r="E158" s="526" t="n">
        <f aca="false">'Previsión de Gastos'!D22+('Previsión de Gastos'!D22*'Previsión de Gastos'!$P22)</f>
        <v>0</v>
      </c>
      <c r="F158" s="526" t="n">
        <f aca="false">'Previsión de Gastos'!E22+('Previsión de Gastos'!E22*'Previsión de Gastos'!$P22)</f>
        <v>0</v>
      </c>
      <c r="G158" s="526" t="n">
        <f aca="false">'Previsión de Gastos'!F22+('Previsión de Gastos'!F22*'Previsión de Gastos'!$P22)</f>
        <v>0</v>
      </c>
      <c r="H158" s="526" t="n">
        <f aca="false">'Previsión de Gastos'!G22+('Previsión de Gastos'!G22*'Previsión de Gastos'!$P22)</f>
        <v>0</v>
      </c>
      <c r="I158" s="526" t="n">
        <f aca="false">'Previsión de Gastos'!H22+('Previsión de Gastos'!H22*'Previsión de Gastos'!$P22)</f>
        <v>0</v>
      </c>
      <c r="J158" s="526" t="n">
        <f aca="false">'Previsión de Gastos'!I22+('Previsión de Gastos'!I22*'Previsión de Gastos'!$P22)</f>
        <v>0</v>
      </c>
      <c r="K158" s="526" t="n">
        <f aca="false">'Previsión de Gastos'!J22+('Previsión de Gastos'!J22*'Previsión de Gastos'!$P22)</f>
        <v>0</v>
      </c>
      <c r="L158" s="526" t="n">
        <f aca="false">'Previsión de Gastos'!K22+('Previsión de Gastos'!K22*'Previsión de Gastos'!$P22)</f>
        <v>0</v>
      </c>
      <c r="M158" s="526" t="n">
        <f aca="false">'Previsión de Gastos'!L22+('Previsión de Gastos'!L22*'Previsión de Gastos'!$P22)</f>
        <v>0</v>
      </c>
      <c r="N158" s="526" t="n">
        <f aca="false">'Previsión de Gastos'!M22+('Previsión de Gastos'!M22*'Previsión de Gastos'!$P22)</f>
        <v>0</v>
      </c>
      <c r="O158" s="526" t="n">
        <f aca="false">'Previsión de Gastos'!N22+('Previsión de Gastos'!N22*'Previsión de Gastos'!$P22)</f>
        <v>0</v>
      </c>
      <c r="P158" s="567"/>
      <c r="Q158" s="637" t="n">
        <f aca="false">SUM(D158:P158)</f>
        <v>0</v>
      </c>
      <c r="S158" s="93"/>
    </row>
    <row r="159" customFormat="false" ht="12.75" hidden="false" customHeight="false" outlineLevel="0" collapsed="false">
      <c r="B159" s="474"/>
      <c r="C159" s="358" t="str">
        <f aca="false">C79</f>
        <v>Impuestos</v>
      </c>
      <c r="D159" s="576" t="n">
        <f aca="false">'Previsión de Gastos'!C23+('Previsión de Gastos'!C23*'Previsión de Gastos'!$P23)</f>
        <v>0</v>
      </c>
      <c r="E159" s="526" t="n">
        <f aca="false">'Previsión de Gastos'!D23+('Previsión de Gastos'!D23*'Previsión de Gastos'!$P23)</f>
        <v>0</v>
      </c>
      <c r="F159" s="526" t="n">
        <f aca="false">'Previsión de Gastos'!E23+('Previsión de Gastos'!E23*'Previsión de Gastos'!$P23)</f>
        <v>0</v>
      </c>
      <c r="G159" s="526" t="n">
        <f aca="false">'Previsión de Gastos'!F23+('Previsión de Gastos'!F23*'Previsión de Gastos'!$P23)</f>
        <v>0</v>
      </c>
      <c r="H159" s="526" t="n">
        <f aca="false">'Previsión de Gastos'!G23+('Previsión de Gastos'!G23*'Previsión de Gastos'!$P23)</f>
        <v>0</v>
      </c>
      <c r="I159" s="526" t="n">
        <f aca="false">'Previsión de Gastos'!H23+('Previsión de Gastos'!H23*'Previsión de Gastos'!$P23)</f>
        <v>0</v>
      </c>
      <c r="J159" s="526" t="n">
        <f aca="false">'Previsión de Gastos'!I23+('Previsión de Gastos'!I23*'Previsión de Gastos'!$P23)</f>
        <v>0</v>
      </c>
      <c r="K159" s="526" t="n">
        <f aca="false">'Previsión de Gastos'!J23+('Previsión de Gastos'!J23*'Previsión de Gastos'!$P23)</f>
        <v>0</v>
      </c>
      <c r="L159" s="526" t="n">
        <f aca="false">'Previsión de Gastos'!K23+('Previsión de Gastos'!K23*'Previsión de Gastos'!$P23)</f>
        <v>0</v>
      </c>
      <c r="M159" s="526" t="n">
        <f aca="false">'Previsión de Gastos'!L23+('Previsión de Gastos'!L23*'Previsión de Gastos'!$P23)</f>
        <v>0</v>
      </c>
      <c r="N159" s="526" t="n">
        <f aca="false">'Previsión de Gastos'!M23+('Previsión de Gastos'!M23*'Previsión de Gastos'!$P23)</f>
        <v>0</v>
      </c>
      <c r="O159" s="526" t="n">
        <f aca="false">'Previsión de Gastos'!N23+('Previsión de Gastos'!N23*'Previsión de Gastos'!$P23)</f>
        <v>0</v>
      </c>
      <c r="P159" s="567"/>
      <c r="Q159" s="637" t="n">
        <f aca="false">SUM(D159:P159)</f>
        <v>0</v>
      </c>
      <c r="S159" s="93"/>
    </row>
    <row r="160" s="93" customFormat="true" ht="12.75" hidden="false" customHeight="false" outlineLevel="0" collapsed="false">
      <c r="B160" s="651"/>
      <c r="C160" s="577" t="str">
        <f aca="false">C80</f>
        <v>IVA soportado s/inversiones(*)</v>
      </c>
      <c r="D160" s="577" t="n">
        <f aca="true">IF('Datos generales'!$D$22&lt;=0,OFFSET('Préstamos LP'!$X$47,'Datos generales'!D1,0,1,1),0)</f>
        <v>0</v>
      </c>
      <c r="E160" s="577" t="n">
        <f aca="true">IF('Datos generales'!$D$22&lt;=0,OFFSET('Préstamos LP'!$X$47,'Datos generales'!E1,0,1,1),0)</f>
        <v>0</v>
      </c>
      <c r="F160" s="577" t="n">
        <f aca="true">IF('Datos generales'!$D$22&lt;=0,OFFSET('Préstamos LP'!$X$47,'Datos generales'!F1,0,1,1),0)</f>
        <v>0</v>
      </c>
      <c r="G160" s="577" t="n">
        <f aca="true">IF('Datos generales'!$D$22&lt;=0,OFFSET('Préstamos LP'!$X$47,'Datos generales'!G1,0,1,1),0)</f>
        <v>0</v>
      </c>
      <c r="H160" s="577" t="n">
        <f aca="true">IF('Datos generales'!$D$22&lt;=0,OFFSET('Préstamos LP'!$X$47,'Datos generales'!H1,0,1,1),0)</f>
        <v>0</v>
      </c>
      <c r="I160" s="577" t="n">
        <f aca="true">IF('Datos generales'!$D$22&lt;=0,OFFSET('Préstamos LP'!$X$47,'Datos generales'!I1,0,1,1),0)</f>
        <v>0</v>
      </c>
      <c r="J160" s="577" t="n">
        <f aca="true">IF('Datos generales'!$D$22&lt;=0,OFFSET('Préstamos LP'!$X$47,'Datos generales'!J1,0,1,1),0)</f>
        <v>0</v>
      </c>
      <c r="K160" s="577" t="n">
        <f aca="true">IF('Datos generales'!$D$22&lt;=0,OFFSET('Préstamos LP'!$X$47,'Datos generales'!K1,0,1,1),0)</f>
        <v>0</v>
      </c>
      <c r="L160" s="577" t="n">
        <f aca="true">IF('Datos generales'!$D$22&lt;=0,OFFSET('Préstamos LP'!$X$47,'Datos generales'!L1,0,1,1),0)</f>
        <v>0</v>
      </c>
      <c r="M160" s="577" t="n">
        <f aca="true">IF('Datos generales'!$D$22&lt;=0,OFFSET('Préstamos LP'!$X$47,'Datos generales'!M1,0,1,1),0)</f>
        <v>0</v>
      </c>
      <c r="N160" s="577" t="n">
        <f aca="true">IF('Datos generales'!$D$22&lt;=0,OFFSET('Préstamos LP'!$X$47,'Datos generales'!N1,0,1,1),0)</f>
        <v>0</v>
      </c>
      <c r="O160" s="577" t="n">
        <f aca="true">IF('Datos generales'!$D$22&lt;=0,OFFSET('Préstamos LP'!$X$47,'Datos generales'!O1,0,1,1),0)</f>
        <v>0</v>
      </c>
      <c r="P160" s="578" t="n">
        <f aca="false">IF('Datos generales'!$D$22&lt;=0,'Datos generales'!D19*('Entrada Inver_Finan'!G63-'Préstamos LP'!J13),0)</f>
        <v>0</v>
      </c>
      <c r="Q160" s="637" t="n">
        <f aca="false">SUM(D160:P160)</f>
        <v>0</v>
      </c>
    </row>
    <row r="161" customFormat="false" ht="12.75" hidden="false" customHeight="false" outlineLevel="0" collapsed="false">
      <c r="B161" s="474"/>
      <c r="C161" s="569" t="str">
        <f aca="false">C81</f>
        <v>Total Tributos e impuestos</v>
      </c>
      <c r="D161" s="579" t="n">
        <f aca="false">SUM(D157:D160)</f>
        <v>0</v>
      </c>
      <c r="E161" s="362" t="n">
        <f aca="false">SUM(E157:E160)</f>
        <v>0</v>
      </c>
      <c r="F161" s="362" t="n">
        <f aca="false">SUM(F157:F160)</f>
        <v>0</v>
      </c>
      <c r="G161" s="362" t="n">
        <f aca="false">SUM(G157:G160)</f>
        <v>0</v>
      </c>
      <c r="H161" s="362" t="n">
        <f aca="false">SUM(H157:H160)</f>
        <v>0</v>
      </c>
      <c r="I161" s="362" t="n">
        <f aca="false">SUM(I157:I160)</f>
        <v>0</v>
      </c>
      <c r="J161" s="362" t="n">
        <f aca="false">SUM(J157:J160)</f>
        <v>0</v>
      </c>
      <c r="K161" s="362" t="n">
        <f aca="false">SUM(K157:K160)</f>
        <v>0</v>
      </c>
      <c r="L161" s="362" t="n">
        <f aca="false">SUM(L157:L160)</f>
        <v>0</v>
      </c>
      <c r="M161" s="362" t="n">
        <f aca="false">SUM(M157:M160)</f>
        <v>0</v>
      </c>
      <c r="N161" s="362" t="n">
        <f aca="false">SUM(N157:N160)</f>
        <v>0</v>
      </c>
      <c r="O161" s="362" t="n">
        <f aca="false">SUM(O157:O160)</f>
        <v>0</v>
      </c>
      <c r="P161" s="362" t="n">
        <f aca="false">SUM(P157:P160)</f>
        <v>0</v>
      </c>
      <c r="Q161" s="652" t="n">
        <f aca="false">SUM(D161:P161)</f>
        <v>0</v>
      </c>
      <c r="S161" s="93"/>
    </row>
    <row r="162" customFormat="false" ht="12.75" hidden="false" customHeight="false" outlineLevel="0" collapsed="false">
      <c r="B162" s="474"/>
      <c r="C162" s="23" t="str">
        <f aca="false">C82</f>
        <v>Gastos comerciales:</v>
      </c>
      <c r="P162" s="313"/>
      <c r="Q162" s="650"/>
    </row>
    <row r="163" customFormat="false" ht="12.75" hidden="false" customHeight="false" outlineLevel="0" collapsed="false">
      <c r="B163" s="474"/>
      <c r="C163" s="350" t="str">
        <f aca="false">C83</f>
        <v>Publicidad y propaganda</v>
      </c>
      <c r="D163" s="562" t="n">
        <f aca="false">'Previsión de Gastos'!C32+'Previsión de Gastos'!C32*'Previsión de Gastos'!$P32</f>
        <v>0</v>
      </c>
      <c r="E163" s="563" t="n">
        <f aca="false">'Previsión de Gastos'!D32+'Previsión de Gastos'!D32*'Previsión de Gastos'!$P32</f>
        <v>0</v>
      </c>
      <c r="F163" s="563" t="n">
        <f aca="false">'Previsión de Gastos'!E32+'Previsión de Gastos'!E32*'Previsión de Gastos'!$P32</f>
        <v>0</v>
      </c>
      <c r="G163" s="563" t="n">
        <f aca="false">'Previsión de Gastos'!F32+'Previsión de Gastos'!F32*'Previsión de Gastos'!$P32</f>
        <v>0</v>
      </c>
      <c r="H163" s="563" t="n">
        <f aca="false">'Previsión de Gastos'!G32+'Previsión de Gastos'!G32*'Previsión de Gastos'!$P32</f>
        <v>0</v>
      </c>
      <c r="I163" s="563" t="n">
        <f aca="false">'Previsión de Gastos'!H32+'Previsión de Gastos'!H32*'Previsión de Gastos'!$P32</f>
        <v>0</v>
      </c>
      <c r="J163" s="563" t="n">
        <f aca="false">'Previsión de Gastos'!I32+'Previsión de Gastos'!I32*'Previsión de Gastos'!$P32</f>
        <v>0</v>
      </c>
      <c r="K163" s="563" t="n">
        <f aca="false">'Previsión de Gastos'!J32+'Previsión de Gastos'!J32*'Previsión de Gastos'!$P32</f>
        <v>0</v>
      </c>
      <c r="L163" s="563" t="n">
        <f aca="false">'Previsión de Gastos'!K32+'Previsión de Gastos'!K32*'Previsión de Gastos'!$P32</f>
        <v>0</v>
      </c>
      <c r="M163" s="563" t="n">
        <f aca="false">'Previsión de Gastos'!L32+'Previsión de Gastos'!L32*'Previsión de Gastos'!$P32</f>
        <v>0</v>
      </c>
      <c r="N163" s="563" t="n">
        <f aca="false">'Previsión de Gastos'!M32+'Previsión de Gastos'!M32*'Previsión de Gastos'!$P32</f>
        <v>0</v>
      </c>
      <c r="O163" s="563" t="n">
        <f aca="false">'Previsión de Gastos'!N32+'Previsión de Gastos'!N32*'Previsión de Gastos'!$P32</f>
        <v>0</v>
      </c>
      <c r="P163" s="564"/>
      <c r="Q163" s="649" t="n">
        <f aca="false">SUM(D163:P163)</f>
        <v>0</v>
      </c>
      <c r="S163" s="93"/>
    </row>
    <row r="164" customFormat="false" ht="12.75" hidden="false" customHeight="false" outlineLevel="0" collapsed="false">
      <c r="B164" s="474"/>
      <c r="C164" s="358" t="n">
        <f aca="false">C84</f>
        <v>0</v>
      </c>
      <c r="D164" s="576" t="n">
        <f aca="false">'Previsión de Gastos'!C33+'Previsión de Gastos'!C33*'Previsión de Gastos'!$P33</f>
        <v>0</v>
      </c>
      <c r="E164" s="526" t="n">
        <f aca="false">'Previsión de Gastos'!D33+'Previsión de Gastos'!D33*'Previsión de Gastos'!$P33</f>
        <v>0</v>
      </c>
      <c r="F164" s="526" t="n">
        <f aca="false">'Previsión de Gastos'!E33+'Previsión de Gastos'!E33*'Previsión de Gastos'!$P33</f>
        <v>0</v>
      </c>
      <c r="G164" s="526" t="n">
        <f aca="false">'Previsión de Gastos'!F33+'Previsión de Gastos'!F33*'Previsión de Gastos'!$P33</f>
        <v>0</v>
      </c>
      <c r="H164" s="526" t="n">
        <f aca="false">'Previsión de Gastos'!G33+'Previsión de Gastos'!G33*'Previsión de Gastos'!$P33</f>
        <v>0</v>
      </c>
      <c r="I164" s="526" t="n">
        <f aca="false">'Previsión de Gastos'!H33+'Previsión de Gastos'!H33*'Previsión de Gastos'!$P33</f>
        <v>0</v>
      </c>
      <c r="J164" s="526" t="n">
        <f aca="false">'Previsión de Gastos'!I33+'Previsión de Gastos'!I33*'Previsión de Gastos'!$P33</f>
        <v>0</v>
      </c>
      <c r="K164" s="526" t="n">
        <f aca="false">'Previsión de Gastos'!J33+'Previsión de Gastos'!J33*'Previsión de Gastos'!$P33</f>
        <v>0</v>
      </c>
      <c r="L164" s="526" t="n">
        <f aca="false">'Previsión de Gastos'!K33+'Previsión de Gastos'!K33*'Previsión de Gastos'!$P33</f>
        <v>0</v>
      </c>
      <c r="M164" s="526" t="n">
        <f aca="false">'Previsión de Gastos'!L33+'Previsión de Gastos'!L33*'Previsión de Gastos'!$P33</f>
        <v>0</v>
      </c>
      <c r="N164" s="526" t="n">
        <f aca="false">'Previsión de Gastos'!M33+'Previsión de Gastos'!M33*'Previsión de Gastos'!$P33</f>
        <v>0</v>
      </c>
      <c r="O164" s="526" t="n">
        <f aca="false">'Previsión de Gastos'!N33+'Previsión de Gastos'!N33*'Previsión de Gastos'!$P33</f>
        <v>0</v>
      </c>
      <c r="P164" s="567"/>
      <c r="Q164" s="637" t="n">
        <f aca="false">SUM(D164:P164)</f>
        <v>0</v>
      </c>
      <c r="S164" s="93"/>
    </row>
    <row r="165" customFormat="false" ht="12.75" hidden="false" customHeight="false" outlineLevel="0" collapsed="false">
      <c r="B165" s="474"/>
      <c r="C165" s="358" t="n">
        <f aca="false">C85</f>
        <v>0</v>
      </c>
      <c r="D165" s="576" t="n">
        <f aca="false">'Previsión de Gastos'!C34+'Previsión de Gastos'!C34*'Previsión de Gastos'!$P34</f>
        <v>0</v>
      </c>
      <c r="E165" s="526" t="n">
        <f aca="false">'Previsión de Gastos'!D34+'Previsión de Gastos'!D34*'Previsión de Gastos'!$P34</f>
        <v>0</v>
      </c>
      <c r="F165" s="526" t="n">
        <f aca="false">'Previsión de Gastos'!E34+'Previsión de Gastos'!E34*'Previsión de Gastos'!$P34</f>
        <v>0</v>
      </c>
      <c r="G165" s="526" t="n">
        <f aca="false">'Previsión de Gastos'!F34+'Previsión de Gastos'!F34*'Previsión de Gastos'!$P34</f>
        <v>0</v>
      </c>
      <c r="H165" s="526" t="n">
        <f aca="false">'Previsión de Gastos'!G34+'Previsión de Gastos'!G34*'Previsión de Gastos'!$P34</f>
        <v>0</v>
      </c>
      <c r="I165" s="526" t="n">
        <f aca="false">'Previsión de Gastos'!H34+'Previsión de Gastos'!H34*'Previsión de Gastos'!$P34</f>
        <v>0</v>
      </c>
      <c r="J165" s="526" t="n">
        <f aca="false">'Previsión de Gastos'!I34+'Previsión de Gastos'!I34*'Previsión de Gastos'!$P34</f>
        <v>0</v>
      </c>
      <c r="K165" s="526" t="n">
        <f aca="false">'Previsión de Gastos'!J34+'Previsión de Gastos'!J34*'Previsión de Gastos'!$P34</f>
        <v>0</v>
      </c>
      <c r="L165" s="526" t="n">
        <f aca="false">'Previsión de Gastos'!K34+'Previsión de Gastos'!K34*'Previsión de Gastos'!$P34</f>
        <v>0</v>
      </c>
      <c r="M165" s="526" t="n">
        <f aca="false">'Previsión de Gastos'!L34+'Previsión de Gastos'!L34*'Previsión de Gastos'!$P34</f>
        <v>0</v>
      </c>
      <c r="N165" s="526" t="n">
        <f aca="false">'Previsión de Gastos'!M34+'Previsión de Gastos'!M34*'Previsión de Gastos'!$P34</f>
        <v>0</v>
      </c>
      <c r="O165" s="526" t="n">
        <f aca="false">'Previsión de Gastos'!N34+'Previsión de Gastos'!N34*'Previsión de Gastos'!$P34</f>
        <v>0</v>
      </c>
      <c r="P165" s="567"/>
      <c r="Q165" s="637" t="n">
        <f aca="false">SUM(D165:P165)</f>
        <v>0</v>
      </c>
      <c r="S165" s="93"/>
    </row>
    <row r="166" s="23" customFormat="true" ht="12.75" hidden="false" customHeight="false" outlineLevel="0" collapsed="false">
      <c r="B166" s="474"/>
      <c r="C166" s="469" t="str">
        <f aca="false">C86</f>
        <v>Total</v>
      </c>
      <c r="D166" s="582" t="n">
        <f aca="false">SUM(D163:D165)</f>
        <v>0</v>
      </c>
      <c r="E166" s="583" t="n">
        <f aca="false">SUM(E163:E165)</f>
        <v>0</v>
      </c>
      <c r="F166" s="583" t="n">
        <f aca="false">SUM(F163:F165)</f>
        <v>0</v>
      </c>
      <c r="G166" s="583" t="n">
        <f aca="false">SUM(G163:G165)</f>
        <v>0</v>
      </c>
      <c r="H166" s="583" t="n">
        <f aca="false">SUM(H163:H165)</f>
        <v>0</v>
      </c>
      <c r="I166" s="583" t="n">
        <f aca="false">SUM(I163:I165)</f>
        <v>0</v>
      </c>
      <c r="J166" s="583" t="n">
        <f aca="false">SUM(J163:J165)</f>
        <v>0</v>
      </c>
      <c r="K166" s="583" t="n">
        <f aca="false">SUM(K163:K165)</f>
        <v>0</v>
      </c>
      <c r="L166" s="583" t="n">
        <f aca="false">SUM(L163:L165)</f>
        <v>0</v>
      </c>
      <c r="M166" s="583" t="n">
        <f aca="false">SUM(M163:M165)</f>
        <v>0</v>
      </c>
      <c r="N166" s="583" t="n">
        <f aca="false">SUM(N163:N165)</f>
        <v>0</v>
      </c>
      <c r="O166" s="583" t="n">
        <f aca="false">SUM(O163:O165)</f>
        <v>0</v>
      </c>
      <c r="P166" s="584"/>
      <c r="Q166" s="585" t="n">
        <f aca="false">SUM(D166:P166)</f>
        <v>0</v>
      </c>
      <c r="S166" s="93"/>
    </row>
    <row r="167" customFormat="false" ht="12.75" hidden="false" customHeight="false" outlineLevel="0" collapsed="false">
      <c r="B167" s="474"/>
      <c r="C167" s="358" t="str">
        <f aca="false">C87</f>
        <v>IVA soportado(*)</v>
      </c>
      <c r="D167" s="526" t="n">
        <f aca="false">IF('Datos generales'!$D$22&lt;=0,'Datos generales'!$D$19*D166,0)</f>
        <v>0</v>
      </c>
      <c r="E167" s="526" t="n">
        <f aca="false">IF('Datos generales'!$D$22&lt;=0,'Datos generales'!$D$19*E166,0)</f>
        <v>0</v>
      </c>
      <c r="F167" s="526" t="n">
        <f aca="false">IF('Datos generales'!$D$22&lt;=0,'Datos generales'!$D$19*F166,0)</f>
        <v>0</v>
      </c>
      <c r="G167" s="526" t="n">
        <f aca="false">IF('Datos generales'!$D$22&lt;=0,'Datos generales'!$D$19*G166,0)</f>
        <v>0</v>
      </c>
      <c r="H167" s="526" t="n">
        <f aca="false">IF('Datos generales'!$D$22&lt;=0,'Datos generales'!$D$19*H166,0)</f>
        <v>0</v>
      </c>
      <c r="I167" s="526" t="n">
        <f aca="false">IF('Datos generales'!$D$22&lt;=0,'Datos generales'!$D$19*I166,0)</f>
        <v>0</v>
      </c>
      <c r="J167" s="526" t="n">
        <f aca="false">IF('Datos generales'!$D$22&lt;=0,'Datos generales'!$D$19*J166,0)</f>
        <v>0</v>
      </c>
      <c r="K167" s="526" t="n">
        <f aca="false">IF('Datos generales'!$D$22&lt;=0,'Datos generales'!$D$19*K166,0)</f>
        <v>0</v>
      </c>
      <c r="L167" s="526" t="n">
        <f aca="false">IF('Datos generales'!$D$22&lt;=0,'Datos generales'!$D$19*L166,0)</f>
        <v>0</v>
      </c>
      <c r="M167" s="526" t="n">
        <f aca="false">IF('Datos generales'!$D$22&lt;=0,'Datos generales'!$D$19*M166,0)</f>
        <v>0</v>
      </c>
      <c r="N167" s="526" t="n">
        <f aca="false">IF('Datos generales'!$D$22&lt;=0,'Datos generales'!$D$19*N166,0)</f>
        <v>0</v>
      </c>
      <c r="O167" s="526" t="n">
        <f aca="false">IF('Datos generales'!$D$22&lt;=0,'Datos generales'!$D$19*O166,0)</f>
        <v>0</v>
      </c>
      <c r="P167" s="567"/>
      <c r="Q167" s="637" t="n">
        <f aca="false">SUM(D167:P167)</f>
        <v>0</v>
      </c>
      <c r="S167" s="93"/>
    </row>
    <row r="168" customFormat="false" ht="12.75" hidden="false" customHeight="false" outlineLevel="0" collapsed="false">
      <c r="B168" s="474"/>
      <c r="C168" s="569" t="str">
        <f aca="false">C88</f>
        <v>Total Gastos comerciales</v>
      </c>
      <c r="D168" s="579" t="n">
        <f aca="false">SUM(D166:D167)</f>
        <v>0</v>
      </c>
      <c r="E168" s="362" t="n">
        <f aca="false">SUM(E166:E167)</f>
        <v>0</v>
      </c>
      <c r="F168" s="362" t="n">
        <f aca="false">SUM(F166:F167)</f>
        <v>0</v>
      </c>
      <c r="G168" s="362" t="n">
        <f aca="false">SUM(G166:G167)</f>
        <v>0</v>
      </c>
      <c r="H168" s="362" t="n">
        <f aca="false">SUM(H166:H167)</f>
        <v>0</v>
      </c>
      <c r="I168" s="362" t="n">
        <f aca="false">SUM(I166:I167)</f>
        <v>0</v>
      </c>
      <c r="J168" s="362" t="n">
        <f aca="false">SUM(J166:J167)</f>
        <v>0</v>
      </c>
      <c r="K168" s="362" t="n">
        <f aca="false">SUM(K166:K167)</f>
        <v>0</v>
      </c>
      <c r="L168" s="362" t="n">
        <f aca="false">SUM(L166:L167)</f>
        <v>0</v>
      </c>
      <c r="M168" s="362" t="n">
        <f aca="false">SUM(M166:M167)</f>
        <v>0</v>
      </c>
      <c r="N168" s="362" t="n">
        <f aca="false">SUM(N166:N167)</f>
        <v>0</v>
      </c>
      <c r="O168" s="362" t="n">
        <f aca="false">SUM(O166:O167)</f>
        <v>0</v>
      </c>
      <c r="P168" s="580"/>
      <c r="Q168" s="581" t="n">
        <f aca="false">SUM(D168:P168)</f>
        <v>0</v>
      </c>
      <c r="S168" s="93"/>
    </row>
    <row r="169" customFormat="false" ht="12.75" hidden="false" customHeight="false" outlineLevel="0" collapsed="false">
      <c r="B169" s="474"/>
      <c r="C169" s="23" t="str">
        <f aca="false">C89</f>
        <v>Otros gastos (Servicios exteriores):</v>
      </c>
      <c r="D169" s="561"/>
      <c r="E169" s="476"/>
      <c r="F169" s="476"/>
      <c r="G169" s="476"/>
      <c r="H169" s="476"/>
      <c r="I169" s="476"/>
      <c r="J169" s="476"/>
      <c r="K169" s="476"/>
      <c r="L169" s="476"/>
      <c r="M169" s="476"/>
      <c r="N169" s="476"/>
      <c r="O169" s="476"/>
      <c r="P169" s="535"/>
      <c r="Q169" s="618"/>
      <c r="R169" s="476"/>
      <c r="S169" s="476"/>
      <c r="T169" s="476"/>
      <c r="U169" s="476"/>
    </row>
    <row r="170" customFormat="false" ht="12.75" hidden="false" customHeight="false" outlineLevel="0" collapsed="false">
      <c r="B170" s="474"/>
      <c r="C170" s="350" t="str">
        <f aca="false">C91</f>
        <v>Suministros: luz, agua, teléfono, etc.</v>
      </c>
      <c r="D170" s="565" t="n">
        <f aca="false">'Previsión de Gastos'!C37+'Previsión de Gastos'!C37*'Previsión de Gastos'!$P37</f>
        <v>0</v>
      </c>
      <c r="E170" s="566" t="n">
        <f aca="false">'Previsión de Gastos'!D37+'Previsión de Gastos'!D37*'Previsión de Gastos'!$P37</f>
        <v>0</v>
      </c>
      <c r="F170" s="566" t="n">
        <f aca="false">'Previsión de Gastos'!E37+'Previsión de Gastos'!E37*'Previsión de Gastos'!$P37</f>
        <v>0</v>
      </c>
      <c r="G170" s="566" t="n">
        <f aca="false">'Previsión de Gastos'!F37+'Previsión de Gastos'!F37*'Previsión de Gastos'!$P37</f>
        <v>0</v>
      </c>
      <c r="H170" s="566" t="n">
        <f aca="false">'Previsión de Gastos'!G37+'Previsión de Gastos'!G37*'Previsión de Gastos'!$P37</f>
        <v>0</v>
      </c>
      <c r="I170" s="566" t="n">
        <f aca="false">'Previsión de Gastos'!H37+'Previsión de Gastos'!H37*'Previsión de Gastos'!$P37</f>
        <v>0</v>
      </c>
      <c r="J170" s="566" t="n">
        <f aca="false">'Previsión de Gastos'!I37+'Previsión de Gastos'!I37*'Previsión de Gastos'!$P37</f>
        <v>0</v>
      </c>
      <c r="K170" s="566" t="n">
        <f aca="false">'Previsión de Gastos'!J37+'Previsión de Gastos'!J37*'Previsión de Gastos'!$P37</f>
        <v>0</v>
      </c>
      <c r="L170" s="566" t="n">
        <f aca="false">'Previsión de Gastos'!K37+'Previsión de Gastos'!K37*'Previsión de Gastos'!$P37</f>
        <v>0</v>
      </c>
      <c r="M170" s="566" t="n">
        <f aca="false">'Previsión de Gastos'!L37+'Previsión de Gastos'!L37*'Previsión de Gastos'!$P37</f>
        <v>0</v>
      </c>
      <c r="N170" s="566" t="n">
        <f aca="false">'Previsión de Gastos'!M37+'Previsión de Gastos'!M37*'Previsión de Gastos'!$P37</f>
        <v>0</v>
      </c>
      <c r="O170" s="566" t="n">
        <f aca="false">'Previsión de Gastos'!N37+'Previsión de Gastos'!N37*'Previsión de Gastos'!$P37</f>
        <v>0</v>
      </c>
      <c r="P170" s="588"/>
      <c r="Q170" s="640" t="n">
        <f aca="false">SUM(D170:P170)</f>
        <v>0</v>
      </c>
      <c r="R170" s="476"/>
      <c r="S170" s="476"/>
      <c r="T170" s="476"/>
      <c r="U170" s="476"/>
    </row>
    <row r="171" customFormat="false" ht="12.75" hidden="false" customHeight="false" outlineLevel="0" collapsed="false">
      <c r="B171" s="474"/>
      <c r="C171" s="358" t="str">
        <f aca="false">C92</f>
        <v>Servicios de profesionales indep.</v>
      </c>
      <c r="D171" s="538" t="n">
        <f aca="false">'Previsión de Gastos'!C38+'Previsión de Gastos'!C38*'Previsión de Gastos'!$P38</f>
        <v>0</v>
      </c>
      <c r="E171" s="448" t="n">
        <f aca="false">'Previsión de Gastos'!D38+'Previsión de Gastos'!D38*'Previsión de Gastos'!$P38</f>
        <v>0</v>
      </c>
      <c r="F171" s="448" t="n">
        <f aca="false">'Previsión de Gastos'!E38+'Previsión de Gastos'!E38*'Previsión de Gastos'!$P38</f>
        <v>0</v>
      </c>
      <c r="G171" s="448" t="n">
        <f aca="false">'Previsión de Gastos'!F38+'Previsión de Gastos'!F38*'Previsión de Gastos'!$P38</f>
        <v>0</v>
      </c>
      <c r="H171" s="448" t="n">
        <f aca="false">'Previsión de Gastos'!G38+'Previsión de Gastos'!G38*'Previsión de Gastos'!$P38</f>
        <v>0</v>
      </c>
      <c r="I171" s="448" t="n">
        <f aca="false">'Previsión de Gastos'!H38+'Previsión de Gastos'!H38*'Previsión de Gastos'!$P38</f>
        <v>0</v>
      </c>
      <c r="J171" s="448" t="n">
        <f aca="false">'Previsión de Gastos'!I38+'Previsión de Gastos'!I38*'Previsión de Gastos'!$P38</f>
        <v>0</v>
      </c>
      <c r="K171" s="448" t="n">
        <f aca="false">'Previsión de Gastos'!J38+'Previsión de Gastos'!J38*'Previsión de Gastos'!$P38</f>
        <v>0</v>
      </c>
      <c r="L171" s="448" t="n">
        <f aca="false">'Previsión de Gastos'!K38+'Previsión de Gastos'!K38*'Previsión de Gastos'!$P38</f>
        <v>0</v>
      </c>
      <c r="M171" s="448" t="n">
        <f aca="false">'Previsión de Gastos'!L38+'Previsión de Gastos'!L38*'Previsión de Gastos'!$P38</f>
        <v>0</v>
      </c>
      <c r="N171" s="448" t="n">
        <f aca="false">'Previsión de Gastos'!M38+'Previsión de Gastos'!M38*'Previsión de Gastos'!$P38</f>
        <v>0</v>
      </c>
      <c r="O171" s="448" t="n">
        <f aca="false">'Previsión de Gastos'!N38+'Previsión de Gastos'!N38*'Previsión de Gastos'!$P38</f>
        <v>0</v>
      </c>
      <c r="P171" s="522"/>
      <c r="Q171" s="636" t="n">
        <f aca="false">SUM(D171:P171)</f>
        <v>0</v>
      </c>
      <c r="R171" s="476"/>
      <c r="S171" s="476"/>
      <c r="T171" s="476"/>
      <c r="U171" s="476"/>
    </row>
    <row r="172" customFormat="false" ht="12.75" hidden="false" customHeight="false" outlineLevel="0" collapsed="false">
      <c r="B172" s="474"/>
      <c r="C172" s="358" t="str">
        <f aca="false">C93</f>
        <v>Material de oficina</v>
      </c>
      <c r="D172" s="538" t="n">
        <f aca="false">'Previsión de Gastos'!C39+'Previsión de Gastos'!C39*'Previsión de Gastos'!$P39</f>
        <v>0</v>
      </c>
      <c r="E172" s="448" t="n">
        <f aca="false">'Previsión de Gastos'!D39+'Previsión de Gastos'!D39*'Previsión de Gastos'!$P39</f>
        <v>0</v>
      </c>
      <c r="F172" s="448" t="n">
        <f aca="false">'Previsión de Gastos'!E39+'Previsión de Gastos'!E39*'Previsión de Gastos'!$P39</f>
        <v>0</v>
      </c>
      <c r="G172" s="448" t="n">
        <f aca="false">'Previsión de Gastos'!F39+'Previsión de Gastos'!F39*'Previsión de Gastos'!$P39</f>
        <v>0</v>
      </c>
      <c r="H172" s="448" t="n">
        <f aca="false">'Previsión de Gastos'!G39+'Previsión de Gastos'!G39*'Previsión de Gastos'!$P39</f>
        <v>0</v>
      </c>
      <c r="I172" s="448" t="n">
        <f aca="false">'Previsión de Gastos'!H39+'Previsión de Gastos'!H39*'Previsión de Gastos'!$P39</f>
        <v>0</v>
      </c>
      <c r="J172" s="448" t="n">
        <f aca="false">'Previsión de Gastos'!I39+'Previsión de Gastos'!I39*'Previsión de Gastos'!$P39</f>
        <v>0</v>
      </c>
      <c r="K172" s="448" t="n">
        <f aca="false">'Previsión de Gastos'!J39+'Previsión de Gastos'!J39*'Previsión de Gastos'!$P39</f>
        <v>0</v>
      </c>
      <c r="L172" s="448" t="n">
        <f aca="false">'Previsión de Gastos'!K39+'Previsión de Gastos'!K39*'Previsión de Gastos'!$P39</f>
        <v>0</v>
      </c>
      <c r="M172" s="448" t="n">
        <f aca="false">'Previsión de Gastos'!L39+'Previsión de Gastos'!L39*'Previsión de Gastos'!$P39</f>
        <v>0</v>
      </c>
      <c r="N172" s="448" t="n">
        <f aca="false">'Previsión de Gastos'!M39+'Previsión de Gastos'!M39*'Previsión de Gastos'!$P39</f>
        <v>0</v>
      </c>
      <c r="O172" s="448" t="n">
        <f aca="false">'Previsión de Gastos'!N39+'Previsión de Gastos'!N39*'Previsión de Gastos'!$P39</f>
        <v>0</v>
      </c>
      <c r="P172" s="522"/>
      <c r="Q172" s="636" t="n">
        <f aca="false">SUM(D172:P172)</f>
        <v>0</v>
      </c>
      <c r="R172" s="476"/>
      <c r="S172" s="476"/>
      <c r="T172" s="476"/>
      <c r="U172" s="476"/>
    </row>
    <row r="173" customFormat="false" ht="12.75" hidden="false" customHeight="false" outlineLevel="0" collapsed="false">
      <c r="B173" s="474"/>
      <c r="C173" s="358" t="str">
        <f aca="false">C94</f>
        <v>Primas de Seguros</v>
      </c>
      <c r="D173" s="576" t="n">
        <f aca="false">'Previsión de Gastos'!C40+'Previsión de Gastos'!C40*'Previsión de Gastos'!$P40</f>
        <v>0</v>
      </c>
      <c r="E173" s="526" t="n">
        <f aca="false">'Previsión de Gastos'!D40+'Previsión de Gastos'!D40*'Previsión de Gastos'!$P40</f>
        <v>0</v>
      </c>
      <c r="F173" s="526" t="n">
        <f aca="false">'Previsión de Gastos'!E40+'Previsión de Gastos'!E40*'Previsión de Gastos'!$P40</f>
        <v>0</v>
      </c>
      <c r="G173" s="526" t="n">
        <f aca="false">'Previsión de Gastos'!F40+'Previsión de Gastos'!F40*'Previsión de Gastos'!$P40</f>
        <v>0</v>
      </c>
      <c r="H173" s="526" t="n">
        <f aca="false">'Previsión de Gastos'!G40+'Previsión de Gastos'!G40*'Previsión de Gastos'!$P40</f>
        <v>0</v>
      </c>
      <c r="I173" s="526" t="n">
        <f aca="false">'Previsión de Gastos'!H40+'Previsión de Gastos'!H40*'Previsión de Gastos'!$P40</f>
        <v>0</v>
      </c>
      <c r="J173" s="526" t="n">
        <f aca="false">'Previsión de Gastos'!I40+'Previsión de Gastos'!I40*'Previsión de Gastos'!$P40</f>
        <v>0</v>
      </c>
      <c r="K173" s="526" t="n">
        <f aca="false">'Previsión de Gastos'!J40+'Previsión de Gastos'!J40*'Previsión de Gastos'!$P40</f>
        <v>0</v>
      </c>
      <c r="L173" s="526" t="n">
        <f aca="false">'Previsión de Gastos'!K40+'Previsión de Gastos'!K40*'Previsión de Gastos'!$P40</f>
        <v>0</v>
      </c>
      <c r="M173" s="526" t="n">
        <f aca="false">'Previsión de Gastos'!L40+'Previsión de Gastos'!L40*'Previsión de Gastos'!$P40</f>
        <v>0</v>
      </c>
      <c r="N173" s="526" t="n">
        <f aca="false">'Previsión de Gastos'!M40+'Previsión de Gastos'!M40*'Previsión de Gastos'!$P40</f>
        <v>0</v>
      </c>
      <c r="O173" s="526" t="n">
        <f aca="false">'Previsión de Gastos'!N40+'Previsión de Gastos'!N40*'Previsión de Gastos'!$P40</f>
        <v>0</v>
      </c>
      <c r="P173" s="567"/>
      <c r="Q173" s="637" t="n">
        <f aca="false">SUM(D173:P173)</f>
        <v>0</v>
      </c>
      <c r="S173" s="93"/>
    </row>
    <row r="174" customFormat="false" ht="12.75" hidden="false" customHeight="false" outlineLevel="0" collapsed="false">
      <c r="B174" s="474"/>
      <c r="C174" s="358" t="str">
        <f aca="false">C95</f>
        <v>Trabajos realizados por otras empresas</v>
      </c>
      <c r="D174" s="576" t="n">
        <f aca="false">'Previsión de Gastos'!C41+'Previsión de Gastos'!C41*'Previsión de Gastos'!$P41</f>
        <v>0</v>
      </c>
      <c r="E174" s="526" t="n">
        <f aca="false">'Previsión de Gastos'!D41+'Previsión de Gastos'!D41*'Previsión de Gastos'!$P41</f>
        <v>0</v>
      </c>
      <c r="F174" s="526" t="n">
        <f aca="false">'Previsión de Gastos'!E41+'Previsión de Gastos'!E41*'Previsión de Gastos'!$P41</f>
        <v>0</v>
      </c>
      <c r="G174" s="526" t="n">
        <f aca="false">'Previsión de Gastos'!F41+'Previsión de Gastos'!F41*'Previsión de Gastos'!$P41</f>
        <v>0</v>
      </c>
      <c r="H174" s="526" t="n">
        <f aca="false">'Previsión de Gastos'!G41+'Previsión de Gastos'!G41*'Previsión de Gastos'!$P41</f>
        <v>0</v>
      </c>
      <c r="I174" s="526" t="n">
        <f aca="false">'Previsión de Gastos'!H41+'Previsión de Gastos'!H41*'Previsión de Gastos'!$P41</f>
        <v>0</v>
      </c>
      <c r="J174" s="526" t="n">
        <f aca="false">'Previsión de Gastos'!I41+'Previsión de Gastos'!I41*'Previsión de Gastos'!$P41</f>
        <v>0</v>
      </c>
      <c r="K174" s="526" t="n">
        <f aca="false">'Previsión de Gastos'!J41+'Previsión de Gastos'!J41*'Previsión de Gastos'!$P41</f>
        <v>0</v>
      </c>
      <c r="L174" s="526" t="n">
        <f aca="false">'Previsión de Gastos'!K41+'Previsión de Gastos'!K41*'Previsión de Gastos'!$P41</f>
        <v>0</v>
      </c>
      <c r="M174" s="526" t="n">
        <f aca="false">'Previsión de Gastos'!L41+'Previsión de Gastos'!L41*'Previsión de Gastos'!$P41</f>
        <v>0</v>
      </c>
      <c r="N174" s="526" t="n">
        <f aca="false">'Previsión de Gastos'!M41+'Previsión de Gastos'!M41*'Previsión de Gastos'!$P41</f>
        <v>0</v>
      </c>
      <c r="O174" s="526" t="n">
        <f aca="false">'Previsión de Gastos'!N41+'Previsión de Gastos'!N41*'Previsión de Gastos'!$P41</f>
        <v>0</v>
      </c>
      <c r="P174" s="567"/>
      <c r="Q174" s="637" t="n">
        <f aca="false">SUM(D174:P174)</f>
        <v>0</v>
      </c>
      <c r="S174" s="93"/>
    </row>
    <row r="175" customFormat="false" ht="12.75" hidden="false" customHeight="false" outlineLevel="0" collapsed="false">
      <c r="B175" s="474"/>
      <c r="C175" s="358" t="str">
        <f aca="false">C96</f>
        <v>Arrendamientos</v>
      </c>
      <c r="D175" s="538" t="n">
        <f aca="false">'Previsión de Gastos'!C42+'Previsión de Gastos'!C42*'Previsión de Gastos'!$P42</f>
        <v>0</v>
      </c>
      <c r="E175" s="448" t="n">
        <f aca="false">'Previsión de Gastos'!D42+'Previsión de Gastos'!D42*'Previsión de Gastos'!$P42</f>
        <v>0</v>
      </c>
      <c r="F175" s="448" t="n">
        <f aca="false">'Previsión de Gastos'!E42+'Previsión de Gastos'!E42*'Previsión de Gastos'!$P42</f>
        <v>0</v>
      </c>
      <c r="G175" s="448" t="n">
        <f aca="false">'Previsión de Gastos'!F42+'Previsión de Gastos'!F42*'Previsión de Gastos'!$P42</f>
        <v>0</v>
      </c>
      <c r="H175" s="448" t="n">
        <f aca="false">'Previsión de Gastos'!G42+'Previsión de Gastos'!G42*'Previsión de Gastos'!$P42</f>
        <v>0</v>
      </c>
      <c r="I175" s="448" t="n">
        <f aca="false">'Previsión de Gastos'!H42+'Previsión de Gastos'!H42*'Previsión de Gastos'!$P42</f>
        <v>0</v>
      </c>
      <c r="J175" s="448" t="n">
        <f aca="false">'Previsión de Gastos'!I42+'Previsión de Gastos'!I42*'Previsión de Gastos'!$P42</f>
        <v>0</v>
      </c>
      <c r="K175" s="448" t="n">
        <f aca="false">'Previsión de Gastos'!J42+'Previsión de Gastos'!J42*'Previsión de Gastos'!$P42</f>
        <v>0</v>
      </c>
      <c r="L175" s="448" t="n">
        <f aca="false">'Previsión de Gastos'!K42+'Previsión de Gastos'!K42*'Previsión de Gastos'!$P42</f>
        <v>0</v>
      </c>
      <c r="M175" s="448" t="n">
        <f aca="false">'Previsión de Gastos'!L42+'Previsión de Gastos'!L42*'Previsión de Gastos'!$P42</f>
        <v>0</v>
      </c>
      <c r="N175" s="448" t="n">
        <f aca="false">'Previsión de Gastos'!M42+'Previsión de Gastos'!M42*'Previsión de Gastos'!$P42</f>
        <v>0</v>
      </c>
      <c r="O175" s="448" t="n">
        <f aca="false">'Previsión de Gastos'!N42+'Previsión de Gastos'!N42*'Previsión de Gastos'!$P42</f>
        <v>0</v>
      </c>
      <c r="P175" s="522"/>
      <c r="Q175" s="636" t="n">
        <f aca="false">SUM(D175:P175)</f>
        <v>0</v>
      </c>
      <c r="R175" s="476"/>
      <c r="S175" s="476"/>
      <c r="T175" s="476"/>
      <c r="U175" s="476"/>
    </row>
    <row r="176" customFormat="false" ht="12.75" hidden="false" customHeight="false" outlineLevel="0" collapsed="false">
      <c r="B176" s="474"/>
      <c r="C176" s="358" t="str">
        <f aca="false">C97</f>
        <v>Mantenimiento y reparación</v>
      </c>
      <c r="D176" s="538" t="n">
        <f aca="false">'Previsión de Gastos'!C43+'Previsión de Gastos'!C43*'Previsión de Gastos'!$P43</f>
        <v>0</v>
      </c>
      <c r="E176" s="448" t="n">
        <f aca="false">'Previsión de Gastos'!D43+'Previsión de Gastos'!D43*'Previsión de Gastos'!$P43</f>
        <v>0</v>
      </c>
      <c r="F176" s="448" t="n">
        <f aca="false">'Previsión de Gastos'!E43+'Previsión de Gastos'!E43*'Previsión de Gastos'!$P43</f>
        <v>0</v>
      </c>
      <c r="G176" s="448" t="n">
        <f aca="false">'Previsión de Gastos'!F43+'Previsión de Gastos'!F43*'Previsión de Gastos'!$P43</f>
        <v>0</v>
      </c>
      <c r="H176" s="448" t="n">
        <f aca="false">'Previsión de Gastos'!G43+'Previsión de Gastos'!G43*'Previsión de Gastos'!$P43</f>
        <v>0</v>
      </c>
      <c r="I176" s="448" t="n">
        <f aca="false">'Previsión de Gastos'!H43+'Previsión de Gastos'!H43*'Previsión de Gastos'!$P43</f>
        <v>0</v>
      </c>
      <c r="J176" s="448" t="n">
        <f aca="false">'Previsión de Gastos'!I43+'Previsión de Gastos'!I43*'Previsión de Gastos'!$P43</f>
        <v>0</v>
      </c>
      <c r="K176" s="448" t="n">
        <f aca="false">'Previsión de Gastos'!J43+'Previsión de Gastos'!J43*'Previsión de Gastos'!$P43</f>
        <v>0</v>
      </c>
      <c r="L176" s="448" t="n">
        <f aca="false">'Previsión de Gastos'!K43+'Previsión de Gastos'!K43*'Previsión de Gastos'!$P43</f>
        <v>0</v>
      </c>
      <c r="M176" s="448" t="n">
        <f aca="false">'Previsión de Gastos'!L43+'Previsión de Gastos'!L43*'Previsión de Gastos'!$P43</f>
        <v>0</v>
      </c>
      <c r="N176" s="448" t="n">
        <f aca="false">'Previsión de Gastos'!M43+'Previsión de Gastos'!M43*'Previsión de Gastos'!$P43</f>
        <v>0</v>
      </c>
      <c r="O176" s="448" t="n">
        <f aca="false">'Previsión de Gastos'!N43+'Previsión de Gastos'!N43*'Previsión de Gastos'!$P43</f>
        <v>0</v>
      </c>
      <c r="P176" s="522"/>
      <c r="Q176" s="636" t="n">
        <f aca="false">SUM(D176:P176)</f>
        <v>0</v>
      </c>
      <c r="R176" s="476"/>
      <c r="S176" s="476"/>
      <c r="T176" s="476"/>
      <c r="U176" s="476"/>
    </row>
    <row r="177" customFormat="false" ht="12.75" hidden="false" customHeight="false" outlineLevel="0" collapsed="false">
      <c r="B177" s="474"/>
      <c r="C177" s="358" t="str">
        <f aca="false">C98</f>
        <v>Limpieza</v>
      </c>
      <c r="D177" s="576" t="n">
        <f aca="false">'Previsión de Gastos'!C44+'Previsión de Gastos'!C44*'Previsión de Gastos'!$P44</f>
        <v>0</v>
      </c>
      <c r="E177" s="526" t="n">
        <f aca="false">'Previsión de Gastos'!D44+'Previsión de Gastos'!D44*'Previsión de Gastos'!$P44</f>
        <v>0</v>
      </c>
      <c r="F177" s="526" t="n">
        <f aca="false">'Previsión de Gastos'!E44+'Previsión de Gastos'!E44*'Previsión de Gastos'!$P44</f>
        <v>0</v>
      </c>
      <c r="G177" s="526" t="n">
        <f aca="false">'Previsión de Gastos'!F44+'Previsión de Gastos'!F44*'Previsión de Gastos'!$P44</f>
        <v>0</v>
      </c>
      <c r="H177" s="526" t="n">
        <f aca="false">'Previsión de Gastos'!G44+'Previsión de Gastos'!G44*'Previsión de Gastos'!$P44</f>
        <v>0</v>
      </c>
      <c r="I177" s="526" t="n">
        <f aca="false">'Previsión de Gastos'!H44+'Previsión de Gastos'!H44*'Previsión de Gastos'!$P44</f>
        <v>0</v>
      </c>
      <c r="J177" s="526" t="n">
        <f aca="false">'Previsión de Gastos'!I44+'Previsión de Gastos'!I44*'Previsión de Gastos'!$P44</f>
        <v>0</v>
      </c>
      <c r="K177" s="526" t="n">
        <f aca="false">'Previsión de Gastos'!J44+'Previsión de Gastos'!J44*'Previsión de Gastos'!$P44</f>
        <v>0</v>
      </c>
      <c r="L177" s="526" t="n">
        <f aca="false">'Previsión de Gastos'!K44+'Previsión de Gastos'!K44*'Previsión de Gastos'!$P44</f>
        <v>0</v>
      </c>
      <c r="M177" s="526" t="n">
        <f aca="false">'Previsión de Gastos'!L44+'Previsión de Gastos'!L44*'Previsión de Gastos'!$P44</f>
        <v>0</v>
      </c>
      <c r="N177" s="526" t="n">
        <f aca="false">'Previsión de Gastos'!M44+'Previsión de Gastos'!M44*'Previsión de Gastos'!$P44</f>
        <v>0</v>
      </c>
      <c r="O177" s="526" t="n">
        <f aca="false">'Previsión de Gastos'!N44+'Previsión de Gastos'!N44*'Previsión de Gastos'!$P44</f>
        <v>0</v>
      </c>
      <c r="P177" s="567"/>
      <c r="Q177" s="637" t="n">
        <f aca="false">SUM(D177:P177)</f>
        <v>0</v>
      </c>
      <c r="S177" s="93"/>
    </row>
    <row r="178" customFormat="false" ht="12.75" hidden="false" customHeight="false" outlineLevel="0" collapsed="false">
      <c r="B178" s="474"/>
      <c r="C178" s="358" t="str">
        <f aca="false">C99</f>
        <v>Hosting</v>
      </c>
      <c r="D178" s="576" t="n">
        <f aca="false">'Previsión de Gastos'!C45+'Previsión de Gastos'!C45*'Previsión de Gastos'!$P45</f>
        <v>0</v>
      </c>
      <c r="E178" s="526" t="n">
        <f aca="false">'Previsión de Gastos'!D45+'Previsión de Gastos'!D45*'Previsión de Gastos'!$P45</f>
        <v>0</v>
      </c>
      <c r="F178" s="526" t="n">
        <f aca="false">'Previsión de Gastos'!E45+'Previsión de Gastos'!E45*'Previsión de Gastos'!$P45</f>
        <v>0</v>
      </c>
      <c r="G178" s="526" t="n">
        <f aca="false">'Previsión de Gastos'!F45+'Previsión de Gastos'!F45*'Previsión de Gastos'!$P45</f>
        <v>0</v>
      </c>
      <c r="H178" s="526" t="n">
        <f aca="false">'Previsión de Gastos'!G45+'Previsión de Gastos'!G45*'Previsión de Gastos'!$P45</f>
        <v>0</v>
      </c>
      <c r="I178" s="526" t="n">
        <f aca="false">'Previsión de Gastos'!H45+'Previsión de Gastos'!H45*'Previsión de Gastos'!$P45</f>
        <v>0</v>
      </c>
      <c r="J178" s="526" t="n">
        <f aca="false">'Previsión de Gastos'!I45+'Previsión de Gastos'!I45*'Previsión de Gastos'!$P45</f>
        <v>0</v>
      </c>
      <c r="K178" s="526" t="n">
        <f aca="false">'Previsión de Gastos'!J45+'Previsión de Gastos'!J45*'Previsión de Gastos'!$P45</f>
        <v>0</v>
      </c>
      <c r="L178" s="526" t="n">
        <f aca="false">'Previsión de Gastos'!K45+'Previsión de Gastos'!K45*'Previsión de Gastos'!$P45</f>
        <v>0</v>
      </c>
      <c r="M178" s="526" t="n">
        <f aca="false">'Previsión de Gastos'!L45+'Previsión de Gastos'!L45*'Previsión de Gastos'!$P45</f>
        <v>0</v>
      </c>
      <c r="N178" s="526" t="n">
        <f aca="false">'Previsión de Gastos'!M45+'Previsión de Gastos'!M45*'Previsión de Gastos'!$P45</f>
        <v>0</v>
      </c>
      <c r="O178" s="526" t="n">
        <f aca="false">'Previsión de Gastos'!N45+'Previsión de Gastos'!N45*'Previsión de Gastos'!$P45</f>
        <v>0</v>
      </c>
      <c r="P178" s="567"/>
      <c r="Q178" s="637" t="n">
        <f aca="false">SUM(D178:P178)</f>
        <v>0</v>
      </c>
      <c r="S178" s="93"/>
    </row>
    <row r="179" customFormat="false" ht="12.75" hidden="false" customHeight="false" outlineLevel="0" collapsed="false">
      <c r="B179" s="474"/>
      <c r="C179" s="358" t="str">
        <f aca="false">C100</f>
        <v>Varios</v>
      </c>
      <c r="D179" s="576" t="n">
        <f aca="false">'Previsión de Gastos'!C46+'Previsión de Gastos'!C46*'Previsión de Gastos'!$P46</f>
        <v>0</v>
      </c>
      <c r="E179" s="526" t="n">
        <f aca="false">'Previsión de Gastos'!D46+'Previsión de Gastos'!D46*'Previsión de Gastos'!$P46</f>
        <v>0</v>
      </c>
      <c r="F179" s="526" t="n">
        <f aca="false">'Previsión de Gastos'!E46+'Previsión de Gastos'!E46*'Previsión de Gastos'!$P46</f>
        <v>0</v>
      </c>
      <c r="G179" s="526" t="n">
        <f aca="false">'Previsión de Gastos'!F46+'Previsión de Gastos'!F46*'Previsión de Gastos'!$P46</f>
        <v>0</v>
      </c>
      <c r="H179" s="526" t="n">
        <f aca="false">'Previsión de Gastos'!G46+'Previsión de Gastos'!G46*'Previsión de Gastos'!$P46</f>
        <v>0</v>
      </c>
      <c r="I179" s="526" t="n">
        <f aca="false">'Previsión de Gastos'!H46+'Previsión de Gastos'!H46*'Previsión de Gastos'!$P46</f>
        <v>0</v>
      </c>
      <c r="J179" s="526" t="n">
        <f aca="false">'Previsión de Gastos'!I46+'Previsión de Gastos'!I46*'Previsión de Gastos'!$P46</f>
        <v>0</v>
      </c>
      <c r="K179" s="526" t="n">
        <f aca="false">'Previsión de Gastos'!J46+'Previsión de Gastos'!J46*'Previsión de Gastos'!$P46</f>
        <v>0</v>
      </c>
      <c r="L179" s="526" t="n">
        <f aca="false">'Previsión de Gastos'!K46+'Previsión de Gastos'!K46*'Previsión de Gastos'!$P46</f>
        <v>0</v>
      </c>
      <c r="M179" s="526" t="n">
        <f aca="false">'Previsión de Gastos'!L46+'Previsión de Gastos'!L46*'Previsión de Gastos'!$P46</f>
        <v>0</v>
      </c>
      <c r="N179" s="526" t="n">
        <f aca="false">'Previsión de Gastos'!M46+'Previsión de Gastos'!M46*'Previsión de Gastos'!$P46</f>
        <v>0</v>
      </c>
      <c r="O179" s="526" t="n">
        <f aca="false">'Previsión de Gastos'!N46+'Previsión de Gastos'!N46*'Previsión de Gastos'!$P46</f>
        <v>0</v>
      </c>
      <c r="P179" s="567"/>
      <c r="Q179" s="637" t="n">
        <f aca="false">SUM(D179:P179)</f>
        <v>0</v>
      </c>
      <c r="S179" s="93"/>
    </row>
    <row r="180" s="23" customFormat="true" ht="12.75" hidden="false" customHeight="false" outlineLevel="0" collapsed="false">
      <c r="B180" s="474"/>
      <c r="C180" s="469" t="str">
        <f aca="false">C101</f>
        <v>Total</v>
      </c>
      <c r="D180" s="583" t="n">
        <f aca="false">SUM(D170:D179)</f>
        <v>0</v>
      </c>
      <c r="E180" s="583" t="n">
        <f aca="false">SUM(E170:E179)</f>
        <v>0</v>
      </c>
      <c r="F180" s="583" t="n">
        <f aca="false">SUM(F170:F179)</f>
        <v>0</v>
      </c>
      <c r="G180" s="583" t="n">
        <f aca="false">SUM(G170:G179)</f>
        <v>0</v>
      </c>
      <c r="H180" s="583" t="n">
        <f aca="false">SUM(H170:H179)</f>
        <v>0</v>
      </c>
      <c r="I180" s="583" t="n">
        <f aca="false">SUM(I170:I179)</f>
        <v>0</v>
      </c>
      <c r="J180" s="583" t="n">
        <f aca="false">SUM(J170:J179)</f>
        <v>0</v>
      </c>
      <c r="K180" s="583" t="n">
        <f aca="false">SUM(K170:K179)</f>
        <v>0</v>
      </c>
      <c r="L180" s="583" t="n">
        <f aca="false">SUM(L170:L179)</f>
        <v>0</v>
      </c>
      <c r="M180" s="583" t="n">
        <f aca="false">SUM(M170:M179)</f>
        <v>0</v>
      </c>
      <c r="N180" s="583" t="n">
        <f aca="false">SUM(N170:N179)</f>
        <v>0</v>
      </c>
      <c r="O180" s="583" t="n">
        <f aca="false">SUM(O170:O179)</f>
        <v>0</v>
      </c>
      <c r="P180" s="584"/>
      <c r="Q180" s="585" t="n">
        <f aca="false">SUM(D180:P180)</f>
        <v>0</v>
      </c>
      <c r="S180" s="93"/>
    </row>
    <row r="181" customFormat="false" ht="12.75" hidden="false" customHeight="false" outlineLevel="0" collapsed="false">
      <c r="B181" s="474"/>
      <c r="C181" s="358" t="str">
        <f aca="false">C102</f>
        <v>IVA soportado(*)</v>
      </c>
      <c r="D181" s="526" t="n">
        <f aca="false">IF('Datos generales'!$D$22&lt;=0,'Datos generales'!$D$19*D180,0)</f>
        <v>0</v>
      </c>
      <c r="E181" s="526" t="n">
        <f aca="false">IF('Datos generales'!$D$22&lt;=0,'Datos generales'!$D$19*E180,0)</f>
        <v>0</v>
      </c>
      <c r="F181" s="526" t="n">
        <f aca="false">IF('Datos generales'!$D$22&lt;=0,'Datos generales'!$D$19*F180,0)</f>
        <v>0</v>
      </c>
      <c r="G181" s="526" t="n">
        <f aca="false">IF('Datos generales'!$D$22&lt;=0,'Datos generales'!$D$19*G180,0)</f>
        <v>0</v>
      </c>
      <c r="H181" s="526" t="n">
        <f aca="false">IF('Datos generales'!$D$22&lt;=0,'Datos generales'!$D$19*H180,0)</f>
        <v>0</v>
      </c>
      <c r="I181" s="526" t="n">
        <f aca="false">IF('Datos generales'!$D$22&lt;=0,'Datos generales'!$D$19*I180,0)</f>
        <v>0</v>
      </c>
      <c r="J181" s="526" t="n">
        <f aca="false">IF('Datos generales'!$D$22&lt;=0,'Datos generales'!$D$19*J180,0)</f>
        <v>0</v>
      </c>
      <c r="K181" s="526" t="n">
        <f aca="false">IF('Datos generales'!$D$22&lt;=0,'Datos generales'!$D$19*K180,0)</f>
        <v>0</v>
      </c>
      <c r="L181" s="526" t="n">
        <f aca="false">IF('Datos generales'!$D$22&lt;=0,'Datos generales'!$D$19*L180,0)</f>
        <v>0</v>
      </c>
      <c r="M181" s="526" t="n">
        <f aca="false">IF('Datos generales'!$D$22&lt;=0,'Datos generales'!$D$19*M180,0)</f>
        <v>0</v>
      </c>
      <c r="N181" s="526" t="n">
        <f aca="false">IF('Datos generales'!$D$22&lt;=0,'Datos generales'!$D$19*N180,0)</f>
        <v>0</v>
      </c>
      <c r="O181" s="526" t="n">
        <f aca="false">IF('Datos generales'!$D$22&lt;=0,'Datos generales'!$D$19*O180,0)</f>
        <v>0</v>
      </c>
      <c r="P181" s="567"/>
      <c r="Q181" s="637" t="n">
        <f aca="false">SUM(D181:P181)</f>
        <v>0</v>
      </c>
      <c r="S181" s="93"/>
    </row>
    <row r="182" customFormat="false" ht="12.75" hidden="false" customHeight="false" outlineLevel="0" collapsed="false">
      <c r="B182" s="474"/>
      <c r="C182" s="569" t="str">
        <f aca="false">C103</f>
        <v>Total Otros gastos (Servicios exteriores)</v>
      </c>
      <c r="D182" s="590" t="n">
        <f aca="false">SUM(D180:D181)</f>
        <v>0</v>
      </c>
      <c r="E182" s="591" t="n">
        <f aca="false">SUM(E180:E181)</f>
        <v>0</v>
      </c>
      <c r="F182" s="591" t="n">
        <f aca="false">SUM(F180:F181)</f>
        <v>0</v>
      </c>
      <c r="G182" s="591" t="n">
        <f aca="false">SUM(G180:G181)</f>
        <v>0</v>
      </c>
      <c r="H182" s="591" t="n">
        <f aca="false">SUM(H180:H181)</f>
        <v>0</v>
      </c>
      <c r="I182" s="591" t="n">
        <f aca="false">SUM(I180:I181)</f>
        <v>0</v>
      </c>
      <c r="J182" s="591" t="n">
        <f aca="false">SUM(J180:J181)</f>
        <v>0</v>
      </c>
      <c r="K182" s="591" t="n">
        <f aca="false">SUM(K180:K181)</f>
        <v>0</v>
      </c>
      <c r="L182" s="591" t="n">
        <f aca="false">SUM(L180:L181)</f>
        <v>0</v>
      </c>
      <c r="M182" s="591" t="n">
        <f aca="false">SUM(M180:M181)</f>
        <v>0</v>
      </c>
      <c r="N182" s="591" t="n">
        <f aca="false">SUM(N180:N181)</f>
        <v>0</v>
      </c>
      <c r="O182" s="591" t="n">
        <f aca="false">SUM(O180:O181)</f>
        <v>0</v>
      </c>
      <c r="P182" s="592"/>
      <c r="Q182" s="593" t="n">
        <f aca="false">SUM(D182:P182)</f>
        <v>0</v>
      </c>
      <c r="R182" s="476"/>
      <c r="S182" s="476"/>
      <c r="T182" s="476"/>
      <c r="U182" s="476"/>
    </row>
    <row r="183" customFormat="false" ht="12.75" hidden="false" customHeight="false" outlineLevel="0" collapsed="false">
      <c r="B183" s="474"/>
      <c r="D183" s="561"/>
      <c r="E183" s="476"/>
      <c r="F183" s="476"/>
      <c r="G183" s="476"/>
      <c r="H183" s="476"/>
      <c r="I183" s="476"/>
      <c r="J183" s="476"/>
      <c r="K183" s="476"/>
      <c r="L183" s="476"/>
      <c r="M183" s="476"/>
      <c r="N183" s="476"/>
      <c r="O183" s="476"/>
      <c r="P183" s="535"/>
      <c r="Q183" s="653"/>
      <c r="R183" s="476"/>
      <c r="S183" s="476"/>
    </row>
    <row r="184" customFormat="false" ht="13.5" hidden="false" customHeight="false" outlineLevel="0" collapsed="false">
      <c r="B184" s="594" t="str">
        <f aca="false">B105</f>
        <v>Total Otros gastos de explotación</v>
      </c>
      <c r="C184" s="595"/>
      <c r="D184" s="596" t="n">
        <f aca="false">D161+D168+D182</f>
        <v>0</v>
      </c>
      <c r="E184" s="597" t="n">
        <f aca="false">E161+E168+E182</f>
        <v>0</v>
      </c>
      <c r="F184" s="597" t="n">
        <f aca="false">F161+F168+F182</f>
        <v>0</v>
      </c>
      <c r="G184" s="597" t="n">
        <f aca="false">G161+G168+G182</f>
        <v>0</v>
      </c>
      <c r="H184" s="597" t="n">
        <f aca="false">H161+H168+H182</f>
        <v>0</v>
      </c>
      <c r="I184" s="597" t="n">
        <f aca="false">I161+I168+I182</f>
        <v>0</v>
      </c>
      <c r="J184" s="597" t="n">
        <f aca="false">J161+J168+J182</f>
        <v>0</v>
      </c>
      <c r="K184" s="597" t="n">
        <f aca="false">K161+K168+K182</f>
        <v>0</v>
      </c>
      <c r="L184" s="597" t="n">
        <f aca="false">L161+L168+L182</f>
        <v>0</v>
      </c>
      <c r="M184" s="597" t="n">
        <f aca="false">M161+M168+M182</f>
        <v>0</v>
      </c>
      <c r="N184" s="597" t="n">
        <f aca="false">N161+N168+N182</f>
        <v>0</v>
      </c>
      <c r="O184" s="597" t="n">
        <f aca="false">O161+O168+O182</f>
        <v>0</v>
      </c>
      <c r="P184" s="598" t="n">
        <f aca="false">P161+P168+P182</f>
        <v>0</v>
      </c>
      <c r="Q184" s="599" t="n">
        <f aca="false">SUM(D184:P184)</f>
        <v>0</v>
      </c>
      <c r="R184" s="476"/>
      <c r="S184" s="600"/>
      <c r="T184" s="476"/>
      <c r="U184" s="476"/>
    </row>
    <row r="185" customFormat="false" ht="12.75" hidden="false" customHeight="false" outlineLevel="0" collapsed="false">
      <c r="B185" s="474"/>
      <c r="D185" s="489"/>
      <c r="E185" s="453"/>
      <c r="F185" s="453"/>
      <c r="G185" s="453"/>
      <c r="H185" s="453"/>
      <c r="I185" s="453"/>
      <c r="J185" s="453"/>
      <c r="K185" s="453"/>
      <c r="L185" s="453"/>
      <c r="M185" s="453"/>
      <c r="N185" s="453"/>
      <c r="O185" s="453"/>
      <c r="P185" s="535"/>
      <c r="Q185" s="618"/>
      <c r="R185" s="476"/>
      <c r="S185" s="476"/>
    </row>
    <row r="186" customFormat="false" ht="12.75" hidden="false" customHeight="false" outlineLevel="0" collapsed="false">
      <c r="B186" s="547" t="str">
        <f aca="false">B108</f>
        <v>Amortización del inmovilizado</v>
      </c>
      <c r="C186" s="465"/>
      <c r="D186" s="565" t="n">
        <f aca="false">'AMORTIZACION CONTABLE'!J38/12</f>
        <v>1013.88888888889</v>
      </c>
      <c r="E186" s="566" t="n">
        <f aca="false">$D186</f>
        <v>1013.88888888889</v>
      </c>
      <c r="F186" s="566" t="n">
        <f aca="false">$D186</f>
        <v>1013.88888888889</v>
      </c>
      <c r="G186" s="566" t="n">
        <f aca="false">$D186</f>
        <v>1013.88888888889</v>
      </c>
      <c r="H186" s="566" t="n">
        <f aca="false">$D186</f>
        <v>1013.88888888889</v>
      </c>
      <c r="I186" s="566" t="n">
        <f aca="false">$D186</f>
        <v>1013.88888888889</v>
      </c>
      <c r="J186" s="566" t="n">
        <f aca="false">$D186</f>
        <v>1013.88888888889</v>
      </c>
      <c r="K186" s="566" t="n">
        <f aca="false">$D186</f>
        <v>1013.88888888889</v>
      </c>
      <c r="L186" s="566" t="n">
        <f aca="false">$D186</f>
        <v>1013.88888888889</v>
      </c>
      <c r="M186" s="566" t="n">
        <f aca="false">$D186</f>
        <v>1013.88888888889</v>
      </c>
      <c r="N186" s="566" t="n">
        <f aca="false">$D186</f>
        <v>1013.88888888889</v>
      </c>
      <c r="O186" s="566" t="n">
        <f aca="false">$D186</f>
        <v>1013.88888888889</v>
      </c>
      <c r="P186" s="588"/>
      <c r="Q186" s="640" t="n">
        <f aca="false">SUM(D186:P186)</f>
        <v>12166.6666666667</v>
      </c>
      <c r="R186" s="476"/>
      <c r="S186" s="476"/>
      <c r="T186" s="476"/>
      <c r="U186" s="476"/>
    </row>
    <row r="187" customFormat="false" ht="12.75" hidden="false" customHeight="true" outlineLevel="0" collapsed="false">
      <c r="B187" s="470"/>
      <c r="C187" s="23"/>
      <c r="D187" s="533"/>
      <c r="E187" s="534"/>
      <c r="F187" s="534"/>
      <c r="G187" s="534"/>
      <c r="H187" s="534"/>
      <c r="I187" s="534"/>
      <c r="J187" s="534"/>
      <c r="K187" s="534"/>
      <c r="L187" s="534"/>
      <c r="M187" s="534"/>
      <c r="N187" s="534"/>
      <c r="O187" s="534"/>
      <c r="P187" s="535"/>
      <c r="Q187" s="639"/>
      <c r="R187" s="476"/>
      <c r="S187" s="476"/>
      <c r="T187" s="476"/>
    </row>
    <row r="188" customFormat="false" ht="12" hidden="false" customHeight="true" outlineLevel="0" collapsed="false">
      <c r="B188" s="606" t="str">
        <f aca="false">B110</f>
        <v>Imputación de subvenciones de inmovilizado no financiero y otras:</v>
      </c>
      <c r="C188" s="606"/>
      <c r="D188" s="562"/>
      <c r="E188" s="563"/>
      <c r="F188" s="563"/>
      <c r="G188" s="563"/>
      <c r="H188" s="563"/>
      <c r="I188" s="563"/>
      <c r="J188" s="563"/>
      <c r="K188" s="563"/>
      <c r="L188" s="563"/>
      <c r="M188" s="563"/>
      <c r="N188" s="563"/>
      <c r="O188" s="563"/>
      <c r="P188" s="607" t="n">
        <f aca="false">'Entrada Inver_Finan'!F102+'Entrada Inver_Finan'!F103</f>
        <v>0</v>
      </c>
      <c r="Q188" s="649" t="n">
        <f aca="false">SUM(D188:P188)</f>
        <v>0</v>
      </c>
      <c r="S188" s="93"/>
    </row>
    <row r="189" customFormat="false" ht="12.75" hidden="false" customHeight="false" outlineLevel="0" collapsed="false">
      <c r="B189" s="470"/>
      <c r="C189" s="23"/>
      <c r="D189" s="533"/>
      <c r="E189" s="534"/>
      <c r="F189" s="534"/>
      <c r="G189" s="534"/>
      <c r="H189" s="534"/>
      <c r="I189" s="534"/>
      <c r="J189" s="534"/>
      <c r="K189" s="534"/>
      <c r="L189" s="534"/>
      <c r="M189" s="534"/>
      <c r="N189" s="534"/>
      <c r="O189" s="534"/>
      <c r="P189" s="535"/>
      <c r="Q189" s="618"/>
      <c r="R189" s="476"/>
      <c r="S189" s="476"/>
      <c r="T189" s="476"/>
    </row>
    <row r="190" s="93" customFormat="true" ht="14.25" hidden="false" customHeight="false" outlineLevel="0" collapsed="false">
      <c r="B190" s="554" t="str">
        <f aca="false">B112</f>
        <v>RESULTADO DE EXPLOTACIÓN</v>
      </c>
      <c r="C190" s="619"/>
      <c r="D190" s="596" t="n">
        <f aca="false">D143-D152-D184-D186+D188</f>
        <v>4305.01111111111</v>
      </c>
      <c r="E190" s="597" t="n">
        <f aca="false">E143-E152-E184-E186+E188</f>
        <v>4305.01111111111</v>
      </c>
      <c r="F190" s="597" t="n">
        <f aca="false">F143-F152-F184-F186+F188</f>
        <v>4305.01111111111</v>
      </c>
      <c r="G190" s="597" t="n">
        <f aca="false">G143-G152-G184-G186+G188</f>
        <v>4305.01111111111</v>
      </c>
      <c r="H190" s="597" t="n">
        <f aca="false">H143-H152-H184-H186+H188</f>
        <v>4305.01111111111</v>
      </c>
      <c r="I190" s="597" t="n">
        <f aca="false">I143-I152-I184-I186+I188</f>
        <v>4305.01111111111</v>
      </c>
      <c r="J190" s="597" t="n">
        <f aca="false">J143-J152-J184-J186+J188</f>
        <v>4305.01111111111</v>
      </c>
      <c r="K190" s="597" t="n">
        <f aca="false">K143-K152-K184-K186+K188</f>
        <v>4305.01111111111</v>
      </c>
      <c r="L190" s="597" t="n">
        <f aca="false">L143-L152-L184-L186+L188</f>
        <v>4305.01111111111</v>
      </c>
      <c r="M190" s="597" t="n">
        <f aca="false">M143-M152-M184-M186+M188</f>
        <v>4305.01111111111</v>
      </c>
      <c r="N190" s="597" t="n">
        <f aca="false">N143-N152-N184-N186+N188</f>
        <v>4305.01111111111</v>
      </c>
      <c r="O190" s="597" t="n">
        <f aca="false">O143-O152-O184-O186+O188</f>
        <v>4305.01111111111</v>
      </c>
      <c r="P190" s="598" t="n">
        <f aca="false">P134-P152-P184-P186+P188</f>
        <v>225</v>
      </c>
      <c r="Q190" s="599" t="n">
        <f aca="false">SUM(D190:P190)</f>
        <v>51885.1333333334</v>
      </c>
      <c r="R190" s="476"/>
      <c r="S190" s="600"/>
      <c r="T190" s="476"/>
      <c r="U190" s="476"/>
    </row>
    <row r="191" customFormat="false" ht="12.75" hidden="false" customHeight="false" outlineLevel="0" collapsed="false">
      <c r="B191" s="470" t="str">
        <f aca="false">B113</f>
        <v>Ingresos financieros</v>
      </c>
      <c r="C191" s="23"/>
      <c r="D191" s="43"/>
      <c r="E191" s="23"/>
      <c r="F191" s="23"/>
      <c r="G191" s="23"/>
      <c r="H191" s="23"/>
      <c r="I191" s="23"/>
      <c r="J191" s="23"/>
      <c r="K191" s="23"/>
      <c r="L191" s="23"/>
      <c r="M191" s="23"/>
      <c r="N191" s="23"/>
      <c r="O191" s="23"/>
      <c r="P191" s="313"/>
      <c r="Q191" s="650"/>
      <c r="S191" s="93"/>
    </row>
    <row r="192" customFormat="false" ht="12.75" hidden="false" customHeight="false" outlineLevel="0" collapsed="false">
      <c r="B192" s="474"/>
      <c r="C192" s="350" t="n">
        <f aca="false">C114</f>
        <v>0</v>
      </c>
      <c r="D192" s="562" t="n">
        <f aca="false">'Previsión de Gastos'!C53+'Previsión de Gastos'!C53*'Previsión de Gastos'!$P53</f>
        <v>0</v>
      </c>
      <c r="E192" s="563" t="n">
        <f aca="false">'Previsión de Gastos'!D53+'Previsión de Gastos'!D53*'Previsión de Gastos'!$P53</f>
        <v>0</v>
      </c>
      <c r="F192" s="563" t="n">
        <f aca="false">'Previsión de Gastos'!E53+'Previsión de Gastos'!E53*'Previsión de Gastos'!$P53</f>
        <v>0</v>
      </c>
      <c r="G192" s="563" t="n">
        <f aca="false">'Previsión de Gastos'!F53+'Previsión de Gastos'!F53*'Previsión de Gastos'!$P53</f>
        <v>0</v>
      </c>
      <c r="H192" s="563" t="n">
        <f aca="false">'Previsión de Gastos'!G53+'Previsión de Gastos'!G53*'Previsión de Gastos'!$P53</f>
        <v>0</v>
      </c>
      <c r="I192" s="563" t="n">
        <f aca="false">'Previsión de Gastos'!H53+'Previsión de Gastos'!H53*'Previsión de Gastos'!$P53</f>
        <v>0</v>
      </c>
      <c r="J192" s="563" t="n">
        <f aca="false">'Previsión de Gastos'!I53+'Previsión de Gastos'!I53*'Previsión de Gastos'!$P53</f>
        <v>0</v>
      </c>
      <c r="K192" s="563" t="n">
        <f aca="false">'Previsión de Gastos'!J53+'Previsión de Gastos'!J53*'Previsión de Gastos'!$P53</f>
        <v>0</v>
      </c>
      <c r="L192" s="563" t="n">
        <f aca="false">'Previsión de Gastos'!K53+'Previsión de Gastos'!K53*'Previsión de Gastos'!$P53</f>
        <v>0</v>
      </c>
      <c r="M192" s="563" t="n">
        <f aca="false">'Previsión de Gastos'!L53+'Previsión de Gastos'!L53*'Previsión de Gastos'!$P53</f>
        <v>0</v>
      </c>
      <c r="N192" s="563" t="n">
        <f aca="false">'Previsión de Gastos'!M53+'Previsión de Gastos'!M53*'Previsión de Gastos'!$P53</f>
        <v>0</v>
      </c>
      <c r="O192" s="563" t="n">
        <f aca="false">'Previsión de Gastos'!N53+'Previsión de Gastos'!N53*'Previsión de Gastos'!$P53</f>
        <v>0</v>
      </c>
      <c r="P192" s="564"/>
      <c r="Q192" s="649" t="n">
        <f aca="false">SUM(D192:P192)</f>
        <v>0</v>
      </c>
      <c r="S192" s="93"/>
    </row>
    <row r="193" customFormat="false" ht="12.75" hidden="false" customHeight="false" outlineLevel="0" collapsed="false">
      <c r="B193" s="474"/>
      <c r="C193" s="358" t="n">
        <f aca="false">C115</f>
        <v>0</v>
      </c>
      <c r="D193" s="576" t="n">
        <f aca="false">'Previsión de Gastos'!C54+'Previsión de Gastos'!C54*'Previsión de Gastos'!$P54</f>
        <v>0</v>
      </c>
      <c r="E193" s="526" t="n">
        <f aca="false">'Previsión de Gastos'!D54+'Previsión de Gastos'!D54*'Previsión de Gastos'!$P54</f>
        <v>0</v>
      </c>
      <c r="F193" s="526" t="n">
        <f aca="false">'Previsión de Gastos'!E54+'Previsión de Gastos'!E54*'Previsión de Gastos'!$P54</f>
        <v>0</v>
      </c>
      <c r="G193" s="526" t="n">
        <f aca="false">'Previsión de Gastos'!F54+'Previsión de Gastos'!F54*'Previsión de Gastos'!$P54</f>
        <v>0</v>
      </c>
      <c r="H193" s="526" t="n">
        <f aca="false">'Previsión de Gastos'!G54+'Previsión de Gastos'!G54*'Previsión de Gastos'!$P54</f>
        <v>0</v>
      </c>
      <c r="I193" s="526" t="n">
        <f aca="false">'Previsión de Gastos'!H54+'Previsión de Gastos'!H54*'Previsión de Gastos'!$P54</f>
        <v>0</v>
      </c>
      <c r="J193" s="526" t="n">
        <f aca="false">'Previsión de Gastos'!I54+'Previsión de Gastos'!I54*'Previsión de Gastos'!$P54</f>
        <v>0</v>
      </c>
      <c r="K193" s="526" t="n">
        <f aca="false">'Previsión de Gastos'!J54+'Previsión de Gastos'!J54*'Previsión de Gastos'!$P54</f>
        <v>0</v>
      </c>
      <c r="L193" s="526" t="n">
        <f aca="false">'Previsión de Gastos'!K54+'Previsión de Gastos'!K54*'Previsión de Gastos'!$P54</f>
        <v>0</v>
      </c>
      <c r="M193" s="526" t="n">
        <f aca="false">'Previsión de Gastos'!L54+'Previsión de Gastos'!L54*'Previsión de Gastos'!$P54</f>
        <v>0</v>
      </c>
      <c r="N193" s="526" t="n">
        <f aca="false">'Previsión de Gastos'!M54+'Previsión de Gastos'!M54*'Previsión de Gastos'!$P54</f>
        <v>0</v>
      </c>
      <c r="O193" s="526" t="n">
        <f aca="false">'Previsión de Gastos'!N54+'Previsión de Gastos'!N54*'Previsión de Gastos'!$P54</f>
        <v>0</v>
      </c>
      <c r="P193" s="567"/>
      <c r="Q193" s="637" t="n">
        <f aca="false">SUM(D193:P193)</f>
        <v>0</v>
      </c>
      <c r="S193" s="93"/>
    </row>
    <row r="194" customFormat="false" ht="12.75" hidden="false" customHeight="false" outlineLevel="0" collapsed="false">
      <c r="B194" s="568" t="str">
        <f aca="false">B116</f>
        <v>Total Ingresos financieros</v>
      </c>
      <c r="C194" s="569"/>
      <c r="D194" s="579" t="n">
        <f aca="false">SUM(D192:D193)</f>
        <v>0</v>
      </c>
      <c r="E194" s="362" t="n">
        <f aca="false">SUM(E192:E193)</f>
        <v>0</v>
      </c>
      <c r="F194" s="362" t="n">
        <f aca="false">SUM(F192:F193)</f>
        <v>0</v>
      </c>
      <c r="G194" s="362" t="n">
        <f aca="false">SUM(G192:G193)</f>
        <v>0</v>
      </c>
      <c r="H194" s="362" t="n">
        <f aca="false">SUM(H192:H193)</f>
        <v>0</v>
      </c>
      <c r="I194" s="362" t="n">
        <f aca="false">SUM(I192:I193)</f>
        <v>0</v>
      </c>
      <c r="J194" s="362" t="n">
        <f aca="false">SUM(J192:J193)</f>
        <v>0</v>
      </c>
      <c r="K194" s="362" t="n">
        <f aca="false">SUM(K192:K193)</f>
        <v>0</v>
      </c>
      <c r="L194" s="362" t="n">
        <f aca="false">SUM(L192:L193)</f>
        <v>0</v>
      </c>
      <c r="M194" s="362" t="n">
        <f aca="false">SUM(M192:M193)</f>
        <v>0</v>
      </c>
      <c r="N194" s="362" t="n">
        <f aca="false">SUM(N192:N193)</f>
        <v>0</v>
      </c>
      <c r="O194" s="362" t="n">
        <f aca="false">SUM(O192:O193)</f>
        <v>0</v>
      </c>
      <c r="P194" s="362" t="n">
        <f aca="false">SUM(P192:P193)</f>
        <v>0</v>
      </c>
      <c r="Q194" s="652" t="n">
        <f aca="false">SUM(D194:P194)</f>
        <v>0</v>
      </c>
      <c r="S194" s="93"/>
    </row>
    <row r="195" customFormat="false" ht="12.75" hidden="false" customHeight="false" outlineLevel="0" collapsed="false">
      <c r="B195" s="470" t="str">
        <f aca="false">B117</f>
        <v>Gastos financieros:</v>
      </c>
      <c r="C195" s="23"/>
      <c r="D195" s="561"/>
      <c r="E195" s="476"/>
      <c r="F195" s="476"/>
      <c r="G195" s="476"/>
      <c r="H195" s="476"/>
      <c r="I195" s="476"/>
      <c r="J195" s="476"/>
      <c r="K195" s="476"/>
      <c r="L195" s="476"/>
      <c r="M195" s="476"/>
      <c r="N195" s="476"/>
      <c r="O195" s="476"/>
      <c r="P195" s="535"/>
      <c r="Q195" s="618"/>
      <c r="R195" s="476"/>
      <c r="S195" s="476"/>
      <c r="T195" s="476"/>
      <c r="U195" s="476"/>
    </row>
    <row r="196" customFormat="false" ht="12.75" hidden="false" customHeight="false" outlineLevel="0" collapsed="false">
      <c r="B196" s="474"/>
      <c r="C196" s="350" t="str">
        <f aca="false">C118</f>
        <v>Gastos amortización préstamos Largo Plazo</v>
      </c>
      <c r="D196" s="586" t="n">
        <f aca="true">OFFSET('Préstamos LP'!$E$47,'Datos generales'!D1,0,1,1)</f>
        <v>0</v>
      </c>
      <c r="E196" s="587" t="n">
        <f aca="true">OFFSET('Préstamos LP'!$E$47,'Datos generales'!E1,0,1,1)</f>
        <v>0</v>
      </c>
      <c r="F196" s="587" t="n">
        <f aca="true">OFFSET('Préstamos LP'!$E$47,'Datos generales'!F1,0,1,1)</f>
        <v>0</v>
      </c>
      <c r="G196" s="587" t="n">
        <f aca="true">OFFSET('Préstamos LP'!$E$47,'Datos generales'!G1,0,1,1)</f>
        <v>0</v>
      </c>
      <c r="H196" s="587" t="n">
        <f aca="true">OFFSET('Préstamos LP'!$E$47,'Datos generales'!H1,0,1,1)</f>
        <v>0</v>
      </c>
      <c r="I196" s="587" t="n">
        <f aca="true">OFFSET('Préstamos LP'!$E$47,'Datos generales'!I1,0,1,1)</f>
        <v>0</v>
      </c>
      <c r="J196" s="587" t="n">
        <f aca="true">OFFSET('Préstamos LP'!$E$47,'Datos generales'!J1,0,1,1)</f>
        <v>0</v>
      </c>
      <c r="K196" s="587" t="n">
        <f aca="true">OFFSET('Préstamos LP'!$E$47,'Datos generales'!K1,0,1,1)</f>
        <v>0</v>
      </c>
      <c r="L196" s="587" t="n">
        <f aca="true">OFFSET('Préstamos LP'!$E$47,'Datos generales'!L1,0,1,1)</f>
        <v>0</v>
      </c>
      <c r="M196" s="587" t="n">
        <f aca="true">OFFSET('Préstamos LP'!$E$47,'Datos generales'!M1,0,1,1)</f>
        <v>0</v>
      </c>
      <c r="N196" s="587" t="n">
        <f aca="true">OFFSET('Préstamos LP'!$E$47,'Datos generales'!N1,0,1,1)</f>
        <v>0</v>
      </c>
      <c r="O196" s="587" t="n">
        <f aca="true">OFFSET('Préstamos LP'!$E$47,'Datos generales'!O1,0,1,1)</f>
        <v>0</v>
      </c>
      <c r="P196" s="588"/>
      <c r="Q196" s="640" t="n">
        <f aca="false">SUM(D196:P196)</f>
        <v>0</v>
      </c>
      <c r="R196" s="476"/>
      <c r="S196" s="476"/>
      <c r="T196" s="476"/>
      <c r="U196" s="476"/>
    </row>
    <row r="197" customFormat="false" ht="12.75" hidden="false" customHeight="false" outlineLevel="0" collapsed="false">
      <c r="B197" s="474"/>
      <c r="C197" s="350" t="s">
        <v>435</v>
      </c>
      <c r="D197" s="587" t="n">
        <f aca="true">OFFSET('Préstamos LP'!$D$47,'Datos generales'!D1,0,1,1)</f>
        <v>0</v>
      </c>
      <c r="E197" s="587" t="n">
        <f aca="true">OFFSET('Préstamos LP'!$D$47,'Datos generales'!E1,0,1,1)</f>
        <v>0</v>
      </c>
      <c r="F197" s="587" t="n">
        <f aca="true">OFFSET('Préstamos LP'!$D$47,'Datos generales'!F1,0,1,1)</f>
        <v>0</v>
      </c>
      <c r="G197" s="587" t="n">
        <f aca="true">OFFSET('Préstamos LP'!$D$47,'Datos generales'!G1,0,1,1)</f>
        <v>0</v>
      </c>
      <c r="H197" s="587" t="n">
        <f aca="true">OFFSET('Préstamos LP'!$D$47,'Datos generales'!H1,0,1,1)</f>
        <v>0</v>
      </c>
      <c r="I197" s="587" t="n">
        <f aca="true">OFFSET('Préstamos LP'!$D$47,'Datos generales'!I1,0,1,1)</f>
        <v>0</v>
      </c>
      <c r="J197" s="587" t="n">
        <f aca="true">OFFSET('Préstamos LP'!$D$47,'Datos generales'!J1,0,1,1)</f>
        <v>0</v>
      </c>
      <c r="K197" s="587" t="n">
        <f aca="true">OFFSET('Préstamos LP'!$D$47,'Datos generales'!K1,0,1,1)</f>
        <v>0</v>
      </c>
      <c r="L197" s="587" t="n">
        <f aca="true">OFFSET('Préstamos LP'!$D$47,'Datos generales'!L1,0,1,1)</f>
        <v>0</v>
      </c>
      <c r="M197" s="587" t="n">
        <f aca="true">OFFSET('Préstamos LP'!$D$47,'Datos generales'!M1,0,1,1)</f>
        <v>0</v>
      </c>
      <c r="N197" s="587" t="n">
        <f aca="true">OFFSET('Préstamos LP'!$D$47,'Datos generales'!N1,0,1,1)</f>
        <v>0</v>
      </c>
      <c r="O197" s="587" t="n">
        <f aca="true">OFFSET('Préstamos LP'!$D$47,'Datos generales'!O1,0,1,1)</f>
        <v>0</v>
      </c>
      <c r="P197" s="588"/>
      <c r="Q197" s="637" t="n">
        <f aca="false">SUM(D197:P197)</f>
        <v>0</v>
      </c>
      <c r="R197" s="476"/>
      <c r="S197" s="93"/>
      <c r="T197" s="476"/>
      <c r="U197" s="476"/>
    </row>
    <row r="198" customFormat="false" ht="12.75" hidden="false" customHeight="false" outlineLevel="0" collapsed="false">
      <c r="B198" s="474"/>
      <c r="C198" s="358" t="str">
        <f aca="false">C120</f>
        <v>Gastos amortización préstamos Corto Plazo</v>
      </c>
      <c r="D198" s="614" t="n">
        <f aca="true">OFFSET('Préstamos CP'!$D$36,'Datos generales'!D1,0,1,1)</f>
        <v>0</v>
      </c>
      <c r="E198" s="577" t="n">
        <f aca="true">OFFSET('Préstamos CP'!$D$36,'Datos generales'!E1,0,1,1)</f>
        <v>0</v>
      </c>
      <c r="F198" s="577" t="n">
        <f aca="true">OFFSET('Préstamos CP'!$D$36,'Datos generales'!F1,0,1,1)</f>
        <v>0</v>
      </c>
      <c r="G198" s="577" t="n">
        <f aca="true">OFFSET('Préstamos CP'!$D$36,'Datos generales'!G1,0,1,1)</f>
        <v>0</v>
      </c>
      <c r="H198" s="577" t="n">
        <f aca="true">OFFSET('Préstamos CP'!$D$36,'Datos generales'!H1,0,1,1)</f>
        <v>0</v>
      </c>
      <c r="I198" s="577" t="n">
        <f aca="true">OFFSET('Préstamos CP'!$D$36,'Datos generales'!I1,0,1,1)</f>
        <v>0</v>
      </c>
      <c r="J198" s="577" t="n">
        <f aca="true">OFFSET('Préstamos CP'!$D$36,'Datos generales'!J1,0,1,1)</f>
        <v>0</v>
      </c>
      <c r="K198" s="577" t="n">
        <f aca="true">OFFSET('Préstamos CP'!$D$36,'Datos generales'!K1,0,1,1)</f>
        <v>0</v>
      </c>
      <c r="L198" s="577" t="n">
        <f aca="true">OFFSET('Préstamos CP'!$D$36,'Datos generales'!L1,0,1,1)</f>
        <v>0</v>
      </c>
      <c r="M198" s="577" t="n">
        <f aca="true">OFFSET('Préstamos CP'!$D$36,'Datos generales'!M1,0,1,1)</f>
        <v>0</v>
      </c>
      <c r="N198" s="577" t="n">
        <f aca="true">OFFSET('Préstamos CP'!$D$36,'Datos generales'!N1,0,1,1)</f>
        <v>0</v>
      </c>
      <c r="O198" s="577" t="n">
        <f aca="true">OFFSET('Préstamos CP'!$D$36,'Datos generales'!O1,0,1,1)</f>
        <v>0</v>
      </c>
      <c r="P198" s="567"/>
      <c r="Q198" s="637" t="n">
        <f aca="false">SUM(D198:P198)</f>
        <v>0</v>
      </c>
      <c r="S198" s="93"/>
    </row>
    <row r="199" customFormat="false" ht="12.75" hidden="false" customHeight="false" outlineLevel="0" collapsed="false">
      <c r="B199" s="474"/>
      <c r="C199" s="358" t="str">
        <f aca="false">C121</f>
        <v>Arrendamientos Financieros</v>
      </c>
      <c r="D199" s="576" t="n">
        <f aca="true">OFFSET('Préstamos LP'!$V$47,'Datos generales'!D1,0,1,1)</f>
        <v>0</v>
      </c>
      <c r="E199" s="526" t="n">
        <f aca="true">OFFSET('Préstamos LP'!$V$47,'Datos generales'!E1,0,1,1)</f>
        <v>0</v>
      </c>
      <c r="F199" s="526" t="n">
        <f aca="true">OFFSET('Préstamos LP'!$V$47,'Datos generales'!F1,0,1,1)</f>
        <v>0</v>
      </c>
      <c r="G199" s="526" t="n">
        <f aca="true">OFFSET('Préstamos LP'!$V$47,'Datos generales'!G1,0,1,1)</f>
        <v>0</v>
      </c>
      <c r="H199" s="526" t="n">
        <f aca="true">OFFSET('Préstamos LP'!$V$47,'Datos generales'!H1,0,1,1)</f>
        <v>0</v>
      </c>
      <c r="I199" s="526" t="n">
        <f aca="true">OFFSET('Préstamos LP'!$V$47,'Datos generales'!I1,0,1,1)</f>
        <v>0</v>
      </c>
      <c r="J199" s="526" t="n">
        <f aca="true">OFFSET('Préstamos LP'!$V$47,'Datos generales'!J1,0,1,1)</f>
        <v>0</v>
      </c>
      <c r="K199" s="526" t="n">
        <f aca="true">OFFSET('Préstamos LP'!$V$47,'Datos generales'!K1,0,1,1)</f>
        <v>0</v>
      </c>
      <c r="L199" s="526" t="n">
        <f aca="true">OFFSET('Préstamos LP'!$V$47,'Datos generales'!L1,0,1,1)</f>
        <v>0</v>
      </c>
      <c r="M199" s="526" t="n">
        <f aca="true">OFFSET('Préstamos LP'!$V$47,'Datos generales'!M1,0,1,1)</f>
        <v>0</v>
      </c>
      <c r="N199" s="526" t="n">
        <f aca="true">OFFSET('Préstamos LP'!$V$47,'Datos generales'!N1,0,1,1)</f>
        <v>0</v>
      </c>
      <c r="O199" s="526" t="n">
        <f aca="true">OFFSET('Préstamos LP'!$V$47,'Datos generales'!O1,0,1,1)</f>
        <v>0</v>
      </c>
      <c r="P199" s="567"/>
      <c r="Q199" s="637" t="n">
        <f aca="false">SUM(D199:P199)</f>
        <v>0</v>
      </c>
      <c r="S199" s="93"/>
    </row>
    <row r="200" customFormat="false" ht="12.75" hidden="false" customHeight="false" outlineLevel="0" collapsed="false">
      <c r="B200" s="474"/>
      <c r="C200" s="358" t="n">
        <f aca="false">C122</f>
        <v>0</v>
      </c>
      <c r="D200" s="576" t="n">
        <f aca="false">'Previsión de Gastos'!C29+'Previsión de Gastos'!C29*'Previsión de Gastos'!$P29</f>
        <v>0</v>
      </c>
      <c r="E200" s="526" t="n">
        <f aca="false">'Previsión de Gastos'!D29+'Previsión de Gastos'!D29*'Previsión de Gastos'!$P29</f>
        <v>0</v>
      </c>
      <c r="F200" s="526" t="n">
        <f aca="false">'Previsión de Gastos'!E29+'Previsión de Gastos'!E29*'Previsión de Gastos'!$P29</f>
        <v>0</v>
      </c>
      <c r="G200" s="526" t="n">
        <f aca="false">'Previsión de Gastos'!F29+'Previsión de Gastos'!F29*'Previsión de Gastos'!$P29</f>
        <v>0</v>
      </c>
      <c r="H200" s="526" t="n">
        <f aca="false">'Previsión de Gastos'!G29+'Previsión de Gastos'!G29*'Previsión de Gastos'!$P29</f>
        <v>0</v>
      </c>
      <c r="I200" s="526" t="n">
        <f aca="false">'Previsión de Gastos'!H29+'Previsión de Gastos'!H29*'Previsión de Gastos'!$P29</f>
        <v>0</v>
      </c>
      <c r="J200" s="526" t="n">
        <f aca="false">'Previsión de Gastos'!I29+'Previsión de Gastos'!I29*'Previsión de Gastos'!$P29</f>
        <v>0</v>
      </c>
      <c r="K200" s="526" t="n">
        <f aca="false">'Previsión de Gastos'!J29+'Previsión de Gastos'!J29*'Previsión de Gastos'!$P29</f>
        <v>0</v>
      </c>
      <c r="L200" s="526" t="n">
        <f aca="false">'Previsión de Gastos'!K29+'Previsión de Gastos'!K29*'Previsión de Gastos'!$P29</f>
        <v>0</v>
      </c>
      <c r="M200" s="526" t="n">
        <f aca="false">'Previsión de Gastos'!L29+'Previsión de Gastos'!L29*'Previsión de Gastos'!$P29</f>
        <v>0</v>
      </c>
      <c r="N200" s="526" t="n">
        <f aca="false">'Previsión de Gastos'!M29+'Previsión de Gastos'!M29*'Previsión de Gastos'!$P29</f>
        <v>0</v>
      </c>
      <c r="O200" s="526" t="n">
        <f aca="false">'Previsión de Gastos'!N29+'Previsión de Gastos'!N29*'Previsión de Gastos'!$P29</f>
        <v>0</v>
      </c>
      <c r="P200" s="567"/>
      <c r="Q200" s="654" t="n">
        <f aca="false">SUM(D200:P200)</f>
        <v>0</v>
      </c>
      <c r="S200" s="93"/>
    </row>
    <row r="201" customFormat="false" ht="12.75" hidden="false" customHeight="false" outlineLevel="0" collapsed="false">
      <c r="B201" s="568" t="str">
        <f aca="false">B123</f>
        <v>Total Gastos financieros</v>
      </c>
      <c r="C201" s="569"/>
      <c r="D201" s="590" t="n">
        <f aca="false">SUM(D196:D200)</f>
        <v>0</v>
      </c>
      <c r="E201" s="591" t="n">
        <f aca="false">SUM(E196:E200)</f>
        <v>0</v>
      </c>
      <c r="F201" s="591" t="n">
        <f aca="false">SUM(F196:F200)</f>
        <v>0</v>
      </c>
      <c r="G201" s="591" t="n">
        <f aca="false">SUM(G196:G200)</f>
        <v>0</v>
      </c>
      <c r="H201" s="591" t="n">
        <f aca="false">SUM(H196:H200)</f>
        <v>0</v>
      </c>
      <c r="I201" s="591" t="n">
        <f aca="false">SUM(I196:I200)</f>
        <v>0</v>
      </c>
      <c r="J201" s="591" t="n">
        <f aca="false">SUM(J196:J200)</f>
        <v>0</v>
      </c>
      <c r="K201" s="591" t="n">
        <f aca="false">SUM(K196:K200)</f>
        <v>0</v>
      </c>
      <c r="L201" s="591" t="n">
        <f aca="false">SUM(L196:L200)</f>
        <v>0</v>
      </c>
      <c r="M201" s="591" t="n">
        <f aca="false">SUM(M196:M200)</f>
        <v>0</v>
      </c>
      <c r="N201" s="591" t="n">
        <f aca="false">SUM(N196:N200)</f>
        <v>0</v>
      </c>
      <c r="O201" s="591" t="n">
        <f aca="false">SUM(O196:O200)</f>
        <v>0</v>
      </c>
      <c r="P201" s="592" t="n">
        <f aca="false">SUM(P196:P200)</f>
        <v>0</v>
      </c>
      <c r="Q201" s="655" t="n">
        <f aca="false">SUM(D201:P201)</f>
        <v>0</v>
      </c>
      <c r="R201" s="476"/>
      <c r="S201" s="476"/>
      <c r="T201" s="476"/>
      <c r="U201" s="476"/>
    </row>
    <row r="202" customFormat="false" ht="12.75" hidden="false" customHeight="false" outlineLevel="0" collapsed="false">
      <c r="B202" s="470"/>
      <c r="C202" s="23"/>
      <c r="D202" s="489"/>
      <c r="E202" s="453"/>
      <c r="F202" s="453"/>
      <c r="G202" s="453"/>
      <c r="H202" s="453"/>
      <c r="I202" s="453"/>
      <c r="J202" s="453"/>
      <c r="K202" s="453"/>
      <c r="L202" s="453"/>
      <c r="M202" s="453"/>
      <c r="N202" s="453"/>
      <c r="O202" s="453"/>
      <c r="P202" s="617"/>
      <c r="Q202" s="618"/>
      <c r="R202" s="476"/>
      <c r="S202" s="476"/>
      <c r="T202" s="476"/>
    </row>
    <row r="203" customFormat="false" ht="14.25" hidden="false" customHeight="false" outlineLevel="0" collapsed="false">
      <c r="B203" s="554" t="str">
        <f aca="false">B125</f>
        <v>RESULTADO FINANCIERO</v>
      </c>
      <c r="C203" s="619"/>
      <c r="D203" s="596" t="n">
        <f aca="false">+D194-D201</f>
        <v>0</v>
      </c>
      <c r="E203" s="597" t="n">
        <f aca="false">+E194-E201</f>
        <v>0</v>
      </c>
      <c r="F203" s="597" t="n">
        <f aca="false">+F194-F201</f>
        <v>0</v>
      </c>
      <c r="G203" s="597" t="n">
        <f aca="false">+G194-G201</f>
        <v>0</v>
      </c>
      <c r="H203" s="597" t="n">
        <f aca="false">+H194-H201</f>
        <v>0</v>
      </c>
      <c r="I203" s="597" t="n">
        <f aca="false">+I194-I201</f>
        <v>0</v>
      </c>
      <c r="J203" s="597" t="n">
        <f aca="false">+J194-J201</f>
        <v>0</v>
      </c>
      <c r="K203" s="597" t="n">
        <f aca="false">+K194-K201</f>
        <v>0</v>
      </c>
      <c r="L203" s="597" t="n">
        <f aca="false">+L194-L201</f>
        <v>0</v>
      </c>
      <c r="M203" s="597" t="n">
        <f aca="false">+M194-M201</f>
        <v>0</v>
      </c>
      <c r="N203" s="597" t="n">
        <f aca="false">+N194-N201</f>
        <v>0</v>
      </c>
      <c r="O203" s="597" t="n">
        <f aca="false">+O194-O201</f>
        <v>0</v>
      </c>
      <c r="P203" s="598" t="n">
        <f aca="false">+P194-P201</f>
        <v>0</v>
      </c>
      <c r="Q203" s="648" t="n">
        <f aca="false">SUM(D203:P203)</f>
        <v>0</v>
      </c>
      <c r="R203" s="476"/>
      <c r="S203" s="476"/>
      <c r="T203" s="476"/>
      <c r="U203" s="476"/>
    </row>
    <row r="204" customFormat="false" ht="14.25" hidden="false" customHeight="false" outlineLevel="0" collapsed="false">
      <c r="B204" s="460"/>
      <c r="C204" s="23"/>
      <c r="D204" s="489"/>
      <c r="E204" s="453"/>
      <c r="F204" s="453"/>
      <c r="G204" s="453"/>
      <c r="H204" s="453"/>
      <c r="I204" s="453"/>
      <c r="J204" s="453"/>
      <c r="K204" s="453"/>
      <c r="L204" s="453"/>
      <c r="M204" s="453"/>
      <c r="N204" s="453"/>
      <c r="O204" s="453"/>
      <c r="P204" s="535"/>
      <c r="Q204" s="618"/>
      <c r="R204" s="476"/>
      <c r="S204" s="476"/>
      <c r="T204" s="476"/>
    </row>
    <row r="205" customFormat="false" ht="15" hidden="false" customHeight="false" outlineLevel="0" collapsed="false">
      <c r="B205" s="620" t="str">
        <f aca="false">B127</f>
        <v>RESULTADO ANTES DE IMPUESTOS</v>
      </c>
      <c r="C205" s="621"/>
      <c r="D205" s="622" t="n">
        <f aca="false">+D190+D203</f>
        <v>4305.01111111111</v>
      </c>
      <c r="E205" s="623" t="n">
        <f aca="false">+E190+E203</f>
        <v>4305.01111111111</v>
      </c>
      <c r="F205" s="623" t="n">
        <f aca="false">+F190+F203</f>
        <v>4305.01111111111</v>
      </c>
      <c r="G205" s="623" t="n">
        <f aca="false">+G190+G203</f>
        <v>4305.01111111111</v>
      </c>
      <c r="H205" s="623" t="n">
        <f aca="false">+H190+H203</f>
        <v>4305.01111111111</v>
      </c>
      <c r="I205" s="623" t="n">
        <f aca="false">+I190+I203</f>
        <v>4305.01111111111</v>
      </c>
      <c r="J205" s="623" t="n">
        <f aca="false">+J190+J203</f>
        <v>4305.01111111111</v>
      </c>
      <c r="K205" s="623" t="n">
        <f aca="false">+K190+K203</f>
        <v>4305.01111111111</v>
      </c>
      <c r="L205" s="623" t="n">
        <f aca="false">+L190+L203</f>
        <v>4305.01111111111</v>
      </c>
      <c r="M205" s="624" t="n">
        <f aca="false">+M190+M203</f>
        <v>4305.01111111111</v>
      </c>
      <c r="N205" s="623" t="n">
        <f aca="false">+N190+N203</f>
        <v>4305.01111111111</v>
      </c>
      <c r="O205" s="623" t="n">
        <f aca="false">+O190+O203</f>
        <v>4305.01111111111</v>
      </c>
      <c r="P205" s="625" t="n">
        <f aca="false">+P190+P203</f>
        <v>225</v>
      </c>
      <c r="Q205" s="626" t="n">
        <f aca="false">SUM(D205:P205)</f>
        <v>51885.1333333334</v>
      </c>
      <c r="R205" s="476"/>
      <c r="S205" s="546"/>
      <c r="T205" s="476"/>
      <c r="U205" s="476"/>
    </row>
    <row r="206" customFormat="false" ht="13.5" hidden="false" customHeight="false" outlineLevel="0" collapsed="false">
      <c r="C206" s="245" t="str">
        <f aca="false">IF('Datos generales'!$D$22&lt;=0, "(*)   En empresas que no repercuten IVA. El importe de Compras aparece incrementado en este impuesto ","")</f>
        <v/>
      </c>
      <c r="D206" s="533"/>
      <c r="E206" s="534"/>
      <c r="F206" s="534"/>
      <c r="G206" s="534"/>
      <c r="H206" s="534"/>
      <c r="I206" s="534"/>
      <c r="J206" s="534"/>
      <c r="K206" s="534"/>
      <c r="L206" s="534"/>
      <c r="M206" s="534"/>
      <c r="N206" s="534"/>
      <c r="O206" s="534"/>
      <c r="P206" s="476"/>
      <c r="Q206" s="453"/>
      <c r="R206" s="476"/>
      <c r="S206" s="476"/>
      <c r="T206" s="476"/>
      <c r="U206" s="476"/>
    </row>
    <row r="207" customFormat="false" ht="13.5" hidden="false" customHeight="false" outlineLevel="0" collapsed="false">
      <c r="C207" s="656"/>
      <c r="D207" s="561"/>
      <c r="E207" s="476"/>
      <c r="F207" s="476"/>
      <c r="G207" s="476"/>
      <c r="H207" s="476"/>
      <c r="I207" s="476"/>
      <c r="J207" s="476"/>
      <c r="K207" s="476"/>
      <c r="L207" s="476"/>
      <c r="M207" s="476"/>
      <c r="N207" s="476"/>
      <c r="O207" s="476"/>
      <c r="P207" s="476"/>
      <c r="Q207" s="476"/>
      <c r="R207" s="476"/>
      <c r="S207" s="476"/>
    </row>
    <row r="208" customFormat="false" ht="12.75" hidden="false" customHeight="false" outlineLevel="0" collapsed="false">
      <c r="D208" s="561"/>
      <c r="E208" s="476"/>
      <c r="F208" s="476"/>
      <c r="G208" s="476"/>
      <c r="H208" s="476"/>
      <c r="I208" s="476"/>
      <c r="J208" s="476"/>
      <c r="K208" s="476"/>
      <c r="L208" s="476"/>
      <c r="M208" s="476"/>
      <c r="N208" s="476"/>
      <c r="O208" s="476"/>
      <c r="P208" s="476"/>
      <c r="Q208" s="476"/>
      <c r="R208" s="476"/>
    </row>
    <row r="209" customFormat="false" ht="15" hidden="false" customHeight="false" outlineLevel="0" collapsed="false">
      <c r="B209" s="425"/>
      <c r="C209" s="51" t="s">
        <v>437</v>
      </c>
      <c r="D209" s="628"/>
      <c r="E209" s="629"/>
      <c r="F209" s="476"/>
      <c r="G209" s="629"/>
      <c r="H209" s="629"/>
      <c r="I209" s="476"/>
      <c r="J209" s="462"/>
      <c r="K209" s="629"/>
      <c r="L209" s="629"/>
      <c r="M209" s="629"/>
      <c r="N209" s="629"/>
      <c r="O209" s="629"/>
      <c r="P209" s="629"/>
      <c r="Q209" s="629"/>
      <c r="R209" s="476"/>
      <c r="S209" s="476"/>
      <c r="T209" s="476"/>
      <c r="U209" s="476"/>
    </row>
    <row r="210" customFormat="false" ht="21" hidden="false" customHeight="false" outlineLevel="0" collapsed="false">
      <c r="B210" s="429" t="str">
        <f aca="false">B13</f>
        <v>Conceptos</v>
      </c>
      <c r="C210" s="429"/>
      <c r="D210" s="630" t="s">
        <v>303</v>
      </c>
      <c r="E210" s="631" t="s">
        <v>304</v>
      </c>
      <c r="F210" s="631" t="s">
        <v>305</v>
      </c>
      <c r="G210" s="631" t="s">
        <v>127</v>
      </c>
      <c r="H210" s="631" t="s">
        <v>128</v>
      </c>
      <c r="I210" s="631" t="s">
        <v>129</v>
      </c>
      <c r="J210" s="631" t="s">
        <v>130</v>
      </c>
      <c r="K210" s="631" t="s">
        <v>306</v>
      </c>
      <c r="L210" s="631" t="s">
        <v>307</v>
      </c>
      <c r="M210" s="631" t="s">
        <v>308</v>
      </c>
      <c r="N210" s="631" t="s">
        <v>309</v>
      </c>
      <c r="O210" s="631" t="s">
        <v>310</v>
      </c>
      <c r="P210" s="518" t="s">
        <v>420</v>
      </c>
      <c r="Q210" s="657" t="s">
        <v>136</v>
      </c>
      <c r="R210" s="476"/>
      <c r="S210" s="476"/>
      <c r="T210" s="476"/>
      <c r="U210" s="476"/>
    </row>
    <row r="211" customFormat="false" ht="12.75" hidden="false" customHeight="false" outlineLevel="0" collapsed="false">
      <c r="B211" s="520" t="str">
        <f aca="false">B53</f>
        <v>Importe neto de la cifra de negocios:</v>
      </c>
      <c r="C211" s="469"/>
      <c r="D211" s="521" t="n">
        <f aca="false">'Presupuesto de ventas'!D112</f>
        <v>27409</v>
      </c>
      <c r="E211" s="521" t="n">
        <f aca="false">'Presupuesto de ventas'!E112</f>
        <v>27409</v>
      </c>
      <c r="F211" s="521" t="n">
        <f aca="false">'Presupuesto de ventas'!F112</f>
        <v>27409</v>
      </c>
      <c r="G211" s="521" t="n">
        <f aca="false">'Presupuesto de ventas'!G112</f>
        <v>27409</v>
      </c>
      <c r="H211" s="521" t="n">
        <f aca="false">'Presupuesto de ventas'!H112</f>
        <v>27409</v>
      </c>
      <c r="I211" s="521" t="n">
        <f aca="false">'Presupuesto de ventas'!I112</f>
        <v>27409</v>
      </c>
      <c r="J211" s="521" t="n">
        <f aca="false">'Presupuesto de ventas'!J112</f>
        <v>27409</v>
      </c>
      <c r="K211" s="521" t="n">
        <f aca="false">'Presupuesto de ventas'!K112</f>
        <v>27409</v>
      </c>
      <c r="L211" s="521" t="n">
        <f aca="false">'Presupuesto de ventas'!L112</f>
        <v>27409</v>
      </c>
      <c r="M211" s="521" t="n">
        <f aca="false">'Presupuesto de ventas'!M112</f>
        <v>27409</v>
      </c>
      <c r="N211" s="521" t="n">
        <f aca="false">'Presupuesto de ventas'!N112</f>
        <v>27409</v>
      </c>
      <c r="O211" s="521" t="n">
        <f aca="false">'Presupuesto de ventas'!O112</f>
        <v>27409</v>
      </c>
      <c r="P211" s="522"/>
      <c r="Q211" s="634" t="n">
        <f aca="false">SUM(D211:P211)</f>
        <v>328908</v>
      </c>
      <c r="R211" s="476"/>
      <c r="S211" s="476"/>
      <c r="T211" s="476"/>
      <c r="U211" s="476"/>
    </row>
    <row r="212" customFormat="false" ht="27" hidden="false" customHeight="true" outlineLevel="0" collapsed="false">
      <c r="B212" s="606" t="str">
        <f aca="false">B54</f>
        <v>Variación de existencias de productos terminados y en curso de fabricación:</v>
      </c>
      <c r="C212" s="606"/>
      <c r="D212" s="526" t="n">
        <f aca="false">IF('Datos generales'!$D$22&lt;=0,'Margen B'!C261,'Margen B'!C260)</f>
        <v>0</v>
      </c>
      <c r="E212" s="526" t="n">
        <f aca="false">IF('Datos generales'!$D$22&lt;=0,'Margen B'!D261,'Margen B'!D260)</f>
        <v>0</v>
      </c>
      <c r="F212" s="526" t="n">
        <f aca="false">IF('Datos generales'!$D$22&lt;=0,'Margen B'!E261,'Margen B'!E260)</f>
        <v>0</v>
      </c>
      <c r="G212" s="526" t="n">
        <f aca="false">IF('Datos generales'!$D$22&lt;=0,'Margen B'!F261,'Margen B'!F260)</f>
        <v>0</v>
      </c>
      <c r="H212" s="526" t="n">
        <f aca="false">IF('Datos generales'!$D$22&lt;=0,'Margen B'!G261,'Margen B'!G260)</f>
        <v>0</v>
      </c>
      <c r="I212" s="526" t="n">
        <f aca="false">IF('Datos generales'!$D$22&lt;=0,'Margen B'!H261,'Margen B'!H260)</f>
        <v>0</v>
      </c>
      <c r="J212" s="526" t="n">
        <f aca="false">IF('Datos generales'!$D$22&lt;=0,'Margen B'!I261,'Margen B'!I260)</f>
        <v>0</v>
      </c>
      <c r="K212" s="526" t="n">
        <f aca="false">IF('Datos generales'!$D$22&lt;=0,'Margen B'!J261,'Margen B'!J260)</f>
        <v>0</v>
      </c>
      <c r="L212" s="526" t="n">
        <f aca="false">IF('Datos generales'!$D$22&lt;=0,'Margen B'!K261,'Margen B'!K260)</f>
        <v>0</v>
      </c>
      <c r="M212" s="526" t="n">
        <f aca="false">IF('Datos generales'!$D$22&lt;=0,'Margen B'!L261,'Margen B'!L260)</f>
        <v>0</v>
      </c>
      <c r="N212" s="526" t="n">
        <f aca="false">IF('Datos generales'!$D$22&lt;=0,'Margen B'!M261,'Margen B'!M260)</f>
        <v>0</v>
      </c>
      <c r="O212" s="526" t="n">
        <f aca="false">IF('Datos generales'!$D$22&lt;=0,'Margen B'!N261,'Margen B'!N260)</f>
        <v>0</v>
      </c>
      <c r="P212" s="635" t="n">
        <f aca="false">IF('Datos generales'!D22&lt;=0, 'Margen B'!P261-'Margen B'!P202-'Margen B'!O261, 'Margen B'!P260-'Margen B'!P201-'Margen B'!O260)</f>
        <v>0</v>
      </c>
      <c r="Q212" s="636" t="n">
        <f aca="false">SUM(D212:P212)</f>
        <v>0</v>
      </c>
      <c r="R212" s="476"/>
      <c r="S212" s="476"/>
      <c r="T212" s="476"/>
      <c r="U212" s="476"/>
    </row>
    <row r="213" customFormat="false" ht="14.25" hidden="false" customHeight="false" outlineLevel="0" collapsed="false">
      <c r="B213" s="520" t="str">
        <f aca="false">B55</f>
        <v>Trabajos realizados por la empresa para su activo:</v>
      </c>
      <c r="C213" s="528"/>
      <c r="D213" s="525"/>
      <c r="E213" s="525"/>
      <c r="F213" s="525"/>
      <c r="G213" s="525"/>
      <c r="H213" s="525"/>
      <c r="I213" s="525"/>
      <c r="J213" s="525"/>
      <c r="K213" s="525"/>
      <c r="L213" s="525"/>
      <c r="M213" s="525"/>
      <c r="N213" s="525"/>
      <c r="O213" s="525"/>
      <c r="P213" s="529"/>
      <c r="Q213" s="585"/>
      <c r="S213" s="93"/>
    </row>
    <row r="214" customFormat="false" ht="14.25" hidden="false" customHeight="false" outlineLevel="0" collapsed="false">
      <c r="B214" s="638" t="str">
        <f aca="false">B56</f>
        <v>Aprovisionamientos:</v>
      </c>
      <c r="C214" s="363"/>
      <c r="D214" s="558"/>
      <c r="E214" s="462"/>
      <c r="F214" s="462"/>
      <c r="G214" s="462"/>
      <c r="H214" s="462"/>
      <c r="I214" s="462"/>
      <c r="J214" s="462"/>
      <c r="K214" s="462"/>
      <c r="L214" s="462"/>
      <c r="M214" s="462"/>
      <c r="N214" s="462"/>
      <c r="O214" s="462"/>
      <c r="P214" s="559"/>
      <c r="Q214" s="618"/>
      <c r="R214" s="476"/>
      <c r="S214" s="476"/>
      <c r="T214" s="476"/>
      <c r="U214" s="476"/>
    </row>
    <row r="215" customFormat="false" ht="12.75" hidden="false" customHeight="false" outlineLevel="0" collapsed="false">
      <c r="B215" s="450"/>
      <c r="C215" s="0" t="s">
        <v>424</v>
      </c>
      <c r="D215" s="533" t="n">
        <f aca="false">'Margen B'!D220</f>
        <v>19951</v>
      </c>
      <c r="E215" s="534" t="n">
        <f aca="false">'Margen B'!E220</f>
        <v>19951</v>
      </c>
      <c r="F215" s="534" t="n">
        <f aca="false">'Margen B'!F220</f>
        <v>19951</v>
      </c>
      <c r="G215" s="534" t="n">
        <f aca="false">'Margen B'!G220</f>
        <v>19951</v>
      </c>
      <c r="H215" s="534" t="n">
        <f aca="false">'Margen B'!H220</f>
        <v>19951</v>
      </c>
      <c r="I215" s="534" t="n">
        <f aca="false">'Margen B'!I220</f>
        <v>19951</v>
      </c>
      <c r="J215" s="534" t="n">
        <f aca="false">'Margen B'!J220</f>
        <v>19951</v>
      </c>
      <c r="K215" s="534" t="n">
        <f aca="false">'Margen B'!K220</f>
        <v>19951</v>
      </c>
      <c r="L215" s="534" t="n">
        <f aca="false">'Margen B'!L220</f>
        <v>19951</v>
      </c>
      <c r="M215" s="534" t="n">
        <f aca="false">'Margen B'!M220</f>
        <v>19951</v>
      </c>
      <c r="N215" s="534" t="n">
        <f aca="false">'Margen B'!N220</f>
        <v>19951</v>
      </c>
      <c r="O215" s="534" t="n">
        <f aca="false">'Margen B'!O220</f>
        <v>19951</v>
      </c>
      <c r="P215" s="535"/>
      <c r="Q215" s="640" t="n">
        <f aca="false">SUM(D215:P215)</f>
        <v>239412</v>
      </c>
      <c r="R215" s="476"/>
      <c r="S215" s="476"/>
      <c r="T215" s="476"/>
      <c r="U215" s="476"/>
    </row>
    <row r="216" customFormat="false" ht="24" hidden="false" customHeight="false" outlineLevel="0" collapsed="false">
      <c r="B216" s="450"/>
      <c r="C216" s="537" t="s">
        <v>425</v>
      </c>
      <c r="D216" s="538" t="n">
        <f aca="false">'Margen B'!D234</f>
        <v>0</v>
      </c>
      <c r="E216" s="538" t="n">
        <f aca="false">'Margen B'!E234</f>
        <v>0</v>
      </c>
      <c r="F216" s="538" t="n">
        <f aca="false">'Margen B'!F234</f>
        <v>0</v>
      </c>
      <c r="G216" s="538" t="n">
        <f aca="false">'Margen B'!G234</f>
        <v>0</v>
      </c>
      <c r="H216" s="538" t="n">
        <f aca="false">'Margen B'!H234</f>
        <v>0</v>
      </c>
      <c r="I216" s="538" t="n">
        <f aca="false">'Margen B'!I234</f>
        <v>0</v>
      </c>
      <c r="J216" s="538" t="n">
        <f aca="false">'Margen B'!J234</f>
        <v>0</v>
      </c>
      <c r="K216" s="538" t="n">
        <f aca="false">'Margen B'!K234</f>
        <v>0</v>
      </c>
      <c r="L216" s="538" t="n">
        <f aca="false">'Margen B'!L234</f>
        <v>0</v>
      </c>
      <c r="M216" s="538" t="n">
        <f aca="false">'Margen B'!M234</f>
        <v>0</v>
      </c>
      <c r="N216" s="538" t="n">
        <f aca="false">'Margen B'!N234</f>
        <v>0</v>
      </c>
      <c r="O216" s="538" t="n">
        <f aca="false">'Margen B'!O234</f>
        <v>0</v>
      </c>
      <c r="P216" s="522"/>
      <c r="Q216" s="641" t="n">
        <f aca="false">SUM(D216:P216)</f>
        <v>0</v>
      </c>
      <c r="R216" s="476"/>
      <c r="S216" s="476"/>
      <c r="T216" s="476"/>
      <c r="U216" s="476"/>
    </row>
    <row r="217" customFormat="false" ht="24" hidden="false" customHeight="false" outlineLevel="0" collapsed="false">
      <c r="B217" s="658"/>
      <c r="C217" s="537" t="s">
        <v>143</v>
      </c>
      <c r="D217" s="565" t="n">
        <f aca="false">'Margen B'!D244</f>
        <v>1370.45</v>
      </c>
      <c r="E217" s="565" t="n">
        <f aca="false">'Margen B'!E244</f>
        <v>1370.45</v>
      </c>
      <c r="F217" s="565" t="n">
        <f aca="false">'Margen B'!F244</f>
        <v>1370.45</v>
      </c>
      <c r="G217" s="565" t="n">
        <f aca="false">'Margen B'!G244</f>
        <v>1370.45</v>
      </c>
      <c r="H217" s="565" t="n">
        <f aca="false">'Margen B'!H244</f>
        <v>1370.45</v>
      </c>
      <c r="I217" s="565" t="n">
        <f aca="false">'Margen B'!I244</f>
        <v>1370.45</v>
      </c>
      <c r="J217" s="565" t="n">
        <f aca="false">'Margen B'!J244</f>
        <v>1370.45</v>
      </c>
      <c r="K217" s="565" t="n">
        <f aca="false">'Margen B'!K244</f>
        <v>1370.45</v>
      </c>
      <c r="L217" s="565" t="n">
        <f aca="false">'Margen B'!L244</f>
        <v>1370.45</v>
      </c>
      <c r="M217" s="565" t="n">
        <f aca="false">'Margen B'!M244</f>
        <v>1370.45</v>
      </c>
      <c r="N217" s="565" t="n">
        <f aca="false">'Margen B'!N244</f>
        <v>1370.45</v>
      </c>
      <c r="O217" s="565" t="n">
        <f aca="false">'Margen B'!O244</f>
        <v>1370.45</v>
      </c>
      <c r="P217" s="587"/>
      <c r="Q217" s="449" t="n">
        <f aca="false">SUM(D217:P217)</f>
        <v>16445.4</v>
      </c>
      <c r="R217" s="476"/>
      <c r="S217" s="476"/>
      <c r="T217" s="476"/>
      <c r="U217" s="476"/>
    </row>
    <row r="218" customFormat="false" ht="14.25" hidden="false" customHeight="false" outlineLevel="0" collapsed="false">
      <c r="B218" s="554" t="str">
        <f aca="false">B60</f>
        <v>Total Aprovisionamientos</v>
      </c>
      <c r="C218" s="643"/>
      <c r="D218" s="596" t="n">
        <f aca="false">SUM(D215:D217)+D212</f>
        <v>21321.45</v>
      </c>
      <c r="E218" s="596" t="n">
        <f aca="false">SUM(E215:E217)+E212</f>
        <v>21321.45</v>
      </c>
      <c r="F218" s="596" t="n">
        <f aca="false">SUM(F215:F217)+F212</f>
        <v>21321.45</v>
      </c>
      <c r="G218" s="596" t="n">
        <f aca="false">SUM(G215:G217)+G212</f>
        <v>21321.45</v>
      </c>
      <c r="H218" s="596" t="n">
        <f aca="false">SUM(H215:H217)+H212</f>
        <v>21321.45</v>
      </c>
      <c r="I218" s="596" t="n">
        <f aca="false">SUM(I215:I217)+I212</f>
        <v>21321.45</v>
      </c>
      <c r="J218" s="596" t="n">
        <f aca="false">SUM(J215:J217)+J212</f>
        <v>21321.45</v>
      </c>
      <c r="K218" s="596" t="n">
        <f aca="false">SUM(K215:K217)+K212</f>
        <v>21321.45</v>
      </c>
      <c r="L218" s="596" t="n">
        <f aca="false">SUM(L215:L217)+L212</f>
        <v>21321.45</v>
      </c>
      <c r="M218" s="596" t="n">
        <f aca="false">SUM(M215:M217)+M212</f>
        <v>21321.45</v>
      </c>
      <c r="N218" s="596" t="n">
        <f aca="false">SUM(N215:N217)+N212</f>
        <v>21321.45</v>
      </c>
      <c r="O218" s="596" t="n">
        <f aca="false">SUM(O215:O217)+O212</f>
        <v>21321.45</v>
      </c>
      <c r="P218" s="598"/>
      <c r="Q218" s="599" t="n">
        <f aca="false">SUM(D218:P218)</f>
        <v>255857.4</v>
      </c>
      <c r="R218" s="476"/>
      <c r="S218" s="476"/>
      <c r="T218" s="476"/>
      <c r="U218" s="476"/>
    </row>
    <row r="219" customFormat="false" ht="12.75" hidden="false" customHeight="false" outlineLevel="0" collapsed="false">
      <c r="B219" s="547" t="str">
        <f aca="false">B61</f>
        <v>Otros ingresos de explotación</v>
      </c>
      <c r="C219" s="350"/>
      <c r="D219" s="550"/>
      <c r="E219" s="550"/>
      <c r="F219" s="550"/>
      <c r="G219" s="550"/>
      <c r="H219" s="550"/>
      <c r="I219" s="550"/>
      <c r="J219" s="550"/>
      <c r="K219" s="550"/>
      <c r="L219" s="550"/>
      <c r="M219" s="550"/>
      <c r="N219" s="550"/>
      <c r="O219" s="550"/>
      <c r="P219" s="313"/>
      <c r="Q219" s="644" t="n">
        <f aca="false">SUM(D219:P219)</f>
        <v>0</v>
      </c>
      <c r="S219" s="93"/>
    </row>
    <row r="220" customFormat="false" ht="13.5" hidden="false" customHeight="true" outlineLevel="0" collapsed="false">
      <c r="B220" s="470"/>
      <c r="C220" s="23"/>
      <c r="D220" s="645"/>
      <c r="E220" s="646"/>
      <c r="F220" s="646"/>
      <c r="G220" s="646"/>
      <c r="H220" s="646"/>
      <c r="I220" s="646"/>
      <c r="J220" s="646"/>
      <c r="K220" s="646"/>
      <c r="L220" s="646"/>
      <c r="M220" s="646"/>
      <c r="N220" s="646"/>
      <c r="O220" s="646"/>
      <c r="P220" s="531"/>
      <c r="Q220" s="647"/>
      <c r="R220" s="476"/>
      <c r="S220" s="546"/>
      <c r="T220" s="476"/>
    </row>
    <row r="221" customFormat="false" ht="14.25" hidden="false" customHeight="false" outlineLevel="0" collapsed="false">
      <c r="B221" s="554" t="str">
        <f aca="false">B63</f>
        <v>Margen Bruto s/Ventas</v>
      </c>
      <c r="C221" s="542"/>
      <c r="D221" s="596" t="n">
        <f aca="false">+D211+D212-D218+D219</f>
        <v>6087.55</v>
      </c>
      <c r="E221" s="597" t="n">
        <f aca="false">+E211+E212-E218+E219</f>
        <v>6087.55</v>
      </c>
      <c r="F221" s="597" t="n">
        <f aca="false">+F211+F212-F218+F219</f>
        <v>6087.55</v>
      </c>
      <c r="G221" s="597" t="n">
        <f aca="false">+G211+G212-G218+G219</f>
        <v>6087.55</v>
      </c>
      <c r="H221" s="597" t="n">
        <f aca="false">+H211+H212-H218+H219</f>
        <v>6087.55</v>
      </c>
      <c r="I221" s="597" t="n">
        <f aca="false">+I211+I212-I218+I219</f>
        <v>6087.55</v>
      </c>
      <c r="J221" s="597" t="n">
        <f aca="false">+J211+J212-J218+J219</f>
        <v>6087.55</v>
      </c>
      <c r="K221" s="597" t="n">
        <f aca="false">+K211+K212-K218+K219</f>
        <v>6087.55</v>
      </c>
      <c r="L221" s="597" t="n">
        <f aca="false">+L211+L212-L218+L219</f>
        <v>6087.55</v>
      </c>
      <c r="M221" s="597" t="n">
        <f aca="false">+M211+M212-M218+M219</f>
        <v>6087.55</v>
      </c>
      <c r="N221" s="597" t="n">
        <f aca="false">+N211+N212-N218+N219</f>
        <v>6087.55</v>
      </c>
      <c r="O221" s="597" t="n">
        <f aca="false">+O211+O212-O218+O219</f>
        <v>6087.55</v>
      </c>
      <c r="P221" s="597"/>
      <c r="Q221" s="648" t="n">
        <f aca="false">SUM(D221:P221)</f>
        <v>73050.6</v>
      </c>
      <c r="R221" s="476"/>
      <c r="S221" s="546"/>
      <c r="T221" s="476"/>
      <c r="U221" s="476"/>
    </row>
    <row r="222" customFormat="false" ht="5.25" hidden="false" customHeight="true" outlineLevel="0" collapsed="false">
      <c r="B222" s="460"/>
      <c r="C222" s="363"/>
      <c r="D222" s="558"/>
      <c r="E222" s="462"/>
      <c r="F222" s="462"/>
      <c r="G222" s="462"/>
      <c r="H222" s="462"/>
      <c r="I222" s="462"/>
      <c r="J222" s="462"/>
      <c r="K222" s="462"/>
      <c r="L222" s="462"/>
      <c r="M222" s="462"/>
      <c r="N222" s="462"/>
      <c r="O222" s="462"/>
      <c r="P222" s="559"/>
      <c r="Q222" s="618"/>
      <c r="R222" s="476"/>
      <c r="S222" s="546"/>
      <c r="T222" s="476"/>
    </row>
    <row r="223" customFormat="false" ht="12.75" hidden="false" customHeight="false" outlineLevel="0" collapsed="false">
      <c r="B223" s="470" t="str">
        <f aca="false">B65</f>
        <v>Gastos de personal:</v>
      </c>
      <c r="D223" s="561"/>
      <c r="E223" s="476"/>
      <c r="F223" s="476"/>
      <c r="G223" s="476"/>
      <c r="H223" s="476"/>
      <c r="I223" s="476"/>
      <c r="J223" s="476"/>
      <c r="K223" s="476"/>
      <c r="L223" s="476"/>
      <c r="M223" s="476"/>
      <c r="N223" s="476"/>
      <c r="O223" s="476"/>
      <c r="P223" s="535"/>
      <c r="Q223" s="618"/>
      <c r="R223" s="476"/>
      <c r="S223" s="476"/>
      <c r="T223" s="476"/>
    </row>
    <row r="224" customFormat="false" ht="12.75" hidden="false" customHeight="false" outlineLevel="0" collapsed="false">
      <c r="B224" s="474"/>
      <c r="C224" s="350" t="str">
        <f aca="false">C66</f>
        <v>Formación del personal</v>
      </c>
      <c r="D224" s="562" t="n">
        <f aca="false">D146+(D146*'Previsión de Gastos'!$Q13)</f>
        <v>0</v>
      </c>
      <c r="E224" s="563" t="n">
        <f aca="false">E146+(E146*'Previsión de Gastos'!$Q13)</f>
        <v>0</v>
      </c>
      <c r="F224" s="563" t="n">
        <f aca="false">F146+(F146*'Previsión de Gastos'!$Q13)</f>
        <v>0</v>
      </c>
      <c r="G224" s="563" t="n">
        <f aca="false">G146+(G146*'Previsión de Gastos'!$Q13)</f>
        <v>0</v>
      </c>
      <c r="H224" s="563" t="n">
        <f aca="false">H146+(H146*'Previsión de Gastos'!$Q13)</f>
        <v>0</v>
      </c>
      <c r="I224" s="563" t="n">
        <f aca="false">I146+(I146*'Previsión de Gastos'!$Q13)</f>
        <v>0</v>
      </c>
      <c r="J224" s="563" t="n">
        <f aca="false">J146+(J146*'Previsión de Gastos'!$Q13)</f>
        <v>0</v>
      </c>
      <c r="K224" s="563" t="n">
        <f aca="false">K146+(K146*'Previsión de Gastos'!$Q13)</f>
        <v>0</v>
      </c>
      <c r="L224" s="563" t="n">
        <f aca="false">L146+(L146*'Previsión de Gastos'!$Q13)</f>
        <v>0</v>
      </c>
      <c r="M224" s="563" t="n">
        <f aca="false">M146+(M146*'Previsión de Gastos'!$Q13)</f>
        <v>0</v>
      </c>
      <c r="N224" s="563" t="n">
        <f aca="false">N146+(N146*'Previsión de Gastos'!$Q13)</f>
        <v>0</v>
      </c>
      <c r="O224" s="563" t="n">
        <f aca="false">O146+(O146*'Previsión de Gastos'!$Q13)</f>
        <v>0</v>
      </c>
      <c r="P224" s="564"/>
      <c r="Q224" s="649" t="n">
        <f aca="false">SUM(D224:P224)</f>
        <v>0</v>
      </c>
      <c r="S224" s="93"/>
    </row>
    <row r="225" customFormat="false" ht="12.75" hidden="false" customHeight="false" outlineLevel="0" collapsed="false">
      <c r="B225" s="474"/>
      <c r="C225" s="350" t="str">
        <f aca="false">C67</f>
        <v>Promotor  (Sueldo + S.S.)</v>
      </c>
      <c r="D225" s="565" t="n">
        <f aca="false">IF('Previsión de Gastos'!$T$14&gt;'Datos generales'!E$1+24,0,'Previsión de Gastos'!C14+('Previsión de Gastos'!C14*'Previsión de Gastos'!$P14)+ 'Previsión de Gastos'!$Q14 *( 'Previsión de Gastos'!C14+('Previsión de Gastos'!C14*'Previsión de Gastos'!$P14)))</f>
        <v>0</v>
      </c>
      <c r="E225" s="565" t="n">
        <f aca="false">IF('Previsión de Gastos'!$T$14&gt;'Datos generales'!F$1+24,0,'Previsión de Gastos'!D14+('Previsión de Gastos'!D14*'Previsión de Gastos'!$P14)+ 'Previsión de Gastos'!$Q14 *( 'Previsión de Gastos'!D14+('Previsión de Gastos'!D14*'Previsión de Gastos'!$P14)))</f>
        <v>0</v>
      </c>
      <c r="F225" s="565" t="n">
        <f aca="false">IF('Previsión de Gastos'!$T$14&gt;'Datos generales'!G$1+24,0,'Previsión de Gastos'!E14+('Previsión de Gastos'!E14*'Previsión de Gastos'!$P14)+ 'Previsión de Gastos'!$Q14 *( 'Previsión de Gastos'!E14+('Previsión de Gastos'!E14*'Previsión de Gastos'!$P14)))</f>
        <v>0</v>
      </c>
      <c r="G225" s="565" t="n">
        <f aca="false">IF('Previsión de Gastos'!$T$14&gt;'Datos generales'!H$1+24,0,'Previsión de Gastos'!F14+('Previsión de Gastos'!F14*'Previsión de Gastos'!$P14)+ 'Previsión de Gastos'!$Q14 *( 'Previsión de Gastos'!F14+('Previsión de Gastos'!F14*'Previsión de Gastos'!$P14)))</f>
        <v>0</v>
      </c>
      <c r="H225" s="565" t="n">
        <f aca="false">IF('Previsión de Gastos'!$T$14&gt;'Datos generales'!I$1+24,0,'Previsión de Gastos'!G14+('Previsión de Gastos'!G14*'Previsión de Gastos'!$P14)+ 'Previsión de Gastos'!$Q14 *( 'Previsión de Gastos'!G14+('Previsión de Gastos'!G14*'Previsión de Gastos'!$P14)))</f>
        <v>0</v>
      </c>
      <c r="I225" s="565" t="n">
        <f aca="false">IF('Previsión de Gastos'!$T$14&gt;'Datos generales'!J$1+24,0,'Previsión de Gastos'!H14+('Previsión de Gastos'!H14*'Previsión de Gastos'!$P14)+ 'Previsión de Gastos'!$Q14 *( 'Previsión de Gastos'!H14+('Previsión de Gastos'!H14*'Previsión de Gastos'!$P14)))</f>
        <v>0</v>
      </c>
      <c r="J225" s="565" t="n">
        <f aca="false">IF('Previsión de Gastos'!$T$14&gt;'Datos generales'!K$1+24,0,'Previsión de Gastos'!I14+('Previsión de Gastos'!I14*'Previsión de Gastos'!$P14)+ 'Previsión de Gastos'!$Q14 *( 'Previsión de Gastos'!I14+('Previsión de Gastos'!I14*'Previsión de Gastos'!$P14)))</f>
        <v>0</v>
      </c>
      <c r="K225" s="565" t="n">
        <f aca="false">IF('Previsión de Gastos'!$T$14&gt;'Datos generales'!L$1+24,0,'Previsión de Gastos'!J14+('Previsión de Gastos'!J14*'Previsión de Gastos'!$P14)+ 'Previsión de Gastos'!$Q14 *( 'Previsión de Gastos'!J14+('Previsión de Gastos'!J14*'Previsión de Gastos'!$P14)))</f>
        <v>0</v>
      </c>
      <c r="L225" s="565" t="n">
        <f aca="false">IF('Previsión de Gastos'!$T$14&gt;'Datos generales'!M$1+24,0,'Previsión de Gastos'!K14+('Previsión de Gastos'!K14*'Previsión de Gastos'!$P14)+ 'Previsión de Gastos'!$Q14 *( 'Previsión de Gastos'!K14+('Previsión de Gastos'!K14*'Previsión de Gastos'!$P14)))</f>
        <v>0</v>
      </c>
      <c r="M225" s="565" t="n">
        <f aca="false">IF('Previsión de Gastos'!$T$14&gt;'Datos generales'!N$1+24,0,'Previsión de Gastos'!L14+('Previsión de Gastos'!L14*'Previsión de Gastos'!$P14)+ 'Previsión de Gastos'!$Q14 *( 'Previsión de Gastos'!L14+('Previsión de Gastos'!L14*'Previsión de Gastos'!$P14)))</f>
        <v>0</v>
      </c>
      <c r="N225" s="565" t="n">
        <f aca="false">IF('Previsión de Gastos'!$T$14&gt;'Datos generales'!O$1+24,0,'Previsión de Gastos'!M14+('Previsión de Gastos'!M14*'Previsión de Gastos'!$P14)+ 'Previsión de Gastos'!$Q14 *( 'Previsión de Gastos'!M14+('Previsión de Gastos'!M14*'Previsión de Gastos'!$P14)))</f>
        <v>0</v>
      </c>
      <c r="O225" s="565" t="n">
        <f aca="false">IF('Previsión de Gastos'!$T$14&gt;'Datos generales'!P$1+24,0,'Previsión de Gastos'!N14+('Previsión de Gastos'!N14*'Previsión de Gastos'!$P14)+ 'Previsión de Gastos'!$Q14 *( 'Previsión de Gastos'!N14+('Previsión de Gastos'!N14*'Previsión de Gastos'!$P14)))</f>
        <v>0</v>
      </c>
      <c r="P225" s="522"/>
      <c r="Q225" s="636" t="n">
        <f aca="false">SUM(D225:P225)</f>
        <v>0</v>
      </c>
      <c r="R225" s="476"/>
      <c r="S225" s="476"/>
      <c r="T225" s="476"/>
      <c r="U225" s="476"/>
    </row>
    <row r="226" customFormat="false" ht="12.75" hidden="false" customHeight="false" outlineLevel="0" collapsed="false">
      <c r="B226" s="474"/>
      <c r="C226" s="350" t="str">
        <f aca="false">C68</f>
        <v>Asalariado (Sueldo + S.S.)</v>
      </c>
      <c r="D226" s="565" t="n">
        <f aca="false">IF('Previsión de Gastos'!$T$14&gt;'Datos generales'!E$1+24,0,'Previsión de Gastos'!C15+('Previsión de Gastos'!C15*'Previsión de Gastos'!$P15)+ 'Previsión de Gastos'!$Q15 *( 'Previsión de Gastos'!C15+('Previsión de Gastos'!C15*'Previsión de Gastos'!$P15)))</f>
        <v>0</v>
      </c>
      <c r="E226" s="565" t="n">
        <f aca="false">IF('Previsión de Gastos'!$T$14&gt;'Datos generales'!F$1+24,0,'Previsión de Gastos'!D15+('Previsión de Gastos'!D15*'Previsión de Gastos'!$P15)+ 'Previsión de Gastos'!$Q15 *( 'Previsión de Gastos'!D15+('Previsión de Gastos'!D15*'Previsión de Gastos'!$P15)))</f>
        <v>0</v>
      </c>
      <c r="F226" s="565" t="n">
        <f aca="false">IF('Previsión de Gastos'!$T$14&gt;'Datos generales'!G$1+24,0,'Previsión de Gastos'!E15+('Previsión de Gastos'!E15*'Previsión de Gastos'!$P15)+ 'Previsión de Gastos'!$Q15 *( 'Previsión de Gastos'!E15+('Previsión de Gastos'!E15*'Previsión de Gastos'!$P15)))</f>
        <v>0</v>
      </c>
      <c r="G226" s="565" t="n">
        <f aca="false">IF('Previsión de Gastos'!$T$14&gt;'Datos generales'!H$1+24,0,'Previsión de Gastos'!F15+('Previsión de Gastos'!F15*'Previsión de Gastos'!$P15)+ 'Previsión de Gastos'!$Q15 *( 'Previsión de Gastos'!F15+('Previsión de Gastos'!F15*'Previsión de Gastos'!$P15)))</f>
        <v>0</v>
      </c>
      <c r="H226" s="565" t="n">
        <f aca="false">IF('Previsión de Gastos'!$T$14&gt;'Datos generales'!I$1+24,0,'Previsión de Gastos'!G15+('Previsión de Gastos'!G15*'Previsión de Gastos'!$P15)+ 'Previsión de Gastos'!$Q15 *( 'Previsión de Gastos'!G15+('Previsión de Gastos'!G15*'Previsión de Gastos'!$P15)))</f>
        <v>0</v>
      </c>
      <c r="I226" s="565" t="n">
        <f aca="false">IF('Previsión de Gastos'!$T$14&gt;'Datos generales'!J$1+24,0,'Previsión de Gastos'!H15+('Previsión de Gastos'!H15*'Previsión de Gastos'!$P15)+ 'Previsión de Gastos'!$Q15 *( 'Previsión de Gastos'!H15+('Previsión de Gastos'!H15*'Previsión de Gastos'!$P15)))</f>
        <v>0</v>
      </c>
      <c r="J226" s="565" t="n">
        <f aca="false">IF('Previsión de Gastos'!$T$14&gt;'Datos generales'!K$1+24,0,'Previsión de Gastos'!I15+('Previsión de Gastos'!I15*'Previsión de Gastos'!$P15)+ 'Previsión de Gastos'!$Q15 *( 'Previsión de Gastos'!I15+('Previsión de Gastos'!I15*'Previsión de Gastos'!$P15)))</f>
        <v>0</v>
      </c>
      <c r="K226" s="565" t="n">
        <f aca="false">IF('Previsión de Gastos'!$T$14&gt;'Datos generales'!L$1+24,0,'Previsión de Gastos'!J15+('Previsión de Gastos'!J15*'Previsión de Gastos'!$P15)+ 'Previsión de Gastos'!$Q15 *( 'Previsión de Gastos'!J15+('Previsión de Gastos'!J15*'Previsión de Gastos'!$P15)))</f>
        <v>0</v>
      </c>
      <c r="L226" s="565" t="n">
        <f aca="false">IF('Previsión de Gastos'!$T$14&gt;'Datos generales'!M$1+24,0,'Previsión de Gastos'!K15+('Previsión de Gastos'!K15*'Previsión de Gastos'!$P15)+ 'Previsión de Gastos'!$Q15 *( 'Previsión de Gastos'!K15+('Previsión de Gastos'!K15*'Previsión de Gastos'!$P15)))</f>
        <v>0</v>
      </c>
      <c r="M226" s="565" t="n">
        <f aca="false">IF('Previsión de Gastos'!$T$14&gt;'Datos generales'!N$1+24,0,'Previsión de Gastos'!L15+('Previsión de Gastos'!L15*'Previsión de Gastos'!$P15)+ 'Previsión de Gastos'!$Q15 *( 'Previsión de Gastos'!L15+('Previsión de Gastos'!L15*'Previsión de Gastos'!$P15)))</f>
        <v>0</v>
      </c>
      <c r="N226" s="565" t="n">
        <f aca="false">IF('Previsión de Gastos'!$T$14&gt;'Datos generales'!O$1+24,0,'Previsión de Gastos'!M15+('Previsión de Gastos'!M15*'Previsión de Gastos'!$P15)+ 'Previsión de Gastos'!$Q15 *( 'Previsión de Gastos'!M15+('Previsión de Gastos'!M15*'Previsión de Gastos'!$P15)))</f>
        <v>0</v>
      </c>
      <c r="O226" s="565" t="n">
        <f aca="false">IF('Previsión de Gastos'!$T$14&gt;'Datos generales'!P$1+24,0,'Previsión de Gastos'!N15+('Previsión de Gastos'!N15*'Previsión de Gastos'!$P15)+ 'Previsión de Gastos'!$Q15 *( 'Previsión de Gastos'!N15+('Previsión de Gastos'!N15*'Previsión de Gastos'!$P15)))</f>
        <v>0</v>
      </c>
      <c r="P226" s="567"/>
      <c r="Q226" s="637" t="n">
        <f aca="false">SUM(D226:P226)</f>
        <v>0</v>
      </c>
      <c r="S226" s="93"/>
    </row>
    <row r="227" customFormat="false" ht="12.75" hidden="false" customHeight="false" outlineLevel="0" collapsed="false">
      <c r="B227" s="474"/>
      <c r="C227" s="350" t="n">
        <f aca="false">C69</f>
        <v>0</v>
      </c>
      <c r="D227" s="565" t="n">
        <f aca="false">IF('Previsión de Gastos'!$T$14&gt;'Datos generales'!E$1+24,0,'Previsión de Gastos'!C16+('Previsión de Gastos'!C16*'Previsión de Gastos'!$P16)+ 'Previsión de Gastos'!$Q16 *( 'Previsión de Gastos'!C16+('Previsión de Gastos'!C16*'Previsión de Gastos'!$P16)))</f>
        <v>0</v>
      </c>
      <c r="E227" s="565" t="n">
        <f aca="false">IF('Previsión de Gastos'!$T$14&gt;'Datos generales'!F$1+24,0,'Previsión de Gastos'!D16+('Previsión de Gastos'!D16*'Previsión de Gastos'!$P16)+ 'Previsión de Gastos'!$Q16 *( 'Previsión de Gastos'!D16+('Previsión de Gastos'!D16*'Previsión de Gastos'!$P16)))</f>
        <v>0</v>
      </c>
      <c r="F227" s="565" t="n">
        <f aca="false">IF('Previsión de Gastos'!$T$14&gt;'Datos generales'!G$1+24,0,'Previsión de Gastos'!E16+('Previsión de Gastos'!E16*'Previsión de Gastos'!$P16)+ 'Previsión de Gastos'!$Q16 *( 'Previsión de Gastos'!E16+('Previsión de Gastos'!E16*'Previsión de Gastos'!$P16)))</f>
        <v>0</v>
      </c>
      <c r="G227" s="565" t="n">
        <f aca="false">IF('Previsión de Gastos'!$T$14&gt;'Datos generales'!H$1+24,0,'Previsión de Gastos'!F16+('Previsión de Gastos'!F16*'Previsión de Gastos'!$P16)+ 'Previsión de Gastos'!$Q16 *( 'Previsión de Gastos'!F16+('Previsión de Gastos'!F16*'Previsión de Gastos'!$P16)))</f>
        <v>0</v>
      </c>
      <c r="H227" s="565" t="n">
        <f aca="false">IF('Previsión de Gastos'!$T$14&gt;'Datos generales'!I$1+24,0,'Previsión de Gastos'!G16+('Previsión de Gastos'!G16*'Previsión de Gastos'!$P16)+ 'Previsión de Gastos'!$Q16 *( 'Previsión de Gastos'!G16+('Previsión de Gastos'!G16*'Previsión de Gastos'!$P16)))</f>
        <v>0</v>
      </c>
      <c r="I227" s="565" t="n">
        <f aca="false">IF('Previsión de Gastos'!$T$14&gt;'Datos generales'!J$1+24,0,'Previsión de Gastos'!H16+('Previsión de Gastos'!H16*'Previsión de Gastos'!$P16)+ 'Previsión de Gastos'!$Q16 *( 'Previsión de Gastos'!H16+('Previsión de Gastos'!H16*'Previsión de Gastos'!$P16)))</f>
        <v>0</v>
      </c>
      <c r="J227" s="565" t="n">
        <f aca="false">IF('Previsión de Gastos'!$T$14&gt;'Datos generales'!K$1+24,0,'Previsión de Gastos'!I16+('Previsión de Gastos'!I16*'Previsión de Gastos'!$P16)+ 'Previsión de Gastos'!$Q16 *( 'Previsión de Gastos'!I16+('Previsión de Gastos'!I16*'Previsión de Gastos'!$P16)))</f>
        <v>0</v>
      </c>
      <c r="K227" s="565" t="n">
        <f aca="false">IF('Previsión de Gastos'!$T$14&gt;'Datos generales'!L$1+24,0,'Previsión de Gastos'!J16+('Previsión de Gastos'!J16*'Previsión de Gastos'!$P16)+ 'Previsión de Gastos'!$Q16 *( 'Previsión de Gastos'!J16+('Previsión de Gastos'!J16*'Previsión de Gastos'!$P16)))</f>
        <v>0</v>
      </c>
      <c r="L227" s="565" t="n">
        <f aca="false">IF('Previsión de Gastos'!$T$14&gt;'Datos generales'!M$1+24,0,'Previsión de Gastos'!K16+('Previsión de Gastos'!K16*'Previsión de Gastos'!$P16)+ 'Previsión de Gastos'!$Q16 *( 'Previsión de Gastos'!K16+('Previsión de Gastos'!K16*'Previsión de Gastos'!$P16)))</f>
        <v>0</v>
      </c>
      <c r="M227" s="565" t="n">
        <f aca="false">IF('Previsión de Gastos'!$T$14&gt;'Datos generales'!N$1+24,0,'Previsión de Gastos'!L16+('Previsión de Gastos'!L16*'Previsión de Gastos'!$P16)+ 'Previsión de Gastos'!$Q16 *( 'Previsión de Gastos'!L16+('Previsión de Gastos'!L16*'Previsión de Gastos'!$P16)))</f>
        <v>0</v>
      </c>
      <c r="N227" s="565" t="n">
        <f aca="false">IF('Previsión de Gastos'!$T$14&gt;'Datos generales'!O$1+24,0,'Previsión de Gastos'!M16+('Previsión de Gastos'!M16*'Previsión de Gastos'!$P16)+ 'Previsión de Gastos'!$Q16 *( 'Previsión de Gastos'!M16+('Previsión de Gastos'!M16*'Previsión de Gastos'!$P16)))</f>
        <v>0</v>
      </c>
      <c r="O227" s="565" t="n">
        <f aca="false">IF('Previsión de Gastos'!$T$14&gt;'Datos generales'!P$1+24,0,'Previsión de Gastos'!N16+('Previsión de Gastos'!N16*'Previsión de Gastos'!$P16)+ 'Previsión de Gastos'!$Q16 *( 'Previsión de Gastos'!N16+('Previsión de Gastos'!N16*'Previsión de Gastos'!$P16)))</f>
        <v>0</v>
      </c>
      <c r="P227" s="522"/>
      <c r="Q227" s="636" t="n">
        <f aca="false">SUM(D227:P227)</f>
        <v>0</v>
      </c>
      <c r="R227" s="476"/>
      <c r="S227" s="476"/>
      <c r="T227" s="476"/>
      <c r="U227" s="476"/>
    </row>
    <row r="228" customFormat="false" ht="12.75" hidden="false" customHeight="false" outlineLevel="0" collapsed="false">
      <c r="B228" s="474"/>
      <c r="C228" s="358" t="n">
        <f aca="false">C70</f>
        <v>0</v>
      </c>
      <c r="D228" s="565" t="n">
        <f aca="false">IF('Previsión de Gastos'!$T$14&gt;'Datos generales'!E$1+24,0,'Previsión de Gastos'!C17+('Previsión de Gastos'!C17*'Previsión de Gastos'!$P17)+ 'Previsión de Gastos'!$Q17 *( 'Previsión de Gastos'!C17+('Previsión de Gastos'!C17*'Previsión de Gastos'!$P17)))</f>
        <v>0</v>
      </c>
      <c r="E228" s="565" t="n">
        <f aca="false">IF('Previsión de Gastos'!$T$14&gt;'Datos generales'!F$1+24,0,'Previsión de Gastos'!D17+('Previsión de Gastos'!D17*'Previsión de Gastos'!$P17)+ 'Previsión de Gastos'!$Q17 *( 'Previsión de Gastos'!D17+('Previsión de Gastos'!D17*'Previsión de Gastos'!$P17)))</f>
        <v>0</v>
      </c>
      <c r="F228" s="565" t="n">
        <f aca="false">IF('Previsión de Gastos'!$T$14&gt;'Datos generales'!G$1+24,0,'Previsión de Gastos'!E17+('Previsión de Gastos'!E17*'Previsión de Gastos'!$P17)+ 'Previsión de Gastos'!$Q17 *( 'Previsión de Gastos'!E17+('Previsión de Gastos'!E17*'Previsión de Gastos'!$P17)))</f>
        <v>0</v>
      </c>
      <c r="G228" s="565" t="n">
        <f aca="false">IF('Previsión de Gastos'!$T$14&gt;'Datos generales'!H$1+24,0,'Previsión de Gastos'!F17+('Previsión de Gastos'!F17*'Previsión de Gastos'!$P17)+ 'Previsión de Gastos'!$Q17 *( 'Previsión de Gastos'!F17+('Previsión de Gastos'!F17*'Previsión de Gastos'!$P17)))</f>
        <v>0</v>
      </c>
      <c r="H228" s="565" t="n">
        <f aca="false">IF('Previsión de Gastos'!$T$14&gt;'Datos generales'!I$1+24,0,'Previsión de Gastos'!G17+('Previsión de Gastos'!G17*'Previsión de Gastos'!$P17)+ 'Previsión de Gastos'!$Q17 *( 'Previsión de Gastos'!G17+('Previsión de Gastos'!G17*'Previsión de Gastos'!$P17)))</f>
        <v>0</v>
      </c>
      <c r="I228" s="565" t="n">
        <f aca="false">IF('Previsión de Gastos'!$T$14&gt;'Datos generales'!J$1+24,0,'Previsión de Gastos'!H17+('Previsión de Gastos'!H17*'Previsión de Gastos'!$P17)+ 'Previsión de Gastos'!$Q17 *( 'Previsión de Gastos'!H17+('Previsión de Gastos'!H17*'Previsión de Gastos'!$P17)))</f>
        <v>0</v>
      </c>
      <c r="J228" s="565" t="n">
        <f aca="false">IF('Previsión de Gastos'!$T$14&gt;'Datos generales'!K$1+24,0,'Previsión de Gastos'!I17+('Previsión de Gastos'!I17*'Previsión de Gastos'!$P17)+ 'Previsión de Gastos'!$Q17 *( 'Previsión de Gastos'!I17+('Previsión de Gastos'!I17*'Previsión de Gastos'!$P17)))</f>
        <v>0</v>
      </c>
      <c r="K228" s="565" t="n">
        <f aca="false">IF('Previsión de Gastos'!$T$14&gt;'Datos generales'!L$1+24,0,'Previsión de Gastos'!J17+('Previsión de Gastos'!J17*'Previsión de Gastos'!$P17)+ 'Previsión de Gastos'!$Q17 *( 'Previsión de Gastos'!J17+('Previsión de Gastos'!J17*'Previsión de Gastos'!$P17)))</f>
        <v>0</v>
      </c>
      <c r="L228" s="565" t="n">
        <f aca="false">IF('Previsión de Gastos'!$T$14&gt;'Datos generales'!M$1+24,0,'Previsión de Gastos'!K17+('Previsión de Gastos'!K17*'Previsión de Gastos'!$P17)+ 'Previsión de Gastos'!$Q17 *( 'Previsión de Gastos'!K17+('Previsión de Gastos'!K17*'Previsión de Gastos'!$P17)))</f>
        <v>0</v>
      </c>
      <c r="M228" s="565" t="n">
        <f aca="false">IF('Previsión de Gastos'!$T$14&gt;'Datos generales'!N$1+24,0,'Previsión de Gastos'!L17+('Previsión de Gastos'!L17*'Previsión de Gastos'!$P17)+ 'Previsión de Gastos'!$Q17 *( 'Previsión de Gastos'!L17+('Previsión de Gastos'!L17*'Previsión de Gastos'!$P17)))</f>
        <v>0</v>
      </c>
      <c r="N228" s="565" t="n">
        <f aca="false">IF('Previsión de Gastos'!$T$14&gt;'Datos generales'!O$1+24,0,'Previsión de Gastos'!M17+('Previsión de Gastos'!M17*'Previsión de Gastos'!$P17)+ 'Previsión de Gastos'!$Q17 *( 'Previsión de Gastos'!M17+('Previsión de Gastos'!M17*'Previsión de Gastos'!$P17)))</f>
        <v>0</v>
      </c>
      <c r="O228" s="565" t="n">
        <f aca="false">IF('Previsión de Gastos'!$T$14&gt;'Datos generales'!P$1+24,0,'Previsión de Gastos'!N17+('Previsión de Gastos'!N17*'Previsión de Gastos'!$P17)+ 'Previsión de Gastos'!$Q17 *( 'Previsión de Gastos'!N17+('Previsión de Gastos'!N17*'Previsión de Gastos'!$P17)))</f>
        <v>0</v>
      </c>
      <c r="P228" s="567"/>
      <c r="Q228" s="637" t="n">
        <f aca="false">SUM(D228:P228)</f>
        <v>0</v>
      </c>
      <c r="S228" s="93"/>
    </row>
    <row r="229" customFormat="false" ht="12.75" hidden="false" customHeight="false" outlineLevel="0" collapsed="false">
      <c r="B229" s="474"/>
      <c r="C229" s="0" t="n">
        <f aca="false">C71</f>
        <v>0</v>
      </c>
      <c r="D229" s="565" t="n">
        <f aca="false">IF('Previsión de Gastos'!$T$14&gt;'Datos generales'!E$1+24,0,'Previsión de Gastos'!C18+('Previsión de Gastos'!C18*'Previsión de Gastos'!$P18)+ 'Previsión de Gastos'!$Q18 *( 'Previsión de Gastos'!C18+('Previsión de Gastos'!C18*'Previsión de Gastos'!$P18)))</f>
        <v>0</v>
      </c>
      <c r="E229" s="565" t="n">
        <f aca="false">IF('Previsión de Gastos'!$T$14&gt;'Datos generales'!F$1+24,0,'Previsión de Gastos'!D18+('Previsión de Gastos'!D18*'Previsión de Gastos'!$P18)+ 'Previsión de Gastos'!$Q18 *( 'Previsión de Gastos'!D18+('Previsión de Gastos'!D18*'Previsión de Gastos'!$P18)))</f>
        <v>0</v>
      </c>
      <c r="F229" s="565" t="n">
        <f aca="false">IF('Previsión de Gastos'!$T$14&gt;'Datos generales'!G$1+24,0,'Previsión de Gastos'!E18+('Previsión de Gastos'!E18*'Previsión de Gastos'!$P18)+ 'Previsión de Gastos'!$Q18 *( 'Previsión de Gastos'!E18+('Previsión de Gastos'!E18*'Previsión de Gastos'!$P18)))</f>
        <v>0</v>
      </c>
      <c r="G229" s="565" t="n">
        <f aca="false">IF('Previsión de Gastos'!$T$14&gt;'Datos generales'!H$1+24,0,'Previsión de Gastos'!F18+('Previsión de Gastos'!F18*'Previsión de Gastos'!$P18)+ 'Previsión de Gastos'!$Q18 *( 'Previsión de Gastos'!F18+('Previsión de Gastos'!F18*'Previsión de Gastos'!$P18)))</f>
        <v>0</v>
      </c>
      <c r="H229" s="565" t="n">
        <f aca="false">IF('Previsión de Gastos'!$T$14&gt;'Datos generales'!I$1+24,0,'Previsión de Gastos'!G18+('Previsión de Gastos'!G18*'Previsión de Gastos'!$P18)+ 'Previsión de Gastos'!$Q18 *( 'Previsión de Gastos'!G18+('Previsión de Gastos'!G18*'Previsión de Gastos'!$P18)))</f>
        <v>0</v>
      </c>
      <c r="I229" s="565" t="n">
        <f aca="false">IF('Previsión de Gastos'!$T$14&gt;'Datos generales'!J$1+24,0,'Previsión de Gastos'!H18+('Previsión de Gastos'!H18*'Previsión de Gastos'!$P18)+ 'Previsión de Gastos'!$Q18 *( 'Previsión de Gastos'!H18+('Previsión de Gastos'!H18*'Previsión de Gastos'!$P18)))</f>
        <v>0</v>
      </c>
      <c r="J229" s="565" t="n">
        <f aca="false">IF('Previsión de Gastos'!$T$14&gt;'Datos generales'!K$1+24,0,'Previsión de Gastos'!I18+('Previsión de Gastos'!I18*'Previsión de Gastos'!$P18)+ 'Previsión de Gastos'!$Q18 *( 'Previsión de Gastos'!I18+('Previsión de Gastos'!I18*'Previsión de Gastos'!$P18)))</f>
        <v>0</v>
      </c>
      <c r="K229" s="565" t="n">
        <f aca="false">IF('Previsión de Gastos'!$T$14&gt;'Datos generales'!L$1+24,0,'Previsión de Gastos'!J18+('Previsión de Gastos'!J18*'Previsión de Gastos'!$P18)+ 'Previsión de Gastos'!$Q18 *( 'Previsión de Gastos'!J18+('Previsión de Gastos'!J18*'Previsión de Gastos'!$P18)))</f>
        <v>0</v>
      </c>
      <c r="L229" s="565" t="n">
        <f aca="false">IF('Previsión de Gastos'!$T$14&gt;'Datos generales'!M$1+24,0,'Previsión de Gastos'!K18+('Previsión de Gastos'!K18*'Previsión de Gastos'!$P18)+ 'Previsión de Gastos'!$Q18 *( 'Previsión de Gastos'!K18+('Previsión de Gastos'!K18*'Previsión de Gastos'!$P18)))</f>
        <v>0</v>
      </c>
      <c r="M229" s="565" t="n">
        <f aca="false">IF('Previsión de Gastos'!$T$14&gt;'Datos generales'!N$1+24,0,'Previsión de Gastos'!L18+('Previsión de Gastos'!L18*'Previsión de Gastos'!$P18)+ 'Previsión de Gastos'!$Q18 *( 'Previsión de Gastos'!L18+('Previsión de Gastos'!L18*'Previsión de Gastos'!$P18)))</f>
        <v>0</v>
      </c>
      <c r="N229" s="565" t="n">
        <f aca="false">IF('Previsión de Gastos'!$T$14&gt;'Datos generales'!O$1+24,0,'Previsión de Gastos'!M18+('Previsión de Gastos'!M18*'Previsión de Gastos'!$P18)+ 'Previsión de Gastos'!$Q18 *( 'Previsión de Gastos'!M18+('Previsión de Gastos'!M18*'Previsión de Gastos'!$P18)))</f>
        <v>0</v>
      </c>
      <c r="O229" s="565" t="n">
        <f aca="false">IF('Previsión de Gastos'!$T$14&gt;'Datos generales'!P$1+24,0,'Previsión de Gastos'!N18+('Previsión de Gastos'!N18*'Previsión de Gastos'!$P18)+ 'Previsión de Gastos'!$Q18 *( 'Previsión de Gastos'!N18+('Previsión de Gastos'!N18*'Previsión de Gastos'!$P18)))</f>
        <v>0</v>
      </c>
      <c r="P229" s="567"/>
      <c r="Q229" s="637" t="n">
        <f aca="false">SUM(D229:P229)</f>
        <v>0</v>
      </c>
      <c r="S229" s="93"/>
    </row>
    <row r="230" s="23" customFormat="true" ht="12.75" hidden="false" customHeight="false" outlineLevel="0" collapsed="false">
      <c r="B230" s="568" t="str">
        <f aca="false">B72</f>
        <v>Total Gastos de personal</v>
      </c>
      <c r="C230" s="569"/>
      <c r="D230" s="590" t="n">
        <f aca="false">SUM(D224:D229)</f>
        <v>0</v>
      </c>
      <c r="E230" s="591" t="n">
        <f aca="false">SUM(E224:E229)</f>
        <v>0</v>
      </c>
      <c r="F230" s="591" t="n">
        <f aca="false">SUM(F224:F229)</f>
        <v>0</v>
      </c>
      <c r="G230" s="591" t="n">
        <f aca="false">SUM(G224:G229)</f>
        <v>0</v>
      </c>
      <c r="H230" s="591" t="n">
        <f aca="false">SUM(H224:H229)</f>
        <v>0</v>
      </c>
      <c r="I230" s="591" t="n">
        <f aca="false">SUM(I224:I229)</f>
        <v>0</v>
      </c>
      <c r="J230" s="591" t="n">
        <f aca="false">SUM(J224:J229)</f>
        <v>0</v>
      </c>
      <c r="K230" s="591" t="n">
        <f aca="false">SUM(K224:K229)</f>
        <v>0</v>
      </c>
      <c r="L230" s="591" t="n">
        <f aca="false">SUM(L224:L229)</f>
        <v>0</v>
      </c>
      <c r="M230" s="591" t="n">
        <f aca="false">SUM(M224:M229)</f>
        <v>0</v>
      </c>
      <c r="N230" s="591" t="n">
        <f aca="false">SUM(N224:N229)</f>
        <v>0</v>
      </c>
      <c r="O230" s="591" t="n">
        <f aca="false">SUM(O224:O229)</f>
        <v>0</v>
      </c>
      <c r="P230" s="592" t="n">
        <f aca="false">SUM(P224:P229)</f>
        <v>0</v>
      </c>
      <c r="Q230" s="593" t="n">
        <f aca="false">SUM(Q224:Q229)</f>
        <v>0</v>
      </c>
      <c r="R230" s="453"/>
      <c r="S230" s="476"/>
      <c r="T230" s="453"/>
      <c r="U230" s="453"/>
    </row>
    <row r="231" customFormat="false" ht="8.25" hidden="false" customHeight="true" outlineLevel="0" collapsed="false">
      <c r="B231" s="470"/>
      <c r="C231" s="23"/>
      <c r="D231" s="561"/>
      <c r="E231" s="476"/>
      <c r="F231" s="476"/>
      <c r="G231" s="476"/>
      <c r="H231" s="476"/>
      <c r="I231" s="476"/>
      <c r="J231" s="476"/>
      <c r="K231" s="476"/>
      <c r="L231" s="476"/>
      <c r="M231" s="476"/>
      <c r="N231" s="476"/>
      <c r="O231" s="476"/>
      <c r="P231" s="535"/>
      <c r="Q231" s="618"/>
      <c r="R231" s="476"/>
      <c r="S231" s="476"/>
      <c r="T231" s="476"/>
    </row>
    <row r="232" customFormat="false" ht="12.75" hidden="false" customHeight="false" outlineLevel="0" collapsed="false">
      <c r="B232" s="470" t="str">
        <f aca="false">B74</f>
        <v>Otros gastos de explotación</v>
      </c>
      <c r="C232" s="23"/>
      <c r="D232" s="561"/>
      <c r="E232" s="476"/>
      <c r="F232" s="476"/>
      <c r="G232" s="476"/>
      <c r="H232" s="476"/>
      <c r="I232" s="476"/>
      <c r="J232" s="476"/>
      <c r="K232" s="476"/>
      <c r="L232" s="476"/>
      <c r="M232" s="476"/>
      <c r="N232" s="476"/>
      <c r="O232" s="476"/>
      <c r="P232" s="535"/>
      <c r="Q232" s="618"/>
      <c r="R232" s="476"/>
      <c r="S232" s="476"/>
      <c r="T232" s="476"/>
      <c r="U232" s="476"/>
    </row>
    <row r="233" customFormat="false" ht="6.75" hidden="false" customHeight="true" outlineLevel="0" collapsed="false">
      <c r="B233" s="470"/>
      <c r="C233" s="23"/>
      <c r="P233" s="313"/>
      <c r="Q233" s="650"/>
      <c r="R233" s="476"/>
    </row>
    <row r="234" customFormat="false" ht="12.75" hidden="false" customHeight="false" outlineLevel="0" collapsed="false">
      <c r="B234" s="474"/>
      <c r="C234" s="23" t="str">
        <f aca="false">C76</f>
        <v>Tributos e impuestos:</v>
      </c>
      <c r="P234" s="313"/>
      <c r="Q234" s="650"/>
    </row>
    <row r="235" customFormat="false" ht="12.75" hidden="false" customHeight="false" outlineLevel="0" collapsed="false">
      <c r="B235" s="474"/>
      <c r="C235" s="350" t="str">
        <f aca="false">C77</f>
        <v>IBI</v>
      </c>
      <c r="D235" s="562" t="n">
        <f aca="false">D157+(D157*'Previsión de Gastos'!$Q21)</f>
        <v>0</v>
      </c>
      <c r="E235" s="563" t="n">
        <f aca="false">E157+(E157*'Previsión de Gastos'!$Q21)</f>
        <v>0</v>
      </c>
      <c r="F235" s="563" t="n">
        <f aca="false">F157+(F157*'Previsión de Gastos'!$Q21)</f>
        <v>0</v>
      </c>
      <c r="G235" s="563" t="n">
        <f aca="false">G157+(G157*'Previsión de Gastos'!$Q21)</f>
        <v>0</v>
      </c>
      <c r="H235" s="563" t="n">
        <f aca="false">H157+(H157*'Previsión de Gastos'!$Q21)</f>
        <v>0</v>
      </c>
      <c r="I235" s="563" t="n">
        <f aca="false">I157+(I157*'Previsión de Gastos'!$Q21)</f>
        <v>0</v>
      </c>
      <c r="J235" s="563" t="n">
        <f aca="false">J157+(J157*'Previsión de Gastos'!$Q21)</f>
        <v>0</v>
      </c>
      <c r="K235" s="563" t="n">
        <f aca="false">K157+(K157*'Previsión de Gastos'!$Q21)</f>
        <v>0</v>
      </c>
      <c r="L235" s="563" t="n">
        <f aca="false">L157+(L157*'Previsión de Gastos'!$Q21)</f>
        <v>0</v>
      </c>
      <c r="M235" s="563" t="n">
        <f aca="false">M157+(M157*'Previsión de Gastos'!$Q21)</f>
        <v>0</v>
      </c>
      <c r="N235" s="563" t="n">
        <f aca="false">N157+(N157*'Previsión de Gastos'!$Q21)</f>
        <v>0</v>
      </c>
      <c r="O235" s="563" t="n">
        <f aca="false">O157+(O157*'Previsión de Gastos'!$Q21)</f>
        <v>0</v>
      </c>
      <c r="P235" s="564"/>
      <c r="Q235" s="649" t="n">
        <f aca="false">SUM(D235:P235)</f>
        <v>0</v>
      </c>
      <c r="S235" s="93"/>
    </row>
    <row r="236" customFormat="false" ht="12.75" hidden="false" customHeight="false" outlineLevel="0" collapsed="false">
      <c r="B236" s="474"/>
      <c r="C236" s="358" t="str">
        <f aca="false">C78</f>
        <v>Impuesto de vehículos de tracción mecánica </v>
      </c>
      <c r="D236" s="576" t="n">
        <f aca="false">D158+(D158*'Previsión de Gastos'!$Q22)</f>
        <v>0</v>
      </c>
      <c r="E236" s="526" t="n">
        <f aca="false">E158+(E158*'Previsión de Gastos'!$Q22)</f>
        <v>0</v>
      </c>
      <c r="F236" s="526" t="n">
        <f aca="false">F158+(F158*'Previsión de Gastos'!$Q22)</f>
        <v>0</v>
      </c>
      <c r="G236" s="526" t="n">
        <f aca="false">G158+(G158*'Previsión de Gastos'!$Q22)</f>
        <v>0</v>
      </c>
      <c r="H236" s="526" t="n">
        <f aca="false">H158+(H158*'Previsión de Gastos'!$Q22)</f>
        <v>0</v>
      </c>
      <c r="I236" s="526" t="n">
        <f aca="false">I158+(I158*'Previsión de Gastos'!$Q22)</f>
        <v>0</v>
      </c>
      <c r="J236" s="526" t="n">
        <f aca="false">J158+(J158*'Previsión de Gastos'!$Q22)</f>
        <v>0</v>
      </c>
      <c r="K236" s="526" t="n">
        <f aca="false">K158+(K158*'Previsión de Gastos'!$Q22)</f>
        <v>0</v>
      </c>
      <c r="L236" s="526" t="n">
        <f aca="false">L158+(L158*'Previsión de Gastos'!$Q22)</f>
        <v>0</v>
      </c>
      <c r="M236" s="526" t="n">
        <f aca="false">M158+(M158*'Previsión de Gastos'!$Q22)</f>
        <v>0</v>
      </c>
      <c r="N236" s="526" t="n">
        <f aca="false">N158+(N158*'Previsión de Gastos'!$Q22)</f>
        <v>0</v>
      </c>
      <c r="O236" s="526" t="n">
        <f aca="false">O158+(O158*'Previsión de Gastos'!$Q22)</f>
        <v>0</v>
      </c>
      <c r="P236" s="567"/>
      <c r="Q236" s="637" t="n">
        <f aca="false">SUM(D236:P236)</f>
        <v>0</v>
      </c>
      <c r="S236" s="93"/>
    </row>
    <row r="237" customFormat="false" ht="12.75" hidden="false" customHeight="false" outlineLevel="0" collapsed="false">
      <c r="B237" s="474"/>
      <c r="C237" s="358" t="str">
        <f aca="false">C79</f>
        <v>Impuestos</v>
      </c>
      <c r="D237" s="576" t="n">
        <f aca="false">D159+(D159*'Previsión de Gastos'!$Q23)</f>
        <v>0</v>
      </c>
      <c r="E237" s="526" t="n">
        <f aca="false">E159+(E159*'Previsión de Gastos'!$Q23)</f>
        <v>0</v>
      </c>
      <c r="F237" s="526" t="n">
        <f aca="false">F159+(F159*'Previsión de Gastos'!$Q23)</f>
        <v>0</v>
      </c>
      <c r="G237" s="526" t="n">
        <f aca="false">G159+(G159*'Previsión de Gastos'!$Q23)</f>
        <v>0</v>
      </c>
      <c r="H237" s="526" t="n">
        <f aca="false">H159+(H159*'Previsión de Gastos'!$Q23)</f>
        <v>0</v>
      </c>
      <c r="I237" s="526" t="n">
        <f aca="false">I159+(I159*'Previsión de Gastos'!$Q23)</f>
        <v>0</v>
      </c>
      <c r="J237" s="526" t="n">
        <f aca="false">J159+(J159*'Previsión de Gastos'!$Q23)</f>
        <v>0</v>
      </c>
      <c r="K237" s="526" t="n">
        <f aca="false">K159+(K159*'Previsión de Gastos'!$Q23)</f>
        <v>0</v>
      </c>
      <c r="L237" s="526" t="n">
        <f aca="false">L159+(L159*'Previsión de Gastos'!$Q23)</f>
        <v>0</v>
      </c>
      <c r="M237" s="526" t="n">
        <f aca="false">M159+(M159*'Previsión de Gastos'!$Q23)</f>
        <v>0</v>
      </c>
      <c r="N237" s="526" t="n">
        <f aca="false">N159+(N159*'Previsión de Gastos'!$Q23)</f>
        <v>0</v>
      </c>
      <c r="O237" s="526" t="n">
        <f aca="false">O159+(O159*'Previsión de Gastos'!$Q23)</f>
        <v>0</v>
      </c>
      <c r="P237" s="567"/>
      <c r="Q237" s="637" t="n">
        <f aca="false">SUM(D237:P237)</f>
        <v>0</v>
      </c>
      <c r="S237" s="93"/>
    </row>
    <row r="238" s="93" customFormat="true" ht="12.75" hidden="false" customHeight="false" outlineLevel="0" collapsed="false">
      <c r="B238" s="651"/>
      <c r="C238" s="577" t="str">
        <f aca="false">C80</f>
        <v>IVA soportado s/inversiones(*)</v>
      </c>
      <c r="D238" s="577" t="n">
        <f aca="true">IF('Datos generales'!$D$22&lt;=0,OFFSET('Préstamos LP'!$X$59,'Datos generales'!D1,0,1,1),0)</f>
        <v>0</v>
      </c>
      <c r="E238" s="577" t="n">
        <f aca="true">IF('Datos generales'!$D$22&lt;=0,OFFSET('Préstamos LP'!$X$59,'Datos generales'!E1,0,1,1),0)</f>
        <v>0</v>
      </c>
      <c r="F238" s="577" t="n">
        <f aca="true">IF('Datos generales'!$D$22&lt;=0,OFFSET('Préstamos LP'!$X$59,'Datos generales'!F1,0,1,1),0)</f>
        <v>0</v>
      </c>
      <c r="G238" s="577" t="n">
        <f aca="true">IF('Datos generales'!$D$22&lt;=0,OFFSET('Préstamos LP'!$X$59,'Datos generales'!G1,0,1,1),0)</f>
        <v>0</v>
      </c>
      <c r="H238" s="577" t="n">
        <f aca="true">IF('Datos generales'!$D$22&lt;=0,OFFSET('Préstamos LP'!$X$59,'Datos generales'!H1,0,1,1),0)</f>
        <v>0</v>
      </c>
      <c r="I238" s="577" t="n">
        <f aca="true">IF('Datos generales'!$D$22&lt;=0,OFFSET('Préstamos LP'!$X$59,'Datos generales'!I1,0,1,1),0)</f>
        <v>0</v>
      </c>
      <c r="J238" s="577" t="n">
        <f aca="true">IF('Datos generales'!$D$22&lt;=0,OFFSET('Préstamos LP'!$X$59,'Datos generales'!J1,0,1,1),0)</f>
        <v>0</v>
      </c>
      <c r="K238" s="577" t="n">
        <f aca="true">IF('Datos generales'!$D$22&lt;=0,OFFSET('Préstamos LP'!$X$59,'Datos generales'!K1,0,1,1),0)</f>
        <v>0</v>
      </c>
      <c r="L238" s="577" t="n">
        <f aca="true">IF('Datos generales'!$D$22&lt;=0,OFFSET('Préstamos LP'!$X$59,'Datos generales'!L1,0,1,1),0)</f>
        <v>0</v>
      </c>
      <c r="M238" s="577" t="n">
        <f aca="true">IF('Datos generales'!$D$22&lt;=0,OFFSET('Préstamos LP'!$X$59,'Datos generales'!M1,0,1,1),0)</f>
        <v>0</v>
      </c>
      <c r="N238" s="577" t="n">
        <f aca="true">IF('Datos generales'!$D$22&lt;=0,OFFSET('Préstamos LP'!$X$59,'Datos generales'!N1,0,1,1),0)</f>
        <v>0</v>
      </c>
      <c r="O238" s="577" t="n">
        <f aca="true">IF('Datos generales'!$D$22&lt;=0,OFFSET('Préstamos LP'!$X$59,'Datos generales'!O1,0,1,1),0)</f>
        <v>0</v>
      </c>
      <c r="P238" s="578" t="n">
        <f aca="false">IF('Datos generales'!$D$22&lt;=0,'Datos generales'!$D$19*('Entrada Inver_Finan'!H63-'Préstamos LP'!J14),0)</f>
        <v>0</v>
      </c>
      <c r="Q238" s="637" t="n">
        <f aca="false">SUM(D238:P238)</f>
        <v>0</v>
      </c>
    </row>
    <row r="239" customFormat="false" ht="12.75" hidden="false" customHeight="false" outlineLevel="0" collapsed="false">
      <c r="B239" s="474"/>
      <c r="C239" s="569" t="str">
        <f aca="false">C81</f>
        <v>Total Tributos e impuestos</v>
      </c>
      <c r="D239" s="579" t="n">
        <f aca="false">SUM(D235:D238)</f>
        <v>0</v>
      </c>
      <c r="E239" s="362" t="n">
        <f aca="false">SUM(E235:E238)</f>
        <v>0</v>
      </c>
      <c r="F239" s="362" t="n">
        <f aca="false">SUM(F235:F238)</f>
        <v>0</v>
      </c>
      <c r="G239" s="362" t="n">
        <f aca="false">SUM(G235:G238)</f>
        <v>0</v>
      </c>
      <c r="H239" s="362" t="n">
        <f aca="false">SUM(H235:H238)</f>
        <v>0</v>
      </c>
      <c r="I239" s="362" t="n">
        <f aca="false">SUM(I235:I238)</f>
        <v>0</v>
      </c>
      <c r="J239" s="362" t="n">
        <f aca="false">SUM(J235:J238)</f>
        <v>0</v>
      </c>
      <c r="K239" s="362" t="n">
        <f aca="false">SUM(K235:K238)</f>
        <v>0</v>
      </c>
      <c r="L239" s="362" t="n">
        <f aca="false">SUM(L235:L238)</f>
        <v>0</v>
      </c>
      <c r="M239" s="362" t="n">
        <f aca="false">SUM(M235:M238)</f>
        <v>0</v>
      </c>
      <c r="N239" s="362" t="n">
        <f aca="false">SUM(N235:N238)</f>
        <v>0</v>
      </c>
      <c r="O239" s="362" t="n">
        <f aca="false">SUM(O235:O238)</f>
        <v>0</v>
      </c>
      <c r="P239" s="362" t="n">
        <f aca="false">SUM(P235:P238)</f>
        <v>0</v>
      </c>
      <c r="Q239" s="652" t="n">
        <f aca="false">SUM(Q235:Q238)</f>
        <v>0</v>
      </c>
      <c r="S239" s="93"/>
    </row>
    <row r="240" customFormat="false" ht="12.75" hidden="false" customHeight="false" outlineLevel="0" collapsed="false">
      <c r="B240" s="474"/>
      <c r="C240" s="23" t="str">
        <f aca="false">C82</f>
        <v>Gastos comerciales:</v>
      </c>
      <c r="P240" s="313"/>
      <c r="Q240" s="650"/>
    </row>
    <row r="241" customFormat="false" ht="12.75" hidden="false" customHeight="false" outlineLevel="0" collapsed="false">
      <c r="B241" s="474"/>
      <c r="C241" s="350" t="str">
        <f aca="false">C83</f>
        <v>Publicidad y propaganda</v>
      </c>
      <c r="D241" s="562" t="n">
        <f aca="false">D163+(D163*'Previsión de Gastos'!$Q32)</f>
        <v>0</v>
      </c>
      <c r="E241" s="563" t="n">
        <f aca="false">E163+(E163*'Previsión de Gastos'!$Q32)</f>
        <v>0</v>
      </c>
      <c r="F241" s="563" t="n">
        <f aca="false">F163+(F163*'Previsión de Gastos'!$Q32)</f>
        <v>0</v>
      </c>
      <c r="G241" s="563" t="n">
        <f aca="false">G163+(G163*'Previsión de Gastos'!$Q32)</f>
        <v>0</v>
      </c>
      <c r="H241" s="563" t="n">
        <f aca="false">H163+(H163*'Previsión de Gastos'!$Q32)</f>
        <v>0</v>
      </c>
      <c r="I241" s="563" t="n">
        <f aca="false">I163+(I163*'Previsión de Gastos'!$Q32)</f>
        <v>0</v>
      </c>
      <c r="J241" s="563" t="n">
        <f aca="false">J163+(J163*'Previsión de Gastos'!$Q32)</f>
        <v>0</v>
      </c>
      <c r="K241" s="563" t="n">
        <f aca="false">K163+(K163*'Previsión de Gastos'!$Q32)</f>
        <v>0</v>
      </c>
      <c r="L241" s="563" t="n">
        <f aca="false">L163+(L163*'Previsión de Gastos'!$Q32)</f>
        <v>0</v>
      </c>
      <c r="M241" s="563" t="n">
        <f aca="false">M163+(M163*'Previsión de Gastos'!$Q32)</f>
        <v>0</v>
      </c>
      <c r="N241" s="563" t="n">
        <f aca="false">N163+(N163*'Previsión de Gastos'!$Q32)</f>
        <v>0</v>
      </c>
      <c r="O241" s="563" t="n">
        <f aca="false">O163+(O163*'Previsión de Gastos'!$Q32)</f>
        <v>0</v>
      </c>
      <c r="P241" s="564"/>
      <c r="Q241" s="649" t="n">
        <f aca="false">SUM(D241:P241)</f>
        <v>0</v>
      </c>
      <c r="S241" s="93"/>
    </row>
    <row r="242" customFormat="false" ht="12.75" hidden="false" customHeight="false" outlineLevel="0" collapsed="false">
      <c r="B242" s="474"/>
      <c r="C242" s="358" t="n">
        <f aca="false">C84</f>
        <v>0</v>
      </c>
      <c r="D242" s="576" t="n">
        <f aca="false">D164+(D164*'Previsión de Gastos'!$Q33)</f>
        <v>0</v>
      </c>
      <c r="E242" s="526" t="n">
        <f aca="false">E164+(E164*'Previsión de Gastos'!$Q33)</f>
        <v>0</v>
      </c>
      <c r="F242" s="526" t="n">
        <f aca="false">F164+(F164*'Previsión de Gastos'!$Q33)</f>
        <v>0</v>
      </c>
      <c r="G242" s="526" t="n">
        <f aca="false">G164+(G164*'Previsión de Gastos'!$Q33)</f>
        <v>0</v>
      </c>
      <c r="H242" s="526" t="n">
        <f aca="false">H164+(H164*'Previsión de Gastos'!$Q33)</f>
        <v>0</v>
      </c>
      <c r="I242" s="526" t="n">
        <f aca="false">I164+(I164*'Previsión de Gastos'!$Q33)</f>
        <v>0</v>
      </c>
      <c r="J242" s="526" t="n">
        <f aca="false">J164+(J164*'Previsión de Gastos'!$Q33)</f>
        <v>0</v>
      </c>
      <c r="K242" s="526" t="n">
        <f aca="false">K164+(K164*'Previsión de Gastos'!$Q33)</f>
        <v>0</v>
      </c>
      <c r="L242" s="526" t="n">
        <f aca="false">L164+(L164*'Previsión de Gastos'!$Q33)</f>
        <v>0</v>
      </c>
      <c r="M242" s="526" t="n">
        <f aca="false">M164+(M164*'Previsión de Gastos'!$Q33)</f>
        <v>0</v>
      </c>
      <c r="N242" s="526" t="n">
        <f aca="false">N164+(N164*'Previsión de Gastos'!$Q33)</f>
        <v>0</v>
      </c>
      <c r="O242" s="526" t="n">
        <f aca="false">O164+(O164*'Previsión de Gastos'!$Q33)</f>
        <v>0</v>
      </c>
      <c r="P242" s="567"/>
      <c r="Q242" s="637" t="n">
        <f aca="false">SUM(D242:P242)</f>
        <v>0</v>
      </c>
      <c r="S242" s="93"/>
    </row>
    <row r="243" customFormat="false" ht="12.75" hidden="false" customHeight="false" outlineLevel="0" collapsed="false">
      <c r="B243" s="474"/>
      <c r="C243" s="358" t="n">
        <f aca="false">C85</f>
        <v>0</v>
      </c>
      <c r="D243" s="576" t="n">
        <f aca="false">D165+(D165*'Previsión de Gastos'!$Q34)</f>
        <v>0</v>
      </c>
      <c r="E243" s="526" t="n">
        <f aca="false">E165+(E165*'Previsión de Gastos'!$Q34)</f>
        <v>0</v>
      </c>
      <c r="F243" s="526" t="n">
        <f aca="false">F165+(F165*'Previsión de Gastos'!$Q34)</f>
        <v>0</v>
      </c>
      <c r="G243" s="526" t="n">
        <f aca="false">G165+(G165*'Previsión de Gastos'!$Q34)</f>
        <v>0</v>
      </c>
      <c r="H243" s="526" t="n">
        <f aca="false">H165+(H165*'Previsión de Gastos'!$Q34)</f>
        <v>0</v>
      </c>
      <c r="I243" s="526" t="n">
        <f aca="false">I165+(I165*'Previsión de Gastos'!$Q34)</f>
        <v>0</v>
      </c>
      <c r="J243" s="526" t="n">
        <f aca="false">J165+(J165*'Previsión de Gastos'!$Q34)</f>
        <v>0</v>
      </c>
      <c r="K243" s="526" t="n">
        <f aca="false">K165+(K165*'Previsión de Gastos'!$Q34)</f>
        <v>0</v>
      </c>
      <c r="L243" s="526" t="n">
        <f aca="false">L165+(L165*'Previsión de Gastos'!$Q34)</f>
        <v>0</v>
      </c>
      <c r="M243" s="526" t="n">
        <f aca="false">M165+(M165*'Previsión de Gastos'!$Q34)</f>
        <v>0</v>
      </c>
      <c r="N243" s="526" t="n">
        <f aca="false">N165+(N165*'Previsión de Gastos'!$Q34)</f>
        <v>0</v>
      </c>
      <c r="O243" s="526" t="n">
        <f aca="false">O165+(O165*'Previsión de Gastos'!$Q34)</f>
        <v>0</v>
      </c>
      <c r="P243" s="567"/>
      <c r="Q243" s="637" t="n">
        <f aca="false">SUM(D243:P243)</f>
        <v>0</v>
      </c>
      <c r="S243" s="93"/>
    </row>
    <row r="244" s="23" customFormat="true" ht="12.75" hidden="false" customHeight="false" outlineLevel="0" collapsed="false">
      <c r="B244" s="474"/>
      <c r="C244" s="469" t="str">
        <f aca="false">C86</f>
        <v>Total</v>
      </c>
      <c r="D244" s="582" t="n">
        <f aca="false">SUM(D241:D243)</f>
        <v>0</v>
      </c>
      <c r="E244" s="583" t="n">
        <f aca="false">SUM(E241:E243)</f>
        <v>0</v>
      </c>
      <c r="F244" s="583" t="n">
        <f aca="false">SUM(F241:F243)</f>
        <v>0</v>
      </c>
      <c r="G244" s="583" t="n">
        <f aca="false">SUM(G241:G243)</f>
        <v>0</v>
      </c>
      <c r="H244" s="583" t="n">
        <f aca="false">SUM(H241:H243)</f>
        <v>0</v>
      </c>
      <c r="I244" s="583" t="n">
        <f aca="false">SUM(I241:I243)</f>
        <v>0</v>
      </c>
      <c r="J244" s="583" t="n">
        <f aca="false">SUM(J241:J243)</f>
        <v>0</v>
      </c>
      <c r="K244" s="583" t="n">
        <f aca="false">SUM(K241:K243)</f>
        <v>0</v>
      </c>
      <c r="L244" s="583" t="n">
        <f aca="false">SUM(L241:L243)</f>
        <v>0</v>
      </c>
      <c r="M244" s="583" t="n">
        <f aca="false">SUM(M241:M243)</f>
        <v>0</v>
      </c>
      <c r="N244" s="583" t="n">
        <f aca="false">SUM(N241:N243)</f>
        <v>0</v>
      </c>
      <c r="O244" s="583" t="n">
        <f aca="false">SUM(O241:O243)</f>
        <v>0</v>
      </c>
      <c r="P244" s="584"/>
      <c r="Q244" s="585" t="n">
        <f aca="false">SUM(Q241:Q243)</f>
        <v>0</v>
      </c>
      <c r="S244" s="93"/>
    </row>
    <row r="245" customFormat="false" ht="12.75" hidden="false" customHeight="false" outlineLevel="0" collapsed="false">
      <c r="B245" s="474"/>
      <c r="C245" s="358" t="str">
        <f aca="false">C87</f>
        <v>IVA soportado(*)</v>
      </c>
      <c r="D245" s="526" t="n">
        <f aca="false">IF('Datos generales'!$D$22&lt;=0,'Datos generales'!$D$19*D244,0)</f>
        <v>0</v>
      </c>
      <c r="E245" s="526" t="n">
        <f aca="false">IF('Datos generales'!$D$22&lt;=0,'Datos generales'!$D$19*E244,0)</f>
        <v>0</v>
      </c>
      <c r="F245" s="526" t="n">
        <f aca="false">IF('Datos generales'!$D$22&lt;=0,'Datos generales'!$D$19*F244,0)</f>
        <v>0</v>
      </c>
      <c r="G245" s="526" t="n">
        <f aca="false">IF('Datos generales'!$D$22&lt;=0,'Datos generales'!$D$19*G244,0)</f>
        <v>0</v>
      </c>
      <c r="H245" s="526" t="n">
        <f aca="false">IF('Datos generales'!$D$22&lt;=0,'Datos generales'!$D$19*H244,0)</f>
        <v>0</v>
      </c>
      <c r="I245" s="526" t="n">
        <f aca="false">IF('Datos generales'!$D$22&lt;=0,'Datos generales'!$D$19*I244,0)</f>
        <v>0</v>
      </c>
      <c r="J245" s="526" t="n">
        <f aca="false">IF('Datos generales'!$D$22&lt;=0,'Datos generales'!$D$19*J244,0)</f>
        <v>0</v>
      </c>
      <c r="K245" s="526" t="n">
        <f aca="false">IF('Datos generales'!$D$22&lt;=0,'Datos generales'!$D$19*K244,0)</f>
        <v>0</v>
      </c>
      <c r="L245" s="526" t="n">
        <f aca="false">IF('Datos generales'!$D$22&lt;=0,'Datos generales'!$D$19*L244,0)</f>
        <v>0</v>
      </c>
      <c r="M245" s="526" t="n">
        <f aca="false">IF('Datos generales'!$D$22&lt;=0,'Datos generales'!$D$19*M244,0)</f>
        <v>0</v>
      </c>
      <c r="N245" s="526" t="n">
        <f aca="false">IF('Datos generales'!$D$22&lt;=0,'Datos generales'!$D$19*N244,0)</f>
        <v>0</v>
      </c>
      <c r="O245" s="526" t="n">
        <f aca="false">IF('Datos generales'!$D$22&lt;=0,'Datos generales'!$D$19*O244,0)</f>
        <v>0</v>
      </c>
      <c r="P245" s="567"/>
      <c r="Q245" s="637" t="n">
        <f aca="false">SUM(D245:P245)</f>
        <v>0</v>
      </c>
      <c r="S245" s="93"/>
    </row>
    <row r="246" customFormat="false" ht="12.75" hidden="false" customHeight="false" outlineLevel="0" collapsed="false">
      <c r="B246" s="474"/>
      <c r="C246" s="569" t="str">
        <f aca="false">C88</f>
        <v>Total Gastos comerciales</v>
      </c>
      <c r="D246" s="579" t="n">
        <f aca="false">SUM(D244:D245)</f>
        <v>0</v>
      </c>
      <c r="E246" s="362" t="n">
        <f aca="false">SUM(E244:E245)</f>
        <v>0</v>
      </c>
      <c r="F246" s="362" t="n">
        <f aca="false">SUM(F244:F245)</f>
        <v>0</v>
      </c>
      <c r="G246" s="362" t="n">
        <f aca="false">SUM(G244:G245)</f>
        <v>0</v>
      </c>
      <c r="H246" s="362" t="n">
        <f aca="false">SUM(H244:H245)</f>
        <v>0</v>
      </c>
      <c r="I246" s="362" t="n">
        <f aca="false">SUM(I244:I245)</f>
        <v>0</v>
      </c>
      <c r="J246" s="362" t="n">
        <f aca="false">SUM(J244:J245)</f>
        <v>0</v>
      </c>
      <c r="K246" s="362" t="n">
        <f aca="false">SUM(K244:K245)</f>
        <v>0</v>
      </c>
      <c r="L246" s="362" t="n">
        <f aca="false">SUM(L244:L245)</f>
        <v>0</v>
      </c>
      <c r="M246" s="362" t="n">
        <f aca="false">SUM(M244:M245)</f>
        <v>0</v>
      </c>
      <c r="N246" s="362" t="n">
        <f aca="false">SUM(N244:N245)</f>
        <v>0</v>
      </c>
      <c r="O246" s="362" t="n">
        <f aca="false">SUM(O244:O245)</f>
        <v>0</v>
      </c>
      <c r="P246" s="580" t="n">
        <f aca="false">SUM(P244:P245)</f>
        <v>0</v>
      </c>
      <c r="Q246" s="581" t="n">
        <f aca="false">SUM(Q244:Q245)</f>
        <v>0</v>
      </c>
      <c r="S246" s="93"/>
    </row>
    <row r="247" customFormat="false" ht="12.75" hidden="false" customHeight="false" outlineLevel="0" collapsed="false">
      <c r="B247" s="474"/>
      <c r="C247" s="23" t="str">
        <f aca="false">C89</f>
        <v>Otros gastos (Servicios exteriores):</v>
      </c>
      <c r="D247" s="561"/>
      <c r="E247" s="476"/>
      <c r="F247" s="476"/>
      <c r="G247" s="476"/>
      <c r="H247" s="476"/>
      <c r="I247" s="476"/>
      <c r="J247" s="476"/>
      <c r="K247" s="476"/>
      <c r="L247" s="476"/>
      <c r="M247" s="476"/>
      <c r="N247" s="476"/>
      <c r="O247" s="476"/>
      <c r="P247" s="535"/>
      <c r="Q247" s="618"/>
      <c r="R247" s="476"/>
      <c r="S247" s="476"/>
      <c r="T247" s="476"/>
      <c r="U247" s="476"/>
    </row>
    <row r="248" customFormat="false" ht="12.75" hidden="false" customHeight="false" outlineLevel="0" collapsed="false">
      <c r="B248" s="474"/>
      <c r="C248" s="350" t="str">
        <f aca="false">C91</f>
        <v>Suministros: luz, agua, teléfono, etc.</v>
      </c>
      <c r="D248" s="565" t="n">
        <f aca="false">D170+(D170*'Previsión de Gastos'!$Q37)</f>
        <v>0</v>
      </c>
      <c r="E248" s="566" t="n">
        <f aca="false">E170+(E170*'Previsión de Gastos'!$Q37)</f>
        <v>0</v>
      </c>
      <c r="F248" s="566" t="n">
        <f aca="false">F170+(F170*'Previsión de Gastos'!$Q37)</f>
        <v>0</v>
      </c>
      <c r="G248" s="566" t="n">
        <f aca="false">G170+(G170*'Previsión de Gastos'!$Q37)</f>
        <v>0</v>
      </c>
      <c r="H248" s="566" t="n">
        <f aca="false">H170+(H170*'Previsión de Gastos'!$Q37)</f>
        <v>0</v>
      </c>
      <c r="I248" s="566" t="n">
        <f aca="false">I170+(I170*'Previsión de Gastos'!$Q37)</f>
        <v>0</v>
      </c>
      <c r="J248" s="566" t="n">
        <f aca="false">J170+(J170*'Previsión de Gastos'!$Q37)</f>
        <v>0</v>
      </c>
      <c r="K248" s="566" t="n">
        <f aca="false">K170+(K170*'Previsión de Gastos'!$Q37)</f>
        <v>0</v>
      </c>
      <c r="L248" s="566" t="n">
        <f aca="false">L170+(L170*'Previsión de Gastos'!$Q37)</f>
        <v>0</v>
      </c>
      <c r="M248" s="566" t="n">
        <f aca="false">M170+(M170*'Previsión de Gastos'!$Q37)</f>
        <v>0</v>
      </c>
      <c r="N248" s="566" t="n">
        <f aca="false">N170+(N170*'Previsión de Gastos'!$Q37)</f>
        <v>0</v>
      </c>
      <c r="O248" s="566" t="n">
        <f aca="false">O170+(O170*'Previsión de Gastos'!$Q37)</f>
        <v>0</v>
      </c>
      <c r="P248" s="588"/>
      <c r="Q248" s="640" t="n">
        <f aca="false">SUM(D248:P248)</f>
        <v>0</v>
      </c>
      <c r="R248" s="476"/>
      <c r="S248" s="476"/>
      <c r="T248" s="476"/>
      <c r="U248" s="476"/>
    </row>
    <row r="249" customFormat="false" ht="12.75" hidden="false" customHeight="false" outlineLevel="0" collapsed="false">
      <c r="B249" s="474"/>
      <c r="C249" s="358" t="str">
        <f aca="false">C92</f>
        <v>Servicios de profesionales indep.</v>
      </c>
      <c r="D249" s="538" t="n">
        <f aca="false">D171+(D171*'Previsión de Gastos'!$Q38)</f>
        <v>0</v>
      </c>
      <c r="E249" s="448" t="n">
        <f aca="false">E171+(E171*'Previsión de Gastos'!$Q38)</f>
        <v>0</v>
      </c>
      <c r="F249" s="448" t="n">
        <f aca="false">F171+(F171*'Previsión de Gastos'!$Q38)</f>
        <v>0</v>
      </c>
      <c r="G249" s="448" t="n">
        <f aca="false">G171+(G171*'Previsión de Gastos'!$Q38)</f>
        <v>0</v>
      </c>
      <c r="H249" s="448" t="n">
        <f aca="false">H171+(H171*'Previsión de Gastos'!$Q38)</f>
        <v>0</v>
      </c>
      <c r="I249" s="448" t="n">
        <f aca="false">I171+(I171*'Previsión de Gastos'!$Q38)</f>
        <v>0</v>
      </c>
      <c r="J249" s="448" t="n">
        <f aca="false">J171+(J171*'Previsión de Gastos'!$Q38)</f>
        <v>0</v>
      </c>
      <c r="K249" s="448" t="n">
        <f aca="false">K171+(K171*'Previsión de Gastos'!$Q38)</f>
        <v>0</v>
      </c>
      <c r="L249" s="448" t="n">
        <f aca="false">L171+(L171*'Previsión de Gastos'!$Q38)</f>
        <v>0</v>
      </c>
      <c r="M249" s="448" t="n">
        <f aca="false">M171+(M171*'Previsión de Gastos'!$Q38)</f>
        <v>0</v>
      </c>
      <c r="N249" s="448" t="n">
        <f aca="false">N171+(N171*'Previsión de Gastos'!$Q38)</f>
        <v>0</v>
      </c>
      <c r="O249" s="448" t="n">
        <f aca="false">O171+(O171*'Previsión de Gastos'!$Q38)</f>
        <v>0</v>
      </c>
      <c r="P249" s="522"/>
      <c r="Q249" s="636" t="n">
        <f aca="false">SUM(D249:P249)</f>
        <v>0</v>
      </c>
      <c r="R249" s="476"/>
      <c r="S249" s="476"/>
      <c r="T249" s="476"/>
      <c r="U249" s="476"/>
    </row>
    <row r="250" customFormat="false" ht="12.75" hidden="false" customHeight="false" outlineLevel="0" collapsed="false">
      <c r="B250" s="474"/>
      <c r="C250" s="358" t="str">
        <f aca="false">C93</f>
        <v>Material de oficina</v>
      </c>
      <c r="D250" s="538" t="n">
        <f aca="false">D172+(D172*'Previsión de Gastos'!$Q39)</f>
        <v>0</v>
      </c>
      <c r="E250" s="448" t="n">
        <f aca="false">E172+(E172*'Previsión de Gastos'!$Q39)</f>
        <v>0</v>
      </c>
      <c r="F250" s="448" t="n">
        <f aca="false">F172+(F172*'Previsión de Gastos'!$Q39)</f>
        <v>0</v>
      </c>
      <c r="G250" s="448" t="n">
        <f aca="false">G172+(G172*'Previsión de Gastos'!$Q39)</f>
        <v>0</v>
      </c>
      <c r="H250" s="448" t="n">
        <f aca="false">H172+(H172*'Previsión de Gastos'!$Q39)</f>
        <v>0</v>
      </c>
      <c r="I250" s="448" t="n">
        <f aca="false">I172+(I172*'Previsión de Gastos'!$Q39)</f>
        <v>0</v>
      </c>
      <c r="J250" s="448" t="n">
        <f aca="false">J172+(J172*'Previsión de Gastos'!$Q39)</f>
        <v>0</v>
      </c>
      <c r="K250" s="448" t="n">
        <f aca="false">K172+(K172*'Previsión de Gastos'!$Q39)</f>
        <v>0</v>
      </c>
      <c r="L250" s="448" t="n">
        <f aca="false">L172+(L172*'Previsión de Gastos'!$Q39)</f>
        <v>0</v>
      </c>
      <c r="M250" s="448" t="n">
        <f aca="false">M172+(M172*'Previsión de Gastos'!$Q39)</f>
        <v>0</v>
      </c>
      <c r="N250" s="448" t="n">
        <f aca="false">N172+(N172*'Previsión de Gastos'!$Q39)</f>
        <v>0</v>
      </c>
      <c r="O250" s="448" t="n">
        <f aca="false">O172+(O172*'Previsión de Gastos'!$Q39)</f>
        <v>0</v>
      </c>
      <c r="P250" s="522"/>
      <c r="Q250" s="636" t="n">
        <f aca="false">SUM(D250:P250)</f>
        <v>0</v>
      </c>
      <c r="R250" s="476"/>
      <c r="S250" s="476"/>
      <c r="T250" s="476"/>
      <c r="U250" s="476"/>
    </row>
    <row r="251" customFormat="false" ht="12.75" hidden="false" customHeight="false" outlineLevel="0" collapsed="false">
      <c r="B251" s="474"/>
      <c r="C251" s="358" t="str">
        <f aca="false">C94</f>
        <v>Primas de Seguros</v>
      </c>
      <c r="D251" s="576" t="n">
        <f aca="false">D173+(D173*'Previsión de Gastos'!$Q40)</f>
        <v>0</v>
      </c>
      <c r="E251" s="526" t="n">
        <f aca="false">E173+(E173*'Previsión de Gastos'!$Q40)</f>
        <v>0</v>
      </c>
      <c r="F251" s="526" t="n">
        <f aca="false">F173+(F173*'Previsión de Gastos'!$Q40)</f>
        <v>0</v>
      </c>
      <c r="G251" s="526" t="n">
        <f aca="false">G173+(G173*'Previsión de Gastos'!$Q40)</f>
        <v>0</v>
      </c>
      <c r="H251" s="526" t="n">
        <f aca="false">H173+(H173*'Previsión de Gastos'!$Q40)</f>
        <v>0</v>
      </c>
      <c r="I251" s="526" t="n">
        <f aca="false">I173+(I173*'Previsión de Gastos'!$Q40)</f>
        <v>0</v>
      </c>
      <c r="J251" s="526" t="n">
        <f aca="false">J173+(J173*'Previsión de Gastos'!$Q40)</f>
        <v>0</v>
      </c>
      <c r="K251" s="526" t="n">
        <f aca="false">K173+(K173*'Previsión de Gastos'!$Q40)</f>
        <v>0</v>
      </c>
      <c r="L251" s="526" t="n">
        <f aca="false">L173+(L173*'Previsión de Gastos'!$Q40)</f>
        <v>0</v>
      </c>
      <c r="M251" s="526" t="n">
        <f aca="false">M173+(M173*'Previsión de Gastos'!$Q40)</f>
        <v>0</v>
      </c>
      <c r="N251" s="526" t="n">
        <f aca="false">N173+(N173*'Previsión de Gastos'!$Q40)</f>
        <v>0</v>
      </c>
      <c r="O251" s="526" t="n">
        <f aca="false">O173+(O173*'Previsión de Gastos'!$Q40)</f>
        <v>0</v>
      </c>
      <c r="P251" s="567"/>
      <c r="Q251" s="637" t="n">
        <f aca="false">SUM(D251:P251)</f>
        <v>0</v>
      </c>
      <c r="S251" s="93"/>
    </row>
    <row r="252" customFormat="false" ht="12.75" hidden="false" customHeight="false" outlineLevel="0" collapsed="false">
      <c r="B252" s="474"/>
      <c r="C252" s="358" t="str">
        <f aca="false">C95</f>
        <v>Trabajos realizados por otras empresas</v>
      </c>
      <c r="D252" s="576" t="n">
        <f aca="false">D174+(D174*'Previsión de Gastos'!$Q41)</f>
        <v>0</v>
      </c>
      <c r="E252" s="526" t="n">
        <f aca="false">E174+(E174*'Previsión de Gastos'!$Q41)</f>
        <v>0</v>
      </c>
      <c r="F252" s="526" t="n">
        <f aca="false">F174+(F174*'Previsión de Gastos'!$Q41)</f>
        <v>0</v>
      </c>
      <c r="G252" s="526" t="n">
        <f aca="false">G174+(G174*'Previsión de Gastos'!$Q41)</f>
        <v>0</v>
      </c>
      <c r="H252" s="526" t="n">
        <f aca="false">H174+(H174*'Previsión de Gastos'!$Q41)</f>
        <v>0</v>
      </c>
      <c r="I252" s="526" t="n">
        <f aca="false">I174+(I174*'Previsión de Gastos'!$Q41)</f>
        <v>0</v>
      </c>
      <c r="J252" s="526" t="n">
        <f aca="false">J174+(J174*'Previsión de Gastos'!$Q41)</f>
        <v>0</v>
      </c>
      <c r="K252" s="526" t="n">
        <f aca="false">K174+(K174*'Previsión de Gastos'!$Q41)</f>
        <v>0</v>
      </c>
      <c r="L252" s="526" t="n">
        <f aca="false">L174+(L174*'Previsión de Gastos'!$Q41)</f>
        <v>0</v>
      </c>
      <c r="M252" s="526" t="n">
        <f aca="false">M174+(M174*'Previsión de Gastos'!$Q41)</f>
        <v>0</v>
      </c>
      <c r="N252" s="526" t="n">
        <f aca="false">N174+(N174*'Previsión de Gastos'!$Q41)</f>
        <v>0</v>
      </c>
      <c r="O252" s="526" t="n">
        <f aca="false">O174+(O174*'Previsión de Gastos'!$Q41)</f>
        <v>0</v>
      </c>
      <c r="P252" s="567"/>
      <c r="Q252" s="637" t="n">
        <f aca="false">SUM(D252:P252)</f>
        <v>0</v>
      </c>
      <c r="S252" s="93"/>
    </row>
    <row r="253" customFormat="false" ht="12.75" hidden="false" customHeight="false" outlineLevel="0" collapsed="false">
      <c r="B253" s="474"/>
      <c r="C253" s="358" t="str">
        <f aca="false">C96</f>
        <v>Arrendamientos</v>
      </c>
      <c r="D253" s="538" t="n">
        <f aca="false">D175+(D175*'Previsión de Gastos'!$Q42)</f>
        <v>0</v>
      </c>
      <c r="E253" s="448" t="n">
        <f aca="false">E175+(E175*'Previsión de Gastos'!$Q42)</f>
        <v>0</v>
      </c>
      <c r="F253" s="448" t="n">
        <f aca="false">F175+(F175*'Previsión de Gastos'!$Q42)</f>
        <v>0</v>
      </c>
      <c r="G253" s="448" t="n">
        <f aca="false">G175+(G175*'Previsión de Gastos'!$Q42)</f>
        <v>0</v>
      </c>
      <c r="H253" s="448" t="n">
        <f aca="false">H175+(H175*'Previsión de Gastos'!$Q42)</f>
        <v>0</v>
      </c>
      <c r="I253" s="448" t="n">
        <f aca="false">I175+(I175*'Previsión de Gastos'!$Q42)</f>
        <v>0</v>
      </c>
      <c r="J253" s="448" t="n">
        <f aca="false">J175+(J175*'Previsión de Gastos'!$Q42)</f>
        <v>0</v>
      </c>
      <c r="K253" s="448" t="n">
        <f aca="false">K175+(K175*'Previsión de Gastos'!$Q42)</f>
        <v>0</v>
      </c>
      <c r="L253" s="448" t="n">
        <f aca="false">L175+(L175*'Previsión de Gastos'!$Q42)</f>
        <v>0</v>
      </c>
      <c r="M253" s="448" t="n">
        <f aca="false">M175+(M175*'Previsión de Gastos'!$Q42)</f>
        <v>0</v>
      </c>
      <c r="N253" s="448" t="n">
        <f aca="false">N175+(N175*'Previsión de Gastos'!$Q42)</f>
        <v>0</v>
      </c>
      <c r="O253" s="448" t="n">
        <f aca="false">O175+(O175*'Previsión de Gastos'!$Q42)</f>
        <v>0</v>
      </c>
      <c r="P253" s="522"/>
      <c r="Q253" s="636" t="n">
        <f aca="false">SUM(D253:P253)</f>
        <v>0</v>
      </c>
      <c r="R253" s="476"/>
      <c r="S253" s="476"/>
      <c r="T253" s="476"/>
      <c r="U253" s="476"/>
    </row>
    <row r="254" customFormat="false" ht="12.75" hidden="false" customHeight="false" outlineLevel="0" collapsed="false">
      <c r="B254" s="474"/>
      <c r="C254" s="358" t="str">
        <f aca="false">C97</f>
        <v>Mantenimiento y reparación</v>
      </c>
      <c r="D254" s="538" t="n">
        <f aca="false">D176+(D176*'Previsión de Gastos'!$Q43)</f>
        <v>0</v>
      </c>
      <c r="E254" s="448" t="n">
        <f aca="false">E176+(E176*'Previsión de Gastos'!$Q43)</f>
        <v>0</v>
      </c>
      <c r="F254" s="448" t="n">
        <f aca="false">F176+(F176*'Previsión de Gastos'!$Q43)</f>
        <v>0</v>
      </c>
      <c r="G254" s="448" t="n">
        <f aca="false">G176+(G176*'Previsión de Gastos'!$Q43)</f>
        <v>0</v>
      </c>
      <c r="H254" s="448" t="n">
        <f aca="false">H176+(H176*'Previsión de Gastos'!$Q43)</f>
        <v>0</v>
      </c>
      <c r="I254" s="448" t="n">
        <f aca="false">I176+(I176*'Previsión de Gastos'!$Q43)</f>
        <v>0</v>
      </c>
      <c r="J254" s="448" t="n">
        <f aca="false">J176+(J176*'Previsión de Gastos'!$Q43)</f>
        <v>0</v>
      </c>
      <c r="K254" s="448" t="n">
        <f aca="false">K176+(K176*'Previsión de Gastos'!$Q43)</f>
        <v>0</v>
      </c>
      <c r="L254" s="448" t="n">
        <f aca="false">L176+(L176*'Previsión de Gastos'!$Q43)</f>
        <v>0</v>
      </c>
      <c r="M254" s="448" t="n">
        <f aca="false">M176+(M176*'Previsión de Gastos'!$Q43)</f>
        <v>0</v>
      </c>
      <c r="N254" s="448" t="n">
        <f aca="false">N176+(N176*'Previsión de Gastos'!$Q43)</f>
        <v>0</v>
      </c>
      <c r="O254" s="448" t="n">
        <f aca="false">O176+(O176*'Previsión de Gastos'!$Q43)</f>
        <v>0</v>
      </c>
      <c r="P254" s="522"/>
      <c r="Q254" s="636" t="n">
        <f aca="false">SUM(D254:P254)</f>
        <v>0</v>
      </c>
      <c r="R254" s="476"/>
      <c r="S254" s="476"/>
      <c r="T254" s="476"/>
      <c r="U254" s="476"/>
    </row>
    <row r="255" customFormat="false" ht="12.75" hidden="false" customHeight="false" outlineLevel="0" collapsed="false">
      <c r="B255" s="474"/>
      <c r="C255" s="358" t="str">
        <f aca="false">C98</f>
        <v>Limpieza</v>
      </c>
      <c r="D255" s="576" t="n">
        <f aca="false">D177+(D177*'Previsión de Gastos'!$Q44)</f>
        <v>0</v>
      </c>
      <c r="E255" s="526" t="n">
        <f aca="false">E177+(E177*'Previsión de Gastos'!$Q44)</f>
        <v>0</v>
      </c>
      <c r="F255" s="526" t="n">
        <f aca="false">F177+(F177*'Previsión de Gastos'!$Q44)</f>
        <v>0</v>
      </c>
      <c r="G255" s="526" t="n">
        <f aca="false">G177+(G177*'Previsión de Gastos'!$Q44)</f>
        <v>0</v>
      </c>
      <c r="H255" s="526" t="n">
        <f aca="false">H177+(H177*'Previsión de Gastos'!$Q44)</f>
        <v>0</v>
      </c>
      <c r="I255" s="526" t="n">
        <f aca="false">I177+(I177*'Previsión de Gastos'!$Q44)</f>
        <v>0</v>
      </c>
      <c r="J255" s="526" t="n">
        <f aca="false">J177+(J177*'Previsión de Gastos'!$Q44)</f>
        <v>0</v>
      </c>
      <c r="K255" s="526" t="n">
        <f aca="false">K177+(K177*'Previsión de Gastos'!$Q44)</f>
        <v>0</v>
      </c>
      <c r="L255" s="526" t="n">
        <f aca="false">L177+(L177*'Previsión de Gastos'!$Q44)</f>
        <v>0</v>
      </c>
      <c r="M255" s="526" t="n">
        <f aca="false">M177+(M177*'Previsión de Gastos'!$Q44)</f>
        <v>0</v>
      </c>
      <c r="N255" s="526" t="n">
        <f aca="false">N177+(N177*'Previsión de Gastos'!$Q44)</f>
        <v>0</v>
      </c>
      <c r="O255" s="526" t="n">
        <f aca="false">O177+(O177*'Previsión de Gastos'!$Q44)</f>
        <v>0</v>
      </c>
      <c r="P255" s="567"/>
      <c r="Q255" s="637" t="n">
        <f aca="false">SUM(D255:P255)</f>
        <v>0</v>
      </c>
      <c r="S255" s="93"/>
    </row>
    <row r="256" customFormat="false" ht="12.75" hidden="false" customHeight="false" outlineLevel="0" collapsed="false">
      <c r="B256" s="474"/>
      <c r="C256" s="358" t="str">
        <f aca="false">C99</f>
        <v>Hosting</v>
      </c>
      <c r="D256" s="576" t="n">
        <f aca="false">D178+(D178*'Previsión de Gastos'!$Q45)</f>
        <v>0</v>
      </c>
      <c r="E256" s="526" t="n">
        <f aca="false">E178+(E178*'Previsión de Gastos'!$Q45)</f>
        <v>0</v>
      </c>
      <c r="F256" s="526" t="n">
        <f aca="false">F178+(F178*'Previsión de Gastos'!$Q45)</f>
        <v>0</v>
      </c>
      <c r="G256" s="526" t="n">
        <f aca="false">G178+(G178*'Previsión de Gastos'!$Q45)</f>
        <v>0</v>
      </c>
      <c r="H256" s="526" t="n">
        <f aca="false">H178+(H178*'Previsión de Gastos'!$Q45)</f>
        <v>0</v>
      </c>
      <c r="I256" s="526" t="n">
        <f aca="false">I178+(I178*'Previsión de Gastos'!$Q45)</f>
        <v>0</v>
      </c>
      <c r="J256" s="526" t="n">
        <f aca="false">J178+(J178*'Previsión de Gastos'!$Q45)</f>
        <v>0</v>
      </c>
      <c r="K256" s="526" t="n">
        <f aca="false">K178+(K178*'Previsión de Gastos'!$Q45)</f>
        <v>0</v>
      </c>
      <c r="L256" s="526" t="n">
        <f aca="false">L178+(L178*'Previsión de Gastos'!$Q45)</f>
        <v>0</v>
      </c>
      <c r="M256" s="526" t="n">
        <f aca="false">M178+(M178*'Previsión de Gastos'!$Q45)</f>
        <v>0</v>
      </c>
      <c r="N256" s="526" t="n">
        <f aca="false">N178+(N178*'Previsión de Gastos'!$Q45)</f>
        <v>0</v>
      </c>
      <c r="O256" s="526" t="n">
        <f aca="false">O178+(O178*'Previsión de Gastos'!$Q45)</f>
        <v>0</v>
      </c>
      <c r="P256" s="567"/>
      <c r="Q256" s="637" t="n">
        <f aca="false">SUM(D256:P256)</f>
        <v>0</v>
      </c>
      <c r="S256" s="93"/>
    </row>
    <row r="257" customFormat="false" ht="12.75" hidden="false" customHeight="false" outlineLevel="0" collapsed="false">
      <c r="B257" s="474"/>
      <c r="C257" s="358" t="str">
        <f aca="false">C100</f>
        <v>Varios</v>
      </c>
      <c r="D257" s="576" t="n">
        <f aca="false">D179+(D179*'Previsión de Gastos'!$Q46)</f>
        <v>0</v>
      </c>
      <c r="E257" s="526" t="n">
        <f aca="false">E179+(E179*'Previsión de Gastos'!$Q46)</f>
        <v>0</v>
      </c>
      <c r="F257" s="526" t="n">
        <f aca="false">F179+(F179*'Previsión de Gastos'!$Q46)</f>
        <v>0</v>
      </c>
      <c r="G257" s="526" t="n">
        <f aca="false">G179+(G179*'Previsión de Gastos'!$Q46)</f>
        <v>0</v>
      </c>
      <c r="H257" s="526" t="n">
        <f aca="false">H179+(H179*'Previsión de Gastos'!$Q46)</f>
        <v>0</v>
      </c>
      <c r="I257" s="526" t="n">
        <f aca="false">I179+(I179*'Previsión de Gastos'!$Q46)</f>
        <v>0</v>
      </c>
      <c r="J257" s="526" t="n">
        <f aca="false">J179+(J179*'Previsión de Gastos'!$Q46)</f>
        <v>0</v>
      </c>
      <c r="K257" s="526" t="n">
        <f aca="false">K179+(K179*'Previsión de Gastos'!$Q46)</f>
        <v>0</v>
      </c>
      <c r="L257" s="526" t="n">
        <f aca="false">L179+(L179*'Previsión de Gastos'!$Q46)</f>
        <v>0</v>
      </c>
      <c r="M257" s="526" t="n">
        <f aca="false">M179+(M179*'Previsión de Gastos'!$Q46)</f>
        <v>0</v>
      </c>
      <c r="N257" s="526" t="n">
        <f aca="false">N179+(N179*'Previsión de Gastos'!$Q46)</f>
        <v>0</v>
      </c>
      <c r="O257" s="526" t="n">
        <f aca="false">O179+(O179*'Previsión de Gastos'!$Q46)</f>
        <v>0</v>
      </c>
      <c r="P257" s="567"/>
      <c r="Q257" s="637" t="n">
        <f aca="false">SUM(D257:P257)</f>
        <v>0</v>
      </c>
      <c r="S257" s="93"/>
    </row>
    <row r="258" s="23" customFormat="true" ht="12.75" hidden="false" customHeight="false" outlineLevel="0" collapsed="false">
      <c r="B258" s="474"/>
      <c r="C258" s="469" t="str">
        <f aca="false">C101</f>
        <v>Total</v>
      </c>
      <c r="D258" s="583" t="n">
        <f aca="false">SUM(D248:D257)</f>
        <v>0</v>
      </c>
      <c r="E258" s="583" t="n">
        <f aca="false">SUM(E248:E257)</f>
        <v>0</v>
      </c>
      <c r="F258" s="583" t="n">
        <f aca="false">SUM(F248:F257)</f>
        <v>0</v>
      </c>
      <c r="G258" s="583" t="n">
        <f aca="false">SUM(G248:G257)</f>
        <v>0</v>
      </c>
      <c r="H258" s="583" t="n">
        <f aca="false">SUM(H248:H257)</f>
        <v>0</v>
      </c>
      <c r="I258" s="583" t="n">
        <f aca="false">SUM(I248:I257)</f>
        <v>0</v>
      </c>
      <c r="J258" s="583" t="n">
        <f aca="false">SUM(J248:J257)</f>
        <v>0</v>
      </c>
      <c r="K258" s="583" t="n">
        <f aca="false">SUM(K248:K257)</f>
        <v>0</v>
      </c>
      <c r="L258" s="583" t="n">
        <f aca="false">SUM(L248:L257)</f>
        <v>0</v>
      </c>
      <c r="M258" s="583" t="n">
        <f aca="false">SUM(M248:M257)</f>
        <v>0</v>
      </c>
      <c r="N258" s="583" t="n">
        <f aca="false">SUM(N248:N257)</f>
        <v>0</v>
      </c>
      <c r="O258" s="583" t="n">
        <f aca="false">SUM(O248:O257)</f>
        <v>0</v>
      </c>
      <c r="P258" s="584"/>
      <c r="Q258" s="585" t="n">
        <f aca="false">SUM(Q248:Q257)</f>
        <v>0</v>
      </c>
      <c r="S258" s="93"/>
    </row>
    <row r="259" customFormat="false" ht="12.75" hidden="false" customHeight="false" outlineLevel="0" collapsed="false">
      <c r="B259" s="474"/>
      <c r="C259" s="358" t="str">
        <f aca="false">C102</f>
        <v>IVA soportado(*)</v>
      </c>
      <c r="D259" s="526" t="n">
        <f aca="false">IF('Datos generales'!$D$22&lt;=0,'Datos generales'!$D$19*D258,0)</f>
        <v>0</v>
      </c>
      <c r="E259" s="526" t="n">
        <f aca="false">IF('Datos generales'!$D$22&lt;=0,'Datos generales'!$D$19*E258,0)</f>
        <v>0</v>
      </c>
      <c r="F259" s="526" t="n">
        <f aca="false">IF('Datos generales'!$D$22&lt;=0,'Datos generales'!$D$19*F258,0)</f>
        <v>0</v>
      </c>
      <c r="G259" s="526" t="n">
        <f aca="false">IF('Datos generales'!$D$22&lt;=0,'Datos generales'!$D$19*G258,0)</f>
        <v>0</v>
      </c>
      <c r="H259" s="526" t="n">
        <f aca="false">IF('Datos generales'!$D$22&lt;=0,'Datos generales'!$D$19*H258,0)</f>
        <v>0</v>
      </c>
      <c r="I259" s="526" t="n">
        <f aca="false">IF('Datos generales'!$D$22&lt;=0,'Datos generales'!$D$19*I258,0)</f>
        <v>0</v>
      </c>
      <c r="J259" s="526" t="n">
        <f aca="false">IF('Datos generales'!$D$22&lt;=0,'Datos generales'!$D$19*J258,0)</f>
        <v>0</v>
      </c>
      <c r="K259" s="526" t="n">
        <f aca="false">IF('Datos generales'!$D$22&lt;=0,'Datos generales'!$D$19*K258,0)</f>
        <v>0</v>
      </c>
      <c r="L259" s="526" t="n">
        <f aca="false">IF('Datos generales'!$D$22&lt;=0,'Datos generales'!$D$19*L258,0)</f>
        <v>0</v>
      </c>
      <c r="M259" s="526" t="n">
        <f aca="false">IF('Datos generales'!$D$22&lt;=0,'Datos generales'!$D$19*M258,0)</f>
        <v>0</v>
      </c>
      <c r="N259" s="526" t="n">
        <f aca="false">IF('Datos generales'!$D$22&lt;=0,'Datos generales'!$D$19*N258,0)</f>
        <v>0</v>
      </c>
      <c r="O259" s="526" t="n">
        <f aca="false">IF('Datos generales'!$D$22&lt;=0,'Datos generales'!$D$19*O258,0)</f>
        <v>0</v>
      </c>
      <c r="P259" s="567"/>
      <c r="Q259" s="637" t="n">
        <f aca="false">SUM(D259:P259)</f>
        <v>0</v>
      </c>
      <c r="S259" s="93"/>
    </row>
    <row r="260" customFormat="false" ht="12.75" hidden="false" customHeight="false" outlineLevel="0" collapsed="false">
      <c r="B260" s="474"/>
      <c r="C260" s="569" t="str">
        <f aca="false">C103</f>
        <v>Total Otros gastos (Servicios exteriores)</v>
      </c>
      <c r="D260" s="590" t="n">
        <f aca="false">SUM(D258:D259)</f>
        <v>0</v>
      </c>
      <c r="E260" s="591" t="n">
        <f aca="false">SUM(E258:E259)</f>
        <v>0</v>
      </c>
      <c r="F260" s="591" t="n">
        <f aca="false">SUM(F258:F259)</f>
        <v>0</v>
      </c>
      <c r="G260" s="591" t="n">
        <f aca="false">SUM(G258:G259)</f>
        <v>0</v>
      </c>
      <c r="H260" s="591" t="n">
        <f aca="false">SUM(H258:H259)</f>
        <v>0</v>
      </c>
      <c r="I260" s="591" t="n">
        <f aca="false">SUM(I258:I259)</f>
        <v>0</v>
      </c>
      <c r="J260" s="591" t="n">
        <f aca="false">SUM(J258:J259)</f>
        <v>0</v>
      </c>
      <c r="K260" s="591" t="n">
        <f aca="false">SUM(K258:K259)</f>
        <v>0</v>
      </c>
      <c r="L260" s="591" t="n">
        <f aca="false">SUM(L258:L259)</f>
        <v>0</v>
      </c>
      <c r="M260" s="591" t="n">
        <f aca="false">SUM(M258:M259)</f>
        <v>0</v>
      </c>
      <c r="N260" s="591" t="n">
        <f aca="false">SUM(N258:N259)</f>
        <v>0</v>
      </c>
      <c r="O260" s="591" t="n">
        <f aca="false">SUM(O258:O259)</f>
        <v>0</v>
      </c>
      <c r="P260" s="592" t="n">
        <f aca="false">SUM(P258:P259)</f>
        <v>0</v>
      </c>
      <c r="Q260" s="593" t="n">
        <f aca="false">SUM(Q258:Q259)</f>
        <v>0</v>
      </c>
      <c r="R260" s="476"/>
      <c r="S260" s="476"/>
      <c r="T260" s="476"/>
      <c r="U260" s="476"/>
    </row>
    <row r="261" customFormat="false" ht="12.75" hidden="false" customHeight="false" outlineLevel="0" collapsed="false">
      <c r="B261" s="474"/>
      <c r="D261" s="561"/>
      <c r="E261" s="476"/>
      <c r="F261" s="476"/>
      <c r="G261" s="476"/>
      <c r="H261" s="476"/>
      <c r="I261" s="476"/>
      <c r="J261" s="476"/>
      <c r="K261" s="476"/>
      <c r="L261" s="476"/>
      <c r="M261" s="476"/>
      <c r="N261" s="476"/>
      <c r="O261" s="476"/>
      <c r="P261" s="535"/>
      <c r="Q261" s="653"/>
      <c r="R261" s="476"/>
      <c r="S261" s="476"/>
    </row>
    <row r="262" customFormat="false" ht="13.5" hidden="false" customHeight="false" outlineLevel="0" collapsed="false">
      <c r="B262" s="594" t="str">
        <f aca="false">B105</f>
        <v>Total Otros gastos de explotación</v>
      </c>
      <c r="C262" s="595"/>
      <c r="D262" s="596" t="n">
        <f aca="false">D239+D246+D260</f>
        <v>0</v>
      </c>
      <c r="E262" s="597" t="n">
        <f aca="false">E239+E246+E260</f>
        <v>0</v>
      </c>
      <c r="F262" s="597" t="n">
        <f aca="false">F239+F246+F260</f>
        <v>0</v>
      </c>
      <c r="G262" s="597" t="n">
        <f aca="false">G239+G246+G260</f>
        <v>0</v>
      </c>
      <c r="H262" s="597" t="n">
        <f aca="false">H239+H246+H260</f>
        <v>0</v>
      </c>
      <c r="I262" s="597" t="n">
        <f aca="false">I239+I246+I260</f>
        <v>0</v>
      </c>
      <c r="J262" s="597" t="n">
        <f aca="false">J239+J246+J260</f>
        <v>0</v>
      </c>
      <c r="K262" s="597" t="n">
        <f aca="false">K239+K246+K260</f>
        <v>0</v>
      </c>
      <c r="L262" s="597" t="n">
        <f aca="false">L239+L246+L260</f>
        <v>0</v>
      </c>
      <c r="M262" s="597" t="n">
        <f aca="false">M239+M246+M260</f>
        <v>0</v>
      </c>
      <c r="N262" s="597" t="n">
        <f aca="false">N239+N246+N260</f>
        <v>0</v>
      </c>
      <c r="O262" s="597" t="n">
        <f aca="false">O239+O246+O260</f>
        <v>0</v>
      </c>
      <c r="P262" s="598" t="n">
        <f aca="false">P239+P246+P260</f>
        <v>0</v>
      </c>
      <c r="Q262" s="599" t="n">
        <f aca="false">SUM(D262:P262)</f>
        <v>0</v>
      </c>
      <c r="R262" s="476"/>
      <c r="S262" s="600"/>
      <c r="T262" s="476"/>
      <c r="U262" s="476"/>
    </row>
    <row r="263" customFormat="false" ht="12.75" hidden="false" customHeight="false" outlineLevel="0" collapsed="false">
      <c r="B263" s="474"/>
      <c r="D263" s="489"/>
      <c r="E263" s="453"/>
      <c r="F263" s="453"/>
      <c r="G263" s="453"/>
      <c r="H263" s="453"/>
      <c r="I263" s="453"/>
      <c r="J263" s="453"/>
      <c r="K263" s="453"/>
      <c r="L263" s="453"/>
      <c r="M263" s="453"/>
      <c r="N263" s="453"/>
      <c r="O263" s="453"/>
      <c r="P263" s="535"/>
      <c r="Q263" s="618"/>
      <c r="R263" s="476"/>
      <c r="S263" s="476"/>
    </row>
    <row r="264" customFormat="false" ht="12.75" hidden="false" customHeight="false" outlineLevel="0" collapsed="false">
      <c r="B264" s="547" t="str">
        <f aca="false">B108</f>
        <v>Amortización del inmovilizado</v>
      </c>
      <c r="C264" s="465"/>
      <c r="D264" s="565" t="n">
        <f aca="false">'AMORTIZACION CONTABLE'!L38/12</f>
        <v>1013.88888888889</v>
      </c>
      <c r="E264" s="566" t="n">
        <f aca="false">$D264</f>
        <v>1013.88888888889</v>
      </c>
      <c r="F264" s="566" t="n">
        <f aca="false">$D264</f>
        <v>1013.88888888889</v>
      </c>
      <c r="G264" s="566" t="n">
        <f aca="false">$D264</f>
        <v>1013.88888888889</v>
      </c>
      <c r="H264" s="566" t="n">
        <f aca="false">$D264</f>
        <v>1013.88888888889</v>
      </c>
      <c r="I264" s="566" t="n">
        <f aca="false">$D264</f>
        <v>1013.88888888889</v>
      </c>
      <c r="J264" s="566" t="n">
        <f aca="false">$D264</f>
        <v>1013.88888888889</v>
      </c>
      <c r="K264" s="566" t="n">
        <f aca="false">$D264</f>
        <v>1013.88888888889</v>
      </c>
      <c r="L264" s="566" t="n">
        <f aca="false">$D264</f>
        <v>1013.88888888889</v>
      </c>
      <c r="M264" s="566" t="n">
        <f aca="false">$D264</f>
        <v>1013.88888888889</v>
      </c>
      <c r="N264" s="566" t="n">
        <f aca="false">$D264</f>
        <v>1013.88888888889</v>
      </c>
      <c r="O264" s="566" t="n">
        <f aca="false">$D264</f>
        <v>1013.88888888889</v>
      </c>
      <c r="P264" s="588"/>
      <c r="Q264" s="640" t="n">
        <f aca="false">SUM(D264:P264)</f>
        <v>12166.6666666667</v>
      </c>
      <c r="R264" s="476"/>
      <c r="S264" s="476"/>
      <c r="T264" s="476"/>
      <c r="U264" s="476"/>
    </row>
    <row r="265" customFormat="false" ht="6" hidden="false" customHeight="true" outlineLevel="0" collapsed="false">
      <c r="B265" s="470"/>
      <c r="C265" s="23"/>
      <c r="D265" s="533"/>
      <c r="E265" s="534"/>
      <c r="F265" s="534"/>
      <c r="G265" s="534"/>
      <c r="H265" s="534"/>
      <c r="I265" s="534"/>
      <c r="J265" s="534"/>
      <c r="K265" s="534"/>
      <c r="L265" s="534"/>
      <c r="M265" s="534"/>
      <c r="N265" s="534"/>
      <c r="O265" s="534"/>
      <c r="P265" s="535"/>
      <c r="Q265" s="639"/>
      <c r="R265" s="476"/>
      <c r="S265" s="476"/>
      <c r="T265" s="476"/>
    </row>
    <row r="266" customFormat="false" ht="24.75" hidden="false" customHeight="true" outlineLevel="0" collapsed="false">
      <c r="B266" s="606" t="str">
        <f aca="false">B110</f>
        <v>Imputación de subvenciones de inmovilizado no financiero y otras:</v>
      </c>
      <c r="C266" s="606"/>
      <c r="D266" s="562"/>
      <c r="E266" s="563"/>
      <c r="F266" s="563"/>
      <c r="G266" s="563"/>
      <c r="H266" s="563"/>
      <c r="I266" s="563"/>
      <c r="J266" s="563"/>
      <c r="K266" s="563"/>
      <c r="L266" s="563"/>
      <c r="M266" s="563"/>
      <c r="N266" s="563"/>
      <c r="O266" s="563"/>
      <c r="P266" s="607" t="n">
        <f aca="false">'Entrada Inver_Finan'!G102+'Entrada Inver_Finan'!G103</f>
        <v>0</v>
      </c>
      <c r="Q266" s="649" t="n">
        <f aca="false">SUM(D266:P266)</f>
        <v>0</v>
      </c>
      <c r="S266" s="93"/>
    </row>
    <row r="267" customFormat="false" ht="13.5" hidden="false" customHeight="false" outlineLevel="0" collapsed="false">
      <c r="B267" s="470"/>
      <c r="C267" s="23"/>
      <c r="D267" s="659"/>
      <c r="E267" s="600"/>
      <c r="F267" s="600"/>
      <c r="G267" s="600"/>
      <c r="H267" s="600"/>
      <c r="I267" s="600"/>
      <c r="J267" s="600"/>
      <c r="K267" s="600"/>
      <c r="L267" s="600"/>
      <c r="M267" s="600"/>
      <c r="N267" s="600"/>
      <c r="O267" s="600"/>
      <c r="P267" s="660"/>
      <c r="Q267" s="661"/>
      <c r="R267" s="476"/>
      <c r="S267" s="476"/>
      <c r="T267" s="476"/>
    </row>
    <row r="268" customFormat="false" ht="14.25" hidden="false" customHeight="false" outlineLevel="0" collapsed="false">
      <c r="B268" s="554" t="str">
        <f aca="false">B112</f>
        <v>RESULTADO DE EXPLOTACIÓN</v>
      </c>
      <c r="C268" s="619"/>
      <c r="D268" s="596" t="n">
        <f aca="false">D221-D230-D262-D264+D266</f>
        <v>5073.66111111111</v>
      </c>
      <c r="E268" s="597" t="n">
        <f aca="false">E221-E230-E262-E264+E266</f>
        <v>5073.66111111111</v>
      </c>
      <c r="F268" s="597" t="n">
        <f aca="false">F221-F230-F262-F264+F266</f>
        <v>5073.66111111111</v>
      </c>
      <c r="G268" s="597" t="n">
        <f aca="false">G221-G230-G262-G264+G266</f>
        <v>5073.66111111111</v>
      </c>
      <c r="H268" s="597" t="n">
        <f aca="false">H221-H230-H262-H264+H266</f>
        <v>5073.66111111111</v>
      </c>
      <c r="I268" s="597" t="n">
        <f aca="false">I221-I230-I262-I264+I266</f>
        <v>5073.66111111111</v>
      </c>
      <c r="J268" s="597" t="n">
        <f aca="false">J221-J230-J262-J264+J266</f>
        <v>5073.66111111111</v>
      </c>
      <c r="K268" s="597" t="n">
        <f aca="false">K221-K230-K262-K264+K266</f>
        <v>5073.66111111111</v>
      </c>
      <c r="L268" s="597" t="n">
        <f aca="false">L221-L230-L262-L264+L266</f>
        <v>5073.66111111111</v>
      </c>
      <c r="M268" s="597" t="n">
        <f aca="false">M221-M230-M262-M264+M266</f>
        <v>5073.66111111111</v>
      </c>
      <c r="N268" s="597" t="n">
        <f aca="false">N221-N230-N262-N264+N266</f>
        <v>5073.66111111111</v>
      </c>
      <c r="O268" s="597" t="n">
        <f aca="false">O221-O230-O262-O264+O266</f>
        <v>5073.66111111111</v>
      </c>
      <c r="P268" s="598" t="n">
        <f aca="false">P212-P230-P262-P264+P266</f>
        <v>0</v>
      </c>
      <c r="Q268" s="599" t="n">
        <f aca="false">SUM(D268:P268)</f>
        <v>60883.9333333333</v>
      </c>
      <c r="R268" s="476"/>
      <c r="S268" s="476"/>
      <c r="T268" s="476"/>
      <c r="U268" s="476"/>
    </row>
    <row r="269" customFormat="false" ht="12.75" hidden="false" customHeight="false" outlineLevel="0" collapsed="false">
      <c r="B269" s="470" t="str">
        <f aca="false">B113</f>
        <v>Ingresos financieros</v>
      </c>
      <c r="C269" s="23"/>
      <c r="D269" s="43"/>
      <c r="E269" s="23"/>
      <c r="F269" s="23"/>
      <c r="G269" s="23"/>
      <c r="H269" s="23"/>
      <c r="I269" s="23"/>
      <c r="J269" s="23"/>
      <c r="K269" s="23"/>
      <c r="L269" s="23"/>
      <c r="M269" s="23"/>
      <c r="N269" s="23"/>
      <c r="O269" s="23"/>
      <c r="P269" s="313"/>
      <c r="Q269" s="650"/>
      <c r="S269" s="93"/>
    </row>
    <row r="270" customFormat="false" ht="12.75" hidden="false" customHeight="false" outlineLevel="0" collapsed="false">
      <c r="B270" s="474"/>
      <c r="C270" s="350" t="n">
        <f aca="false">C114</f>
        <v>0</v>
      </c>
      <c r="D270" s="562" t="n">
        <f aca="false">D192+D192*'Previsión de Gastos'!$Q53</f>
        <v>0</v>
      </c>
      <c r="E270" s="563" t="n">
        <f aca="false">E192+E192*'Previsión de Gastos'!$Q53</f>
        <v>0</v>
      </c>
      <c r="F270" s="563" t="n">
        <f aca="false">F192+F192*'Previsión de Gastos'!$Q53</f>
        <v>0</v>
      </c>
      <c r="G270" s="563" t="n">
        <f aca="false">G192+G192*'Previsión de Gastos'!$Q53</f>
        <v>0</v>
      </c>
      <c r="H270" s="563" t="n">
        <f aca="false">H192+H192*'Previsión de Gastos'!$Q53</f>
        <v>0</v>
      </c>
      <c r="I270" s="563" t="n">
        <f aca="false">I192+I192*'Previsión de Gastos'!$Q53</f>
        <v>0</v>
      </c>
      <c r="J270" s="563" t="n">
        <f aca="false">J192+J192*'Previsión de Gastos'!$Q53</f>
        <v>0</v>
      </c>
      <c r="K270" s="563" t="n">
        <f aca="false">K192+K192*'Previsión de Gastos'!$Q53</f>
        <v>0</v>
      </c>
      <c r="L270" s="563" t="n">
        <f aca="false">L192+L192*'Previsión de Gastos'!$Q53</f>
        <v>0</v>
      </c>
      <c r="M270" s="563" t="n">
        <f aca="false">M192+M192*'Previsión de Gastos'!$Q53</f>
        <v>0</v>
      </c>
      <c r="N270" s="563" t="n">
        <f aca="false">N192+N192*'Previsión de Gastos'!$Q53</f>
        <v>0</v>
      </c>
      <c r="O270" s="563" t="n">
        <f aca="false">O192+O192*'Previsión de Gastos'!$Q53</f>
        <v>0</v>
      </c>
      <c r="P270" s="564"/>
      <c r="Q270" s="649" t="n">
        <f aca="false">SUM(D270:P270)</f>
        <v>0</v>
      </c>
      <c r="S270" s="93"/>
    </row>
    <row r="271" customFormat="false" ht="12.75" hidden="false" customHeight="false" outlineLevel="0" collapsed="false">
      <c r="B271" s="474"/>
      <c r="C271" s="358" t="n">
        <f aca="false">C115</f>
        <v>0</v>
      </c>
      <c r="D271" s="576" t="n">
        <f aca="false">D193+D193*'Previsión de Gastos'!$Q54</f>
        <v>0</v>
      </c>
      <c r="E271" s="526" t="n">
        <f aca="false">E193+E193*'Previsión de Gastos'!$Q54</f>
        <v>0</v>
      </c>
      <c r="F271" s="526" t="n">
        <f aca="false">F193+F193*'Previsión de Gastos'!$Q54</f>
        <v>0</v>
      </c>
      <c r="G271" s="526" t="n">
        <f aca="false">G193+G193*'Previsión de Gastos'!$Q54</f>
        <v>0</v>
      </c>
      <c r="H271" s="526" t="n">
        <f aca="false">H193+H193*'Previsión de Gastos'!$Q54</f>
        <v>0</v>
      </c>
      <c r="I271" s="526" t="n">
        <f aca="false">I193+I193*'Previsión de Gastos'!$Q54</f>
        <v>0</v>
      </c>
      <c r="J271" s="526" t="n">
        <f aca="false">J193+J193*'Previsión de Gastos'!$Q54</f>
        <v>0</v>
      </c>
      <c r="K271" s="526" t="n">
        <f aca="false">K193+K193*'Previsión de Gastos'!$Q54</f>
        <v>0</v>
      </c>
      <c r="L271" s="526" t="n">
        <f aca="false">L193+L193*'Previsión de Gastos'!$Q54</f>
        <v>0</v>
      </c>
      <c r="M271" s="526" t="n">
        <f aca="false">M193+M193*'Previsión de Gastos'!$Q54</f>
        <v>0</v>
      </c>
      <c r="N271" s="526" t="n">
        <f aca="false">N193+N193*'Previsión de Gastos'!$Q54</f>
        <v>0</v>
      </c>
      <c r="O271" s="526" t="n">
        <f aca="false">O193+O193*'Previsión de Gastos'!$Q54</f>
        <v>0</v>
      </c>
      <c r="P271" s="567"/>
      <c r="Q271" s="637" t="n">
        <f aca="false">SUM(D271:P271)</f>
        <v>0</v>
      </c>
      <c r="S271" s="93"/>
    </row>
    <row r="272" customFormat="false" ht="12.75" hidden="false" customHeight="false" outlineLevel="0" collapsed="false">
      <c r="B272" s="568" t="str">
        <f aca="false">B116</f>
        <v>Total Ingresos financieros</v>
      </c>
      <c r="C272" s="569"/>
      <c r="D272" s="579" t="n">
        <f aca="false">SUM(D270:D271)</f>
        <v>0</v>
      </c>
      <c r="E272" s="362" t="n">
        <f aca="false">SUM(E270:E271)</f>
        <v>0</v>
      </c>
      <c r="F272" s="362" t="n">
        <f aca="false">SUM(F270:F271)</f>
        <v>0</v>
      </c>
      <c r="G272" s="362" t="n">
        <f aca="false">SUM(G270:G271)</f>
        <v>0</v>
      </c>
      <c r="H272" s="362" t="n">
        <f aca="false">SUM(H270:H271)</f>
        <v>0</v>
      </c>
      <c r="I272" s="362" t="n">
        <f aca="false">SUM(I270:I271)</f>
        <v>0</v>
      </c>
      <c r="J272" s="362" t="n">
        <f aca="false">SUM(J270:J271)</f>
        <v>0</v>
      </c>
      <c r="K272" s="362" t="n">
        <f aca="false">SUM(K270:K271)</f>
        <v>0</v>
      </c>
      <c r="L272" s="362" t="n">
        <f aca="false">SUM(L270:L271)</f>
        <v>0</v>
      </c>
      <c r="M272" s="362" t="n">
        <f aca="false">SUM(M270:M271)</f>
        <v>0</v>
      </c>
      <c r="N272" s="362" t="n">
        <f aca="false">SUM(N270:N271)</f>
        <v>0</v>
      </c>
      <c r="O272" s="362" t="n">
        <f aca="false">SUM(O270:O271)</f>
        <v>0</v>
      </c>
      <c r="P272" s="362" t="n">
        <f aca="false">SUM(P270:P271)</f>
        <v>0</v>
      </c>
      <c r="Q272" s="652" t="n">
        <f aca="false">SUM(Q270:Q271)</f>
        <v>0</v>
      </c>
      <c r="S272" s="93"/>
    </row>
    <row r="273" customFormat="false" ht="12.75" hidden="false" customHeight="false" outlineLevel="0" collapsed="false">
      <c r="B273" s="470" t="str">
        <f aca="false">B117</f>
        <v>Gastos financieros:</v>
      </c>
      <c r="C273" s="23"/>
      <c r="D273" s="561"/>
      <c r="E273" s="476"/>
      <c r="F273" s="476"/>
      <c r="G273" s="476"/>
      <c r="H273" s="476"/>
      <c r="I273" s="476"/>
      <c r="J273" s="476"/>
      <c r="K273" s="476"/>
      <c r="L273" s="476"/>
      <c r="M273" s="476"/>
      <c r="N273" s="476"/>
      <c r="O273" s="476"/>
      <c r="P273" s="535"/>
      <c r="Q273" s="618"/>
      <c r="R273" s="476"/>
      <c r="S273" s="476"/>
      <c r="T273" s="476"/>
      <c r="U273" s="476"/>
    </row>
    <row r="274" customFormat="false" ht="12.75" hidden="false" customHeight="false" outlineLevel="0" collapsed="false">
      <c r="B274" s="474"/>
      <c r="C274" s="350" t="str">
        <f aca="false">C118</f>
        <v>Gastos amortización préstamos Largo Plazo</v>
      </c>
      <c r="D274" s="586" t="n">
        <f aca="true">OFFSET('Préstamos LP'!$E$59,'Datos generales'!D1,0,1,1)</f>
        <v>0</v>
      </c>
      <c r="E274" s="587" t="n">
        <f aca="true">OFFSET('Préstamos LP'!$E$59,'Datos generales'!E1,0,1,1)</f>
        <v>0</v>
      </c>
      <c r="F274" s="587" t="n">
        <f aca="true">OFFSET('Préstamos LP'!$E$59,'Datos generales'!F1,0,1,1)</f>
        <v>0</v>
      </c>
      <c r="G274" s="587" t="n">
        <f aca="true">OFFSET('Préstamos LP'!$E$59,'Datos generales'!G1,0,1,1)</f>
        <v>0</v>
      </c>
      <c r="H274" s="587" t="n">
        <f aca="true">OFFSET('Préstamos LP'!$E$59,'Datos generales'!H1,0,1,1)</f>
        <v>0</v>
      </c>
      <c r="I274" s="587" t="n">
        <f aca="true">OFFSET('Préstamos LP'!$E$59,'Datos generales'!I1,0,1,1)</f>
        <v>0</v>
      </c>
      <c r="J274" s="587" t="n">
        <f aca="true">OFFSET('Préstamos LP'!$E$59,'Datos generales'!J1,0,1,1)</f>
        <v>0</v>
      </c>
      <c r="K274" s="587" t="n">
        <f aca="true">OFFSET('Préstamos LP'!$E$59,'Datos generales'!K1,0,1,1)</f>
        <v>0</v>
      </c>
      <c r="L274" s="587" t="n">
        <f aca="true">OFFSET('Préstamos LP'!$E$59,'Datos generales'!L1,0,1,1)</f>
        <v>0</v>
      </c>
      <c r="M274" s="587" t="n">
        <f aca="true">OFFSET('Préstamos LP'!$E$59,'Datos generales'!M1,0,1,1)</f>
        <v>0</v>
      </c>
      <c r="N274" s="587" t="n">
        <f aca="true">OFFSET('Préstamos LP'!$E$59,'Datos generales'!N1,0,1,1)</f>
        <v>0</v>
      </c>
      <c r="O274" s="587" t="n">
        <f aca="true">OFFSET('Préstamos LP'!$E$59,'Datos generales'!O1,0,1,1)</f>
        <v>0</v>
      </c>
      <c r="P274" s="588"/>
      <c r="Q274" s="640" t="n">
        <f aca="false">SUM(D274:P274)</f>
        <v>0</v>
      </c>
      <c r="R274" s="476"/>
      <c r="S274" s="476"/>
      <c r="T274" s="476"/>
      <c r="U274" s="476"/>
    </row>
    <row r="275" customFormat="false" ht="12.75" hidden="false" customHeight="false" outlineLevel="0" collapsed="false">
      <c r="B275" s="474"/>
      <c r="C275" s="350" t="s">
        <v>435</v>
      </c>
      <c r="D275" s="587" t="n">
        <f aca="true">OFFSET('Préstamos LP'!$D$59,'Datos generales'!D1,0,1,1)</f>
        <v>0</v>
      </c>
      <c r="E275" s="587" t="n">
        <f aca="true">OFFSET('Préstamos LP'!$D$59,'Datos generales'!E1,0,1,1)</f>
        <v>0</v>
      </c>
      <c r="F275" s="587" t="n">
        <f aca="true">OFFSET('Préstamos LP'!$D$59,'Datos generales'!F1,0,1,1)</f>
        <v>0</v>
      </c>
      <c r="G275" s="587" t="n">
        <f aca="true">OFFSET('Préstamos LP'!$D$59,'Datos generales'!G1,0,1,1)</f>
        <v>0</v>
      </c>
      <c r="H275" s="587" t="n">
        <f aca="true">OFFSET('Préstamos LP'!$D$59,'Datos generales'!H1,0,1,1)</f>
        <v>0</v>
      </c>
      <c r="I275" s="587" t="n">
        <f aca="true">OFFSET('Préstamos LP'!$D$59,'Datos generales'!I1,0,1,1)</f>
        <v>0</v>
      </c>
      <c r="J275" s="587" t="n">
        <f aca="true">OFFSET('Préstamos LP'!$D$59,'Datos generales'!J1,0,1,1)</f>
        <v>0</v>
      </c>
      <c r="K275" s="587" t="n">
        <f aca="true">OFFSET('Préstamos LP'!$D$59,'Datos generales'!K1,0,1,1)</f>
        <v>0</v>
      </c>
      <c r="L275" s="587" t="n">
        <f aca="true">OFFSET('Préstamos LP'!$D$59,'Datos generales'!L1,0,1,1)</f>
        <v>0</v>
      </c>
      <c r="M275" s="587" t="n">
        <f aca="true">OFFSET('Préstamos LP'!$D$59,'Datos generales'!M1,0,1,1)</f>
        <v>0</v>
      </c>
      <c r="N275" s="587" t="n">
        <f aca="true">OFFSET('Préstamos LP'!$D$59,'Datos generales'!N1,0,1,1)</f>
        <v>0</v>
      </c>
      <c r="O275" s="587" t="n">
        <f aca="true">OFFSET('Préstamos LP'!$D$59,'Datos generales'!O1,0,1,1)</f>
        <v>0</v>
      </c>
      <c r="P275" s="588"/>
      <c r="Q275" s="637" t="n">
        <f aca="false">SUM(D275:P275)</f>
        <v>0</v>
      </c>
      <c r="R275" s="476"/>
      <c r="S275" s="93"/>
      <c r="T275" s="476"/>
      <c r="U275" s="476"/>
    </row>
    <row r="276" customFormat="false" ht="12.75" hidden="false" customHeight="false" outlineLevel="0" collapsed="false">
      <c r="B276" s="474"/>
      <c r="C276" s="358" t="str">
        <f aca="false">C120</f>
        <v>Gastos amortización préstamos Corto Plazo</v>
      </c>
      <c r="D276" s="577" t="n">
        <f aca="true">OFFSET('Préstamos CP'!$D$48,'Datos generales'!D1,0,1,1)</f>
        <v>0</v>
      </c>
      <c r="E276" s="577" t="n">
        <f aca="true">OFFSET('Préstamos CP'!$D$48,'Datos generales'!E1,0,1,1)</f>
        <v>0</v>
      </c>
      <c r="F276" s="577" t="n">
        <f aca="true">OFFSET('Préstamos CP'!$D$48,'Datos generales'!F1,0,1,1)</f>
        <v>0</v>
      </c>
      <c r="G276" s="577" t="n">
        <f aca="true">OFFSET('Préstamos CP'!$D$48,'Datos generales'!G1,0,1,1)</f>
        <v>0</v>
      </c>
      <c r="H276" s="577" t="n">
        <f aca="true">OFFSET('Préstamos CP'!$D$48,'Datos generales'!H1,0,1,1)</f>
        <v>0</v>
      </c>
      <c r="I276" s="577" t="n">
        <f aca="true">OFFSET('Préstamos CP'!$D$48,'Datos generales'!I1,0,1,1)</f>
        <v>0</v>
      </c>
      <c r="J276" s="577" t="n">
        <f aca="true">OFFSET('Préstamos CP'!$D$48,'Datos generales'!J1,0,1,1)</f>
        <v>0</v>
      </c>
      <c r="K276" s="577" t="n">
        <f aca="true">OFFSET('Préstamos CP'!$D$48,'Datos generales'!K1,0,1,1)</f>
        <v>0</v>
      </c>
      <c r="L276" s="577" t="n">
        <f aca="true">OFFSET('Préstamos CP'!$D$48,'Datos generales'!L1,0,1,1)</f>
        <v>0</v>
      </c>
      <c r="M276" s="577" t="n">
        <f aca="true">OFFSET('Préstamos CP'!$D$48,'Datos generales'!M1,0,1,1)</f>
        <v>0</v>
      </c>
      <c r="N276" s="577" t="n">
        <f aca="true">OFFSET('Préstamos CP'!$D$48,'Datos generales'!N1,0,1,1)</f>
        <v>0</v>
      </c>
      <c r="O276" s="577" t="n">
        <f aca="true">OFFSET('Préstamos CP'!$D$48,'Datos generales'!O1,0,1,1)</f>
        <v>0</v>
      </c>
      <c r="P276" s="567"/>
      <c r="Q276" s="637" t="n">
        <f aca="false">SUM(D276:P276)</f>
        <v>0</v>
      </c>
      <c r="S276" s="93"/>
    </row>
    <row r="277" customFormat="false" ht="12.75" hidden="false" customHeight="false" outlineLevel="0" collapsed="false">
      <c r="B277" s="474"/>
      <c r="C277" s="358" t="str">
        <f aca="false">C121</f>
        <v>Arrendamientos Financieros</v>
      </c>
      <c r="D277" s="526" t="n">
        <f aca="true">OFFSET('Préstamos LP'!$V$59,'Datos generales'!D1,0,1,1)</f>
        <v>0</v>
      </c>
      <c r="E277" s="526" t="n">
        <f aca="true">OFFSET('Préstamos LP'!$V$59,'Datos generales'!E1,0,1,1)</f>
        <v>0</v>
      </c>
      <c r="F277" s="526" t="n">
        <f aca="true">OFFSET('Préstamos LP'!$V$59,'Datos generales'!F1,0,1,1)</f>
        <v>0</v>
      </c>
      <c r="G277" s="526" t="n">
        <f aca="true">OFFSET('Préstamos LP'!$V$59,'Datos generales'!G1,0,1,1)</f>
        <v>0</v>
      </c>
      <c r="H277" s="526" t="n">
        <f aca="true">OFFSET('Préstamos LP'!$V$59,'Datos generales'!H1,0,1,1)</f>
        <v>0</v>
      </c>
      <c r="I277" s="526" t="n">
        <f aca="true">OFFSET('Préstamos LP'!$V$59,'Datos generales'!I1,0,1,1)</f>
        <v>0</v>
      </c>
      <c r="J277" s="526" t="n">
        <f aca="true">OFFSET('Préstamos LP'!$V$59,'Datos generales'!J1,0,1,1)</f>
        <v>0</v>
      </c>
      <c r="K277" s="526" t="n">
        <f aca="true">OFFSET('Préstamos LP'!$V$59,'Datos generales'!K1,0,1,1)</f>
        <v>0</v>
      </c>
      <c r="L277" s="526" t="n">
        <f aca="true">OFFSET('Préstamos LP'!$V$59,'Datos generales'!L1,0,1,1)</f>
        <v>0</v>
      </c>
      <c r="M277" s="526" t="n">
        <f aca="true">OFFSET('Préstamos LP'!$V$59,'Datos generales'!M1,0,1,1)</f>
        <v>0</v>
      </c>
      <c r="N277" s="526" t="n">
        <f aca="true">OFFSET('Préstamos LP'!$V$59,'Datos generales'!N1,0,1,1)</f>
        <v>0</v>
      </c>
      <c r="O277" s="526" t="n">
        <f aca="true">OFFSET('Préstamos LP'!$V$59,'Datos generales'!O1,0,1,1)</f>
        <v>0</v>
      </c>
      <c r="P277" s="567"/>
      <c r="Q277" s="637" t="n">
        <f aca="false">SUM(D277:P277)</f>
        <v>0</v>
      </c>
      <c r="S277" s="93"/>
    </row>
    <row r="278" customFormat="false" ht="12.75" hidden="false" customHeight="false" outlineLevel="0" collapsed="false">
      <c r="B278" s="474"/>
      <c r="C278" s="358" t="n">
        <f aca="false">C122</f>
        <v>0</v>
      </c>
      <c r="D278" s="576" t="n">
        <f aca="false">D200+D200*'Previsión de Gastos'!$Q29</f>
        <v>0</v>
      </c>
      <c r="E278" s="526" t="n">
        <f aca="false">E200+E200*'Previsión de Gastos'!$Q29</f>
        <v>0</v>
      </c>
      <c r="F278" s="526" t="n">
        <f aca="false">F200+F200*'Previsión de Gastos'!$Q29</f>
        <v>0</v>
      </c>
      <c r="G278" s="526" t="n">
        <f aca="false">G200+G200*'Previsión de Gastos'!$Q29</f>
        <v>0</v>
      </c>
      <c r="H278" s="526" t="n">
        <f aca="false">H200+H200*'Previsión de Gastos'!$Q29</f>
        <v>0</v>
      </c>
      <c r="I278" s="526" t="n">
        <f aca="false">I200+I200*'Previsión de Gastos'!$Q29</f>
        <v>0</v>
      </c>
      <c r="J278" s="526" t="n">
        <f aca="false">J200+J200*'Previsión de Gastos'!$Q29</f>
        <v>0</v>
      </c>
      <c r="K278" s="526" t="n">
        <f aca="false">K200+K200*'Previsión de Gastos'!$Q29</f>
        <v>0</v>
      </c>
      <c r="L278" s="526" t="n">
        <f aca="false">L200+L200*'Previsión de Gastos'!$Q29</f>
        <v>0</v>
      </c>
      <c r="M278" s="526" t="n">
        <f aca="false">M200+M200*'Previsión de Gastos'!$Q29</f>
        <v>0</v>
      </c>
      <c r="N278" s="526" t="n">
        <f aca="false">N200+N200*'Previsión de Gastos'!$Q29</f>
        <v>0</v>
      </c>
      <c r="O278" s="526" t="n">
        <f aca="false">O200+O200*'Previsión de Gastos'!$Q29</f>
        <v>0</v>
      </c>
      <c r="P278" s="567"/>
      <c r="Q278" s="654" t="n">
        <f aca="false">SUM(D278:P278)</f>
        <v>0</v>
      </c>
      <c r="S278" s="93"/>
    </row>
    <row r="279" customFormat="false" ht="12.75" hidden="false" customHeight="false" outlineLevel="0" collapsed="false">
      <c r="B279" s="568" t="str">
        <f aca="false">B123</f>
        <v>Total Gastos financieros</v>
      </c>
      <c r="C279" s="569"/>
      <c r="D279" s="590" t="n">
        <f aca="false">SUM(D274:D278)</f>
        <v>0</v>
      </c>
      <c r="E279" s="591" t="n">
        <f aca="false">SUM(E274:E278)</f>
        <v>0</v>
      </c>
      <c r="F279" s="591" t="n">
        <f aca="false">SUM(F274:F278)</f>
        <v>0</v>
      </c>
      <c r="G279" s="591" t="n">
        <f aca="false">SUM(G274:G278)</f>
        <v>0</v>
      </c>
      <c r="H279" s="591" t="n">
        <f aca="false">SUM(H274:H278)</f>
        <v>0</v>
      </c>
      <c r="I279" s="591" t="n">
        <f aca="false">SUM(I274:I278)</f>
        <v>0</v>
      </c>
      <c r="J279" s="591" t="n">
        <f aca="false">SUM(J274:J278)</f>
        <v>0</v>
      </c>
      <c r="K279" s="591" t="n">
        <f aca="false">SUM(K274:K278)</f>
        <v>0</v>
      </c>
      <c r="L279" s="591" t="n">
        <f aca="false">SUM(L274:L278)</f>
        <v>0</v>
      </c>
      <c r="M279" s="591" t="n">
        <f aca="false">SUM(M274:M278)</f>
        <v>0</v>
      </c>
      <c r="N279" s="591" t="n">
        <f aca="false">SUM(N274:N278)</f>
        <v>0</v>
      </c>
      <c r="O279" s="591" t="n">
        <f aca="false">SUM(O274:O278)</f>
        <v>0</v>
      </c>
      <c r="P279" s="592" t="n">
        <f aca="false">SUM(P274:P278)</f>
        <v>0</v>
      </c>
      <c r="Q279" s="655" t="n">
        <f aca="false">SUM(Q274:Q278)</f>
        <v>0</v>
      </c>
      <c r="R279" s="476"/>
      <c r="S279" s="476"/>
      <c r="T279" s="476"/>
      <c r="U279" s="476"/>
    </row>
    <row r="280" customFormat="false" ht="12.75" hidden="false" customHeight="false" outlineLevel="0" collapsed="false">
      <c r="B280" s="470"/>
      <c r="C280" s="23"/>
      <c r="D280" s="489"/>
      <c r="E280" s="453"/>
      <c r="F280" s="453"/>
      <c r="G280" s="453"/>
      <c r="H280" s="453"/>
      <c r="I280" s="453"/>
      <c r="J280" s="453"/>
      <c r="K280" s="453"/>
      <c r="L280" s="453"/>
      <c r="M280" s="453"/>
      <c r="N280" s="453"/>
      <c r="O280" s="453"/>
      <c r="P280" s="617"/>
      <c r="Q280" s="618"/>
      <c r="R280" s="476"/>
      <c r="S280" s="476"/>
      <c r="T280" s="476"/>
    </row>
    <row r="281" customFormat="false" ht="14.25" hidden="false" customHeight="false" outlineLevel="0" collapsed="false">
      <c r="B281" s="554" t="str">
        <f aca="false">B125</f>
        <v>RESULTADO FINANCIERO</v>
      </c>
      <c r="C281" s="619"/>
      <c r="D281" s="596" t="n">
        <f aca="false">+D272-D279</f>
        <v>0</v>
      </c>
      <c r="E281" s="597" t="n">
        <f aca="false">+E272-E279</f>
        <v>0</v>
      </c>
      <c r="F281" s="597" t="n">
        <f aca="false">+F272-F279</f>
        <v>0</v>
      </c>
      <c r="G281" s="597" t="n">
        <f aca="false">+G272-G279</f>
        <v>0</v>
      </c>
      <c r="H281" s="597" t="n">
        <f aca="false">+H272-H279</f>
        <v>0</v>
      </c>
      <c r="I281" s="597" t="n">
        <f aca="false">+I272-I279</f>
        <v>0</v>
      </c>
      <c r="J281" s="597" t="n">
        <f aca="false">+J272-J279</f>
        <v>0</v>
      </c>
      <c r="K281" s="597" t="n">
        <f aca="false">+K272-K279</f>
        <v>0</v>
      </c>
      <c r="L281" s="597" t="n">
        <f aca="false">+L272-L279</f>
        <v>0</v>
      </c>
      <c r="M281" s="597" t="n">
        <f aca="false">+M272-M279</f>
        <v>0</v>
      </c>
      <c r="N281" s="597" t="n">
        <f aca="false">+N272-N279</f>
        <v>0</v>
      </c>
      <c r="O281" s="597" t="n">
        <f aca="false">+O272-O279</f>
        <v>0</v>
      </c>
      <c r="P281" s="598" t="n">
        <f aca="false">+P272-P279</f>
        <v>0</v>
      </c>
      <c r="Q281" s="648" t="n">
        <f aca="false">SUM(D281:P281)</f>
        <v>0</v>
      </c>
      <c r="R281" s="476"/>
      <c r="S281" s="476"/>
      <c r="T281" s="476"/>
      <c r="U281" s="476"/>
    </row>
    <row r="282" customFormat="false" ht="14.25" hidden="false" customHeight="false" outlineLevel="0" collapsed="false">
      <c r="B282" s="460"/>
      <c r="C282" s="23"/>
      <c r="D282" s="489"/>
      <c r="E282" s="453"/>
      <c r="F282" s="453"/>
      <c r="G282" s="453"/>
      <c r="H282" s="453"/>
      <c r="I282" s="453"/>
      <c r="J282" s="453"/>
      <c r="K282" s="453"/>
      <c r="L282" s="453"/>
      <c r="M282" s="453"/>
      <c r="N282" s="453"/>
      <c r="O282" s="453"/>
      <c r="P282" s="535"/>
      <c r="Q282" s="618"/>
      <c r="R282" s="476"/>
      <c r="S282" s="476"/>
      <c r="T282" s="476"/>
    </row>
    <row r="283" customFormat="false" ht="15" hidden="false" customHeight="false" outlineLevel="0" collapsed="false">
      <c r="B283" s="620" t="str">
        <f aca="false">B127</f>
        <v>RESULTADO ANTES DE IMPUESTOS</v>
      </c>
      <c r="C283" s="621"/>
      <c r="D283" s="622" t="n">
        <f aca="false">+D268+D281</f>
        <v>5073.66111111111</v>
      </c>
      <c r="E283" s="623" t="n">
        <f aca="false">+E268+E281</f>
        <v>5073.66111111111</v>
      </c>
      <c r="F283" s="623" t="n">
        <f aca="false">+F268+F281</f>
        <v>5073.66111111111</v>
      </c>
      <c r="G283" s="623" t="n">
        <f aca="false">+G268+G281</f>
        <v>5073.66111111111</v>
      </c>
      <c r="H283" s="623" t="n">
        <f aca="false">+H268+H281</f>
        <v>5073.66111111111</v>
      </c>
      <c r="I283" s="623" t="n">
        <f aca="false">+I268+I281</f>
        <v>5073.66111111111</v>
      </c>
      <c r="J283" s="623" t="n">
        <f aca="false">+J268+J281</f>
        <v>5073.66111111111</v>
      </c>
      <c r="K283" s="623" t="n">
        <f aca="false">+K268+K281</f>
        <v>5073.66111111111</v>
      </c>
      <c r="L283" s="623" t="n">
        <f aca="false">+L268+L281</f>
        <v>5073.66111111111</v>
      </c>
      <c r="M283" s="624" t="n">
        <f aca="false">+M268+M281</f>
        <v>5073.66111111111</v>
      </c>
      <c r="N283" s="623" t="n">
        <f aca="false">+N268+N281</f>
        <v>5073.66111111111</v>
      </c>
      <c r="O283" s="623" t="n">
        <f aca="false">+O268+O281</f>
        <v>5073.66111111111</v>
      </c>
      <c r="P283" s="625" t="n">
        <f aca="false">+P268+P281</f>
        <v>0</v>
      </c>
      <c r="Q283" s="626" t="n">
        <f aca="false">+Q268+Q281</f>
        <v>60883.9333333333</v>
      </c>
      <c r="R283" s="476"/>
      <c r="S283" s="546"/>
      <c r="T283" s="476"/>
      <c r="U283" s="476"/>
    </row>
    <row r="284" customFormat="false" ht="13.5" hidden="false" customHeight="false" outlineLevel="0" collapsed="false">
      <c r="C284" s="245" t="str">
        <f aca="false">IF('Datos generales'!$D$22&lt;=0, "(*)   En empresas que no repercuten IVA. El importe de Compras aparece incrementado en este impuesto ","")</f>
        <v/>
      </c>
      <c r="D284" s="561"/>
      <c r="E284" s="476"/>
      <c r="F284" s="476"/>
      <c r="G284" s="476"/>
      <c r="H284" s="476"/>
      <c r="I284" s="476"/>
      <c r="J284" s="476"/>
      <c r="K284" s="476"/>
      <c r="L284" s="476"/>
      <c r="M284" s="476"/>
      <c r="N284" s="476"/>
      <c r="O284" s="476"/>
      <c r="P284" s="476"/>
      <c r="Q284" s="476"/>
      <c r="R284" s="476"/>
      <c r="S284" s="93"/>
      <c r="T284" s="476"/>
      <c r="U284" s="476"/>
    </row>
    <row r="285" customFormat="false" ht="12.75" hidden="false" customHeight="false" outlineLevel="0" collapsed="false">
      <c r="D285" s="662"/>
      <c r="E285" s="93"/>
      <c r="F285" s="93"/>
      <c r="G285" s="93"/>
      <c r="H285" s="93"/>
      <c r="I285" s="93"/>
      <c r="J285" s="93"/>
      <c r="K285" s="93"/>
      <c r="L285" s="93"/>
      <c r="M285" s="93"/>
      <c r="N285" s="93"/>
      <c r="O285" s="93"/>
      <c r="P285" s="93"/>
      <c r="Q285" s="93"/>
    </row>
    <row r="286" customFormat="false" ht="12.75" hidden="false" customHeight="false" outlineLevel="0" collapsed="false">
      <c r="D286" s="662"/>
      <c r="E286" s="93"/>
      <c r="F286" s="93"/>
      <c r="G286" s="93"/>
      <c r="H286" s="93"/>
      <c r="I286" s="93"/>
      <c r="J286" s="93"/>
      <c r="K286" s="93"/>
      <c r="L286" s="93"/>
      <c r="M286" s="93"/>
      <c r="N286" s="93"/>
      <c r="O286" s="93"/>
      <c r="P286" s="93"/>
      <c r="Q286" s="93"/>
    </row>
    <row r="287" customFormat="false" ht="12.75" hidden="false" customHeight="false" outlineLevel="0" collapsed="false">
      <c r="D287" s="662"/>
      <c r="E287" s="93"/>
      <c r="F287" s="93"/>
      <c r="G287" s="93"/>
      <c r="H287" s="93"/>
      <c r="I287" s="93"/>
      <c r="J287" s="93"/>
      <c r="K287" s="93"/>
      <c r="L287" s="93"/>
      <c r="M287" s="93"/>
      <c r="N287" s="93"/>
      <c r="O287" s="93"/>
      <c r="P287" s="93"/>
      <c r="Q287" s="93"/>
    </row>
    <row r="288" customFormat="false" ht="12.75" hidden="false" customHeight="false" outlineLevel="0" collapsed="false">
      <c r="D288" s="662"/>
      <c r="E288" s="93"/>
      <c r="F288" s="93"/>
      <c r="G288" s="93"/>
      <c r="H288" s="93"/>
      <c r="I288" s="93"/>
      <c r="J288" s="93"/>
      <c r="K288" s="93"/>
      <c r="L288" s="93"/>
      <c r="M288" s="93"/>
      <c r="N288" s="93"/>
      <c r="O288" s="93"/>
      <c r="P288" s="93"/>
      <c r="Q288" s="93"/>
    </row>
    <row r="289" customFormat="false" ht="12.75" hidden="false" customHeight="false" outlineLevel="0" collapsed="false">
      <c r="D289" s="662"/>
      <c r="E289" s="93"/>
      <c r="F289" s="93"/>
      <c r="G289" s="93"/>
      <c r="H289" s="93"/>
      <c r="I289" s="93"/>
      <c r="J289" s="93"/>
      <c r="K289" s="93"/>
      <c r="L289" s="93"/>
      <c r="M289" s="93"/>
      <c r="N289" s="93"/>
      <c r="O289" s="93"/>
      <c r="P289" s="93"/>
      <c r="Q289" s="93"/>
    </row>
    <row r="290" customFormat="false" ht="12.75" hidden="false" customHeight="false" outlineLevel="0" collapsed="false">
      <c r="D290" s="662"/>
      <c r="E290" s="93"/>
      <c r="F290" s="93"/>
      <c r="G290" s="93"/>
      <c r="H290" s="93"/>
      <c r="I290" s="93"/>
      <c r="J290" s="93"/>
      <c r="K290" s="93"/>
      <c r="L290" s="93"/>
      <c r="M290" s="93"/>
      <c r="N290" s="93"/>
      <c r="O290" s="93"/>
      <c r="P290" s="93"/>
      <c r="Q290" s="93"/>
    </row>
  </sheetData>
  <mergeCells count="12">
    <mergeCell ref="C4:F4"/>
    <mergeCell ref="B7:G7"/>
    <mergeCell ref="B13:C13"/>
    <mergeCell ref="B52:C52"/>
    <mergeCell ref="B54:C54"/>
    <mergeCell ref="B110:C110"/>
    <mergeCell ref="B132:C132"/>
    <mergeCell ref="B134:C134"/>
    <mergeCell ref="B188:C188"/>
    <mergeCell ref="B210:C210"/>
    <mergeCell ref="B212:C212"/>
    <mergeCell ref="B266:C266"/>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rowBreaks count="2" manualBreakCount="2">
    <brk id="129" man="true" max="16383" min="0"/>
    <brk id="207" man="true" max="16383" min="0"/>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V154"/>
  <sheetViews>
    <sheetView showFormulas="false" showGridLines="false" showRowColHeaders="true" showZeros="true" rightToLeft="false" tabSelected="false" showOutlineSymbols="true" defaultGridColor="true" view="normal" topLeftCell="A53" colorId="64" zoomScale="100" zoomScaleNormal="100" zoomScalePageLayoutView="100" workbookViewId="0">
      <selection pane="topLeft" activeCell="Q71" activeCellId="0" sqref="Q71"/>
    </sheetView>
  </sheetViews>
  <sheetFormatPr defaultColWidth="11.4609375" defaultRowHeight="12.75" zeroHeight="false" outlineLevelRow="0" outlineLevelCol="0"/>
  <cols>
    <col collapsed="false" customWidth="false" hidden="false" outlineLevel="0" max="1" min="1" style="451" width="11.46"/>
    <col collapsed="false" customWidth="true" hidden="false" outlineLevel="0" max="2" min="2" style="451" width="43.69"/>
    <col collapsed="false" customWidth="true" hidden="false" outlineLevel="0" max="3" min="3" style="549" width="13.62"/>
    <col collapsed="false" customWidth="true" hidden="false" outlineLevel="0" max="16" min="4" style="451" width="13.62"/>
    <col collapsed="false" customWidth="true" hidden="false" outlineLevel="0" max="17" min="17" style="451" width="12.95"/>
    <col collapsed="false" customWidth="true" hidden="false" outlineLevel="0" max="18" min="18" style="451" width="14.83"/>
    <col collapsed="false" customWidth="false" hidden="false" outlineLevel="0" max="19" min="19" style="451" width="11.46"/>
    <col collapsed="false" customWidth="false" hidden="false" outlineLevel="0" max="20" min="20" style="549" width="11.46"/>
    <col collapsed="false" customWidth="false" hidden="false" outlineLevel="0" max="16384" min="21" style="451" width="11.46"/>
  </cols>
  <sheetData>
    <row r="1" s="663" customFormat="true" ht="12.75" hidden="true" customHeight="false" outlineLevel="0" collapsed="false">
      <c r="C1" s="664" t="n">
        <f aca="false">MONTH('Datos generales'!N10)</f>
        <v>1</v>
      </c>
      <c r="D1" s="665" t="n">
        <v>0</v>
      </c>
      <c r="E1" s="665" t="n">
        <v>1</v>
      </c>
      <c r="F1" s="665" t="n">
        <v>2</v>
      </c>
      <c r="G1" s="665" t="n">
        <v>3</v>
      </c>
      <c r="H1" s="665" t="n">
        <v>4</v>
      </c>
      <c r="I1" s="665" t="n">
        <v>5</v>
      </c>
      <c r="J1" s="665" t="n">
        <v>6</v>
      </c>
      <c r="K1" s="665" t="n">
        <v>7</v>
      </c>
      <c r="L1" s="665" t="n">
        <v>8</v>
      </c>
      <c r="M1" s="665" t="n">
        <v>9</v>
      </c>
      <c r="N1" s="665" t="n">
        <v>10</v>
      </c>
      <c r="O1" s="665" t="n">
        <v>11</v>
      </c>
      <c r="P1" s="665" t="n">
        <v>12</v>
      </c>
      <c r="T1" s="664"/>
    </row>
    <row r="2" customFormat="false" ht="12.75" hidden="false" customHeight="false" outlineLevel="0" collapsed="false">
      <c r="D2" s="48"/>
      <c r="E2" s="48"/>
      <c r="F2" s="48"/>
      <c r="G2" s="48"/>
      <c r="H2" s="48"/>
      <c r="I2" s="48"/>
      <c r="J2" s="48"/>
      <c r="K2" s="48"/>
      <c r="L2" s="48"/>
      <c r="M2" s="48"/>
      <c r="N2" s="48"/>
      <c r="O2" s="48"/>
    </row>
    <row r="4" customFormat="false" ht="20.25" hidden="false" customHeight="false" outlineLevel="0" collapsed="false">
      <c r="B4" s="300" t="str">
        <f aca="false">'Datos generales'!C6</f>
        <v>La tienda S.L</v>
      </c>
      <c r="C4" s="300"/>
      <c r="D4" s="300"/>
      <c r="E4" s="300"/>
      <c r="F4" s="300"/>
      <c r="G4" s="300"/>
      <c r="H4" s="48"/>
      <c r="I4" s="48"/>
      <c r="J4" s="48"/>
    </row>
    <row r="5" customFormat="false" ht="12.75" hidden="false" customHeight="false" outlineLevel="0" collapsed="false">
      <c r="I5" s="48"/>
      <c r="J5" s="48"/>
      <c r="K5" s="48"/>
      <c r="L5" s="48"/>
      <c r="M5" s="48"/>
      <c r="N5" s="48"/>
      <c r="O5" s="48"/>
    </row>
    <row r="6" customFormat="false" ht="22.5" hidden="false" customHeight="false" outlineLevel="0" collapsed="false">
      <c r="B6" s="51" t="s">
        <v>438</v>
      </c>
      <c r="C6" s="666"/>
      <c r="E6" s="27"/>
      <c r="H6" s="667"/>
      <c r="I6" s="363"/>
    </row>
    <row r="7" customFormat="false" ht="8.25" hidden="false" customHeight="true" outlineLevel="0" collapsed="false">
      <c r="B7" s="668"/>
      <c r="C7" s="451"/>
      <c r="G7" s="428"/>
      <c r="H7" s="428"/>
      <c r="I7" s="428"/>
      <c r="J7" s="428"/>
      <c r="K7" s="669"/>
      <c r="L7" s="670"/>
    </row>
    <row r="8" customFormat="false" ht="24" hidden="false" customHeight="true" outlineLevel="0" collapsed="false">
      <c r="B8" s="671" t="s">
        <v>177</v>
      </c>
      <c r="C8" s="671" t="s">
        <v>419</v>
      </c>
      <c r="D8" s="671" t="s">
        <v>439</v>
      </c>
      <c r="E8" s="671" t="s">
        <v>96</v>
      </c>
      <c r="F8" s="671" t="s">
        <v>440</v>
      </c>
    </row>
    <row r="9" s="23" customFormat="true" ht="12.75" hidden="false" customHeight="false" outlineLevel="0" collapsed="false">
      <c r="B9" s="672" t="s">
        <v>441</v>
      </c>
      <c r="C9" s="592"/>
      <c r="D9" s="592" t="n">
        <f aca="false">P46</f>
        <v>310.700000000012</v>
      </c>
      <c r="E9" s="673" t="n">
        <f aca="false">P82</f>
        <v>76969.574</v>
      </c>
      <c r="F9" s="592" t="n">
        <f aca="false">P118</f>
        <v>140455.317533333</v>
      </c>
      <c r="T9" s="267"/>
    </row>
    <row r="10" customFormat="false" ht="12.75" hidden="false" customHeight="false" outlineLevel="0" collapsed="false">
      <c r="B10" s="674" t="s">
        <v>442</v>
      </c>
      <c r="C10" s="635" t="n">
        <f aca="false">'PRESUPUESTO INICIAL INVER_FINAN'!F98-'PRESUPUESTO INICIAL INVER_FINAN'!F94</f>
        <v>120000</v>
      </c>
      <c r="D10" s="635" t="n">
        <f aca="false">P47</f>
        <v>0</v>
      </c>
      <c r="E10" s="675" t="n">
        <f aca="false">P83</f>
        <v>0</v>
      </c>
      <c r="F10" s="635" t="n">
        <f aca="false">P119</f>
        <v>0</v>
      </c>
    </row>
    <row r="11" customFormat="false" ht="12.75" hidden="false" customHeight="false" outlineLevel="0" collapsed="false">
      <c r="B11" s="674" t="s">
        <v>443</v>
      </c>
      <c r="C11" s="635"/>
      <c r="D11" s="635" t="n">
        <f aca="false">P48</f>
        <v>235725.6</v>
      </c>
      <c r="E11" s="675" t="n">
        <f aca="false">P84</f>
        <v>316034.4</v>
      </c>
      <c r="F11" s="635" t="n">
        <f aca="false">P120</f>
        <v>361798.8</v>
      </c>
    </row>
    <row r="12" customFormat="false" ht="12.75" hidden="false" customHeight="false" outlineLevel="0" collapsed="false">
      <c r="B12" s="674" t="s">
        <v>444</v>
      </c>
      <c r="C12" s="635" t="n">
        <f aca="false">'PRESUPUESTO INICIAL INVER_FINAN'!F106-'PRESUPUESTO INICIAL INVER_FINAN'!F103</f>
        <v>165000</v>
      </c>
      <c r="D12" s="635" t="n">
        <f aca="false">P49</f>
        <v>0</v>
      </c>
      <c r="E12" s="675" t="n">
        <f aca="false">P85</f>
        <v>0</v>
      </c>
      <c r="F12" s="635" t="n">
        <f aca="false">P121</f>
        <v>0</v>
      </c>
    </row>
    <row r="13" customFormat="false" ht="12.75" hidden="false" customHeight="false" outlineLevel="0" collapsed="false">
      <c r="B13" s="674" t="s">
        <v>445</v>
      </c>
      <c r="C13" s="635" t="n">
        <f aca="false">'PRESUPUESTO INICIAL INVER_FINAN'!F112-'PRESUPUESTO INICIAL INVER_FINAN'!F109</f>
        <v>0</v>
      </c>
      <c r="D13" s="635" t="n">
        <f aca="false">P50</f>
        <v>0</v>
      </c>
      <c r="E13" s="675" t="n">
        <f aca="false">P86</f>
        <v>0</v>
      </c>
      <c r="F13" s="635" t="n">
        <f aca="false">P122</f>
        <v>0</v>
      </c>
    </row>
    <row r="14" customFormat="false" ht="12.75" hidden="false" customHeight="false" outlineLevel="0" collapsed="false">
      <c r="B14" s="676" t="s">
        <v>342</v>
      </c>
      <c r="C14" s="677"/>
      <c r="D14" s="677" t="n">
        <f aca="false">P51</f>
        <v>0</v>
      </c>
      <c r="E14" s="678" t="n">
        <f aca="false">P87</f>
        <v>0</v>
      </c>
      <c r="F14" s="677" t="n">
        <f aca="false">P123</f>
        <v>0</v>
      </c>
    </row>
    <row r="15" s="23" customFormat="true" ht="14.25" hidden="false" customHeight="false" outlineLevel="0" collapsed="false">
      <c r="B15" s="679" t="s">
        <v>446</v>
      </c>
      <c r="C15" s="680" t="n">
        <f aca="false">SUM(C10:C14)</f>
        <v>285000</v>
      </c>
      <c r="D15" s="681" t="n">
        <f aca="false">P52</f>
        <v>235725.6</v>
      </c>
      <c r="E15" s="682" t="n">
        <f aca="false">P88</f>
        <v>316034.4</v>
      </c>
      <c r="F15" s="681" t="n">
        <f aca="false">P124</f>
        <v>361798.8</v>
      </c>
      <c r="Q15" s="451"/>
      <c r="T15" s="267"/>
    </row>
    <row r="16" customFormat="false" ht="20.25" hidden="false" customHeight="true" outlineLevel="0" collapsed="false">
      <c r="B16" s="683" t="s">
        <v>447</v>
      </c>
      <c r="C16" s="684" t="n">
        <f aca="false">'PRESUPUESTO INICIAL INVER_FINAN'!O90-'PRESUPUESTO INICIAL INVER_FINAN'!O80-'Entrada Inver_Finan'!G93</f>
        <v>14105.3</v>
      </c>
      <c r="D16" s="684" t="n">
        <f aca="false">P53</f>
        <v>147066.15</v>
      </c>
      <c r="E16" s="685" t="n">
        <f aca="false">P89</f>
        <v>222279.75</v>
      </c>
      <c r="F16" s="684" t="n">
        <f aca="false">P125</f>
        <v>259186.95</v>
      </c>
    </row>
    <row r="17" customFormat="false" ht="24" hidden="false" customHeight="false" outlineLevel="0" collapsed="false">
      <c r="B17" s="686" t="s">
        <v>448</v>
      </c>
      <c r="C17" s="635"/>
      <c r="D17" s="635" t="n">
        <f aca="false">P54</f>
        <v>0</v>
      </c>
      <c r="E17" s="675" t="n">
        <f aca="false">P90</f>
        <v>0</v>
      </c>
      <c r="F17" s="635" t="n">
        <f aca="false">P126</f>
        <v>0</v>
      </c>
    </row>
    <row r="18" customFormat="false" ht="24" hidden="false" customHeight="false" outlineLevel="0" collapsed="false">
      <c r="B18" s="686" t="s">
        <v>449</v>
      </c>
      <c r="C18" s="635"/>
      <c r="D18" s="635" t="n">
        <f aca="false">P55</f>
        <v>10714.8</v>
      </c>
      <c r="E18" s="675" t="n">
        <f aca="false">P91</f>
        <v>14365.2</v>
      </c>
      <c r="F18" s="635" t="n">
        <f aca="false">P127</f>
        <v>16445.4</v>
      </c>
    </row>
    <row r="19" customFormat="false" ht="12.75" hidden="false" customHeight="false" outlineLevel="0" collapsed="false">
      <c r="B19" s="674" t="str">
        <f aca="false">'Previsión de Gastos'!B19</f>
        <v>Total Gastos de personal</v>
      </c>
      <c r="C19" s="635" t="n">
        <f aca="false">'Entrada Inver_Finan'!D67</f>
        <v>0</v>
      </c>
      <c r="D19" s="635" t="n">
        <f aca="false">P56</f>
        <v>0</v>
      </c>
      <c r="E19" s="675" t="n">
        <f aca="false">P92</f>
        <v>0</v>
      </c>
      <c r="F19" s="635" t="n">
        <f aca="false">P128</f>
        <v>0</v>
      </c>
    </row>
    <row r="20" customFormat="false" ht="12.75" hidden="false" customHeight="false" outlineLevel="0" collapsed="false">
      <c r="B20" s="674" t="str">
        <f aca="false">'Previsión de Gastos'!B30</f>
        <v>Total Gastos financieros</v>
      </c>
      <c r="C20" s="635" t="n">
        <f aca="false">'Préstamos LP'!$D$34</f>
        <v>15000</v>
      </c>
      <c r="D20" s="635" t="n">
        <f aca="false">P57</f>
        <v>0</v>
      </c>
      <c r="E20" s="675" t="n">
        <f aca="false">P93</f>
        <v>0</v>
      </c>
      <c r="F20" s="635" t="n">
        <f aca="false">P129</f>
        <v>0</v>
      </c>
    </row>
    <row r="21" customFormat="false" ht="12.75" hidden="false" customHeight="false" outlineLevel="0" collapsed="false">
      <c r="B21" s="674" t="str">
        <f aca="false">'Previsión de Gastos'!B35</f>
        <v>Total Gastos comerciales</v>
      </c>
      <c r="C21" s="635"/>
      <c r="D21" s="635" t="n">
        <f aca="false">P58</f>
        <v>0</v>
      </c>
      <c r="E21" s="675" t="n">
        <f aca="false">P94</f>
        <v>0</v>
      </c>
      <c r="F21" s="635" t="n">
        <f aca="false">P130</f>
        <v>0</v>
      </c>
    </row>
    <row r="22" customFormat="false" ht="12.75" hidden="false" customHeight="false" outlineLevel="0" collapsed="false">
      <c r="B22" s="674" t="str">
        <f aca="false">'Previsión de Gastos'!B47</f>
        <v>Total Otros gastos (Servicios exteriores)</v>
      </c>
      <c r="C22" s="635" t="n">
        <f aca="false">'Entrada Inver_Finan'!D75</f>
        <v>1550</v>
      </c>
      <c r="D22" s="635" t="n">
        <f aca="false">P59</f>
        <v>0</v>
      </c>
      <c r="E22" s="675" t="n">
        <f aca="false">P95</f>
        <v>0</v>
      </c>
      <c r="F22" s="635" t="n">
        <f aca="false">P131</f>
        <v>0</v>
      </c>
    </row>
    <row r="23" customFormat="false" ht="12.75" hidden="false" customHeight="false" outlineLevel="0" collapsed="false">
      <c r="B23" s="674" t="s">
        <v>450</v>
      </c>
      <c r="C23" s="635"/>
      <c r="D23" s="635" t="n">
        <f aca="false">P60</f>
        <v>0</v>
      </c>
      <c r="E23" s="675" t="n">
        <f aca="false">P96</f>
        <v>0</v>
      </c>
      <c r="F23" s="635" t="n">
        <f aca="false">P132</f>
        <v>0</v>
      </c>
    </row>
    <row r="24" customFormat="false" ht="12.75" hidden="false" customHeight="false" outlineLevel="0" collapsed="false">
      <c r="B24" s="674" t="s">
        <v>451</v>
      </c>
      <c r="C24" s="635"/>
      <c r="D24" s="635" t="n">
        <f aca="false">P61</f>
        <v>0</v>
      </c>
      <c r="E24" s="675" t="n">
        <f aca="false">P97</f>
        <v>0</v>
      </c>
      <c r="F24" s="635" t="n">
        <f aca="false">P133</f>
        <v>0</v>
      </c>
    </row>
    <row r="25" customFormat="false" ht="12.75" hidden="false" customHeight="false" outlineLevel="0" collapsed="false">
      <c r="B25" s="674" t="s">
        <v>452</v>
      </c>
      <c r="C25" s="635"/>
      <c r="D25" s="635" t="n">
        <f aca="false">P62</f>
        <v>0</v>
      </c>
      <c r="E25" s="675" t="n">
        <f aca="false">P98</f>
        <v>0</v>
      </c>
      <c r="F25" s="635" t="n">
        <f aca="false">P134</f>
        <v>0</v>
      </c>
    </row>
    <row r="26" customFormat="false" ht="12.75" hidden="false" customHeight="false" outlineLevel="0" collapsed="false">
      <c r="B26" s="674" t="s">
        <v>453</v>
      </c>
      <c r="C26" s="635" t="n">
        <f aca="false">'PRESUPUESTO INICIAL INVER_FINAN'!F53-'PRESUPUESTO INICIAL INVER_FINAN'!F94-'PRESUPUESTO INICIAL INVER_FINAN'!F103+'Entrada Inver_Finan'!G93</f>
        <v>226650</v>
      </c>
      <c r="D26" s="635" t="n">
        <f aca="false">P63</f>
        <v>0</v>
      </c>
      <c r="E26" s="675" t="n">
        <f aca="false">P99</f>
        <v>0</v>
      </c>
      <c r="F26" s="635" t="n">
        <f aca="false">P135</f>
        <v>0</v>
      </c>
    </row>
    <row r="27" customFormat="false" ht="15" hidden="false" customHeight="true" outlineLevel="0" collapsed="false">
      <c r="B27" s="674" t="s">
        <v>454</v>
      </c>
      <c r="C27" s="635" t="n">
        <f aca="false">'PRESUPUESTO INICIAL INVER_FINAN'!O86+'PRESUPUESTO INICIAL INVER_FINAN'!O87</f>
        <v>27384</v>
      </c>
      <c r="D27" s="635" t="n">
        <f aca="false">P64</f>
        <v>1285.776</v>
      </c>
      <c r="E27" s="675" t="n">
        <f aca="false">P100</f>
        <v>1723.824</v>
      </c>
      <c r="F27" s="635" t="n">
        <f aca="false">P136</f>
        <v>1973.448</v>
      </c>
      <c r="I27" s="549"/>
      <c r="S27" s="353"/>
      <c r="U27" s="301"/>
    </row>
    <row r="28" customFormat="false" ht="12.75" hidden="false" customHeight="false" outlineLevel="0" collapsed="false">
      <c r="B28" s="687" t="s">
        <v>455</v>
      </c>
      <c r="C28" s="527"/>
      <c r="D28" s="527" t="n">
        <f aca="false">P65</f>
        <v>0</v>
      </c>
      <c r="E28" s="688" t="n">
        <f aca="false">P101</f>
        <v>0</v>
      </c>
      <c r="F28" s="527" t="n">
        <f aca="false">P137</f>
        <v>0</v>
      </c>
    </row>
    <row r="29" customFormat="false" ht="12.75" hidden="false" customHeight="false" outlineLevel="0" collapsed="false">
      <c r="B29" s="687" t="s">
        <v>456</v>
      </c>
      <c r="C29" s="527"/>
      <c r="D29" s="527" t="n">
        <f aca="false">P66</f>
        <v>0</v>
      </c>
      <c r="E29" s="688" t="n">
        <f aca="false">P102</f>
        <v>4598.8808</v>
      </c>
      <c r="F29" s="527" t="n">
        <f aca="false">P138</f>
        <v>9367.2164</v>
      </c>
    </row>
    <row r="30" customFormat="false" ht="12.75" hidden="false" customHeight="false" outlineLevel="0" collapsed="false">
      <c r="B30" s="687" t="s">
        <v>457</v>
      </c>
      <c r="C30" s="527"/>
      <c r="D30" s="527" t="n">
        <f aca="false">P67</f>
        <v>0</v>
      </c>
      <c r="E30" s="688" t="n">
        <f aca="false">P103</f>
        <v>0</v>
      </c>
      <c r="F30" s="527" t="n">
        <f aca="false">P139</f>
        <v>0</v>
      </c>
    </row>
    <row r="31" customFormat="false" ht="12.75" hidden="false" customHeight="false" outlineLevel="0" collapsed="false">
      <c r="B31" s="687" t="s">
        <v>458</v>
      </c>
      <c r="C31" s="527"/>
      <c r="D31" s="527" t="n">
        <f aca="false">P68</f>
        <v>0</v>
      </c>
      <c r="E31" s="688" t="n">
        <f aca="false">P104</f>
        <v>0</v>
      </c>
      <c r="F31" s="527" t="n">
        <f aca="false">P140</f>
        <v>0</v>
      </c>
    </row>
    <row r="32" customFormat="false" ht="12.75" hidden="false" customHeight="false" outlineLevel="0" collapsed="false">
      <c r="B32" s="687" t="s">
        <v>459</v>
      </c>
      <c r="C32" s="527"/>
      <c r="D32" s="527" t="n">
        <f aca="false">P69</f>
        <v>0</v>
      </c>
      <c r="E32" s="688" t="n">
        <f aca="false">P105</f>
        <v>9581.00166666667</v>
      </c>
      <c r="F32" s="527" t="n">
        <f aca="false">P141</f>
        <v>22051.1816666667</v>
      </c>
      <c r="U32" s="549"/>
    </row>
    <row r="33" s="23" customFormat="true" ht="14.25" hidden="false" customHeight="false" outlineLevel="0" collapsed="false">
      <c r="B33" s="689" t="s">
        <v>460</v>
      </c>
      <c r="C33" s="690" t="n">
        <f aca="false">SUM(C16:C32)</f>
        <v>284689.3</v>
      </c>
      <c r="D33" s="691" t="n">
        <f aca="false">P70</f>
        <v>159066.726</v>
      </c>
      <c r="E33" s="692" t="n">
        <f aca="false">P106</f>
        <v>252548.656466667</v>
      </c>
      <c r="F33" s="691" t="n">
        <f aca="false">P142</f>
        <v>309024.196066667</v>
      </c>
      <c r="H33" s="267"/>
      <c r="Q33" s="451"/>
      <c r="T33" s="267"/>
    </row>
    <row r="34" customFormat="false" ht="20.25" hidden="false" customHeight="true" outlineLevel="0" collapsed="false">
      <c r="B34" s="693" t="s">
        <v>461</v>
      </c>
      <c r="C34" s="694" t="n">
        <f aca="false">+C15-C33</f>
        <v>310.700000000012</v>
      </c>
      <c r="D34" s="677" t="n">
        <f aca="false">P71</f>
        <v>76658.874</v>
      </c>
      <c r="E34" s="678" t="n">
        <f aca="false">P107</f>
        <v>63485.7435333334</v>
      </c>
      <c r="F34" s="677" t="n">
        <f aca="false">P143</f>
        <v>52774.6039333334</v>
      </c>
    </row>
    <row r="35" s="23" customFormat="true" ht="15" hidden="false" customHeight="false" outlineLevel="0" collapsed="false">
      <c r="B35" s="695" t="s">
        <v>462</v>
      </c>
      <c r="C35" s="696" t="n">
        <f aca="false">+C9+C34</f>
        <v>310.700000000012</v>
      </c>
      <c r="D35" s="697" t="n">
        <f aca="false">P72</f>
        <v>76969.574</v>
      </c>
      <c r="E35" s="698" t="n">
        <f aca="false">P108</f>
        <v>140455.317533333</v>
      </c>
      <c r="F35" s="699" t="n">
        <f aca="false">P144</f>
        <v>193229.921466667</v>
      </c>
      <c r="T35" s="267"/>
    </row>
    <row r="36" customFormat="false" ht="12.75" hidden="false" customHeight="true" outlineLevel="0" collapsed="false">
      <c r="B36" s="79" t="s">
        <v>463</v>
      </c>
      <c r="D36" s="48"/>
    </row>
    <row r="37" customFormat="false" ht="12.75" hidden="false" customHeight="true" outlineLevel="0" collapsed="false">
      <c r="B37" s="79" t="s">
        <v>464</v>
      </c>
      <c r="D37" s="48"/>
    </row>
    <row r="38" customFormat="false" ht="24" hidden="false" customHeight="true" outlineLevel="0" collapsed="false">
      <c r="D38" s="48"/>
    </row>
    <row r="39" s="353" customFormat="true" ht="13.5" hidden="false" customHeight="false" outlineLevel="0" collapsed="false">
      <c r="B39" s="700" t="s">
        <v>465</v>
      </c>
      <c r="C39" s="701" t="n">
        <f aca="false">'PRESUPUESTO INICIAL INVER_FINAN'!O89*-1</f>
        <v>-28666.3</v>
      </c>
      <c r="D39" s="701" t="n">
        <f aca="false">O76</f>
        <v>-23802.076</v>
      </c>
      <c r="E39" s="701" t="n">
        <f aca="false">O112</f>
        <v>-17706.7</v>
      </c>
      <c r="F39" s="702" t="n">
        <f aca="false">O148</f>
        <v>-10730.548</v>
      </c>
      <c r="T39" s="354"/>
      <c r="U39" s="354"/>
    </row>
    <row r="40" s="353" customFormat="true" ht="8.25" hidden="false" customHeight="true" outlineLevel="0" collapsed="false">
      <c r="B40" s="703"/>
      <c r="C40" s="704"/>
      <c r="D40" s="704"/>
      <c r="E40" s="704"/>
      <c r="F40" s="704"/>
      <c r="T40" s="354"/>
      <c r="U40" s="354"/>
    </row>
    <row r="41" customFormat="false" ht="7.5" hidden="false" customHeight="true" outlineLevel="0" collapsed="false"/>
    <row r="42" customFormat="false" ht="12.75" hidden="false" customHeight="false" outlineLevel="0" collapsed="false">
      <c r="M42" s="705"/>
    </row>
    <row r="44" customFormat="false" ht="14.25" hidden="false" customHeight="false" outlineLevel="0" collapsed="false">
      <c r="B44" s="51" t="s">
        <v>466</v>
      </c>
      <c r="C44" s="451"/>
      <c r="F44" s="223"/>
    </row>
    <row r="45" customFormat="false" ht="12.75" hidden="false" customHeight="false" outlineLevel="0" collapsed="false">
      <c r="B45" s="706" t="s">
        <v>177</v>
      </c>
      <c r="C45" s="707" t="s">
        <v>303</v>
      </c>
      <c r="D45" s="707" t="s">
        <v>304</v>
      </c>
      <c r="E45" s="707" t="s">
        <v>305</v>
      </c>
      <c r="F45" s="707" t="s">
        <v>127</v>
      </c>
      <c r="G45" s="707" t="s">
        <v>128</v>
      </c>
      <c r="H45" s="707" t="s">
        <v>129</v>
      </c>
      <c r="I45" s="707" t="s">
        <v>130</v>
      </c>
      <c r="J45" s="707" t="s">
        <v>306</v>
      </c>
      <c r="K45" s="707" t="s">
        <v>307</v>
      </c>
      <c r="L45" s="707" t="s">
        <v>308</v>
      </c>
      <c r="M45" s="707" t="s">
        <v>309</v>
      </c>
      <c r="N45" s="707" t="s">
        <v>310</v>
      </c>
      <c r="O45" s="708" t="s">
        <v>467</v>
      </c>
      <c r="P45" s="709" t="s">
        <v>136</v>
      </c>
      <c r="Q45" s="534"/>
    </row>
    <row r="46" s="363" customFormat="true" ht="14.25" hidden="false" customHeight="false" outlineLevel="0" collapsed="false">
      <c r="B46" s="710" t="s">
        <v>441</v>
      </c>
      <c r="C46" s="711" t="n">
        <f aca="false">IF('Datos generales'!$O$10&lt;&gt;'Datos generales'!E1,0,'PRESUPUESTO INICIAL INVER_FINAN'!$F$118)</f>
        <v>310.700000000012</v>
      </c>
      <c r="D46" s="711" t="n">
        <f aca="false">IF('Datos generales'!$O$10&lt;&gt;'Datos generales'!F1,C72,'PRESUPUESTO INICIAL INVER_FINAN'!$F$118)</f>
        <v>15452.877</v>
      </c>
      <c r="E46" s="711" t="n">
        <f aca="false">IF('Datos generales'!$O$10&lt;&gt;'Datos generales'!G1,D72,'PRESUPUESTO INICIAL INVER_FINAN'!$F$118)</f>
        <v>27093.479</v>
      </c>
      <c r="F46" s="711" t="n">
        <f aca="false">IF('Datos generales'!$O$10&lt;&gt;'Datos generales'!H1,E72,'PRESUPUESTO INICIAL INVER_FINAN'!$F$118)</f>
        <v>35232.506</v>
      </c>
      <c r="G46" s="711" t="n">
        <f aca="false">IF('Datos generales'!$O$10&lt;&gt;'Datos generales'!I1,F72,'PRESUPUESTO INICIAL INVER_FINAN'!$F$118)</f>
        <v>39869.958</v>
      </c>
      <c r="H46" s="711" t="n">
        <f aca="false">IF('Datos generales'!$O$10&lt;&gt;'Datos generales'!J1,G72,'PRESUPUESTO INICIAL INVER_FINAN'!$F$118)</f>
        <v>44507.41</v>
      </c>
      <c r="I46" s="711" t="n">
        <f aca="false">IF('Datos generales'!$O$10&lt;&gt;'Datos generales'!K1,H72,'PRESUPUESTO INICIAL INVER_FINAN'!$F$118)</f>
        <v>49144.862</v>
      </c>
      <c r="J46" s="711" t="n">
        <f aca="false">IF('Datos generales'!$O$10&lt;&gt;'Datos generales'!L1,I72,'PRESUPUESTO INICIAL INVER_FINAN'!$F$118)</f>
        <v>53782.314</v>
      </c>
      <c r="K46" s="711" t="n">
        <f aca="false">IF('Datos generales'!$O$10&lt;&gt;'Datos generales'!M1,J72,'PRESUPUESTO INICIAL INVER_FINAN'!$F$118)</f>
        <v>58419.766</v>
      </c>
      <c r="L46" s="711" t="n">
        <f aca="false">IF('Datos generales'!$O$10&lt;&gt;'Datos generales'!N1,K72,'PRESUPUESTO INICIAL INVER_FINAN'!$F$118)</f>
        <v>63057.218</v>
      </c>
      <c r="M46" s="711" t="n">
        <f aca="false">IF('Datos generales'!$O$10&lt;&gt;'Datos generales'!O1,L72,'PRESUPUESTO INICIAL INVER_FINAN'!$F$118)</f>
        <v>67694.67</v>
      </c>
      <c r="N46" s="711" t="n">
        <f aca="false">IF('Datos generales'!$O$10&lt;&gt;'Datos generales'!P1,M72,'PRESUPUESTO INICIAL INVER_FINAN'!$F$118)</f>
        <v>72332.122</v>
      </c>
      <c r="O46" s="712" t="n">
        <f aca="false">+N72</f>
        <v>76969.574</v>
      </c>
      <c r="P46" s="713" t="n">
        <f aca="false">C35</f>
        <v>310.700000000012</v>
      </c>
      <c r="Q46" s="546"/>
      <c r="T46" s="368"/>
    </row>
    <row r="47" customFormat="false" ht="12.75" hidden="false" customHeight="false" outlineLevel="0" collapsed="false">
      <c r="B47" s="683" t="s">
        <v>442</v>
      </c>
      <c r="C47" s="714"/>
      <c r="D47" s="714"/>
      <c r="E47" s="714"/>
      <c r="F47" s="714"/>
      <c r="G47" s="714"/>
      <c r="H47" s="714"/>
      <c r="I47" s="714"/>
      <c r="J47" s="714"/>
      <c r="K47" s="714"/>
      <c r="L47" s="714"/>
      <c r="M47" s="714"/>
      <c r="N47" s="714"/>
      <c r="O47" s="684" t="n">
        <f aca="false">'Entrada Inver_Finan'!E104</f>
        <v>0</v>
      </c>
      <c r="P47" s="685" t="n">
        <f aca="false">SUM(C47:O47)</f>
        <v>0</v>
      </c>
      <c r="Q47" s="534"/>
    </row>
    <row r="48" customFormat="false" ht="12.75" hidden="false" customHeight="false" outlineLevel="0" collapsed="false">
      <c r="B48" s="674" t="s">
        <v>468</v>
      </c>
      <c r="C48" s="715" t="n">
        <f aca="false">+'Politica Cobr. Pagos'!E65</f>
        <v>19643.8</v>
      </c>
      <c r="D48" s="716" t="n">
        <f aca="false">+'Politica Cobr. Pagos'!F65</f>
        <v>19643.8</v>
      </c>
      <c r="E48" s="716" t="n">
        <f aca="false">+'Politica Cobr. Pagos'!G65</f>
        <v>19643.8</v>
      </c>
      <c r="F48" s="716" t="n">
        <f aca="false">+'Politica Cobr. Pagos'!H65</f>
        <v>19643.8</v>
      </c>
      <c r="G48" s="716" t="n">
        <f aca="false">+'Politica Cobr. Pagos'!I65</f>
        <v>19643.8</v>
      </c>
      <c r="H48" s="716" t="n">
        <f aca="false">+'Politica Cobr. Pagos'!J65</f>
        <v>19643.8</v>
      </c>
      <c r="I48" s="716" t="n">
        <f aca="false">+'Politica Cobr. Pagos'!K65</f>
        <v>19643.8</v>
      </c>
      <c r="J48" s="716" t="n">
        <f aca="false">+'Politica Cobr. Pagos'!L65</f>
        <v>19643.8</v>
      </c>
      <c r="K48" s="716" t="n">
        <f aca="false">+'Politica Cobr. Pagos'!M65</f>
        <v>19643.8</v>
      </c>
      <c r="L48" s="716" t="n">
        <f aca="false">+'Politica Cobr. Pagos'!N65</f>
        <v>19643.8</v>
      </c>
      <c r="M48" s="716" t="n">
        <f aca="false">+'Politica Cobr. Pagos'!O65</f>
        <v>19643.8</v>
      </c>
      <c r="N48" s="716" t="n">
        <f aca="false">+'Politica Cobr. Pagos'!P65</f>
        <v>19643.8</v>
      </c>
      <c r="O48" s="635"/>
      <c r="P48" s="675" t="n">
        <f aca="false">SUM(C48:O48)</f>
        <v>235725.6</v>
      </c>
      <c r="Q48" s="534"/>
    </row>
    <row r="49" customFormat="false" ht="12.75" hidden="false" customHeight="false" outlineLevel="0" collapsed="false">
      <c r="B49" s="674" t="s">
        <v>444</v>
      </c>
      <c r="C49" s="717" t="n">
        <f aca="true">IF($C$1&gt;E1,0,OFFSET('Préstamos LP'!$C$35,D1,0,1,1)+OFFSET('Otra financiación'!$G$33,D1,0,1,1))</f>
        <v>0</v>
      </c>
      <c r="D49" s="717" t="n">
        <f aca="true">IF($C$1&gt;F1,0,OFFSET('Préstamos LP'!$C$35,E1,0,1,1)+OFFSET('Otra financiación'!$G$33,E1,0,1,1))</f>
        <v>0</v>
      </c>
      <c r="E49" s="717" t="n">
        <f aca="true">IF($C$1&gt;G1,0,OFFSET('Préstamos LP'!$C$35,F1,0,1,1)+OFFSET('Otra financiación'!$G$33,F1,0,1,1))</f>
        <v>0</v>
      </c>
      <c r="F49" s="717" t="n">
        <f aca="true">IF($C$1&gt;H1,0,OFFSET('Préstamos LP'!$C$35,G1,0,1,1)+OFFSET('Otra financiación'!$G$33,G1,0,1,1))</f>
        <v>0</v>
      </c>
      <c r="G49" s="717" t="n">
        <f aca="true">IF($C$1&gt;I1,0,OFFSET('Préstamos LP'!$C$35,H1,0,1,1)+OFFSET('Otra financiación'!$G$33,H1,0,1,1))</f>
        <v>0</v>
      </c>
      <c r="H49" s="717" t="n">
        <f aca="true">IF($C$1&gt;J1,0,OFFSET('Préstamos LP'!$C$35,I1,0,1,1)+OFFSET('Otra financiación'!$G$33,I1,0,1,1))</f>
        <v>0</v>
      </c>
      <c r="I49" s="717" t="n">
        <f aca="true">IF($C$1&gt;K1,0,OFFSET('Préstamos LP'!$C$35,J1,0,1,1)+OFFSET('Otra financiación'!$G$33,J1,0,1,1))</f>
        <v>0</v>
      </c>
      <c r="J49" s="717" t="n">
        <f aca="true">IF($C$1&gt;L1,0,OFFSET('Préstamos LP'!$C$35,K1,0,1,1)+OFFSET('Otra financiación'!$G$33,K1,0,1,1))</f>
        <v>0</v>
      </c>
      <c r="K49" s="717" t="n">
        <f aca="true">IF($C$1&gt;M1,0,OFFSET('Préstamos LP'!$C$35,L1,0,1,1)+OFFSET('Otra financiación'!$G$33,L1,0,1,1))</f>
        <v>0</v>
      </c>
      <c r="L49" s="717" t="n">
        <f aca="true">IF($C$1&gt;N1,0,OFFSET('Préstamos LP'!$C$35,M1,0,1,1)+OFFSET('Otra financiación'!$G$33,M1,0,1,1))</f>
        <v>0</v>
      </c>
      <c r="M49" s="717" t="n">
        <f aca="true">IF($C$1&gt;O1,0,OFFSET('Préstamos LP'!$C$35,N1,0,1,1)+OFFSET('Otra financiación'!$G$33,N1,0,1,1))</f>
        <v>0</v>
      </c>
      <c r="N49" s="717" t="n">
        <f aca="true">IF($C$1&gt;P1,0,OFFSET('Préstamos LP'!$C$35,O1,0,1,1)+OFFSET('Otra financiación'!$G$33,O1,0,1,1))</f>
        <v>0</v>
      </c>
      <c r="O49" s="635"/>
      <c r="P49" s="675" t="n">
        <f aca="false">SUM(C49:O49)</f>
        <v>0</v>
      </c>
      <c r="Q49" s="534"/>
    </row>
    <row r="50" customFormat="false" ht="12.75" hidden="false" customHeight="false" outlineLevel="0" collapsed="false">
      <c r="B50" s="674" t="s">
        <v>445</v>
      </c>
      <c r="C50" s="715" t="n">
        <f aca="true">IF($C$1&gt;D1,0,OFFSET('Préstamos CP'!$C$24,D1,0,1,1))</f>
        <v>0</v>
      </c>
      <c r="D50" s="716" t="n">
        <f aca="true">IF($C$1&gt;E1,0,OFFSET('Préstamos CP'!$C$24,E1,0,1,1))</f>
        <v>0</v>
      </c>
      <c r="E50" s="716" t="n">
        <f aca="true">IF($C$1&gt;F1,0,OFFSET('Préstamos CP'!$C$24,F1,0,1,1))</f>
        <v>0</v>
      </c>
      <c r="F50" s="716" t="n">
        <f aca="true">IF($C$1&gt;G1,0,OFFSET('Préstamos CP'!$C$24,G1,0,1,1))</f>
        <v>0</v>
      </c>
      <c r="G50" s="716" t="n">
        <f aca="true">IF($C$1&gt;H1,0,OFFSET('Préstamos CP'!$C$24,H1,0,1,1))</f>
        <v>0</v>
      </c>
      <c r="H50" s="716" t="n">
        <f aca="true">IF($C$1&gt;I1,0,OFFSET('Préstamos CP'!$C$24,I1,0,1,1))</f>
        <v>0</v>
      </c>
      <c r="I50" s="716" t="n">
        <f aca="true">IF($C$1&gt;J1,0,OFFSET('Préstamos CP'!$C$24,J1,0,1,1))</f>
        <v>0</v>
      </c>
      <c r="J50" s="716" t="n">
        <f aca="true">IF($C$1&gt;K1,0,OFFSET('Préstamos CP'!$C$24,K1,0,1,1))</f>
        <v>0</v>
      </c>
      <c r="K50" s="716" t="n">
        <f aca="true">IF($C$1&gt;L1,0,OFFSET('Préstamos CP'!$C$24,L1,0,1,1))</f>
        <v>0</v>
      </c>
      <c r="L50" s="716" t="n">
        <f aca="true">IF($C$1&gt;M1,0,OFFSET('Préstamos CP'!$C$24,M1,0,1,1))</f>
        <v>0</v>
      </c>
      <c r="M50" s="716" t="n">
        <f aca="true">IF($C$1&gt;N1,0,OFFSET('Préstamos CP'!$C$24,N1,0,1,1))</f>
        <v>0</v>
      </c>
      <c r="N50" s="716" t="n">
        <f aca="true">IF($C$1&gt;O1,0,OFFSET('Préstamos CP'!$C$24,O1,0,1,1))</f>
        <v>0</v>
      </c>
      <c r="O50" s="635"/>
      <c r="P50" s="675" t="n">
        <f aca="false">SUM(C50:O50)</f>
        <v>0</v>
      </c>
      <c r="Q50" s="534"/>
    </row>
    <row r="51" customFormat="false" ht="12.75" hidden="false" customHeight="false" outlineLevel="0" collapsed="false">
      <c r="B51" s="676" t="s">
        <v>342</v>
      </c>
      <c r="C51" s="718" t="n">
        <f aca="false">'CUENTA DE RESULTADOS'!E116</f>
        <v>0</v>
      </c>
      <c r="D51" s="719" t="n">
        <f aca="false">'CUENTA DE RESULTADOS'!F116</f>
        <v>0</v>
      </c>
      <c r="E51" s="719" t="n">
        <f aca="false">'CUENTA DE RESULTADOS'!G116</f>
        <v>0</v>
      </c>
      <c r="F51" s="719" t="n">
        <f aca="false">'CUENTA DE RESULTADOS'!H116</f>
        <v>0</v>
      </c>
      <c r="G51" s="719" t="n">
        <f aca="false">'CUENTA DE RESULTADOS'!I116</f>
        <v>0</v>
      </c>
      <c r="H51" s="719" t="n">
        <f aca="false">'CUENTA DE RESULTADOS'!J116</f>
        <v>0</v>
      </c>
      <c r="I51" s="719" t="n">
        <f aca="false">'CUENTA DE RESULTADOS'!K116</f>
        <v>0</v>
      </c>
      <c r="J51" s="719" t="n">
        <f aca="false">'CUENTA DE RESULTADOS'!L116</f>
        <v>0</v>
      </c>
      <c r="K51" s="719" t="n">
        <f aca="false">'CUENTA DE RESULTADOS'!M116</f>
        <v>0</v>
      </c>
      <c r="L51" s="719" t="n">
        <f aca="false">'CUENTA DE RESULTADOS'!N116</f>
        <v>0</v>
      </c>
      <c r="M51" s="719" t="n">
        <f aca="false">'CUENTA DE RESULTADOS'!O116</f>
        <v>0</v>
      </c>
      <c r="N51" s="719" t="n">
        <f aca="false">'CUENTA DE RESULTADOS'!P116</f>
        <v>0</v>
      </c>
      <c r="O51" s="677"/>
      <c r="P51" s="720" t="n">
        <f aca="false">SUM(C51:O51)</f>
        <v>0</v>
      </c>
      <c r="Q51" s="534"/>
    </row>
    <row r="52" customFormat="false" ht="14.25" hidden="false" customHeight="false" outlineLevel="0" collapsed="false">
      <c r="B52" s="721" t="s">
        <v>446</v>
      </c>
      <c r="C52" s="722" t="n">
        <f aca="false">SUM(C47:C51)</f>
        <v>19643.8</v>
      </c>
      <c r="D52" s="722" t="n">
        <f aca="false">SUM(D47:D51)</f>
        <v>19643.8</v>
      </c>
      <c r="E52" s="722" t="n">
        <f aca="false">SUM(E47:E51)</f>
        <v>19643.8</v>
      </c>
      <c r="F52" s="722" t="n">
        <f aca="false">SUM(F47:F51)</f>
        <v>19643.8</v>
      </c>
      <c r="G52" s="722" t="n">
        <f aca="false">SUM(G47:G51)</f>
        <v>19643.8</v>
      </c>
      <c r="H52" s="722" t="n">
        <f aca="false">SUM(H47:H51)</f>
        <v>19643.8</v>
      </c>
      <c r="I52" s="722" t="n">
        <f aca="false">SUM(I47:I51)</f>
        <v>19643.8</v>
      </c>
      <c r="J52" s="722" t="n">
        <f aca="false">SUM(J47:J51)</f>
        <v>19643.8</v>
      </c>
      <c r="K52" s="722" t="n">
        <f aca="false">SUM(K47:K51)</f>
        <v>19643.8</v>
      </c>
      <c r="L52" s="722" t="n">
        <f aca="false">SUM(L47:L51)</f>
        <v>19643.8</v>
      </c>
      <c r="M52" s="722" t="n">
        <f aca="false">SUM(M47:M51)</f>
        <v>19643.8</v>
      </c>
      <c r="N52" s="722" t="n">
        <f aca="false">SUM(N47:N51)</f>
        <v>19643.8</v>
      </c>
      <c r="O52" s="680"/>
      <c r="P52" s="723" t="n">
        <f aca="false">SUM(P47:P51)</f>
        <v>235725.6</v>
      </c>
      <c r="Q52" s="534"/>
      <c r="R52" s="549"/>
    </row>
    <row r="53" customFormat="false" ht="20.25" hidden="false" customHeight="true" outlineLevel="0" collapsed="false">
      <c r="B53" s="683" t="s">
        <v>447</v>
      </c>
      <c r="C53" s="714" t="n">
        <f aca="false">'Politica Cobr. Pagos'!E128+'Politica Cobr. Pagos'!E129+'Margen B'!C143</f>
        <v>3501.575</v>
      </c>
      <c r="D53" s="714" t="n">
        <f aca="false">'Politica Cobr. Pagos'!F128+'Politica Cobr. Pagos'!F129+'Margen B'!D143</f>
        <v>7003.15</v>
      </c>
      <c r="E53" s="714" t="n">
        <f aca="false">'Politica Cobr. Pagos'!G128+'Politica Cobr. Pagos'!G129+'Margen B'!E143</f>
        <v>10504.725</v>
      </c>
      <c r="F53" s="714" t="n">
        <f aca="false">'Politica Cobr. Pagos'!H128+'Politica Cobr. Pagos'!H129+'Margen B'!F143</f>
        <v>14006.3</v>
      </c>
      <c r="G53" s="714" t="n">
        <f aca="false">'Politica Cobr. Pagos'!I128+'Politica Cobr. Pagos'!I129+'Margen B'!G143</f>
        <v>14006.3</v>
      </c>
      <c r="H53" s="714" t="n">
        <f aca="false">'Politica Cobr. Pagos'!J128+'Politica Cobr. Pagos'!J129+'Margen B'!H143</f>
        <v>14006.3</v>
      </c>
      <c r="I53" s="714" t="n">
        <f aca="false">'Politica Cobr. Pagos'!K128+'Politica Cobr. Pagos'!K129+'Margen B'!I143</f>
        <v>14006.3</v>
      </c>
      <c r="J53" s="714" t="n">
        <f aca="false">'Politica Cobr. Pagos'!L128+'Politica Cobr. Pagos'!L129+'Margen B'!J143</f>
        <v>14006.3</v>
      </c>
      <c r="K53" s="714" t="n">
        <f aca="false">'Politica Cobr. Pagos'!M128+'Politica Cobr. Pagos'!M129+'Margen B'!K143</f>
        <v>14006.3</v>
      </c>
      <c r="L53" s="714" t="n">
        <f aca="false">'Politica Cobr. Pagos'!N128+'Politica Cobr. Pagos'!N129+'Margen B'!L143</f>
        <v>14006.3</v>
      </c>
      <c r="M53" s="714" t="n">
        <f aca="false">'Politica Cobr. Pagos'!O128+'Politica Cobr. Pagos'!O129+'Margen B'!M143</f>
        <v>14006.3</v>
      </c>
      <c r="N53" s="714" t="n">
        <f aca="false">'Politica Cobr. Pagos'!P128+'Politica Cobr. Pagos'!P129+'Margen B'!N143</f>
        <v>14006.3</v>
      </c>
      <c r="O53" s="684"/>
      <c r="P53" s="685" t="n">
        <f aca="false">SUM(C53:O53)</f>
        <v>147066.15</v>
      </c>
      <c r="Q53" s="534"/>
    </row>
    <row r="54" customFormat="false" ht="24" hidden="false" customHeight="false" outlineLevel="0" collapsed="false">
      <c r="B54" s="686" t="str">
        <f aca="false">B17</f>
        <v>Pago de otros costes directos imputables a los productos o servicios</v>
      </c>
      <c r="C54" s="716" t="n">
        <f aca="false">+'Margen B'!D116</f>
        <v>0</v>
      </c>
      <c r="D54" s="716" t="n">
        <f aca="false">+'Margen B'!E116</f>
        <v>0</v>
      </c>
      <c r="E54" s="716" t="n">
        <f aca="false">+'Margen B'!F116</f>
        <v>0</v>
      </c>
      <c r="F54" s="716" t="n">
        <f aca="false">+'Margen B'!G116</f>
        <v>0</v>
      </c>
      <c r="G54" s="716" t="n">
        <f aca="false">+'Margen B'!H116</f>
        <v>0</v>
      </c>
      <c r="H54" s="716" t="n">
        <f aca="false">+'Margen B'!I116</f>
        <v>0</v>
      </c>
      <c r="I54" s="716" t="n">
        <f aca="false">+'Margen B'!J116</f>
        <v>0</v>
      </c>
      <c r="J54" s="716" t="n">
        <f aca="false">+'Margen B'!K116</f>
        <v>0</v>
      </c>
      <c r="K54" s="716" t="n">
        <f aca="false">+'Margen B'!L116</f>
        <v>0</v>
      </c>
      <c r="L54" s="716" t="n">
        <f aca="false">+'Margen B'!M116</f>
        <v>0</v>
      </c>
      <c r="M54" s="716" t="n">
        <f aca="false">+'Margen B'!N116</f>
        <v>0</v>
      </c>
      <c r="N54" s="716" t="n">
        <f aca="false">+'Margen B'!O116</f>
        <v>0</v>
      </c>
      <c r="O54" s="635"/>
      <c r="P54" s="675" t="n">
        <f aca="false">SUM(C54:O54)</f>
        <v>0</v>
      </c>
      <c r="Q54" s="534"/>
    </row>
    <row r="55" customFormat="false" ht="24" hidden="false" customHeight="false" outlineLevel="0" collapsed="false">
      <c r="B55" s="686" t="str">
        <f aca="false">B18</f>
        <v>Pago de otros costes proporcionales comunes a todos los productos/servicios</v>
      </c>
      <c r="C55" s="716" t="n">
        <f aca="false">+'Margen B'!D126</f>
        <v>892.9</v>
      </c>
      <c r="D55" s="716" t="n">
        <f aca="false">+'Margen B'!E126</f>
        <v>892.9</v>
      </c>
      <c r="E55" s="716" t="n">
        <f aca="false">+'Margen B'!F126</f>
        <v>892.9</v>
      </c>
      <c r="F55" s="716" t="n">
        <f aca="false">+'Margen B'!G126</f>
        <v>892.9</v>
      </c>
      <c r="G55" s="716" t="n">
        <f aca="false">+'Margen B'!H126</f>
        <v>892.9</v>
      </c>
      <c r="H55" s="716" t="n">
        <f aca="false">+'Margen B'!I126</f>
        <v>892.9</v>
      </c>
      <c r="I55" s="716" t="n">
        <f aca="false">+'Margen B'!J126</f>
        <v>892.9</v>
      </c>
      <c r="J55" s="716" t="n">
        <f aca="false">+'Margen B'!K126</f>
        <v>892.9</v>
      </c>
      <c r="K55" s="716" t="n">
        <f aca="false">+'Margen B'!L126</f>
        <v>892.9</v>
      </c>
      <c r="L55" s="716" t="n">
        <f aca="false">+'Margen B'!M126</f>
        <v>892.9</v>
      </c>
      <c r="M55" s="716" t="n">
        <f aca="false">+'Margen B'!N126</f>
        <v>892.9</v>
      </c>
      <c r="N55" s="716" t="n">
        <f aca="false">+'Margen B'!O126</f>
        <v>892.9</v>
      </c>
      <c r="O55" s="716"/>
      <c r="P55" s="675" t="n">
        <f aca="false">SUM(C55:O55)</f>
        <v>10714.8</v>
      </c>
      <c r="Q55" s="534"/>
    </row>
    <row r="56" customFormat="false" ht="12.75" hidden="false" customHeight="false" outlineLevel="0" collapsed="false">
      <c r="B56" s="674" t="str">
        <f aca="false">B19</f>
        <v>Total Gastos de personal</v>
      </c>
      <c r="C56" s="716" t="n">
        <f aca="false">'CUENTA DE RESULTADOS'!E72</f>
        <v>0</v>
      </c>
      <c r="D56" s="716" t="n">
        <f aca="false">'CUENTA DE RESULTADOS'!F72</f>
        <v>0</v>
      </c>
      <c r="E56" s="716" t="n">
        <f aca="false">'CUENTA DE RESULTADOS'!G72</f>
        <v>0</v>
      </c>
      <c r="F56" s="716" t="n">
        <f aca="false">'CUENTA DE RESULTADOS'!H72</f>
        <v>0</v>
      </c>
      <c r="G56" s="716" t="n">
        <f aca="false">'CUENTA DE RESULTADOS'!I72</f>
        <v>0</v>
      </c>
      <c r="H56" s="716" t="n">
        <f aca="false">'CUENTA DE RESULTADOS'!J72</f>
        <v>0</v>
      </c>
      <c r="I56" s="716" t="n">
        <f aca="false">'CUENTA DE RESULTADOS'!K72</f>
        <v>0</v>
      </c>
      <c r="J56" s="716" t="n">
        <f aca="false">'CUENTA DE RESULTADOS'!L72</f>
        <v>0</v>
      </c>
      <c r="K56" s="716" t="n">
        <f aca="false">'CUENTA DE RESULTADOS'!M72</f>
        <v>0</v>
      </c>
      <c r="L56" s="716" t="n">
        <f aca="false">'CUENTA DE RESULTADOS'!N72</f>
        <v>0</v>
      </c>
      <c r="M56" s="716" t="n">
        <f aca="false">'CUENTA DE RESULTADOS'!O72</f>
        <v>0</v>
      </c>
      <c r="N56" s="716" t="n">
        <f aca="false">'CUENTA DE RESULTADOS'!P72</f>
        <v>0</v>
      </c>
      <c r="O56" s="635"/>
      <c r="P56" s="675" t="n">
        <f aca="false">SUM(C56:O56)</f>
        <v>0</v>
      </c>
      <c r="Q56" s="534"/>
    </row>
    <row r="57" customFormat="false" ht="12.75" hidden="false" customHeight="false" outlineLevel="0" collapsed="false">
      <c r="B57" s="674" t="str">
        <f aca="false">B20</f>
        <v>Total Gastos financieros</v>
      </c>
      <c r="C57" s="448" t="n">
        <f aca="false">'CUENTA DE RESULTADOS'!E123</f>
        <v>0</v>
      </c>
      <c r="D57" s="448" t="n">
        <f aca="false">'CUENTA DE RESULTADOS'!F123</f>
        <v>0</v>
      </c>
      <c r="E57" s="448" t="n">
        <f aca="false">'CUENTA DE RESULTADOS'!G123</f>
        <v>0</v>
      </c>
      <c r="F57" s="448" t="n">
        <f aca="false">'CUENTA DE RESULTADOS'!H123</f>
        <v>0</v>
      </c>
      <c r="G57" s="448" t="n">
        <f aca="false">'CUENTA DE RESULTADOS'!I123</f>
        <v>0</v>
      </c>
      <c r="H57" s="448" t="n">
        <f aca="false">'CUENTA DE RESULTADOS'!J123</f>
        <v>0</v>
      </c>
      <c r="I57" s="448" t="n">
        <f aca="false">'CUENTA DE RESULTADOS'!K123</f>
        <v>0</v>
      </c>
      <c r="J57" s="448" t="n">
        <f aca="false">'CUENTA DE RESULTADOS'!L123</f>
        <v>0</v>
      </c>
      <c r="K57" s="448" t="n">
        <f aca="false">'CUENTA DE RESULTADOS'!M123</f>
        <v>0</v>
      </c>
      <c r="L57" s="448" t="n">
        <f aca="false">'CUENTA DE RESULTADOS'!N123</f>
        <v>0</v>
      </c>
      <c r="M57" s="448" t="n">
        <f aca="false">'CUENTA DE RESULTADOS'!O123</f>
        <v>0</v>
      </c>
      <c r="N57" s="448" t="n">
        <f aca="false">'CUENTA DE RESULTADOS'!P123</f>
        <v>0</v>
      </c>
      <c r="O57" s="635"/>
      <c r="P57" s="675" t="n">
        <f aca="false">SUM(C57:O57)</f>
        <v>0</v>
      </c>
      <c r="Q57" s="534"/>
    </row>
    <row r="58" customFormat="false" ht="12.75" hidden="false" customHeight="false" outlineLevel="0" collapsed="false">
      <c r="B58" s="674" t="str">
        <f aca="false">B21</f>
        <v>Total Gastos comerciales</v>
      </c>
      <c r="C58" s="448" t="n">
        <f aca="false">'CUENTA DE RESULTADOS'!E86</f>
        <v>0</v>
      </c>
      <c r="D58" s="448" t="n">
        <f aca="false">'CUENTA DE RESULTADOS'!F86</f>
        <v>0</v>
      </c>
      <c r="E58" s="448" t="n">
        <f aca="false">'CUENTA DE RESULTADOS'!G86</f>
        <v>0</v>
      </c>
      <c r="F58" s="448" t="n">
        <f aca="false">'CUENTA DE RESULTADOS'!H86</f>
        <v>0</v>
      </c>
      <c r="G58" s="448" t="n">
        <f aca="false">'CUENTA DE RESULTADOS'!I86</f>
        <v>0</v>
      </c>
      <c r="H58" s="448" t="n">
        <f aca="false">'CUENTA DE RESULTADOS'!J86</f>
        <v>0</v>
      </c>
      <c r="I58" s="448" t="n">
        <f aca="false">'CUENTA DE RESULTADOS'!K86</f>
        <v>0</v>
      </c>
      <c r="J58" s="448" t="n">
        <f aca="false">'CUENTA DE RESULTADOS'!L86</f>
        <v>0</v>
      </c>
      <c r="K58" s="448" t="n">
        <f aca="false">'CUENTA DE RESULTADOS'!M86</f>
        <v>0</v>
      </c>
      <c r="L58" s="448" t="n">
        <f aca="false">'CUENTA DE RESULTADOS'!N86</f>
        <v>0</v>
      </c>
      <c r="M58" s="448" t="n">
        <f aca="false">'CUENTA DE RESULTADOS'!O86</f>
        <v>0</v>
      </c>
      <c r="N58" s="448" t="n">
        <f aca="false">'CUENTA DE RESULTADOS'!P86</f>
        <v>0</v>
      </c>
      <c r="O58" s="635"/>
      <c r="P58" s="675" t="n">
        <f aca="false">SUM(C58:O58)</f>
        <v>0</v>
      </c>
      <c r="Q58" s="534"/>
    </row>
    <row r="59" customFormat="false" ht="12.75" hidden="false" customHeight="false" outlineLevel="0" collapsed="false">
      <c r="B59" s="674" t="str">
        <f aca="false">B22</f>
        <v>Total Otros gastos (Servicios exteriores)</v>
      </c>
      <c r="C59" s="448" t="n">
        <f aca="false">'CUENTA DE RESULTADOS'!E101</f>
        <v>0</v>
      </c>
      <c r="D59" s="448" t="n">
        <f aca="false">'CUENTA DE RESULTADOS'!F101</f>
        <v>0</v>
      </c>
      <c r="E59" s="448" t="n">
        <f aca="false">'CUENTA DE RESULTADOS'!G101</f>
        <v>0</v>
      </c>
      <c r="F59" s="448" t="n">
        <f aca="false">'CUENTA DE RESULTADOS'!H101</f>
        <v>0</v>
      </c>
      <c r="G59" s="448" t="n">
        <f aca="false">'CUENTA DE RESULTADOS'!I101</f>
        <v>0</v>
      </c>
      <c r="H59" s="448" t="n">
        <f aca="false">'CUENTA DE RESULTADOS'!J101</f>
        <v>0</v>
      </c>
      <c r="I59" s="448" t="n">
        <f aca="false">'CUENTA DE RESULTADOS'!K101</f>
        <v>0</v>
      </c>
      <c r="J59" s="448" t="n">
        <f aca="false">'CUENTA DE RESULTADOS'!L101</f>
        <v>0</v>
      </c>
      <c r="K59" s="448" t="n">
        <f aca="false">'CUENTA DE RESULTADOS'!M101</f>
        <v>0</v>
      </c>
      <c r="L59" s="448" t="n">
        <f aca="false">'CUENTA DE RESULTADOS'!N101</f>
        <v>0</v>
      </c>
      <c r="M59" s="448" t="n">
        <f aca="false">'CUENTA DE RESULTADOS'!O101</f>
        <v>0</v>
      </c>
      <c r="N59" s="448" t="n">
        <f aca="false">'CUENTA DE RESULTADOS'!P101</f>
        <v>0</v>
      </c>
      <c r="O59" s="635"/>
      <c r="P59" s="675" t="n">
        <f aca="false">SUM(C59:O59)</f>
        <v>0</v>
      </c>
      <c r="Q59" s="534"/>
    </row>
    <row r="60" customFormat="false" ht="12.75" hidden="false" customHeight="false" outlineLevel="0" collapsed="false">
      <c r="B60" s="674" t="str">
        <f aca="false">B23</f>
        <v>Devolución de préstamos financieros</v>
      </c>
      <c r="C60" s="448" t="n">
        <f aca="true">OFFSET('Préstamos LP'!$F$35,D1,0,1,1)+OFFSET('Préstamos CP'!$E$24,D1,0,1,1)</f>
        <v>0</v>
      </c>
      <c r="D60" s="448" t="n">
        <f aca="true">OFFSET('Préstamos LP'!$F$35,E1,0,1,1)+OFFSET('Préstamos CP'!$E$24,E1,0,1,1)</f>
        <v>0</v>
      </c>
      <c r="E60" s="448" t="n">
        <f aca="true">OFFSET('Préstamos LP'!$F$35,F1,0,1,1)+OFFSET('Préstamos CP'!$E$24,F1,0,1,1)</f>
        <v>0</v>
      </c>
      <c r="F60" s="448" t="n">
        <f aca="true">OFFSET('Préstamos LP'!$F$35,G1,0,1,1)+OFFSET('Préstamos CP'!$E$24,G1,0,1,1)</f>
        <v>0</v>
      </c>
      <c r="G60" s="448" t="n">
        <f aca="true">OFFSET('Préstamos LP'!$F$35,H1,0,1,1)+OFFSET('Préstamos CP'!$E$24,H1,0,1,1)</f>
        <v>0</v>
      </c>
      <c r="H60" s="448" t="n">
        <f aca="true">OFFSET('Préstamos LP'!$F$35,I1,0,1,1)+OFFSET('Préstamos CP'!$E$24,I1,0,1,1)</f>
        <v>0</v>
      </c>
      <c r="I60" s="448" t="n">
        <f aca="true">OFFSET('Préstamos LP'!$F$35,J1,0,1,1)+OFFSET('Préstamos CP'!$E$24,J1,0,1,1)</f>
        <v>0</v>
      </c>
      <c r="J60" s="448" t="n">
        <f aca="true">OFFSET('Préstamos LP'!$F$35,K1,0,1,1)+OFFSET('Préstamos CP'!$E$24,K1,0,1,1)</f>
        <v>0</v>
      </c>
      <c r="K60" s="448" t="n">
        <f aca="true">OFFSET('Préstamos LP'!$F$35,L1,0,1,1)+OFFSET('Préstamos CP'!$E$24,L1,0,1,1)</f>
        <v>0</v>
      </c>
      <c r="L60" s="448" t="n">
        <f aca="true">OFFSET('Préstamos LP'!$F$35,M1,0,1,1)+OFFSET('Préstamos CP'!$E$24,M1,0,1,1)</f>
        <v>0</v>
      </c>
      <c r="M60" s="448" t="n">
        <f aca="true">OFFSET('Préstamos LP'!$F$35,N1,0,1,1)+OFFSET('Préstamos CP'!$E$24,N1,0,1,1)</f>
        <v>0</v>
      </c>
      <c r="N60" s="448" t="n">
        <f aca="true">OFFSET('Préstamos LP'!$F$35,O1,0,1,1)+OFFSET('Préstamos CP'!$E$24,O1,0,1,1)</f>
        <v>0</v>
      </c>
      <c r="O60" s="635"/>
      <c r="P60" s="675" t="n">
        <f aca="false">SUM(C60:O60)</f>
        <v>0</v>
      </c>
      <c r="Q60" s="534"/>
    </row>
    <row r="61" customFormat="false" ht="12.75" hidden="false" customHeight="false" outlineLevel="0" collapsed="false">
      <c r="B61" s="674" t="str">
        <f aca="false">B24</f>
        <v>Amortización de los arrendamientos financieros</v>
      </c>
      <c r="C61" s="448" t="n">
        <f aca="true">OFFSET('Préstamos LP'!$W$35,D1,0,1,1)</f>
        <v>0</v>
      </c>
      <c r="D61" s="448" t="n">
        <f aca="true">OFFSET('Préstamos LP'!$W$35,E1,0,1,1)</f>
        <v>0</v>
      </c>
      <c r="E61" s="448" t="n">
        <f aca="true">OFFSET('Préstamos LP'!$W$35,F1,0,1,1)</f>
        <v>0</v>
      </c>
      <c r="F61" s="448" t="n">
        <f aca="true">OFFSET('Préstamos LP'!$W$35,G1,0,1,1)</f>
        <v>0</v>
      </c>
      <c r="G61" s="448" t="n">
        <f aca="true">OFFSET('Préstamos LP'!$W$35,H1,0,1,1)</f>
        <v>0</v>
      </c>
      <c r="H61" s="448" t="n">
        <f aca="true">OFFSET('Préstamos LP'!$W$35,I1,0,1,1)</f>
        <v>0</v>
      </c>
      <c r="I61" s="448" t="n">
        <f aca="true">OFFSET('Préstamos LP'!$W$35,J1,0,1,1)</f>
        <v>0</v>
      </c>
      <c r="J61" s="448" t="n">
        <f aca="true">OFFSET('Préstamos LP'!$W$35,K1,0,1,1)</f>
        <v>0</v>
      </c>
      <c r="K61" s="448" t="n">
        <f aca="true">OFFSET('Préstamos LP'!$W$35,L1,0,1,1)</f>
        <v>0</v>
      </c>
      <c r="L61" s="448" t="n">
        <f aca="true">OFFSET('Préstamos LP'!$W$35,M1,0,1,1)</f>
        <v>0</v>
      </c>
      <c r="M61" s="448" t="n">
        <f aca="true">OFFSET('Préstamos LP'!$W$35,N1,0,1,1)</f>
        <v>0</v>
      </c>
      <c r="N61" s="448" t="n">
        <f aca="true">OFFSET('Préstamos LP'!$W$35,O1,0,1,1)</f>
        <v>0</v>
      </c>
      <c r="O61" s="635"/>
      <c r="P61" s="675" t="n">
        <f aca="false">SUM(C61:O61)</f>
        <v>0</v>
      </c>
      <c r="Q61" s="534"/>
    </row>
    <row r="62" customFormat="false" ht="12.75" hidden="false" customHeight="false" outlineLevel="0" collapsed="false">
      <c r="B62" s="674" t="s">
        <v>452</v>
      </c>
      <c r="C62" s="448" t="n">
        <f aca="true">OFFSET('Otra financiación'!$G$84,D1,0,1,1)</f>
        <v>0</v>
      </c>
      <c r="D62" s="448" t="n">
        <f aca="true">OFFSET('Otra financiación'!$G$84,E1,0,1,1)</f>
        <v>0</v>
      </c>
      <c r="E62" s="448" t="n">
        <f aca="true">OFFSET('Otra financiación'!$G$84,F1,0,1,1)</f>
        <v>0</v>
      </c>
      <c r="F62" s="448" t="n">
        <f aca="true">OFFSET('Otra financiación'!$G$84,G1,0,1,1)</f>
        <v>0</v>
      </c>
      <c r="G62" s="448" t="n">
        <f aca="true">OFFSET('Otra financiación'!$G$84,H1,0,1,1)</f>
        <v>0</v>
      </c>
      <c r="H62" s="448" t="n">
        <f aca="true">OFFSET('Otra financiación'!$G$84,I1,0,1,1)</f>
        <v>0</v>
      </c>
      <c r="I62" s="448" t="n">
        <f aca="true">OFFSET('Otra financiación'!$G$84,J1,0,1,1)</f>
        <v>0</v>
      </c>
      <c r="J62" s="448" t="n">
        <f aca="true">OFFSET('Otra financiación'!$G$84,K1,0,1,1)</f>
        <v>0</v>
      </c>
      <c r="K62" s="448" t="n">
        <f aca="true">OFFSET('Otra financiación'!$G$84,L1,0,1,1)</f>
        <v>0</v>
      </c>
      <c r="L62" s="448" t="n">
        <f aca="true">OFFSET('Otra financiación'!$G$84,M1,0,1,1)</f>
        <v>0</v>
      </c>
      <c r="M62" s="448" t="n">
        <f aca="true">OFFSET('Otra financiación'!$G$84,N1,0,1,1)</f>
        <v>0</v>
      </c>
      <c r="N62" s="448" t="n">
        <f aca="true">OFFSET('Otra financiación'!$G$84,O1,0,1,1)</f>
        <v>0</v>
      </c>
      <c r="O62" s="635"/>
      <c r="P62" s="675" t="n">
        <f aca="false">SUM(C62:O62)</f>
        <v>0</v>
      </c>
      <c r="Q62" s="534"/>
    </row>
    <row r="63" customFormat="false" ht="12.75" hidden="false" customHeight="false" outlineLevel="0" collapsed="false">
      <c r="B63" s="674" t="s">
        <v>453</v>
      </c>
      <c r="C63" s="716"/>
      <c r="D63" s="716"/>
      <c r="E63" s="716"/>
      <c r="F63" s="716"/>
      <c r="G63" s="716"/>
      <c r="H63" s="716"/>
      <c r="I63" s="716"/>
      <c r="J63" s="716"/>
      <c r="K63" s="716"/>
      <c r="L63" s="716"/>
      <c r="M63" s="716"/>
      <c r="N63" s="534"/>
      <c r="O63" s="724" t="n">
        <f aca="false">'Entrada Inver_Finan'!F63-'Préstamos LP'!J12</f>
        <v>0</v>
      </c>
      <c r="P63" s="675" t="n">
        <f aca="false">SUM(C63:O63)</f>
        <v>0</v>
      </c>
      <c r="Q63" s="534"/>
    </row>
    <row r="64" customFormat="false" ht="12.75" hidden="false" customHeight="false" outlineLevel="0" collapsed="false">
      <c r="B64" s="674" t="s">
        <v>454</v>
      </c>
      <c r="C64" s="725" t="n">
        <f aca="true">(C54+C55+C58+C59+C63)*'Datos generales'!$D$19+OFFSET('Préstamos LP'!$X$35,D1,0,1,1)</f>
        <v>107.148</v>
      </c>
      <c r="D64" s="725" t="n">
        <f aca="true">(D54+D55+D58+D59+D63)*'Datos generales'!$D$19+OFFSET('Préstamos LP'!$X$35,E1,0,1,1)</f>
        <v>107.148</v>
      </c>
      <c r="E64" s="725" t="n">
        <f aca="true">(E54+E55+E58+E59+E63)*'Datos generales'!$D$19+OFFSET('Préstamos LP'!$X$35,F1,0,1,1)</f>
        <v>107.148</v>
      </c>
      <c r="F64" s="725" t="n">
        <f aca="true">(F54+F55+F58+F59+F63)*'Datos generales'!$D$19+OFFSET('Préstamos LP'!$X$35,G1,0,1,1)</f>
        <v>107.148</v>
      </c>
      <c r="G64" s="725" t="n">
        <f aca="true">(G54+G55+G58+G59+G63)*'Datos generales'!$D$19+OFFSET('Préstamos LP'!$X$35,H1,0,1,1)</f>
        <v>107.148</v>
      </c>
      <c r="H64" s="725" t="n">
        <f aca="true">(H54+H55+H58+H59+H63)*'Datos generales'!$D$19+OFFSET('Préstamos LP'!$X$35,I1,0,1,1)</f>
        <v>107.148</v>
      </c>
      <c r="I64" s="725" t="n">
        <f aca="true">(I54+I55+I58+I59+I63)*'Datos generales'!$D$19+OFFSET('Préstamos LP'!$X$35,J1,0,1,1)</f>
        <v>107.148</v>
      </c>
      <c r="J64" s="725" t="n">
        <f aca="true">(J54+J55+J58+J59+J63)*'Datos generales'!$D$19+OFFSET('Préstamos LP'!$X$35,K1,0,1,1)</f>
        <v>107.148</v>
      </c>
      <c r="K64" s="725" t="n">
        <f aca="true">(K54+K55+K58+K59+K63)*'Datos generales'!$D$19+OFFSET('Préstamos LP'!$X$35,L1,0,1,1)</f>
        <v>107.148</v>
      </c>
      <c r="L64" s="725" t="n">
        <f aca="true">(L54+L55+L58+L59+L63)*'Datos generales'!$D$19+OFFSET('Préstamos LP'!$X$35,M1,0,1,1)</f>
        <v>107.148</v>
      </c>
      <c r="M64" s="725" t="n">
        <f aca="true">(M54+M55+M58+M59+M63)*'Datos generales'!$D$19+OFFSET('Préstamos LP'!$X$35,N1,0,1,1)</f>
        <v>107.148</v>
      </c>
      <c r="N64" s="725" t="n">
        <f aca="true">(N54+N55+N58+N59+N63)*'Datos generales'!$D$19+OFFSET('Préstamos LP'!$X$35,O1,0,1,1)</f>
        <v>107.148</v>
      </c>
      <c r="O64" s="725" t="n">
        <f aca="true">(O54+O55+O58+O59+O63)*'Datos generales'!$D$19+OFFSET('Préstamos LP'!$X$35,P1,0,1,1)</f>
        <v>0</v>
      </c>
      <c r="P64" s="675" t="n">
        <f aca="false">SUM(C64:O64)</f>
        <v>1285.776</v>
      </c>
      <c r="Q64" s="534"/>
    </row>
    <row r="65" customFormat="false" ht="12.75" hidden="false" customHeight="false" outlineLevel="0" collapsed="false">
      <c r="B65" s="687" t="s">
        <v>455</v>
      </c>
      <c r="C65" s="726" t="n">
        <f aca="false">IF($C$1&gt;D1,0, IF(C39&lt;0,0,C39))</f>
        <v>0</v>
      </c>
      <c r="D65" s="448"/>
      <c r="E65" s="448"/>
      <c r="F65" s="726" t="n">
        <f aca="false">IF($C$1&gt;G1,0, IF(E76&lt;0,0,E76))</f>
        <v>0</v>
      </c>
      <c r="G65" s="448"/>
      <c r="H65" s="448"/>
      <c r="I65" s="726" t="n">
        <f aca="false">IF($C$1&gt;J1,0, IF(H76&lt;0,0,H76))</f>
        <v>0</v>
      </c>
      <c r="J65" s="448"/>
      <c r="K65" s="448"/>
      <c r="L65" s="726" t="n">
        <f aca="false">IF($C$1&gt;M1,0, IF(K76&lt;0,0,K76))</f>
        <v>0</v>
      </c>
      <c r="M65" s="448"/>
      <c r="N65" s="448"/>
      <c r="O65" s="635"/>
      <c r="P65" s="675" t="n">
        <f aca="false">SUM(C65:O65)</f>
        <v>0</v>
      </c>
      <c r="Q65" s="534"/>
    </row>
    <row r="66" customFormat="false" ht="12.75" hidden="false" customHeight="false" outlineLevel="0" collapsed="false">
      <c r="B66" s="687" t="s">
        <v>469</v>
      </c>
      <c r="C66" s="726"/>
      <c r="D66" s="448"/>
      <c r="E66" s="448"/>
      <c r="F66" s="726"/>
      <c r="G66" s="448"/>
      <c r="H66" s="448"/>
      <c r="I66" s="726"/>
      <c r="J66" s="448"/>
      <c r="K66" s="448"/>
      <c r="L66" s="726"/>
      <c r="M66" s="448"/>
      <c r="N66" s="448"/>
      <c r="O66" s="635"/>
      <c r="P66" s="675" t="n">
        <f aca="false">SUM(C66:O66)</f>
        <v>0</v>
      </c>
      <c r="Q66" s="534"/>
    </row>
    <row r="67" customFormat="false" ht="12.75" hidden="false" customHeight="false" outlineLevel="0" collapsed="false">
      <c r="B67" s="687" t="s">
        <v>470</v>
      </c>
      <c r="C67" s="726"/>
      <c r="D67" s="448"/>
      <c r="E67" s="448"/>
      <c r="F67" s="726" t="n">
        <f aca="false">'Impuesto sociedades'!F60</f>
        <v>0</v>
      </c>
      <c r="G67" s="448"/>
      <c r="H67" s="448"/>
      <c r="I67" s="726" t="n">
        <f aca="false">'Impuesto sociedades'!F61</f>
        <v>0</v>
      </c>
      <c r="J67" s="448"/>
      <c r="K67" s="448"/>
      <c r="L67" s="726" t="n">
        <f aca="false">'Impuesto sociedades'!F62</f>
        <v>0</v>
      </c>
      <c r="M67" s="448"/>
      <c r="N67" s="448"/>
      <c r="O67" s="635"/>
      <c r="P67" s="675" t="n">
        <f aca="false">SUM(C67:O67)</f>
        <v>0</v>
      </c>
      <c r="Q67" s="534"/>
    </row>
    <row r="68" customFormat="false" ht="12.75" hidden="false" customHeight="false" outlineLevel="0" collapsed="false">
      <c r="B68" s="687" t="s">
        <v>458</v>
      </c>
      <c r="C68" s="448" t="n">
        <f aca="false">'CUENTA DE RESULTADOS'!E81-'CUENTA DE RESULTADOS'!E80</f>
        <v>0</v>
      </c>
      <c r="D68" s="448" t="n">
        <f aca="false">'CUENTA DE RESULTADOS'!F81-'CUENTA DE RESULTADOS'!F80</f>
        <v>0</v>
      </c>
      <c r="E68" s="448" t="n">
        <f aca="false">'CUENTA DE RESULTADOS'!G81-'CUENTA DE RESULTADOS'!G80</f>
        <v>0</v>
      </c>
      <c r="F68" s="448" t="n">
        <f aca="false">'CUENTA DE RESULTADOS'!H81-'CUENTA DE RESULTADOS'!H80</f>
        <v>0</v>
      </c>
      <c r="G68" s="448" t="n">
        <f aca="false">'CUENTA DE RESULTADOS'!I81-'CUENTA DE RESULTADOS'!I80</f>
        <v>0</v>
      </c>
      <c r="H68" s="448" t="n">
        <f aca="false">'CUENTA DE RESULTADOS'!J81-'CUENTA DE RESULTADOS'!J80</f>
        <v>0</v>
      </c>
      <c r="I68" s="448" t="n">
        <f aca="false">'CUENTA DE RESULTADOS'!K81-'CUENTA DE RESULTADOS'!K80</f>
        <v>0</v>
      </c>
      <c r="J68" s="448" t="n">
        <f aca="false">'CUENTA DE RESULTADOS'!L81-'CUENTA DE RESULTADOS'!L80</f>
        <v>0</v>
      </c>
      <c r="K68" s="448" t="n">
        <f aca="false">'CUENTA DE RESULTADOS'!M81-'CUENTA DE RESULTADOS'!M80</f>
        <v>0</v>
      </c>
      <c r="L68" s="448" t="n">
        <f aca="false">'CUENTA DE RESULTADOS'!N81-'CUENTA DE RESULTADOS'!N80</f>
        <v>0</v>
      </c>
      <c r="M68" s="448" t="n">
        <f aca="false">'CUENTA DE RESULTADOS'!O81-'CUENTA DE RESULTADOS'!O80</f>
        <v>0</v>
      </c>
      <c r="N68" s="448" t="n">
        <f aca="false">'CUENTA DE RESULTADOS'!P81-'CUENTA DE RESULTADOS'!P80</f>
        <v>0</v>
      </c>
      <c r="O68" s="635"/>
      <c r="P68" s="675" t="n">
        <f aca="false">SUM(C68:O68)</f>
        <v>0</v>
      </c>
      <c r="Q68" s="534"/>
    </row>
    <row r="69" customFormat="false" ht="12.75" hidden="false" customHeight="false" outlineLevel="0" collapsed="false">
      <c r="B69" s="693" t="s">
        <v>459</v>
      </c>
      <c r="C69" s="539"/>
      <c r="D69" s="539"/>
      <c r="E69" s="539"/>
      <c r="F69" s="727"/>
      <c r="G69" s="539"/>
      <c r="H69" s="539"/>
      <c r="I69" s="727"/>
      <c r="J69" s="539"/>
      <c r="K69" s="539"/>
      <c r="L69" s="727"/>
      <c r="M69" s="539"/>
      <c r="N69" s="539"/>
      <c r="O69" s="677"/>
      <c r="P69" s="720" t="n">
        <f aca="false">SUM(C69:O69)</f>
        <v>0</v>
      </c>
      <c r="Q69" s="534"/>
    </row>
    <row r="70" customFormat="false" ht="14.25" hidden="false" customHeight="false" outlineLevel="0" collapsed="false">
      <c r="B70" s="721" t="s">
        <v>460</v>
      </c>
      <c r="C70" s="722" t="n">
        <f aca="false">SUM(C53:C69)</f>
        <v>4501.623</v>
      </c>
      <c r="D70" s="722" t="n">
        <f aca="false">SUM(D53:D69)</f>
        <v>8003.198</v>
      </c>
      <c r="E70" s="722" t="n">
        <f aca="false">SUM(E53:E69)</f>
        <v>11504.773</v>
      </c>
      <c r="F70" s="722" t="n">
        <f aca="false">SUM(F53:F69)</f>
        <v>15006.348</v>
      </c>
      <c r="G70" s="722" t="n">
        <f aca="false">SUM(G53:G69)</f>
        <v>15006.348</v>
      </c>
      <c r="H70" s="722" t="n">
        <f aca="false">SUM(H53:H69)</f>
        <v>15006.348</v>
      </c>
      <c r="I70" s="722" t="n">
        <f aca="false">SUM(I53:I69)</f>
        <v>15006.348</v>
      </c>
      <c r="J70" s="722" t="n">
        <f aca="false">SUM(J53:J69)</f>
        <v>15006.348</v>
      </c>
      <c r="K70" s="722" t="n">
        <f aca="false">SUM(K53:K69)</f>
        <v>15006.348</v>
      </c>
      <c r="L70" s="722" t="n">
        <f aca="false">SUM(L53:L69)</f>
        <v>15006.348</v>
      </c>
      <c r="M70" s="722" t="n">
        <f aca="false">SUM(M53:M69)</f>
        <v>15006.348</v>
      </c>
      <c r="N70" s="722" t="n">
        <f aca="false">SUM(N53:N69)</f>
        <v>15006.348</v>
      </c>
      <c r="O70" s="680" t="n">
        <f aca="false">SUM(O53:O69)</f>
        <v>0</v>
      </c>
      <c r="P70" s="723" t="n">
        <f aca="false">SUM(P53:P69)</f>
        <v>159066.726</v>
      </c>
      <c r="Q70" s="534"/>
      <c r="R70" s="549"/>
    </row>
    <row r="71" customFormat="false" ht="18.75" hidden="false" customHeight="true" outlineLevel="0" collapsed="false">
      <c r="B71" s="728" t="s">
        <v>461</v>
      </c>
      <c r="C71" s="729" t="n">
        <f aca="false">+C52-C70</f>
        <v>15142.177</v>
      </c>
      <c r="D71" s="729" t="n">
        <f aca="false">+D52-D70</f>
        <v>11640.602</v>
      </c>
      <c r="E71" s="729" t="n">
        <f aca="false">+E52-E70</f>
        <v>8139.027</v>
      </c>
      <c r="F71" s="729" t="n">
        <f aca="false">+F52-F70</f>
        <v>4637.452</v>
      </c>
      <c r="G71" s="729" t="n">
        <f aca="false">+G52-G70</f>
        <v>4637.452</v>
      </c>
      <c r="H71" s="729" t="n">
        <f aca="false">+H52-H70</f>
        <v>4637.452</v>
      </c>
      <c r="I71" s="729" t="n">
        <f aca="false">+I52-I70</f>
        <v>4637.452</v>
      </c>
      <c r="J71" s="729" t="n">
        <f aca="false">+J52-J70</f>
        <v>4637.452</v>
      </c>
      <c r="K71" s="729" t="n">
        <f aca="false">+K52-K70</f>
        <v>4637.452</v>
      </c>
      <c r="L71" s="729" t="n">
        <f aca="false">+L52-L70</f>
        <v>4637.452</v>
      </c>
      <c r="M71" s="729" t="n">
        <f aca="false">+M52-M70</f>
        <v>4637.452</v>
      </c>
      <c r="N71" s="729" t="n">
        <f aca="false">+N52-N70</f>
        <v>4637.452</v>
      </c>
      <c r="O71" s="730" t="n">
        <f aca="false">+O52-O70</f>
        <v>0</v>
      </c>
      <c r="P71" s="731" t="n">
        <f aca="false">+P52-P70</f>
        <v>76658.874</v>
      </c>
      <c r="Q71" s="534"/>
    </row>
    <row r="72" customFormat="false" ht="14.25" hidden="false" customHeight="false" outlineLevel="0" collapsed="false">
      <c r="B72" s="732" t="s">
        <v>462</v>
      </c>
      <c r="C72" s="733" t="n">
        <f aca="false">+C46+C71</f>
        <v>15452.877</v>
      </c>
      <c r="D72" s="733" t="n">
        <f aca="false">+D46+D71</f>
        <v>27093.479</v>
      </c>
      <c r="E72" s="733" t="n">
        <f aca="false">+E46+E71</f>
        <v>35232.506</v>
      </c>
      <c r="F72" s="733" t="n">
        <f aca="false">+F46+F71</f>
        <v>39869.958</v>
      </c>
      <c r="G72" s="733" t="n">
        <f aca="false">+G46+G71</f>
        <v>44507.41</v>
      </c>
      <c r="H72" s="733" t="n">
        <f aca="false">+H46+H71</f>
        <v>49144.862</v>
      </c>
      <c r="I72" s="733" t="n">
        <f aca="false">+I46+I71</f>
        <v>53782.314</v>
      </c>
      <c r="J72" s="733" t="n">
        <f aca="false">+J46+J71</f>
        <v>58419.766</v>
      </c>
      <c r="K72" s="733" t="n">
        <f aca="false">+K46+K71</f>
        <v>63057.218</v>
      </c>
      <c r="L72" s="733" t="n">
        <f aca="false">+L46+L71</f>
        <v>67694.67</v>
      </c>
      <c r="M72" s="733" t="n">
        <f aca="false">+M46+M71</f>
        <v>72332.122</v>
      </c>
      <c r="N72" s="733" t="n">
        <f aca="false">+N46+N71</f>
        <v>76969.574</v>
      </c>
      <c r="O72" s="690" t="n">
        <f aca="false">+O46+O71</f>
        <v>76969.574</v>
      </c>
      <c r="P72" s="734" t="n">
        <f aca="false">+P46+P71</f>
        <v>76969.574</v>
      </c>
      <c r="Q72" s="534"/>
      <c r="R72" s="549"/>
    </row>
    <row r="73" customFormat="false" ht="13.5" hidden="false" customHeight="false" outlineLevel="0" collapsed="false">
      <c r="C73" s="534"/>
      <c r="D73" s="534"/>
      <c r="E73" s="534"/>
      <c r="F73" s="534"/>
      <c r="G73" s="534"/>
      <c r="H73" s="534"/>
      <c r="I73" s="534"/>
      <c r="J73" s="534"/>
      <c r="K73" s="534"/>
      <c r="L73" s="534"/>
      <c r="M73" s="534"/>
      <c r="N73" s="534"/>
      <c r="O73" s="534"/>
      <c r="P73" s="534"/>
      <c r="Q73" s="534"/>
    </row>
    <row r="74" s="735" customFormat="true" ht="12.75" hidden="true" customHeight="false" outlineLevel="0" collapsed="false">
      <c r="B74" s="735" t="s">
        <v>471</v>
      </c>
      <c r="C74" s="736" t="n">
        <f aca="false">'Politica Cobr. Pagos'!E54</f>
        <v>1785.8</v>
      </c>
      <c r="D74" s="736" t="n">
        <f aca="false">'Politica Cobr. Pagos'!F54</f>
        <v>1785.8</v>
      </c>
      <c r="E74" s="736" t="n">
        <f aca="false">'Politica Cobr. Pagos'!G54</f>
        <v>1785.8</v>
      </c>
      <c r="F74" s="736" t="n">
        <f aca="false">'Politica Cobr. Pagos'!H54</f>
        <v>1785.8</v>
      </c>
      <c r="G74" s="736" t="n">
        <f aca="false">'Politica Cobr. Pagos'!I54</f>
        <v>1785.8</v>
      </c>
      <c r="H74" s="736" t="n">
        <f aca="false">'Politica Cobr. Pagos'!J54</f>
        <v>1785.8</v>
      </c>
      <c r="I74" s="736" t="n">
        <f aca="false">'Politica Cobr. Pagos'!K54</f>
        <v>1785.8</v>
      </c>
      <c r="J74" s="736" t="n">
        <f aca="false">'Politica Cobr. Pagos'!L54</f>
        <v>1785.8</v>
      </c>
      <c r="K74" s="736" t="n">
        <f aca="false">'Politica Cobr. Pagos'!M54</f>
        <v>1785.8</v>
      </c>
      <c r="L74" s="736" t="n">
        <f aca="false">'Politica Cobr. Pagos'!N54</f>
        <v>1785.8</v>
      </c>
      <c r="M74" s="736" t="n">
        <f aca="false">'Politica Cobr. Pagos'!O54</f>
        <v>1785.8</v>
      </c>
      <c r="N74" s="736" t="n">
        <f aca="false">'Politica Cobr. Pagos'!P54</f>
        <v>1785.8</v>
      </c>
      <c r="O74" s="736"/>
      <c r="P74" s="736"/>
      <c r="Q74" s="736"/>
      <c r="T74" s="737"/>
    </row>
    <row r="75" s="735" customFormat="true" ht="13.5" hidden="true" customHeight="false" outlineLevel="0" collapsed="false">
      <c r="B75" s="735" t="s">
        <v>472</v>
      </c>
      <c r="C75" s="736" t="n">
        <f aca="false">'Politica Cobr. Pagos'!E117</f>
        <v>1273.3</v>
      </c>
      <c r="D75" s="736" t="n">
        <f aca="false">'Politica Cobr. Pagos'!F117</f>
        <v>1273.3</v>
      </c>
      <c r="E75" s="736" t="n">
        <f aca="false">'Politica Cobr. Pagos'!G117</f>
        <v>1273.3</v>
      </c>
      <c r="F75" s="736" t="n">
        <f aca="false">'Politica Cobr. Pagos'!H117</f>
        <v>1273.3</v>
      </c>
      <c r="G75" s="736" t="n">
        <f aca="false">'Politica Cobr. Pagos'!I117</f>
        <v>1273.3</v>
      </c>
      <c r="H75" s="736" t="n">
        <f aca="false">'Politica Cobr. Pagos'!J117</f>
        <v>1273.3</v>
      </c>
      <c r="I75" s="736" t="n">
        <f aca="false">'Politica Cobr. Pagos'!K117</f>
        <v>1273.3</v>
      </c>
      <c r="J75" s="736" t="n">
        <f aca="false">'Politica Cobr. Pagos'!L117</f>
        <v>1273.3</v>
      </c>
      <c r="K75" s="736" t="n">
        <f aca="false">'Politica Cobr. Pagos'!M117</f>
        <v>1273.3</v>
      </c>
      <c r="L75" s="736" t="n">
        <f aca="false">'Politica Cobr. Pagos'!N117</f>
        <v>1273.3</v>
      </c>
      <c r="M75" s="736" t="n">
        <f aca="false">'Politica Cobr. Pagos'!O117</f>
        <v>1273.3</v>
      </c>
      <c r="N75" s="736" t="n">
        <f aca="false">'Politica Cobr. Pagos'!P117</f>
        <v>1273.3</v>
      </c>
      <c r="O75" s="736"/>
      <c r="P75" s="736"/>
      <c r="Q75" s="736"/>
      <c r="T75" s="737"/>
    </row>
    <row r="76" customFormat="false" ht="13.5" hidden="false" customHeight="false" outlineLevel="0" collapsed="false">
      <c r="B76" s="738" t="s">
        <v>473</v>
      </c>
      <c r="C76" s="701" t="n">
        <f aca="false">IF( 'Datos generales'!$D$22&gt;0,IF('Datos generales'!$O$10='Datos generales'!E1,-'PRESUPUESTO INICIAL INVER_FINAN'!$O$89+C74-C75-C64,C74-C75-C64-C65),0)</f>
        <v>-28260.948</v>
      </c>
      <c r="D76" s="701" t="n">
        <f aca="false">IF( 'Datos generales'!$D$22&gt;0,IF('Datos generales'!$O$10='Datos generales'!F1,-'PRESUPUESTO INICIAL INVER_FINAN'!$O$89+D74-D75-D64,D74-D75-D64+C76-D65),0)</f>
        <v>-27855.596</v>
      </c>
      <c r="E76" s="701" t="n">
        <f aca="false">IF( 'Datos generales'!$D$22&gt;0,IF('Datos generales'!$O$10='Datos generales'!G1,-'PRESUPUESTO INICIAL INVER_FINAN'!$O$89+E74-E75-E64,E74-E75-E64+D76-E65),0)</f>
        <v>-27450.244</v>
      </c>
      <c r="F76" s="701" t="n">
        <f aca="false">IF( 'Datos generales'!$D$22&gt;0,IF('Datos generales'!$O$10='Datos generales'!H1,-'PRESUPUESTO INICIAL INVER_FINAN'!$O$89+F74-F75-F64,F74-F75-F64+E76-F65),0)</f>
        <v>-27044.892</v>
      </c>
      <c r="G76" s="701" t="n">
        <f aca="false">IF( 'Datos generales'!$D$22&gt;0,IF('Datos generales'!$O$10='Datos generales'!I1,-'PRESUPUESTO INICIAL INVER_FINAN'!$O$89+G74-G75-G64,G74-G75-G64+F76-G65),0)</f>
        <v>-26639.54</v>
      </c>
      <c r="H76" s="701" t="n">
        <f aca="false">IF( 'Datos generales'!$D$22&gt;0,IF('Datos generales'!$O$10='Datos generales'!J1,-'PRESUPUESTO INICIAL INVER_FINAN'!$O$89+H74-H75-H64,H74-H75-H64+G76-H65),0)</f>
        <v>-26234.188</v>
      </c>
      <c r="I76" s="701" t="n">
        <f aca="false">IF( 'Datos generales'!$D$22&gt;0,IF('Datos generales'!$O$10='Datos generales'!K1,-'PRESUPUESTO INICIAL INVER_FINAN'!$O$89+I74-I75-I64,I74-I75-I64+H76-I65),0)</f>
        <v>-25828.836</v>
      </c>
      <c r="J76" s="701" t="n">
        <f aca="false">IF( 'Datos generales'!$D$22&gt;0,IF('Datos generales'!$O$10='Datos generales'!L1,-'PRESUPUESTO INICIAL INVER_FINAN'!$O$89+J74-J75-J64,J74-J75-J64+I76-J65),0)</f>
        <v>-25423.484</v>
      </c>
      <c r="K76" s="701" t="n">
        <f aca="false">IF( 'Datos generales'!$D$22&gt;0,IF('Datos generales'!$O$10='Datos generales'!M1,-'PRESUPUESTO INICIAL INVER_FINAN'!$O$89+K74-K75-K64,K74-K75-K64+J76-K65),0)</f>
        <v>-25018.132</v>
      </c>
      <c r="L76" s="701" t="n">
        <f aca="false">IF( 'Datos generales'!$D$22&gt;0,IF('Datos generales'!$O$10='Datos generales'!N1,-'PRESUPUESTO INICIAL INVER_FINAN'!$O$89+L74-L75-L64,L74-L75-L64+K76-L65),0)</f>
        <v>-24612.78</v>
      </c>
      <c r="M76" s="701" t="n">
        <f aca="false">IF( 'Datos generales'!$D$22&gt;0,IF('Datos generales'!$O$10='Datos generales'!O1,-'PRESUPUESTO INICIAL INVER_FINAN'!$O$89+M74-M75-M64,M74-M75-M64+L76-M65),0)</f>
        <v>-24207.428</v>
      </c>
      <c r="N76" s="701" t="n">
        <f aca="false">IF( 'Datos generales'!$D$22&gt;0,IF('Datos generales'!$O$10='Datos generales'!P1,-'PRESUPUESTO INICIAL INVER_FINAN'!$O$89+N74-N75-N64,N74-N75-N64+M76-N65),0)</f>
        <v>-23802.076</v>
      </c>
      <c r="O76" s="702" t="n">
        <f aca="false">IF( 'Datos generales'!$D$22&gt;0,IF('Datos generales'!$O$10='Datos generales'!Q1,-'PRESUPUESTO INICIAL INVER_FINAN'!$O$89+O74-O75-O64,O74-O75-O64+N76-O65),0)</f>
        <v>-23802.076</v>
      </c>
      <c r="P76" s="549"/>
      <c r="Q76" s="549"/>
      <c r="R76" s="549"/>
      <c r="S76" s="549"/>
      <c r="U76" s="549"/>
      <c r="V76" s="549"/>
    </row>
    <row r="77" customFormat="false" ht="12.75" hidden="false" customHeight="false" outlineLevel="0" collapsed="false">
      <c r="B77" s="35" t="s">
        <v>474</v>
      </c>
      <c r="C77" s="739" t="n">
        <v>38737</v>
      </c>
      <c r="D77" s="534"/>
      <c r="E77" s="534"/>
      <c r="F77" s="739" t="n">
        <v>38827</v>
      </c>
      <c r="G77" s="534"/>
      <c r="H77" s="534"/>
      <c r="I77" s="739" t="n">
        <v>38918</v>
      </c>
      <c r="J77" s="534"/>
      <c r="K77" s="534"/>
      <c r="L77" s="739" t="n">
        <v>39010</v>
      </c>
      <c r="M77" s="534"/>
      <c r="N77" s="739" t="n">
        <v>39071</v>
      </c>
      <c r="O77" s="534"/>
      <c r="P77" s="534"/>
      <c r="Q77" s="534"/>
    </row>
    <row r="78" customFormat="false" ht="12.75" hidden="false" customHeight="false" outlineLevel="0" collapsed="false">
      <c r="C78" s="534"/>
      <c r="D78" s="534"/>
      <c r="E78" s="534"/>
      <c r="F78" s="534"/>
      <c r="G78" s="534"/>
      <c r="H78" s="534"/>
      <c r="I78" s="534"/>
      <c r="J78" s="534"/>
      <c r="K78" s="534"/>
      <c r="L78" s="534"/>
      <c r="M78" s="534"/>
      <c r="N78" s="534"/>
      <c r="O78" s="534"/>
      <c r="P78" s="534"/>
      <c r="Q78" s="534"/>
    </row>
    <row r="79" customFormat="false" ht="12.75" hidden="false" customHeight="false" outlineLevel="0" collapsed="false">
      <c r="C79" s="534"/>
      <c r="D79" s="534"/>
      <c r="E79" s="534"/>
      <c r="F79" s="534"/>
      <c r="G79" s="534"/>
      <c r="H79" s="534"/>
      <c r="I79" s="534"/>
      <c r="J79" s="534"/>
      <c r="K79" s="534"/>
      <c r="L79" s="534"/>
      <c r="M79" s="534"/>
      <c r="N79" s="534"/>
      <c r="O79" s="534"/>
      <c r="P79" s="534"/>
      <c r="Q79" s="534"/>
    </row>
    <row r="80" customFormat="false" ht="14.25" hidden="false" customHeight="false" outlineLevel="0" collapsed="false">
      <c r="B80" s="51" t="s">
        <v>475</v>
      </c>
      <c r="C80" s="534"/>
      <c r="D80" s="534"/>
      <c r="E80" s="534"/>
      <c r="F80" s="462"/>
      <c r="G80" s="534"/>
      <c r="H80" s="534"/>
      <c r="I80" s="534"/>
      <c r="J80" s="534"/>
      <c r="K80" s="534"/>
      <c r="L80" s="534"/>
      <c r="M80" s="534"/>
      <c r="N80" s="534"/>
      <c r="O80" s="534"/>
      <c r="P80" s="534"/>
      <c r="Q80" s="534"/>
    </row>
    <row r="81" customFormat="false" ht="12.75" hidden="false" customHeight="false" outlineLevel="0" collapsed="false">
      <c r="B81" s="706" t="s">
        <v>177</v>
      </c>
      <c r="C81" s="707" t="s">
        <v>303</v>
      </c>
      <c r="D81" s="707" t="s">
        <v>304</v>
      </c>
      <c r="E81" s="707" t="s">
        <v>305</v>
      </c>
      <c r="F81" s="707" t="s">
        <v>127</v>
      </c>
      <c r="G81" s="707" t="s">
        <v>128</v>
      </c>
      <c r="H81" s="707" t="s">
        <v>129</v>
      </c>
      <c r="I81" s="707" t="s">
        <v>130</v>
      </c>
      <c r="J81" s="707" t="s">
        <v>306</v>
      </c>
      <c r="K81" s="707" t="s">
        <v>307</v>
      </c>
      <c r="L81" s="707" t="s">
        <v>308</v>
      </c>
      <c r="M81" s="707" t="s">
        <v>309</v>
      </c>
      <c r="N81" s="707" t="s">
        <v>310</v>
      </c>
      <c r="O81" s="708" t="s">
        <v>467</v>
      </c>
      <c r="P81" s="709" t="s">
        <v>136</v>
      </c>
      <c r="Q81" s="534"/>
    </row>
    <row r="82" customFormat="false" ht="14.25" hidden="false" customHeight="false" outlineLevel="0" collapsed="false">
      <c r="B82" s="710" t="s">
        <v>441</v>
      </c>
      <c r="C82" s="711" t="n">
        <f aca="false">P72</f>
        <v>76969.574</v>
      </c>
      <c r="D82" s="711" t="n">
        <f aca="false">+C108</f>
        <v>77087.1453333333</v>
      </c>
      <c r="E82" s="711" t="n">
        <f aca="false">+D108</f>
        <v>85495.1433333333</v>
      </c>
      <c r="F82" s="711" t="n">
        <f aca="false">+E108</f>
        <v>92612.5663333333</v>
      </c>
      <c r="G82" s="711" t="n">
        <f aca="false">+F108</f>
        <v>98439.4143333333</v>
      </c>
      <c r="H82" s="711" t="n">
        <f aca="false">+G108</f>
        <v>104266.262333333</v>
      </c>
      <c r="I82" s="711" t="n">
        <f aca="false">+H108</f>
        <v>110093.110333333</v>
      </c>
      <c r="J82" s="711" t="n">
        <f aca="false">+I108</f>
        <v>112538.428333333</v>
      </c>
      <c r="K82" s="711" t="n">
        <f aca="false">+J108</f>
        <v>118365.276333333</v>
      </c>
      <c r="L82" s="711" t="n">
        <f aca="false">+K108</f>
        <v>124192.124333333</v>
      </c>
      <c r="M82" s="711" t="n">
        <f aca="false">+L108</f>
        <v>129410.296933333</v>
      </c>
      <c r="N82" s="711" t="n">
        <f aca="false">+M108</f>
        <v>135237.144933333</v>
      </c>
      <c r="O82" s="712" t="n">
        <f aca="false">+N108</f>
        <v>140455.317533333</v>
      </c>
      <c r="P82" s="713" t="n">
        <f aca="false">P72</f>
        <v>76969.574</v>
      </c>
      <c r="Q82" s="534"/>
    </row>
    <row r="83" customFormat="false" ht="12.75" hidden="false" customHeight="false" outlineLevel="0" collapsed="false">
      <c r="B83" s="683" t="s">
        <v>442</v>
      </c>
      <c r="C83" s="714"/>
      <c r="D83" s="714"/>
      <c r="E83" s="714"/>
      <c r="F83" s="714"/>
      <c r="G83" s="714"/>
      <c r="H83" s="714"/>
      <c r="I83" s="714"/>
      <c r="J83" s="714"/>
      <c r="K83" s="714"/>
      <c r="L83" s="714"/>
      <c r="M83" s="714"/>
      <c r="N83" s="714"/>
      <c r="O83" s="684" t="n">
        <f aca="false">'Entrada Inver_Finan'!F104</f>
        <v>0</v>
      </c>
      <c r="P83" s="685" t="n">
        <f aca="false">SUM(C83:O83)</f>
        <v>0</v>
      </c>
      <c r="Q83" s="534"/>
    </row>
    <row r="84" customFormat="false" ht="12.75" hidden="false" customHeight="false" outlineLevel="0" collapsed="false">
      <c r="B84" s="674" t="s">
        <v>468</v>
      </c>
      <c r="C84" s="716" t="n">
        <f aca="false">'Politica Cobr. Pagos'!E85</f>
        <v>26336.2</v>
      </c>
      <c r="D84" s="716" t="n">
        <f aca="false">'Politica Cobr. Pagos'!F85</f>
        <v>26336.2</v>
      </c>
      <c r="E84" s="716" t="n">
        <f aca="false">'Politica Cobr. Pagos'!G85</f>
        <v>26336.2</v>
      </c>
      <c r="F84" s="716" t="n">
        <f aca="false">'Politica Cobr. Pagos'!H85</f>
        <v>26336.2</v>
      </c>
      <c r="G84" s="716" t="n">
        <f aca="false">'Politica Cobr. Pagos'!I85</f>
        <v>26336.2</v>
      </c>
      <c r="H84" s="716" t="n">
        <f aca="false">'Politica Cobr. Pagos'!J85</f>
        <v>26336.2</v>
      </c>
      <c r="I84" s="716" t="n">
        <f aca="false">'Politica Cobr. Pagos'!K85</f>
        <v>26336.2</v>
      </c>
      <c r="J84" s="716" t="n">
        <f aca="false">'Politica Cobr. Pagos'!L85</f>
        <v>26336.2</v>
      </c>
      <c r="K84" s="716" t="n">
        <f aca="false">'Politica Cobr. Pagos'!M85</f>
        <v>26336.2</v>
      </c>
      <c r="L84" s="716" t="n">
        <f aca="false">'Politica Cobr. Pagos'!N85</f>
        <v>26336.2</v>
      </c>
      <c r="M84" s="716" t="n">
        <f aca="false">'Politica Cobr. Pagos'!O85</f>
        <v>26336.2</v>
      </c>
      <c r="N84" s="716" t="n">
        <f aca="false">'Politica Cobr. Pagos'!P85</f>
        <v>26336.2</v>
      </c>
      <c r="O84" s="635"/>
      <c r="P84" s="675" t="n">
        <f aca="false">SUM(C84:O84)</f>
        <v>316034.4</v>
      </c>
      <c r="Q84" s="534"/>
    </row>
    <row r="85" customFormat="false" ht="12.75" hidden="false" customHeight="false" outlineLevel="0" collapsed="false">
      <c r="B85" s="674" t="s">
        <v>444</v>
      </c>
      <c r="C85" s="740" t="n">
        <f aca="true">OFFSET('Préstamos LP'!$C$47,D1,0,1,1)+OFFSET('Otra financiación'!$G$45,D1,0,1,1)</f>
        <v>0</v>
      </c>
      <c r="D85" s="740" t="n">
        <f aca="true">OFFSET('Préstamos LP'!$C$47,E1,0,1,1)+OFFSET('Otra financiación'!$G$45,E1,0,1,1)</f>
        <v>0</v>
      </c>
      <c r="E85" s="740" t="n">
        <f aca="true">OFFSET('Préstamos LP'!$C$47,F1,0,1,1)+OFFSET('Otra financiación'!$G$45,F1,0,1,1)</f>
        <v>0</v>
      </c>
      <c r="F85" s="740" t="n">
        <f aca="true">OFFSET('Préstamos LP'!$C$47,G1,0,1,1)+OFFSET('Otra financiación'!$G$45,G1,0,1,1)</f>
        <v>0</v>
      </c>
      <c r="G85" s="740" t="n">
        <f aca="true">OFFSET('Préstamos LP'!$C$47,H1,0,1,1)+OFFSET('Otra financiación'!$G$45,H1,0,1,1)</f>
        <v>0</v>
      </c>
      <c r="H85" s="740" t="n">
        <f aca="true">OFFSET('Préstamos LP'!$C$47,I1,0,1,1)+OFFSET('Otra financiación'!$G$45,I1,0,1,1)</f>
        <v>0</v>
      </c>
      <c r="I85" s="740" t="n">
        <f aca="true">OFFSET('Préstamos LP'!$C$47,J1,0,1,1)+OFFSET('Otra financiación'!$G$45,J1,0,1,1)</f>
        <v>0</v>
      </c>
      <c r="J85" s="740" t="n">
        <f aca="true">OFFSET('Préstamos LP'!$C$47,K1,0,1,1)+OFFSET('Otra financiación'!$G$45,K1,0,1,1)</f>
        <v>0</v>
      </c>
      <c r="K85" s="740" t="n">
        <f aca="true">OFFSET('Préstamos LP'!$C$47,L1,0,1,1)+OFFSET('Otra financiación'!$G$45,L1,0,1,1)</f>
        <v>0</v>
      </c>
      <c r="L85" s="740" t="n">
        <f aca="true">OFFSET('Préstamos LP'!$C$47,M1,0,1,1)+OFFSET('Otra financiación'!$G$45,M1,0,1,1)</f>
        <v>0</v>
      </c>
      <c r="M85" s="740" t="n">
        <f aca="true">OFFSET('Préstamos LP'!$C$47,N1,0,1,1)+OFFSET('Otra financiación'!$G$45,N1,0,1,1)</f>
        <v>0</v>
      </c>
      <c r="N85" s="740" t="n">
        <f aca="true">OFFSET('Préstamos LP'!$C$47,O1,0,1,1)+OFFSET('Otra financiación'!$G$45,O1,0,1,1)</f>
        <v>0</v>
      </c>
      <c r="O85" s="635"/>
      <c r="P85" s="675" t="n">
        <f aca="false">SUM(C85:O85)</f>
        <v>0</v>
      </c>
      <c r="Q85" s="534"/>
    </row>
    <row r="86" customFormat="false" ht="12.75" hidden="false" customHeight="false" outlineLevel="0" collapsed="false">
      <c r="B86" s="674" t="s">
        <v>445</v>
      </c>
      <c r="C86" s="716" t="n">
        <f aca="true">OFFSET('Préstamos CP'!$C$36,D1,0,1,1)</f>
        <v>0</v>
      </c>
      <c r="D86" s="716" t="n">
        <f aca="true">OFFSET('Préstamos CP'!$C$36,E1,0,1,1)</f>
        <v>0</v>
      </c>
      <c r="E86" s="716" t="n">
        <f aca="true">OFFSET('Préstamos CP'!$C$36,F1,0,1,1)</f>
        <v>0</v>
      </c>
      <c r="F86" s="716" t="n">
        <f aca="true">OFFSET('Préstamos CP'!$C$36,G1,0,1,1)</f>
        <v>0</v>
      </c>
      <c r="G86" s="716" t="n">
        <f aca="true">OFFSET('Préstamos CP'!$C$36,H1,0,1,1)</f>
        <v>0</v>
      </c>
      <c r="H86" s="716" t="n">
        <f aca="true">OFFSET('Préstamos CP'!$C$36,I1,0,1,1)</f>
        <v>0</v>
      </c>
      <c r="I86" s="716" t="n">
        <f aca="true">OFFSET('Préstamos CP'!$C$36,J1,0,1,1)</f>
        <v>0</v>
      </c>
      <c r="J86" s="716" t="n">
        <f aca="true">OFFSET('Préstamos CP'!$C$36,K1,0,1,1)</f>
        <v>0</v>
      </c>
      <c r="K86" s="716" t="n">
        <f aca="true">OFFSET('Préstamos CP'!$C$36,L1,0,1,1)</f>
        <v>0</v>
      </c>
      <c r="L86" s="716" t="n">
        <f aca="true">OFFSET('Préstamos CP'!$C$36,M1,0,1,1)</f>
        <v>0</v>
      </c>
      <c r="M86" s="716" t="n">
        <f aca="true">OFFSET('Préstamos CP'!$C$36,N1,0,1,1)</f>
        <v>0</v>
      </c>
      <c r="N86" s="716" t="n">
        <f aca="true">OFFSET('Préstamos CP'!$C$36,O1,0,1,1)</f>
        <v>0</v>
      </c>
      <c r="O86" s="635"/>
      <c r="P86" s="675" t="n">
        <f aca="false">SUM(C86:O86)</f>
        <v>0</v>
      </c>
      <c r="Q86" s="534"/>
    </row>
    <row r="87" customFormat="false" ht="12.75" hidden="false" customHeight="false" outlineLevel="0" collapsed="false">
      <c r="B87" s="676" t="s">
        <v>342</v>
      </c>
      <c r="C87" s="719" t="n">
        <f aca="false">'CUENTA DE RESULTADOS'!D194</f>
        <v>0</v>
      </c>
      <c r="D87" s="719" t="n">
        <f aca="false">'CUENTA DE RESULTADOS'!E194</f>
        <v>0</v>
      </c>
      <c r="E87" s="719" t="n">
        <f aca="false">'CUENTA DE RESULTADOS'!F194</f>
        <v>0</v>
      </c>
      <c r="F87" s="719" t="n">
        <f aca="false">'CUENTA DE RESULTADOS'!G194</f>
        <v>0</v>
      </c>
      <c r="G87" s="719" t="n">
        <f aca="false">'CUENTA DE RESULTADOS'!H194</f>
        <v>0</v>
      </c>
      <c r="H87" s="719" t="n">
        <f aca="false">'CUENTA DE RESULTADOS'!I194</f>
        <v>0</v>
      </c>
      <c r="I87" s="719" t="n">
        <f aca="false">'CUENTA DE RESULTADOS'!J194</f>
        <v>0</v>
      </c>
      <c r="J87" s="719" t="n">
        <f aca="false">'CUENTA DE RESULTADOS'!K194</f>
        <v>0</v>
      </c>
      <c r="K87" s="719" t="n">
        <f aca="false">'CUENTA DE RESULTADOS'!L194</f>
        <v>0</v>
      </c>
      <c r="L87" s="719" t="n">
        <f aca="false">'CUENTA DE RESULTADOS'!M194</f>
        <v>0</v>
      </c>
      <c r="M87" s="719" t="n">
        <f aca="false">'CUENTA DE RESULTADOS'!N194</f>
        <v>0</v>
      </c>
      <c r="N87" s="719" t="n">
        <f aca="false">'CUENTA DE RESULTADOS'!O194</f>
        <v>0</v>
      </c>
      <c r="O87" s="677"/>
      <c r="P87" s="720" t="n">
        <f aca="false">SUM(C87:O87)</f>
        <v>0</v>
      </c>
      <c r="Q87" s="534"/>
    </row>
    <row r="88" customFormat="false" ht="14.25" hidden="false" customHeight="false" outlineLevel="0" collapsed="false">
      <c r="B88" s="721" t="s">
        <v>446</v>
      </c>
      <c r="C88" s="722" t="n">
        <f aca="false">SUM(C83:C87)</f>
        <v>26336.2</v>
      </c>
      <c r="D88" s="722" t="n">
        <f aca="false">SUM(D83:D87)</f>
        <v>26336.2</v>
      </c>
      <c r="E88" s="722" t="n">
        <f aca="false">SUM(E83:E87)</f>
        <v>26336.2</v>
      </c>
      <c r="F88" s="722" t="n">
        <f aca="false">SUM(F83:F87)</f>
        <v>26336.2</v>
      </c>
      <c r="G88" s="722" t="n">
        <f aca="false">SUM(G83:G87)</f>
        <v>26336.2</v>
      </c>
      <c r="H88" s="722" t="n">
        <f aca="false">SUM(H83:H87)</f>
        <v>26336.2</v>
      </c>
      <c r="I88" s="722" t="n">
        <f aca="false">SUM(I83:I87)</f>
        <v>26336.2</v>
      </c>
      <c r="J88" s="722" t="n">
        <f aca="false">SUM(J83:J87)</f>
        <v>26336.2</v>
      </c>
      <c r="K88" s="722" t="n">
        <f aca="false">SUM(K83:K87)</f>
        <v>26336.2</v>
      </c>
      <c r="L88" s="722" t="n">
        <f aca="false">SUM(L83:L87)</f>
        <v>26336.2</v>
      </c>
      <c r="M88" s="722" t="n">
        <f aca="false">SUM(M83:M87)</f>
        <v>26336.2</v>
      </c>
      <c r="N88" s="722" t="n">
        <f aca="false">SUM(N83:N87)</f>
        <v>26336.2</v>
      </c>
      <c r="O88" s="680"/>
      <c r="P88" s="723" t="n">
        <f aca="false">SUM(P83:P87)</f>
        <v>316034.4</v>
      </c>
      <c r="Q88" s="534"/>
    </row>
    <row r="89" customFormat="false" ht="12.75" hidden="false" customHeight="false" outlineLevel="0" collapsed="false">
      <c r="B89" s="683" t="s">
        <v>447</v>
      </c>
      <c r="C89" s="714" t="n">
        <f aca="false">'Politica Cobr. Pagos'!E149+'Politica Cobr. Pagos'!E150+'Margen B'!C201</f>
        <v>15296.875</v>
      </c>
      <c r="D89" s="714" t="n">
        <f aca="false">'Politica Cobr. Pagos'!F149+'Politica Cobr. Pagos'!F150+'Margen B'!D201</f>
        <v>16587.45</v>
      </c>
      <c r="E89" s="714" t="n">
        <f aca="false">'Politica Cobr. Pagos'!G149+'Politica Cobr. Pagos'!G150+'Margen B'!E201</f>
        <v>17878.025</v>
      </c>
      <c r="F89" s="714" t="n">
        <f aca="false">'Politica Cobr. Pagos'!H149+'Politica Cobr. Pagos'!H150+'Margen B'!F201</f>
        <v>19168.6</v>
      </c>
      <c r="G89" s="714" t="n">
        <f aca="false">'Politica Cobr. Pagos'!I149+'Politica Cobr. Pagos'!I150+'Margen B'!G201</f>
        <v>19168.6</v>
      </c>
      <c r="H89" s="714" t="n">
        <f aca="false">'Politica Cobr. Pagos'!J149+'Politica Cobr. Pagos'!J150+'Margen B'!H201</f>
        <v>19168.6</v>
      </c>
      <c r="I89" s="714" t="n">
        <f aca="false">'Politica Cobr. Pagos'!K149+'Politica Cobr. Pagos'!K150+'Margen B'!I201</f>
        <v>19168.6</v>
      </c>
      <c r="J89" s="714" t="n">
        <f aca="false">'Politica Cobr. Pagos'!L149+'Politica Cobr. Pagos'!L150+'Margen B'!J201</f>
        <v>19168.6</v>
      </c>
      <c r="K89" s="714" t="n">
        <f aca="false">'Politica Cobr. Pagos'!M149+'Politica Cobr. Pagos'!M150+'Margen B'!K201</f>
        <v>19168.6</v>
      </c>
      <c r="L89" s="714" t="n">
        <f aca="false">'Politica Cobr. Pagos'!N149+'Politica Cobr. Pagos'!N150+'Margen B'!L201</f>
        <v>19168.6</v>
      </c>
      <c r="M89" s="714" t="n">
        <f aca="false">'Politica Cobr. Pagos'!O149+'Politica Cobr. Pagos'!O150+'Margen B'!M201</f>
        <v>19168.6</v>
      </c>
      <c r="N89" s="714" t="n">
        <f aca="false">'Politica Cobr. Pagos'!P149+'Politica Cobr. Pagos'!P150+'Margen B'!N201</f>
        <v>19168.6</v>
      </c>
      <c r="O89" s="684"/>
      <c r="P89" s="685" t="n">
        <f aca="false">SUM(C89:O89)</f>
        <v>222279.75</v>
      </c>
      <c r="Q89" s="534"/>
    </row>
    <row r="90" customFormat="false" ht="24" hidden="false" customHeight="false" outlineLevel="0" collapsed="false">
      <c r="B90" s="686" t="str">
        <f aca="false">B17</f>
        <v>Pago de otros costes directos imputables a los productos o servicios</v>
      </c>
      <c r="C90" s="716" t="n">
        <f aca="false">'Margen B'!D174</f>
        <v>0</v>
      </c>
      <c r="D90" s="716" t="n">
        <f aca="false">'Margen B'!E174</f>
        <v>0</v>
      </c>
      <c r="E90" s="716" t="n">
        <f aca="false">'Margen B'!F174</f>
        <v>0</v>
      </c>
      <c r="F90" s="716" t="n">
        <f aca="false">'Margen B'!G174</f>
        <v>0</v>
      </c>
      <c r="G90" s="716" t="n">
        <f aca="false">'Margen B'!H174</f>
        <v>0</v>
      </c>
      <c r="H90" s="716" t="n">
        <f aca="false">'Margen B'!I174</f>
        <v>0</v>
      </c>
      <c r="I90" s="716" t="n">
        <f aca="false">'Margen B'!J174</f>
        <v>0</v>
      </c>
      <c r="J90" s="716" t="n">
        <f aca="false">'Margen B'!K174</f>
        <v>0</v>
      </c>
      <c r="K90" s="716" t="n">
        <f aca="false">'Margen B'!L174</f>
        <v>0</v>
      </c>
      <c r="L90" s="716" t="n">
        <f aca="false">'Margen B'!M174</f>
        <v>0</v>
      </c>
      <c r="M90" s="716" t="n">
        <f aca="false">'Margen B'!N174</f>
        <v>0</v>
      </c>
      <c r="N90" s="716" t="n">
        <f aca="false">'Margen B'!O174</f>
        <v>0</v>
      </c>
      <c r="O90" s="635"/>
      <c r="P90" s="675" t="n">
        <f aca="false">SUM(C90:O90)</f>
        <v>0</v>
      </c>
      <c r="Q90" s="534"/>
    </row>
    <row r="91" customFormat="false" ht="24" hidden="false" customHeight="false" outlineLevel="0" collapsed="false">
      <c r="B91" s="686" t="str">
        <f aca="false">B18</f>
        <v>Pago de otros costes proporcionales comunes a todos los productos/servicios</v>
      </c>
      <c r="C91" s="716" t="n">
        <f aca="false">'Margen B'!D184</f>
        <v>1197.1</v>
      </c>
      <c r="D91" s="716" t="n">
        <f aca="false">'Margen B'!E184</f>
        <v>1197.1</v>
      </c>
      <c r="E91" s="716" t="n">
        <f aca="false">'Margen B'!F184</f>
        <v>1197.1</v>
      </c>
      <c r="F91" s="716" t="n">
        <f aca="false">'Margen B'!G184</f>
        <v>1197.1</v>
      </c>
      <c r="G91" s="716" t="n">
        <f aca="false">'Margen B'!H184</f>
        <v>1197.1</v>
      </c>
      <c r="H91" s="716" t="n">
        <f aca="false">'Margen B'!I184</f>
        <v>1197.1</v>
      </c>
      <c r="I91" s="716" t="n">
        <f aca="false">'Margen B'!J184</f>
        <v>1197.1</v>
      </c>
      <c r="J91" s="716" t="n">
        <f aca="false">'Margen B'!K184</f>
        <v>1197.1</v>
      </c>
      <c r="K91" s="716" t="n">
        <f aca="false">'Margen B'!L184</f>
        <v>1197.1</v>
      </c>
      <c r="L91" s="716" t="n">
        <f aca="false">'Margen B'!M184</f>
        <v>1197.1</v>
      </c>
      <c r="M91" s="716" t="n">
        <f aca="false">'Margen B'!N184</f>
        <v>1197.1</v>
      </c>
      <c r="N91" s="716" t="n">
        <f aca="false">'Margen B'!O184</f>
        <v>1197.1</v>
      </c>
      <c r="O91" s="635"/>
      <c r="P91" s="675" t="n">
        <f aca="false">SUM(C91:O91)</f>
        <v>14365.2</v>
      </c>
      <c r="Q91" s="534"/>
    </row>
    <row r="92" customFormat="false" ht="12.75" hidden="false" customHeight="false" outlineLevel="0" collapsed="false">
      <c r="B92" s="674" t="str">
        <f aca="false">B56</f>
        <v>Total Gastos de personal</v>
      </c>
      <c r="C92" s="716" t="n">
        <f aca="false">'CUENTA DE RESULTADOS'!D152</f>
        <v>0</v>
      </c>
      <c r="D92" s="716" t="n">
        <f aca="false">'CUENTA DE RESULTADOS'!E152</f>
        <v>0</v>
      </c>
      <c r="E92" s="716" t="n">
        <f aca="false">'CUENTA DE RESULTADOS'!F152</f>
        <v>0</v>
      </c>
      <c r="F92" s="716" t="n">
        <f aca="false">'CUENTA DE RESULTADOS'!G152</f>
        <v>0</v>
      </c>
      <c r="G92" s="716" t="n">
        <f aca="false">'CUENTA DE RESULTADOS'!H152</f>
        <v>0</v>
      </c>
      <c r="H92" s="716" t="n">
        <f aca="false">'CUENTA DE RESULTADOS'!I152</f>
        <v>0</v>
      </c>
      <c r="I92" s="716" t="n">
        <f aca="false">'CUENTA DE RESULTADOS'!J152</f>
        <v>0</v>
      </c>
      <c r="J92" s="716" t="n">
        <f aca="false">'CUENTA DE RESULTADOS'!K152</f>
        <v>0</v>
      </c>
      <c r="K92" s="716" t="n">
        <f aca="false">'CUENTA DE RESULTADOS'!L152</f>
        <v>0</v>
      </c>
      <c r="L92" s="716" t="n">
        <f aca="false">'CUENTA DE RESULTADOS'!M152</f>
        <v>0</v>
      </c>
      <c r="M92" s="716" t="n">
        <f aca="false">'CUENTA DE RESULTADOS'!N152</f>
        <v>0</v>
      </c>
      <c r="N92" s="716" t="n">
        <f aca="false">'CUENTA DE RESULTADOS'!O152</f>
        <v>0</v>
      </c>
      <c r="O92" s="635"/>
      <c r="P92" s="675" t="n">
        <f aca="false">SUM(C92:O92)</f>
        <v>0</v>
      </c>
      <c r="Q92" s="534"/>
    </row>
    <row r="93" customFormat="false" ht="12.75" hidden="false" customHeight="false" outlineLevel="0" collapsed="false">
      <c r="B93" s="674" t="str">
        <f aca="false">B57</f>
        <v>Total Gastos financieros</v>
      </c>
      <c r="C93" s="448" t="n">
        <f aca="false">'CUENTA DE RESULTADOS'!D201</f>
        <v>0</v>
      </c>
      <c r="D93" s="448" t="n">
        <f aca="false">'CUENTA DE RESULTADOS'!E201</f>
        <v>0</v>
      </c>
      <c r="E93" s="448" t="n">
        <f aca="false">'CUENTA DE RESULTADOS'!F201</f>
        <v>0</v>
      </c>
      <c r="F93" s="448" t="n">
        <f aca="false">'CUENTA DE RESULTADOS'!G201</f>
        <v>0</v>
      </c>
      <c r="G93" s="448" t="n">
        <f aca="false">'CUENTA DE RESULTADOS'!H201</f>
        <v>0</v>
      </c>
      <c r="H93" s="448" t="n">
        <f aca="false">'CUENTA DE RESULTADOS'!I201</f>
        <v>0</v>
      </c>
      <c r="I93" s="448" t="n">
        <f aca="false">'CUENTA DE RESULTADOS'!J201</f>
        <v>0</v>
      </c>
      <c r="J93" s="448" t="n">
        <f aca="false">'CUENTA DE RESULTADOS'!K201</f>
        <v>0</v>
      </c>
      <c r="K93" s="448" t="n">
        <f aca="false">'CUENTA DE RESULTADOS'!L201</f>
        <v>0</v>
      </c>
      <c r="L93" s="448" t="n">
        <f aca="false">'CUENTA DE RESULTADOS'!M201</f>
        <v>0</v>
      </c>
      <c r="M93" s="448" t="n">
        <f aca="false">'CUENTA DE RESULTADOS'!N201</f>
        <v>0</v>
      </c>
      <c r="N93" s="448" t="n">
        <f aca="false">'CUENTA DE RESULTADOS'!O201</f>
        <v>0</v>
      </c>
      <c r="O93" s="635"/>
      <c r="P93" s="675" t="n">
        <f aca="false">SUM(C93:O93)</f>
        <v>0</v>
      </c>
      <c r="Q93" s="534"/>
    </row>
    <row r="94" customFormat="false" ht="12.75" hidden="false" customHeight="false" outlineLevel="0" collapsed="false">
      <c r="B94" s="674" t="str">
        <f aca="false">B58</f>
        <v>Total Gastos comerciales</v>
      </c>
      <c r="C94" s="448" t="n">
        <f aca="false">'CUENTA DE RESULTADOS'!D166</f>
        <v>0</v>
      </c>
      <c r="D94" s="448" t="n">
        <f aca="false">'CUENTA DE RESULTADOS'!E166</f>
        <v>0</v>
      </c>
      <c r="E94" s="448" t="n">
        <f aca="false">'CUENTA DE RESULTADOS'!F166</f>
        <v>0</v>
      </c>
      <c r="F94" s="448" t="n">
        <f aca="false">'CUENTA DE RESULTADOS'!G166</f>
        <v>0</v>
      </c>
      <c r="G94" s="448" t="n">
        <f aca="false">'CUENTA DE RESULTADOS'!H166</f>
        <v>0</v>
      </c>
      <c r="H94" s="448" t="n">
        <f aca="false">'CUENTA DE RESULTADOS'!I166</f>
        <v>0</v>
      </c>
      <c r="I94" s="448" t="n">
        <f aca="false">'CUENTA DE RESULTADOS'!J166</f>
        <v>0</v>
      </c>
      <c r="J94" s="448" t="n">
        <f aca="false">'CUENTA DE RESULTADOS'!K166</f>
        <v>0</v>
      </c>
      <c r="K94" s="448" t="n">
        <f aca="false">'CUENTA DE RESULTADOS'!L166</f>
        <v>0</v>
      </c>
      <c r="L94" s="448" t="n">
        <f aca="false">'CUENTA DE RESULTADOS'!M166</f>
        <v>0</v>
      </c>
      <c r="M94" s="448" t="n">
        <f aca="false">'CUENTA DE RESULTADOS'!N166</f>
        <v>0</v>
      </c>
      <c r="N94" s="448" t="n">
        <f aca="false">'CUENTA DE RESULTADOS'!O166</f>
        <v>0</v>
      </c>
      <c r="O94" s="635"/>
      <c r="P94" s="675" t="n">
        <f aca="false">SUM(C94:O94)</f>
        <v>0</v>
      </c>
      <c r="Q94" s="534"/>
    </row>
    <row r="95" customFormat="false" ht="12.75" hidden="false" customHeight="false" outlineLevel="0" collapsed="false">
      <c r="B95" s="674" t="str">
        <f aca="false">B59</f>
        <v>Total Otros gastos (Servicios exteriores)</v>
      </c>
      <c r="C95" s="448" t="n">
        <f aca="false">'CUENTA DE RESULTADOS'!D180</f>
        <v>0</v>
      </c>
      <c r="D95" s="448" t="n">
        <f aca="false">'CUENTA DE RESULTADOS'!E180</f>
        <v>0</v>
      </c>
      <c r="E95" s="448" t="n">
        <f aca="false">'CUENTA DE RESULTADOS'!F180</f>
        <v>0</v>
      </c>
      <c r="F95" s="448" t="n">
        <f aca="false">'CUENTA DE RESULTADOS'!G180</f>
        <v>0</v>
      </c>
      <c r="G95" s="448" t="n">
        <f aca="false">'CUENTA DE RESULTADOS'!H180</f>
        <v>0</v>
      </c>
      <c r="H95" s="448" t="n">
        <f aca="false">'CUENTA DE RESULTADOS'!I180</f>
        <v>0</v>
      </c>
      <c r="I95" s="448" t="n">
        <f aca="false">'CUENTA DE RESULTADOS'!J180</f>
        <v>0</v>
      </c>
      <c r="J95" s="448" t="n">
        <f aca="false">'CUENTA DE RESULTADOS'!K180</f>
        <v>0</v>
      </c>
      <c r="K95" s="448" t="n">
        <f aca="false">'CUENTA DE RESULTADOS'!L180</f>
        <v>0</v>
      </c>
      <c r="L95" s="448" t="n">
        <f aca="false">'CUENTA DE RESULTADOS'!M180</f>
        <v>0</v>
      </c>
      <c r="M95" s="448" t="n">
        <f aca="false">'CUENTA DE RESULTADOS'!N180</f>
        <v>0</v>
      </c>
      <c r="N95" s="448" t="n">
        <f aca="false">'CUENTA DE RESULTADOS'!O180</f>
        <v>0</v>
      </c>
      <c r="O95" s="635"/>
      <c r="P95" s="675" t="n">
        <f aca="false">SUM(C95:O95)</f>
        <v>0</v>
      </c>
      <c r="Q95" s="534"/>
    </row>
    <row r="96" customFormat="false" ht="12.75" hidden="false" customHeight="false" outlineLevel="0" collapsed="false">
      <c r="B96" s="674" t="str">
        <f aca="false">B60</f>
        <v>Devolución de préstamos financieros</v>
      </c>
      <c r="C96" s="448" t="n">
        <f aca="true">OFFSET('Préstamos LP'!$F$47,D1,0,1,1)+OFFSET('Préstamos CP'!$E$36,D1,0,1,1)</f>
        <v>0</v>
      </c>
      <c r="D96" s="448" t="n">
        <f aca="true">OFFSET('Préstamos LP'!$F$47,E1,0,1,1)+OFFSET('Préstamos CP'!$E$36,E1,0,1,1)</f>
        <v>0</v>
      </c>
      <c r="E96" s="448" t="n">
        <f aca="true">OFFSET('Préstamos LP'!$F$47,F1,0,1,1)+OFFSET('Préstamos CP'!$E$36,F1,0,1,1)</f>
        <v>0</v>
      </c>
      <c r="F96" s="448" t="n">
        <f aca="true">OFFSET('Préstamos LP'!$F$47,G1,0,1,1)+OFFSET('Préstamos CP'!$E$36,G1,0,1,1)</f>
        <v>0</v>
      </c>
      <c r="G96" s="448" t="n">
        <f aca="true">OFFSET('Préstamos LP'!$F$47,H1,0,1,1)+OFFSET('Préstamos CP'!$E$36,H1,0,1,1)</f>
        <v>0</v>
      </c>
      <c r="H96" s="448" t="n">
        <f aca="true">OFFSET('Préstamos LP'!$F$47,I1,0,1,1)+OFFSET('Préstamos CP'!$E$36,I1,0,1,1)</f>
        <v>0</v>
      </c>
      <c r="I96" s="448" t="n">
        <f aca="true">OFFSET('Préstamos LP'!$F$47,J1,0,1,1)+OFFSET('Préstamos CP'!$E$36,J1,0,1,1)</f>
        <v>0</v>
      </c>
      <c r="J96" s="448" t="n">
        <f aca="true">OFFSET('Préstamos LP'!$F$47,K1,0,1,1)+OFFSET('Préstamos CP'!$E$36,K1,0,1,1)</f>
        <v>0</v>
      </c>
      <c r="K96" s="448" t="n">
        <f aca="true">OFFSET('Préstamos LP'!$F$47,L1,0,1,1)+OFFSET('Préstamos CP'!$E$36,L1,0,1,1)</f>
        <v>0</v>
      </c>
      <c r="L96" s="448" t="n">
        <f aca="true">OFFSET('Préstamos LP'!$F$47,M1,0,1,1)+OFFSET('Préstamos CP'!$E$36,M1,0,1,1)</f>
        <v>0</v>
      </c>
      <c r="M96" s="448" t="n">
        <f aca="true">OFFSET('Préstamos LP'!$F$47,N1,0,1,1)+OFFSET('Préstamos CP'!$E$36,N1,0,1,1)</f>
        <v>0</v>
      </c>
      <c r="N96" s="448" t="n">
        <f aca="true">OFFSET('Préstamos LP'!$F$47,O1,0,1,1)+OFFSET('Préstamos CP'!$E$36,O1,0,1,1)</f>
        <v>0</v>
      </c>
      <c r="O96" s="635"/>
      <c r="P96" s="675" t="n">
        <f aca="false">SUM(C96:O96)</f>
        <v>0</v>
      </c>
      <c r="Q96" s="534"/>
    </row>
    <row r="97" customFormat="false" ht="12.75" hidden="false" customHeight="false" outlineLevel="0" collapsed="false">
      <c r="B97" s="674" t="str">
        <f aca="false">B61</f>
        <v>Amortización de los arrendamientos financieros</v>
      </c>
      <c r="C97" s="448" t="n">
        <f aca="true">OFFSET('Préstamos LP'!$W$47,D1,0,1,1)</f>
        <v>0</v>
      </c>
      <c r="D97" s="448" t="n">
        <f aca="true">OFFSET('Préstamos LP'!$W$47,E1,0,1,1)</f>
        <v>0</v>
      </c>
      <c r="E97" s="448" t="n">
        <f aca="true">OFFSET('Préstamos LP'!$W$47,F1,0,1,1)</f>
        <v>0</v>
      </c>
      <c r="F97" s="448" t="n">
        <f aca="true">OFFSET('Préstamos LP'!$W$47,G1,0,1,1)</f>
        <v>0</v>
      </c>
      <c r="G97" s="448" t="n">
        <f aca="true">OFFSET('Préstamos LP'!$W$47,H1,0,1,1)</f>
        <v>0</v>
      </c>
      <c r="H97" s="448" t="n">
        <f aca="true">OFFSET('Préstamos LP'!$W$47,I1,0,1,1)</f>
        <v>0</v>
      </c>
      <c r="I97" s="448" t="n">
        <f aca="true">OFFSET('Préstamos LP'!$W$47,J1,0,1,1)</f>
        <v>0</v>
      </c>
      <c r="J97" s="448" t="n">
        <f aca="true">OFFSET('Préstamos LP'!$W$47,K1,0,1,1)</f>
        <v>0</v>
      </c>
      <c r="K97" s="448" t="n">
        <f aca="true">OFFSET('Préstamos LP'!$W$47,L1,0,1,1)</f>
        <v>0</v>
      </c>
      <c r="L97" s="448" t="n">
        <f aca="true">OFFSET('Préstamos LP'!$W$47,M1,0,1,1)</f>
        <v>0</v>
      </c>
      <c r="M97" s="448" t="n">
        <f aca="true">OFFSET('Préstamos LP'!$W$47,N1,0,1,1)</f>
        <v>0</v>
      </c>
      <c r="N97" s="448" t="n">
        <f aca="true">OFFSET('Préstamos LP'!$W$47,O1,0,1,1)</f>
        <v>0</v>
      </c>
      <c r="O97" s="635"/>
      <c r="P97" s="675" t="n">
        <f aca="false">SUM(C97:O97)</f>
        <v>0</v>
      </c>
      <c r="Q97" s="534"/>
    </row>
    <row r="98" customFormat="false" ht="12.75" hidden="false" customHeight="false" outlineLevel="0" collapsed="false">
      <c r="B98" s="674" t="str">
        <f aca="false">B62</f>
        <v>Devolución de otros préstamos no financieros</v>
      </c>
      <c r="C98" s="448" t="n">
        <f aca="true">OFFSET('Otra financiación'!$G$96,D1,0,1,1)</f>
        <v>0</v>
      </c>
      <c r="D98" s="448" t="n">
        <f aca="true">OFFSET('Otra financiación'!$G$96,E1,0,1,1)</f>
        <v>0</v>
      </c>
      <c r="E98" s="448" t="n">
        <f aca="true">OFFSET('Otra financiación'!$G$96,F1,0,1,1)</f>
        <v>0</v>
      </c>
      <c r="F98" s="448" t="n">
        <f aca="true">OFFSET('Otra financiación'!$G$96,G1,0,1,1)</f>
        <v>0</v>
      </c>
      <c r="G98" s="448" t="n">
        <f aca="true">OFFSET('Otra financiación'!$G$96,H1,0,1,1)</f>
        <v>0</v>
      </c>
      <c r="H98" s="448" t="n">
        <f aca="true">OFFSET('Otra financiación'!$G$96,I1,0,1,1)</f>
        <v>0</v>
      </c>
      <c r="I98" s="448" t="n">
        <f aca="true">OFFSET('Otra financiación'!$G$96,J1,0,1,1)</f>
        <v>0</v>
      </c>
      <c r="J98" s="448" t="n">
        <f aca="true">OFFSET('Otra financiación'!$G$96,K1,0,1,1)</f>
        <v>0</v>
      </c>
      <c r="K98" s="448" t="n">
        <f aca="true">OFFSET('Otra financiación'!$G$96,L1,0,1,1)</f>
        <v>0</v>
      </c>
      <c r="L98" s="448" t="n">
        <f aca="true">OFFSET('Otra financiación'!$G$96,M1,0,1,1)</f>
        <v>0</v>
      </c>
      <c r="M98" s="448" t="n">
        <f aca="true">OFFSET('Otra financiación'!$G$96,N1,0,1,1)</f>
        <v>0</v>
      </c>
      <c r="N98" s="448" t="n">
        <f aca="true">OFFSET('Otra financiación'!$G$96,O1,0,1,1)</f>
        <v>0</v>
      </c>
      <c r="O98" s="635"/>
      <c r="P98" s="675" t="n">
        <f aca="false">SUM(C98:O98)</f>
        <v>0</v>
      </c>
      <c r="Q98" s="534"/>
    </row>
    <row r="99" customFormat="false" ht="12.75" hidden="false" customHeight="false" outlineLevel="0" collapsed="false">
      <c r="B99" s="674" t="str">
        <f aca="false">B63</f>
        <v>Inversiones realizadas</v>
      </c>
      <c r="C99" s="716"/>
      <c r="D99" s="716"/>
      <c r="E99" s="716"/>
      <c r="F99" s="716"/>
      <c r="G99" s="716"/>
      <c r="H99" s="716"/>
      <c r="I99" s="716"/>
      <c r="J99" s="716"/>
      <c r="K99" s="716"/>
      <c r="L99" s="716"/>
      <c r="M99" s="716"/>
      <c r="N99" s="534"/>
      <c r="O99" s="724" t="n">
        <f aca="false">'Entrada Inver_Finan'!G63-'Préstamos LP'!J13</f>
        <v>0</v>
      </c>
      <c r="P99" s="675" t="n">
        <f aca="false">SUM(C99:O99)</f>
        <v>0</v>
      </c>
      <c r="Q99" s="534"/>
    </row>
    <row r="100" customFormat="false" ht="12.75" hidden="false" customHeight="false" outlineLevel="0" collapsed="false">
      <c r="B100" s="674" t="s">
        <v>454</v>
      </c>
      <c r="C100" s="725" t="n">
        <f aca="true">(C90+C91+C94+C95+C99)*'Datos generales'!$D$19+OFFSET('Préstamos LP'!$X$47,D1,0,1,1)</f>
        <v>143.652</v>
      </c>
      <c r="D100" s="725" t="n">
        <f aca="true">(D90+D91+D94+D95+D99)*'Datos generales'!$D$19+OFFSET('Préstamos LP'!$X$47,E1,0,1,1)</f>
        <v>143.652</v>
      </c>
      <c r="E100" s="725" t="n">
        <f aca="true">(E90+E91+E94+E95+E99)*'Datos generales'!$D$19+OFFSET('Préstamos LP'!$X$47,F1,0,1,1)</f>
        <v>143.652</v>
      </c>
      <c r="F100" s="725" t="n">
        <f aca="true">(F90+F91+F94+F95+F99)*'Datos generales'!$D$19+OFFSET('Préstamos LP'!$X$47,G1,0,1,1)</f>
        <v>143.652</v>
      </c>
      <c r="G100" s="725" t="n">
        <f aca="true">(G90+G91+G94+G95+G99)*'Datos generales'!$D$19+OFFSET('Préstamos LP'!$X$47,H1,0,1,1)</f>
        <v>143.652</v>
      </c>
      <c r="H100" s="725" t="n">
        <f aca="true">(H90+H91+H94+H95+H99)*'Datos generales'!$D$19+OFFSET('Préstamos LP'!$X$47,I1,0,1,1)</f>
        <v>143.652</v>
      </c>
      <c r="I100" s="725" t="n">
        <f aca="true">(I90+I91+I94+I95+I99)*'Datos generales'!$D$19+OFFSET('Préstamos LP'!$X$47,J1,0,1,1)</f>
        <v>143.652</v>
      </c>
      <c r="J100" s="725" t="n">
        <f aca="true">(J90+J91+J94+J95+J99)*'Datos generales'!$D$19+OFFSET('Préstamos LP'!$X$47,K1,0,1,1)</f>
        <v>143.652</v>
      </c>
      <c r="K100" s="725" t="n">
        <f aca="true">(K90+K91+K94+K95+K99)*'Datos generales'!$D$19+OFFSET('Préstamos LP'!$X$47,L1,0,1,1)</f>
        <v>143.652</v>
      </c>
      <c r="L100" s="725" t="n">
        <f aca="true">(L90+L91+L94+L95+L99)*'Datos generales'!$D$19+OFFSET('Préstamos LP'!$X$47,M1,0,1,1)</f>
        <v>143.652</v>
      </c>
      <c r="M100" s="725" t="n">
        <f aca="true">(M90+M91+M94+M95+M99)*'Datos generales'!$D$19+OFFSET('Préstamos LP'!$X$47,N1,0,1,1)</f>
        <v>143.652</v>
      </c>
      <c r="N100" s="725" t="n">
        <f aca="true">(N90+N91+N94+N95+N99)*'Datos generales'!$D$19+OFFSET('Préstamos LP'!$X$47,O1,0,1,1)</f>
        <v>143.652</v>
      </c>
      <c r="O100" s="725" t="n">
        <f aca="false">(O89+O90)*'Datos generales'!$D$16+(O94+O95+O97+O99)*'Datos generales'!$D$19</f>
        <v>0</v>
      </c>
      <c r="P100" s="675" t="n">
        <f aca="false">SUM(C100:O100)</f>
        <v>1723.824</v>
      </c>
      <c r="Q100" s="534"/>
      <c r="R100" s="549"/>
    </row>
    <row r="101" customFormat="false" ht="12.75" hidden="false" customHeight="false" outlineLevel="0" collapsed="false">
      <c r="B101" s="687" t="s">
        <v>455</v>
      </c>
      <c r="C101" s="726" t="n">
        <f aca="false">IF(N76&lt;0,0,N76)</f>
        <v>0</v>
      </c>
      <c r="D101" s="448"/>
      <c r="E101" s="448"/>
      <c r="F101" s="726" t="n">
        <f aca="false">IF(E112&lt;0,0,E112)</f>
        <v>0</v>
      </c>
      <c r="G101" s="448"/>
      <c r="H101" s="448"/>
      <c r="I101" s="726" t="n">
        <f aca="false">IF(H112&lt;0,0,H112)</f>
        <v>0</v>
      </c>
      <c r="J101" s="448"/>
      <c r="K101" s="448"/>
      <c r="L101" s="726" t="n">
        <f aca="false">IF(K112&lt;0,0,K112)</f>
        <v>0</v>
      </c>
      <c r="M101" s="448"/>
      <c r="N101" s="448"/>
      <c r="O101" s="635"/>
      <c r="P101" s="675" t="n">
        <f aca="false">SUM(C101:O101)</f>
        <v>0</v>
      </c>
      <c r="Q101" s="534"/>
    </row>
    <row r="102" customFormat="false" ht="12.75" hidden="false" customHeight="false" outlineLevel="0" collapsed="false">
      <c r="B102" s="687" t="s">
        <v>469</v>
      </c>
      <c r="C102" s="726"/>
      <c r="D102" s="448"/>
      <c r="E102" s="448"/>
      <c r="F102" s="726"/>
      <c r="G102" s="448"/>
      <c r="H102" s="448"/>
      <c r="I102" s="726" t="n">
        <f aca="false">'Impuesto sociedades'!E22</f>
        <v>3381.53</v>
      </c>
      <c r="J102" s="448"/>
      <c r="K102" s="448"/>
      <c r="L102" s="726" t="n">
        <f aca="false">'Impuesto sociedades'!E23</f>
        <v>608.6754</v>
      </c>
      <c r="M102" s="448"/>
      <c r="N102" s="435" t="n">
        <f aca="false">'Impuesto sociedades'!E24</f>
        <v>608.6754</v>
      </c>
      <c r="O102" s="635"/>
      <c r="P102" s="688" t="n">
        <f aca="false">SUM(C102:O102)</f>
        <v>4598.8808</v>
      </c>
      <c r="Q102" s="534"/>
    </row>
    <row r="103" customFormat="false" ht="12.75" hidden="false" customHeight="false" outlineLevel="0" collapsed="false">
      <c r="B103" s="687" t="s">
        <v>470</v>
      </c>
      <c r="C103" s="726" t="n">
        <f aca="false">'Impuesto sociedades'!F63</f>
        <v>0</v>
      </c>
      <c r="D103" s="448"/>
      <c r="E103" s="448"/>
      <c r="F103" s="726" t="n">
        <f aca="false">'Impuesto sociedades'!I60</f>
        <v>0</v>
      </c>
      <c r="G103" s="448"/>
      <c r="H103" s="448" t="n">
        <f aca="false">'Impuesto sociedades'!F44</f>
        <v>0</v>
      </c>
      <c r="I103" s="726" t="n">
        <f aca="false">'Impuesto sociedades'!I61</f>
        <v>0</v>
      </c>
      <c r="J103" s="448"/>
      <c r="K103" s="448"/>
      <c r="L103" s="726" t="n">
        <f aca="false">'Impuesto sociedades'!I62</f>
        <v>0</v>
      </c>
      <c r="M103" s="448"/>
      <c r="N103" s="435"/>
      <c r="O103" s="635"/>
      <c r="P103" s="688" t="n">
        <f aca="false">SUM(C103:O103)</f>
        <v>0</v>
      </c>
      <c r="Q103" s="534"/>
    </row>
    <row r="104" customFormat="false" ht="12.75" hidden="false" customHeight="false" outlineLevel="0" collapsed="false">
      <c r="B104" s="687" t="s">
        <v>458</v>
      </c>
      <c r="C104" s="448" t="n">
        <f aca="false">'CUENTA DE RESULTADOS'!D161-'CUENTA DE RESULTADOS'!D160</f>
        <v>0</v>
      </c>
      <c r="D104" s="448" t="n">
        <f aca="false">'CUENTA DE RESULTADOS'!E161-'CUENTA DE RESULTADOS'!E160</f>
        <v>0</v>
      </c>
      <c r="E104" s="448" t="n">
        <f aca="false">'CUENTA DE RESULTADOS'!F161-'CUENTA DE RESULTADOS'!F160</f>
        <v>0</v>
      </c>
      <c r="F104" s="448" t="n">
        <f aca="false">'CUENTA DE RESULTADOS'!G161-'CUENTA DE RESULTADOS'!G160</f>
        <v>0</v>
      </c>
      <c r="G104" s="448" t="n">
        <f aca="false">'CUENTA DE RESULTADOS'!H161-'CUENTA DE RESULTADOS'!H160</f>
        <v>0</v>
      </c>
      <c r="H104" s="448" t="n">
        <f aca="false">'CUENTA DE RESULTADOS'!I161-'CUENTA DE RESULTADOS'!I160</f>
        <v>0</v>
      </c>
      <c r="I104" s="448" t="n">
        <f aca="false">'CUENTA DE RESULTADOS'!J161-'CUENTA DE RESULTADOS'!J160</f>
        <v>0</v>
      </c>
      <c r="J104" s="448" t="n">
        <f aca="false">'CUENTA DE RESULTADOS'!K161-'CUENTA DE RESULTADOS'!K160</f>
        <v>0</v>
      </c>
      <c r="K104" s="448" t="n">
        <f aca="false">'CUENTA DE RESULTADOS'!L161-'CUENTA DE RESULTADOS'!L160</f>
        <v>0</v>
      </c>
      <c r="L104" s="448" t="n">
        <f aca="false">'CUENTA DE RESULTADOS'!M161-'CUENTA DE RESULTADOS'!M160</f>
        <v>0</v>
      </c>
      <c r="M104" s="448" t="n">
        <f aca="false">'CUENTA DE RESULTADOS'!N161-'CUENTA DE RESULTADOS'!N160</f>
        <v>0</v>
      </c>
      <c r="N104" s="448" t="n">
        <f aca="false">'CUENTA DE RESULTADOS'!O161-'CUENTA DE RESULTADOS'!O160</f>
        <v>0</v>
      </c>
      <c r="O104" s="635"/>
      <c r="P104" s="675" t="n">
        <f aca="false">SUM(C104:O104)</f>
        <v>0</v>
      </c>
      <c r="Q104" s="534"/>
    </row>
    <row r="105" customFormat="false" ht="12.75" hidden="false" customHeight="false" outlineLevel="0" collapsed="false">
      <c r="B105" s="693" t="s">
        <v>459</v>
      </c>
      <c r="C105" s="534" t="n">
        <f aca="false">'CUENTA DE RESULTADOS'!D38</f>
        <v>9581.00166666667</v>
      </c>
      <c r="D105" s="539"/>
      <c r="E105" s="539"/>
      <c r="F105" s="727"/>
      <c r="G105" s="539"/>
      <c r="H105" s="539"/>
      <c r="I105" s="727"/>
      <c r="J105" s="539"/>
      <c r="K105" s="539"/>
      <c r="L105" s="727"/>
      <c r="M105" s="539"/>
      <c r="N105" s="539"/>
      <c r="O105" s="534"/>
      <c r="P105" s="720" t="n">
        <f aca="false">SUM(C105:N105)</f>
        <v>9581.00166666667</v>
      </c>
      <c r="Q105" s="534"/>
    </row>
    <row r="106" customFormat="false" ht="14.25" hidden="false" customHeight="false" outlineLevel="0" collapsed="false">
      <c r="B106" s="721" t="s">
        <v>460</v>
      </c>
      <c r="C106" s="722" t="n">
        <f aca="false">SUM(C89:C105)</f>
        <v>26218.6286666667</v>
      </c>
      <c r="D106" s="722" t="n">
        <f aca="false">SUM(D89:D105)</f>
        <v>17928.202</v>
      </c>
      <c r="E106" s="722" t="n">
        <f aca="false">SUM(E89:E105)</f>
        <v>19218.777</v>
      </c>
      <c r="F106" s="722" t="n">
        <f aca="false">SUM(F89:F105)</f>
        <v>20509.352</v>
      </c>
      <c r="G106" s="722" t="n">
        <f aca="false">SUM(G89:G105)</f>
        <v>20509.352</v>
      </c>
      <c r="H106" s="722" t="n">
        <f aca="false">SUM(H89:H105)</f>
        <v>20509.352</v>
      </c>
      <c r="I106" s="722" t="n">
        <f aca="false">SUM(I89:I105)</f>
        <v>23890.882</v>
      </c>
      <c r="J106" s="722" t="n">
        <f aca="false">SUM(J89:J105)</f>
        <v>20509.352</v>
      </c>
      <c r="K106" s="722" t="n">
        <f aca="false">SUM(K89:K105)</f>
        <v>20509.352</v>
      </c>
      <c r="L106" s="722" t="n">
        <f aca="false">SUM(L89:L105)</f>
        <v>21118.0274</v>
      </c>
      <c r="M106" s="722" t="n">
        <f aca="false">SUM(M89:M105)</f>
        <v>20509.352</v>
      </c>
      <c r="N106" s="722" t="n">
        <f aca="false">SUM(N89:N105)</f>
        <v>21118.0274</v>
      </c>
      <c r="O106" s="680" t="n">
        <f aca="false">SUM(O89:O105)</f>
        <v>0</v>
      </c>
      <c r="P106" s="723" t="n">
        <f aca="false">SUM(P89:P105)</f>
        <v>252548.656466667</v>
      </c>
      <c r="Q106" s="534"/>
    </row>
    <row r="107" customFormat="false" ht="12.75" hidden="false" customHeight="false" outlineLevel="0" collapsed="false">
      <c r="B107" s="728" t="s">
        <v>461</v>
      </c>
      <c r="C107" s="729" t="n">
        <f aca="false">+C88-C106</f>
        <v>117.571333333333</v>
      </c>
      <c r="D107" s="729" t="n">
        <f aca="false">+D88-D106</f>
        <v>8407.998</v>
      </c>
      <c r="E107" s="729" t="n">
        <f aca="false">+E88-E106</f>
        <v>7117.423</v>
      </c>
      <c r="F107" s="729" t="n">
        <f aca="false">+F88-F106</f>
        <v>5826.848</v>
      </c>
      <c r="G107" s="729" t="n">
        <f aca="false">+G88-G106</f>
        <v>5826.848</v>
      </c>
      <c r="H107" s="729" t="n">
        <f aca="false">+H88-H106</f>
        <v>5826.848</v>
      </c>
      <c r="I107" s="729" t="n">
        <f aca="false">+I88-I106</f>
        <v>2445.318</v>
      </c>
      <c r="J107" s="729" t="n">
        <f aca="false">+J88-J106</f>
        <v>5826.848</v>
      </c>
      <c r="K107" s="729" t="n">
        <f aca="false">+K88-K106</f>
        <v>5826.848</v>
      </c>
      <c r="L107" s="729" t="n">
        <f aca="false">+L88-L106</f>
        <v>5218.1726</v>
      </c>
      <c r="M107" s="729" t="n">
        <f aca="false">+M88-M106</f>
        <v>5826.848</v>
      </c>
      <c r="N107" s="729" t="n">
        <f aca="false">+N88-N106</f>
        <v>5218.1726</v>
      </c>
      <c r="O107" s="730" t="n">
        <f aca="false">+O88-O106</f>
        <v>0</v>
      </c>
      <c r="P107" s="731" t="n">
        <f aca="false">+P88-P106</f>
        <v>63485.7435333334</v>
      </c>
      <c r="Q107" s="534"/>
    </row>
    <row r="108" customFormat="false" ht="14.25" hidden="false" customHeight="false" outlineLevel="0" collapsed="false">
      <c r="B108" s="732" t="s">
        <v>462</v>
      </c>
      <c r="C108" s="733" t="n">
        <f aca="false">+C82+C107</f>
        <v>77087.1453333333</v>
      </c>
      <c r="D108" s="733" t="n">
        <f aca="false">+D82+D107</f>
        <v>85495.1433333333</v>
      </c>
      <c r="E108" s="733" t="n">
        <f aca="false">+E82+E107</f>
        <v>92612.5663333333</v>
      </c>
      <c r="F108" s="733" t="n">
        <f aca="false">+F82+F107</f>
        <v>98439.4143333333</v>
      </c>
      <c r="G108" s="733" t="n">
        <f aca="false">+G82+G107</f>
        <v>104266.262333333</v>
      </c>
      <c r="H108" s="733" t="n">
        <f aca="false">+H82+H107</f>
        <v>110093.110333333</v>
      </c>
      <c r="I108" s="733" t="n">
        <f aca="false">+I82+I107</f>
        <v>112538.428333333</v>
      </c>
      <c r="J108" s="733" t="n">
        <f aca="false">+J82+J107</f>
        <v>118365.276333333</v>
      </c>
      <c r="K108" s="733" t="n">
        <f aca="false">+K82+K107</f>
        <v>124192.124333333</v>
      </c>
      <c r="L108" s="733" t="n">
        <f aca="false">+L82+L107</f>
        <v>129410.296933333</v>
      </c>
      <c r="M108" s="733" t="n">
        <f aca="false">+M82+M107</f>
        <v>135237.144933333</v>
      </c>
      <c r="N108" s="733" t="n">
        <f aca="false">+N82+N107</f>
        <v>140455.317533333</v>
      </c>
      <c r="O108" s="690" t="n">
        <f aca="false">+O82+O107</f>
        <v>140455.317533333</v>
      </c>
      <c r="P108" s="734" t="n">
        <f aca="false">+P82+P107</f>
        <v>140455.317533333</v>
      </c>
      <c r="Q108" s="534"/>
    </row>
    <row r="109" customFormat="false" ht="13.5" hidden="false" customHeight="false" outlineLevel="0" collapsed="false">
      <c r="C109" s="534"/>
      <c r="D109" s="534"/>
      <c r="E109" s="534"/>
      <c r="F109" s="534"/>
      <c r="G109" s="534"/>
      <c r="H109" s="534"/>
      <c r="I109" s="534"/>
      <c r="J109" s="534"/>
      <c r="K109" s="534"/>
      <c r="L109" s="534"/>
      <c r="M109" s="534"/>
      <c r="N109" s="534"/>
      <c r="O109" s="534"/>
      <c r="P109" s="534"/>
      <c r="Q109" s="534"/>
    </row>
    <row r="110" customFormat="false" ht="12.75" hidden="true" customHeight="false" outlineLevel="0" collapsed="false">
      <c r="B110" s="735" t="s">
        <v>471</v>
      </c>
      <c r="C110" s="741" t="n">
        <f aca="false">'Politica Cobr. Pagos'!E74</f>
        <v>2394.2</v>
      </c>
      <c r="D110" s="741" t="n">
        <f aca="false">'Politica Cobr. Pagos'!F74</f>
        <v>2394.2</v>
      </c>
      <c r="E110" s="741" t="n">
        <f aca="false">'Politica Cobr. Pagos'!G74</f>
        <v>2394.2</v>
      </c>
      <c r="F110" s="741" t="n">
        <f aca="false">'Politica Cobr. Pagos'!H74</f>
        <v>2394.2</v>
      </c>
      <c r="G110" s="741" t="n">
        <f aca="false">'Politica Cobr. Pagos'!I74</f>
        <v>2394.2</v>
      </c>
      <c r="H110" s="741" t="n">
        <f aca="false">'Politica Cobr. Pagos'!J74</f>
        <v>2394.2</v>
      </c>
      <c r="I110" s="741" t="n">
        <f aca="false">'Politica Cobr. Pagos'!K74</f>
        <v>2394.2</v>
      </c>
      <c r="J110" s="741" t="n">
        <f aca="false">'Politica Cobr. Pagos'!L74</f>
        <v>2394.2</v>
      </c>
      <c r="K110" s="741" t="n">
        <f aca="false">'Politica Cobr. Pagos'!M74</f>
        <v>2394.2</v>
      </c>
      <c r="L110" s="741" t="n">
        <f aca="false">'Politica Cobr. Pagos'!N74</f>
        <v>2394.2</v>
      </c>
      <c r="M110" s="741" t="n">
        <f aca="false">'Politica Cobr. Pagos'!O74</f>
        <v>2394.2</v>
      </c>
      <c r="N110" s="741" t="n">
        <f aca="false">'Politica Cobr. Pagos'!P74</f>
        <v>2394.2</v>
      </c>
      <c r="O110" s="741"/>
      <c r="P110" s="534"/>
      <c r="Q110" s="534"/>
    </row>
    <row r="111" customFormat="false" ht="13.5" hidden="true" customHeight="false" outlineLevel="0" collapsed="false">
      <c r="B111" s="735" t="s">
        <v>472</v>
      </c>
      <c r="C111" s="741" t="n">
        <f aca="false">'Politica Cobr. Pagos'!E138</f>
        <v>1742.6</v>
      </c>
      <c r="D111" s="741" t="n">
        <f aca="false">'Politica Cobr. Pagos'!F138</f>
        <v>1742.6</v>
      </c>
      <c r="E111" s="741" t="n">
        <f aca="false">'Politica Cobr. Pagos'!G138</f>
        <v>1742.6</v>
      </c>
      <c r="F111" s="741" t="n">
        <f aca="false">'Politica Cobr. Pagos'!H138</f>
        <v>1742.6</v>
      </c>
      <c r="G111" s="741" t="n">
        <f aca="false">'Politica Cobr. Pagos'!I138</f>
        <v>1742.6</v>
      </c>
      <c r="H111" s="741" t="n">
        <f aca="false">'Politica Cobr. Pagos'!J138</f>
        <v>1742.6</v>
      </c>
      <c r="I111" s="741" t="n">
        <f aca="false">'Politica Cobr. Pagos'!K138</f>
        <v>1742.6</v>
      </c>
      <c r="J111" s="741" t="n">
        <f aca="false">'Politica Cobr. Pagos'!L138</f>
        <v>1742.6</v>
      </c>
      <c r="K111" s="741" t="n">
        <f aca="false">'Politica Cobr. Pagos'!M138</f>
        <v>1742.6</v>
      </c>
      <c r="L111" s="741" t="n">
        <f aca="false">'Politica Cobr. Pagos'!N138</f>
        <v>1742.6</v>
      </c>
      <c r="M111" s="741" t="n">
        <f aca="false">'Politica Cobr. Pagos'!O138</f>
        <v>1742.6</v>
      </c>
      <c r="N111" s="741" t="n">
        <f aca="false">'Politica Cobr. Pagos'!P138</f>
        <v>1742.6</v>
      </c>
      <c r="O111" s="741"/>
      <c r="P111" s="534"/>
      <c r="Q111" s="534"/>
    </row>
    <row r="112" s="549" customFormat="true" ht="13.5" hidden="false" customHeight="false" outlineLevel="0" collapsed="false">
      <c r="B112" s="738" t="s">
        <v>473</v>
      </c>
      <c r="C112" s="701" t="n">
        <f aca="false">IF('Datos generales'!$D$22&gt;0,C110-C111-C100+O76-C101,0)</f>
        <v>-23294.128</v>
      </c>
      <c r="D112" s="701" t="n">
        <f aca="false">IF('Datos generales'!$D$22&gt;0,D110-D111-D100+C112-D101,0)</f>
        <v>-22786.18</v>
      </c>
      <c r="E112" s="701" t="n">
        <f aca="false">IF('Datos generales'!$D$22&gt;0,E110-E111-E100+D112-E101,0)</f>
        <v>-22278.232</v>
      </c>
      <c r="F112" s="701" t="n">
        <f aca="false">IF('Datos generales'!$D$22&gt;0,F110-F111-F100+E112-F101,0)</f>
        <v>-21770.284</v>
      </c>
      <c r="G112" s="701" t="n">
        <f aca="false">IF('Datos generales'!$D$22&gt;0,G110-G111-G100+F112-G101,0)</f>
        <v>-21262.336</v>
      </c>
      <c r="H112" s="701" t="n">
        <f aca="false">IF('Datos generales'!$D$22&gt;0,H110-H111-H100+G112-H101,0)</f>
        <v>-20754.388</v>
      </c>
      <c r="I112" s="701" t="n">
        <f aca="false">IF('Datos generales'!$D$22&gt;0,I110-I111-I100+H112-I101,0)</f>
        <v>-20246.44</v>
      </c>
      <c r="J112" s="701" t="n">
        <f aca="false">IF('Datos generales'!$D$22&gt;0,J110-J111-J100+I112-J101,0)</f>
        <v>-19738.492</v>
      </c>
      <c r="K112" s="701" t="n">
        <f aca="false">IF('Datos generales'!$D$22&gt;0,K110-K111-K100+J112-K101,0)</f>
        <v>-19230.544</v>
      </c>
      <c r="L112" s="701" t="n">
        <f aca="false">IF('Datos generales'!$D$22&gt;0,L110-L111-L100+K112-L101,0)</f>
        <v>-18722.596</v>
      </c>
      <c r="M112" s="701" t="n">
        <f aca="false">IF('Datos generales'!$D$22&gt;0,M110-M111-M100+L112-M101,0)</f>
        <v>-18214.648</v>
      </c>
      <c r="N112" s="701" t="n">
        <f aca="false">IF('Datos generales'!$D$22&gt;0,N110-N111-N100+M112-N101,0)</f>
        <v>-17706.7</v>
      </c>
      <c r="O112" s="702" t="n">
        <f aca="false">IF('Datos generales'!$D$22&gt;0,O110-O111-O100+N112-O101,0)</f>
        <v>-17706.7</v>
      </c>
    </row>
    <row r="113" customFormat="false" ht="12.75" hidden="false" customHeight="false" outlineLevel="0" collapsed="false">
      <c r="B113" s="35" t="s">
        <v>474</v>
      </c>
      <c r="C113" s="739" t="n">
        <v>38737</v>
      </c>
      <c r="D113" s="534"/>
      <c r="E113" s="534"/>
      <c r="F113" s="739" t="n">
        <v>38827</v>
      </c>
      <c r="G113" s="534"/>
      <c r="H113" s="534"/>
      <c r="I113" s="739" t="n">
        <v>38918</v>
      </c>
      <c r="J113" s="534"/>
      <c r="K113" s="534"/>
      <c r="L113" s="739" t="n">
        <v>39010</v>
      </c>
      <c r="M113" s="534"/>
      <c r="N113" s="739" t="n">
        <v>39802</v>
      </c>
      <c r="O113" s="534"/>
      <c r="P113" s="534"/>
      <c r="Q113" s="534"/>
    </row>
    <row r="114" customFormat="false" ht="12.75" hidden="false" customHeight="false" outlineLevel="0" collapsed="false">
      <c r="C114" s="534"/>
      <c r="D114" s="534"/>
      <c r="E114" s="534"/>
      <c r="F114" s="534"/>
      <c r="G114" s="534"/>
      <c r="H114" s="534"/>
      <c r="I114" s="534"/>
      <c r="J114" s="534"/>
      <c r="K114" s="534"/>
      <c r="L114" s="534"/>
      <c r="M114" s="534"/>
      <c r="N114" s="534"/>
      <c r="O114" s="534"/>
      <c r="P114" s="534"/>
      <c r="Q114" s="534"/>
    </row>
    <row r="115" customFormat="false" ht="12.75" hidden="false" customHeight="false" outlineLevel="0" collapsed="false">
      <c r="C115" s="534"/>
      <c r="D115" s="534"/>
      <c r="E115" s="534"/>
      <c r="F115" s="534"/>
      <c r="G115" s="534"/>
      <c r="H115" s="534"/>
      <c r="I115" s="534"/>
      <c r="J115" s="534"/>
      <c r="K115" s="534"/>
      <c r="L115" s="534"/>
      <c r="M115" s="534"/>
      <c r="N115" s="534"/>
      <c r="O115" s="534"/>
      <c r="P115" s="534"/>
      <c r="Q115" s="534"/>
    </row>
    <row r="116" customFormat="false" ht="14.25" hidden="false" customHeight="false" outlineLevel="0" collapsed="false">
      <c r="B116" s="51" t="s">
        <v>476</v>
      </c>
      <c r="C116" s="534"/>
      <c r="D116" s="534"/>
      <c r="E116" s="534"/>
      <c r="F116" s="462"/>
      <c r="G116" s="534"/>
      <c r="H116" s="534"/>
      <c r="I116" s="534"/>
      <c r="J116" s="534"/>
      <c r="K116" s="534"/>
      <c r="L116" s="534"/>
      <c r="M116" s="534"/>
      <c r="N116" s="534"/>
      <c r="O116" s="534"/>
      <c r="P116" s="534"/>
      <c r="Q116" s="534"/>
    </row>
    <row r="117" customFormat="false" ht="12.75" hidden="false" customHeight="false" outlineLevel="0" collapsed="false">
      <c r="B117" s="706" t="s">
        <v>177</v>
      </c>
      <c r="C117" s="707" t="s">
        <v>303</v>
      </c>
      <c r="D117" s="707" t="s">
        <v>304</v>
      </c>
      <c r="E117" s="707" t="s">
        <v>305</v>
      </c>
      <c r="F117" s="707" t="s">
        <v>127</v>
      </c>
      <c r="G117" s="707" t="s">
        <v>128</v>
      </c>
      <c r="H117" s="707" t="s">
        <v>129</v>
      </c>
      <c r="I117" s="707" t="s">
        <v>130</v>
      </c>
      <c r="J117" s="707" t="s">
        <v>306</v>
      </c>
      <c r="K117" s="707" t="s">
        <v>307</v>
      </c>
      <c r="L117" s="707" t="s">
        <v>308</v>
      </c>
      <c r="M117" s="707" t="s">
        <v>309</v>
      </c>
      <c r="N117" s="707" t="s">
        <v>310</v>
      </c>
      <c r="O117" s="708" t="s">
        <v>467</v>
      </c>
      <c r="P117" s="709" t="s">
        <v>136</v>
      </c>
      <c r="Q117" s="534"/>
    </row>
    <row r="118" customFormat="false" ht="14.25" hidden="false" customHeight="false" outlineLevel="0" collapsed="false">
      <c r="B118" s="710" t="s">
        <v>441</v>
      </c>
      <c r="C118" s="711" t="n">
        <f aca="false">P108</f>
        <v>140455.317533333</v>
      </c>
      <c r="D118" s="711" t="n">
        <f aca="false">+C144</f>
        <v>127156.156866667</v>
      </c>
      <c r="E118" s="711" t="n">
        <f aca="false">+D144</f>
        <v>135213.802866667</v>
      </c>
      <c r="F118" s="711" t="n">
        <f aca="false">+E144</f>
        <v>142577.073866667</v>
      </c>
      <c r="G118" s="711" t="n">
        <f aca="false">+F144</f>
        <v>148637.294466667</v>
      </c>
      <c r="H118" s="711" t="n">
        <f aca="false">+G144</f>
        <v>155306.190466667</v>
      </c>
      <c r="I118" s="711" t="n">
        <f aca="false">+H144</f>
        <v>161975.086466667</v>
      </c>
      <c r="J118" s="711" t="n">
        <f aca="false">+I144</f>
        <v>162687.238666667</v>
      </c>
      <c r="K118" s="711" t="n">
        <f aca="false">+J144</f>
        <v>169356.134666667</v>
      </c>
      <c r="L118" s="711" t="n">
        <f aca="false">+K144</f>
        <v>176025.030666667</v>
      </c>
      <c r="M118" s="711" t="n">
        <f aca="false">+L144</f>
        <v>181293.028066667</v>
      </c>
      <c r="N118" s="711" t="n">
        <f aca="false">+M144</f>
        <v>187961.924066667</v>
      </c>
      <c r="O118" s="712" t="n">
        <f aca="false">+N144</f>
        <v>193229.921466667</v>
      </c>
      <c r="P118" s="713" t="n">
        <f aca="false">P108</f>
        <v>140455.317533333</v>
      </c>
      <c r="Q118" s="534"/>
    </row>
    <row r="119" customFormat="false" ht="12.75" hidden="false" customHeight="false" outlineLevel="0" collapsed="false">
      <c r="B119" s="683" t="s">
        <v>442</v>
      </c>
      <c r="C119" s="714"/>
      <c r="D119" s="714"/>
      <c r="E119" s="714"/>
      <c r="F119" s="714"/>
      <c r="G119" s="714"/>
      <c r="H119" s="714"/>
      <c r="I119" s="714"/>
      <c r="J119" s="714"/>
      <c r="K119" s="714"/>
      <c r="L119" s="714"/>
      <c r="M119" s="714"/>
      <c r="N119" s="714"/>
      <c r="O119" s="684" t="n">
        <f aca="false">'Entrada Inver_Finan'!G104</f>
        <v>0</v>
      </c>
      <c r="P119" s="685" t="n">
        <f aca="false">SUM(C119:O119)</f>
        <v>0</v>
      </c>
      <c r="Q119" s="534"/>
    </row>
    <row r="120" customFormat="false" ht="12.75" hidden="false" customHeight="false" outlineLevel="0" collapsed="false">
      <c r="B120" s="674" t="s">
        <v>468</v>
      </c>
      <c r="C120" s="716" t="n">
        <f aca="false">'Politica Cobr. Pagos'!E105</f>
        <v>30149.9</v>
      </c>
      <c r="D120" s="716" t="n">
        <f aca="false">'Politica Cobr. Pagos'!F105</f>
        <v>30149.9</v>
      </c>
      <c r="E120" s="716" t="n">
        <f aca="false">'Politica Cobr. Pagos'!G105</f>
        <v>30149.9</v>
      </c>
      <c r="F120" s="716" t="n">
        <f aca="false">'Politica Cobr. Pagos'!H105</f>
        <v>30149.9</v>
      </c>
      <c r="G120" s="716" t="n">
        <f aca="false">'Politica Cobr. Pagos'!I105</f>
        <v>30149.9</v>
      </c>
      <c r="H120" s="716" t="n">
        <f aca="false">'Politica Cobr. Pagos'!J105</f>
        <v>30149.9</v>
      </c>
      <c r="I120" s="716" t="n">
        <f aca="false">'Politica Cobr. Pagos'!K105</f>
        <v>30149.9</v>
      </c>
      <c r="J120" s="716" t="n">
        <f aca="false">'Politica Cobr. Pagos'!L105</f>
        <v>30149.9</v>
      </c>
      <c r="K120" s="716" t="n">
        <f aca="false">'Politica Cobr. Pagos'!M105</f>
        <v>30149.9</v>
      </c>
      <c r="L120" s="716" t="n">
        <f aca="false">'Politica Cobr. Pagos'!N105</f>
        <v>30149.9</v>
      </c>
      <c r="M120" s="716" t="n">
        <f aca="false">'Politica Cobr. Pagos'!O105</f>
        <v>30149.9</v>
      </c>
      <c r="N120" s="716" t="n">
        <f aca="false">'Politica Cobr. Pagos'!P105</f>
        <v>30149.9</v>
      </c>
      <c r="O120" s="635"/>
      <c r="P120" s="675" t="n">
        <f aca="false">SUM(C120:O120)</f>
        <v>361798.8</v>
      </c>
      <c r="Q120" s="534"/>
    </row>
    <row r="121" customFormat="false" ht="12.75" hidden="false" customHeight="false" outlineLevel="0" collapsed="false">
      <c r="B121" s="674" t="s">
        <v>444</v>
      </c>
      <c r="C121" s="716" t="n">
        <f aca="true">OFFSET('Préstamos LP'!$C$59,D1,0,1,1)+OFFSET('Otra financiación'!$G$57,D1,0,1,1)</f>
        <v>0</v>
      </c>
      <c r="D121" s="716" t="n">
        <f aca="true">OFFSET('Préstamos LP'!$C$59,E1,0,1,1)+OFFSET('Otra financiación'!$G$57,E1,0,1,1)</f>
        <v>0</v>
      </c>
      <c r="E121" s="716" t="n">
        <f aca="true">OFFSET('Préstamos LP'!$C$59,F1,0,1,1)+OFFSET('Otra financiación'!$G$57,F1,0,1,1)</f>
        <v>0</v>
      </c>
      <c r="F121" s="716" t="n">
        <f aca="true">OFFSET('Préstamos LP'!$C$59,G1,0,1,1)+OFFSET('Otra financiación'!$G$57,G1,0,1,1)</f>
        <v>0</v>
      </c>
      <c r="G121" s="716" t="n">
        <f aca="true">OFFSET('Préstamos LP'!$C$59,H1,0,1,1)+OFFSET('Otra financiación'!$G$57,H1,0,1,1)</f>
        <v>0</v>
      </c>
      <c r="H121" s="716" t="n">
        <f aca="true">OFFSET('Préstamos LP'!$C$59,I1,0,1,1)+OFFSET('Otra financiación'!$G$57,I1,0,1,1)</f>
        <v>0</v>
      </c>
      <c r="I121" s="716" t="n">
        <f aca="true">OFFSET('Préstamos LP'!$C$59,J1,0,1,1)+OFFSET('Otra financiación'!$G$57,J1,0,1,1)</f>
        <v>0</v>
      </c>
      <c r="J121" s="716" t="n">
        <f aca="true">OFFSET('Préstamos LP'!$C$59,K1,0,1,1)+OFFSET('Otra financiación'!$G$57,K1,0,1,1)</f>
        <v>0</v>
      </c>
      <c r="K121" s="716" t="n">
        <f aca="true">OFFSET('Préstamos LP'!$C$59,L1,0,1,1)+OFFSET('Otra financiación'!$G$57,L1,0,1,1)</f>
        <v>0</v>
      </c>
      <c r="L121" s="716" t="n">
        <f aca="true">OFFSET('Préstamos LP'!$C$59,M1,0,1,1)+OFFSET('Otra financiación'!$G$57,M1,0,1,1)</f>
        <v>0</v>
      </c>
      <c r="M121" s="716" t="n">
        <f aca="true">OFFSET('Préstamos LP'!$C$59,N1,0,1,1)+OFFSET('Otra financiación'!$G$57,N1,0,1,1)</f>
        <v>0</v>
      </c>
      <c r="N121" s="716" t="n">
        <f aca="true">OFFSET('Préstamos LP'!$C$59,O1,0,1,1)+OFFSET('Otra financiación'!$G$57,O1,0,1,1)</f>
        <v>0</v>
      </c>
      <c r="O121" s="635"/>
      <c r="P121" s="675" t="n">
        <f aca="false">SUM(C121:O121)</f>
        <v>0</v>
      </c>
      <c r="Q121" s="534"/>
    </row>
    <row r="122" customFormat="false" ht="12.75" hidden="false" customHeight="false" outlineLevel="0" collapsed="false">
      <c r="B122" s="674" t="s">
        <v>445</v>
      </c>
      <c r="C122" s="716" t="n">
        <f aca="true">OFFSET('Préstamos CP'!$C$48,D1,0,1,1)</f>
        <v>0</v>
      </c>
      <c r="D122" s="716" t="n">
        <f aca="true">OFFSET('Préstamos CP'!$C$48,E1,0,1,1)</f>
        <v>0</v>
      </c>
      <c r="E122" s="716" t="n">
        <f aca="true">OFFSET('Préstamos CP'!$C$48,F1,0,1,1)</f>
        <v>0</v>
      </c>
      <c r="F122" s="716" t="n">
        <f aca="true">OFFSET('Préstamos CP'!$C$48,G1,0,1,1)</f>
        <v>0</v>
      </c>
      <c r="G122" s="716" t="n">
        <f aca="true">OFFSET('Préstamos CP'!$C$48,H1,0,1,1)</f>
        <v>0</v>
      </c>
      <c r="H122" s="716" t="n">
        <f aca="true">OFFSET('Préstamos CP'!$C$48,I1,0,1,1)</f>
        <v>0</v>
      </c>
      <c r="I122" s="716" t="n">
        <f aca="true">OFFSET('Préstamos CP'!$C$48,J1,0,1,1)</f>
        <v>0</v>
      </c>
      <c r="J122" s="716" t="n">
        <f aca="true">OFFSET('Préstamos CP'!$C$48,K1,0,1,1)</f>
        <v>0</v>
      </c>
      <c r="K122" s="716" t="n">
        <f aca="true">OFFSET('Préstamos CP'!$C$48,L1,0,1,1)</f>
        <v>0</v>
      </c>
      <c r="L122" s="716" t="n">
        <f aca="true">OFFSET('Préstamos CP'!$C$48,M1,0,1,1)</f>
        <v>0</v>
      </c>
      <c r="M122" s="716" t="n">
        <f aca="true">OFFSET('Préstamos CP'!$C$48,N1,0,1,1)</f>
        <v>0</v>
      </c>
      <c r="N122" s="716" t="n">
        <f aca="true">OFFSET('Préstamos CP'!$C$48,O1,0,1,1)</f>
        <v>0</v>
      </c>
      <c r="O122" s="635"/>
      <c r="P122" s="675" t="n">
        <f aca="false">SUM(C122:O122)</f>
        <v>0</v>
      </c>
      <c r="Q122" s="534"/>
    </row>
    <row r="123" customFormat="false" ht="12.75" hidden="false" customHeight="false" outlineLevel="0" collapsed="false">
      <c r="B123" s="676" t="s">
        <v>342</v>
      </c>
      <c r="C123" s="719" t="n">
        <f aca="false">'CUENTA DE RESULTADOS'!D272</f>
        <v>0</v>
      </c>
      <c r="D123" s="719" t="n">
        <f aca="false">'CUENTA DE RESULTADOS'!E272</f>
        <v>0</v>
      </c>
      <c r="E123" s="719" t="n">
        <f aca="false">'CUENTA DE RESULTADOS'!F272</f>
        <v>0</v>
      </c>
      <c r="F123" s="719" t="n">
        <f aca="false">'CUENTA DE RESULTADOS'!G272</f>
        <v>0</v>
      </c>
      <c r="G123" s="719" t="n">
        <f aca="false">'CUENTA DE RESULTADOS'!H272</f>
        <v>0</v>
      </c>
      <c r="H123" s="719" t="n">
        <f aca="false">'CUENTA DE RESULTADOS'!I272</f>
        <v>0</v>
      </c>
      <c r="I123" s="719" t="n">
        <f aca="false">'CUENTA DE RESULTADOS'!J272</f>
        <v>0</v>
      </c>
      <c r="J123" s="719" t="n">
        <f aca="false">'CUENTA DE RESULTADOS'!K272</f>
        <v>0</v>
      </c>
      <c r="K123" s="719" t="n">
        <f aca="false">'CUENTA DE RESULTADOS'!L272</f>
        <v>0</v>
      </c>
      <c r="L123" s="719" t="n">
        <f aca="false">'CUENTA DE RESULTADOS'!M272</f>
        <v>0</v>
      </c>
      <c r="M123" s="719" t="n">
        <f aca="false">'CUENTA DE RESULTADOS'!N272</f>
        <v>0</v>
      </c>
      <c r="N123" s="719" t="n">
        <f aca="false">'CUENTA DE RESULTADOS'!O272</f>
        <v>0</v>
      </c>
      <c r="O123" s="677"/>
      <c r="P123" s="720" t="n">
        <f aca="false">SUM(C123:O123)</f>
        <v>0</v>
      </c>
      <c r="Q123" s="534"/>
    </row>
    <row r="124" customFormat="false" ht="14.25" hidden="false" customHeight="false" outlineLevel="0" collapsed="false">
      <c r="B124" s="721" t="s">
        <v>446</v>
      </c>
      <c r="C124" s="722" t="n">
        <f aca="false">SUM(C119:C123)</f>
        <v>30149.9</v>
      </c>
      <c r="D124" s="722" t="n">
        <f aca="false">SUM(D119:D123)</f>
        <v>30149.9</v>
      </c>
      <c r="E124" s="722" t="n">
        <f aca="false">SUM(E119:E123)</f>
        <v>30149.9</v>
      </c>
      <c r="F124" s="722" t="n">
        <f aca="false">SUM(F119:F123)</f>
        <v>30149.9</v>
      </c>
      <c r="G124" s="722" t="n">
        <f aca="false">SUM(G119:G123)</f>
        <v>30149.9</v>
      </c>
      <c r="H124" s="722" t="n">
        <f aca="false">SUM(H119:H123)</f>
        <v>30149.9</v>
      </c>
      <c r="I124" s="722" t="n">
        <f aca="false">SUM(I119:I123)</f>
        <v>30149.9</v>
      </c>
      <c r="J124" s="722" t="n">
        <f aca="false">SUM(J119:J123)</f>
        <v>30149.9</v>
      </c>
      <c r="K124" s="722" t="n">
        <f aca="false">SUM(K119:K123)</f>
        <v>30149.9</v>
      </c>
      <c r="L124" s="722" t="n">
        <f aca="false">SUM(L119:L123)</f>
        <v>30149.9</v>
      </c>
      <c r="M124" s="722" t="n">
        <f aca="false">SUM(M119:M123)</f>
        <v>30149.9</v>
      </c>
      <c r="N124" s="722" t="n">
        <f aca="false">SUM(N119:N123)</f>
        <v>30149.9</v>
      </c>
      <c r="O124" s="680"/>
      <c r="P124" s="723" t="n">
        <f aca="false">SUM(P119:P123)</f>
        <v>361798.8</v>
      </c>
      <c r="Q124" s="534"/>
    </row>
    <row r="125" customFormat="false" ht="12.75" hidden="false" customHeight="false" outlineLevel="0" collapsed="false">
      <c r="B125" s="683" t="s">
        <v>477</v>
      </c>
      <c r="C125" s="714" t="n">
        <f aca="false">'Politica Cobr. Pagos'!E170+'Politica Cobr. Pagos'!E171+'Margen B'!C260</f>
        <v>19862.975</v>
      </c>
      <c r="D125" s="714" t="n">
        <f aca="false">'Politica Cobr. Pagos'!F170+'Politica Cobr. Pagos'!F171+'Margen B'!D260</f>
        <v>20557.35</v>
      </c>
      <c r="E125" s="714" t="n">
        <f aca="false">'Politica Cobr. Pagos'!G170+'Politica Cobr. Pagos'!G171+'Margen B'!E260</f>
        <v>21251.725</v>
      </c>
      <c r="F125" s="714" t="n">
        <f aca="false">'Politica Cobr. Pagos'!H170+'Politica Cobr. Pagos'!H171+'Margen B'!F260</f>
        <v>21946.1</v>
      </c>
      <c r="G125" s="714" t="n">
        <f aca="false">'Politica Cobr. Pagos'!I170+'Politica Cobr. Pagos'!I171+'Margen B'!G260</f>
        <v>21946.1</v>
      </c>
      <c r="H125" s="714" t="n">
        <f aca="false">'Politica Cobr. Pagos'!J170+'Politica Cobr. Pagos'!J171+'Margen B'!H260</f>
        <v>21946.1</v>
      </c>
      <c r="I125" s="714" t="n">
        <f aca="false">'Politica Cobr. Pagos'!K170+'Politica Cobr. Pagos'!K171+'Margen B'!I260</f>
        <v>21946.1</v>
      </c>
      <c r="J125" s="714" t="n">
        <f aca="false">'Politica Cobr. Pagos'!L170+'Politica Cobr. Pagos'!L171+'Margen B'!J260</f>
        <v>21946.1</v>
      </c>
      <c r="K125" s="714" t="n">
        <f aca="false">'Politica Cobr. Pagos'!M170+'Politica Cobr. Pagos'!M171+'Margen B'!K260</f>
        <v>21946.1</v>
      </c>
      <c r="L125" s="714" t="n">
        <f aca="false">'Politica Cobr. Pagos'!N170+'Politica Cobr. Pagos'!N171+'Margen B'!L260</f>
        <v>21946.1</v>
      </c>
      <c r="M125" s="714" t="n">
        <f aca="false">'Politica Cobr. Pagos'!O170+'Politica Cobr. Pagos'!O171+'Margen B'!M260</f>
        <v>21946.1</v>
      </c>
      <c r="N125" s="714" t="n">
        <f aca="false">'Politica Cobr. Pagos'!P170+'Politica Cobr. Pagos'!P171+'Margen B'!N260</f>
        <v>21946.1</v>
      </c>
      <c r="O125" s="684"/>
      <c r="P125" s="685" t="n">
        <f aca="false">SUM(C125:O125)</f>
        <v>259186.95</v>
      </c>
      <c r="Q125" s="534"/>
    </row>
    <row r="126" customFormat="false" ht="24" hidden="false" customHeight="false" outlineLevel="0" collapsed="false">
      <c r="B126" s="686" t="str">
        <f aca="false">B17</f>
        <v>Pago de otros costes directos imputables a los productos o servicios</v>
      </c>
      <c r="C126" s="716" t="n">
        <f aca="false">'Margen B'!D232</f>
        <v>0</v>
      </c>
      <c r="D126" s="716" t="n">
        <f aca="false">'Margen B'!E232</f>
        <v>0</v>
      </c>
      <c r="E126" s="716" t="n">
        <f aca="false">'Margen B'!F232</f>
        <v>0</v>
      </c>
      <c r="F126" s="716" t="n">
        <f aca="false">'Margen B'!G232</f>
        <v>0</v>
      </c>
      <c r="G126" s="716" t="n">
        <f aca="false">'Margen B'!H232</f>
        <v>0</v>
      </c>
      <c r="H126" s="716" t="n">
        <f aca="false">'Margen B'!I232</f>
        <v>0</v>
      </c>
      <c r="I126" s="716" t="n">
        <f aca="false">'Margen B'!J232</f>
        <v>0</v>
      </c>
      <c r="J126" s="716" t="n">
        <f aca="false">'Margen B'!K232</f>
        <v>0</v>
      </c>
      <c r="K126" s="716" t="n">
        <f aca="false">'Margen B'!L232</f>
        <v>0</v>
      </c>
      <c r="L126" s="716" t="n">
        <f aca="false">'Margen B'!M232</f>
        <v>0</v>
      </c>
      <c r="M126" s="716" t="n">
        <f aca="false">'Margen B'!N232</f>
        <v>0</v>
      </c>
      <c r="N126" s="716" t="n">
        <f aca="false">'Margen B'!O232</f>
        <v>0</v>
      </c>
      <c r="O126" s="635"/>
      <c r="P126" s="675" t="n">
        <f aca="false">SUM(C126:O126)</f>
        <v>0</v>
      </c>
      <c r="Q126" s="534"/>
    </row>
    <row r="127" customFormat="false" ht="24" hidden="false" customHeight="false" outlineLevel="0" collapsed="false">
      <c r="B127" s="686" t="str">
        <f aca="false">B18</f>
        <v>Pago de otros costes proporcionales comunes a todos los productos/servicios</v>
      </c>
      <c r="C127" s="716" t="n">
        <f aca="false">'Margen B'!D242</f>
        <v>1370.45</v>
      </c>
      <c r="D127" s="716" t="n">
        <f aca="false">'Margen B'!E242</f>
        <v>1370.45</v>
      </c>
      <c r="E127" s="716" t="n">
        <f aca="false">'Margen B'!F242</f>
        <v>1370.45</v>
      </c>
      <c r="F127" s="716" t="n">
        <f aca="false">'Margen B'!G242</f>
        <v>1370.45</v>
      </c>
      <c r="G127" s="716" t="n">
        <f aca="false">'Margen B'!H242</f>
        <v>1370.45</v>
      </c>
      <c r="H127" s="716" t="n">
        <f aca="false">'Margen B'!I242</f>
        <v>1370.45</v>
      </c>
      <c r="I127" s="716" t="n">
        <f aca="false">'Margen B'!J242</f>
        <v>1370.45</v>
      </c>
      <c r="J127" s="716" t="n">
        <f aca="false">'Margen B'!K242</f>
        <v>1370.45</v>
      </c>
      <c r="K127" s="716" t="n">
        <f aca="false">'Margen B'!L242</f>
        <v>1370.45</v>
      </c>
      <c r="L127" s="716" t="n">
        <f aca="false">'Margen B'!M242</f>
        <v>1370.45</v>
      </c>
      <c r="M127" s="716" t="n">
        <f aca="false">'Margen B'!N242</f>
        <v>1370.45</v>
      </c>
      <c r="N127" s="716" t="n">
        <f aca="false">'Margen B'!O242</f>
        <v>1370.45</v>
      </c>
      <c r="O127" s="635"/>
      <c r="P127" s="675" t="n">
        <f aca="false">SUM(C127:O127)</f>
        <v>16445.4</v>
      </c>
      <c r="Q127" s="534"/>
    </row>
    <row r="128" customFormat="false" ht="12.75" hidden="false" customHeight="false" outlineLevel="0" collapsed="false">
      <c r="B128" s="674" t="str">
        <f aca="false">B56</f>
        <v>Total Gastos de personal</v>
      </c>
      <c r="C128" s="716" t="n">
        <f aca="false">'CUENTA DE RESULTADOS'!D230</f>
        <v>0</v>
      </c>
      <c r="D128" s="716" t="n">
        <f aca="false">'CUENTA DE RESULTADOS'!E230</f>
        <v>0</v>
      </c>
      <c r="E128" s="716" t="n">
        <f aca="false">'CUENTA DE RESULTADOS'!F230</f>
        <v>0</v>
      </c>
      <c r="F128" s="716" t="n">
        <f aca="false">'CUENTA DE RESULTADOS'!G230</f>
        <v>0</v>
      </c>
      <c r="G128" s="716" t="n">
        <f aca="false">'CUENTA DE RESULTADOS'!H230</f>
        <v>0</v>
      </c>
      <c r="H128" s="716" t="n">
        <f aca="false">'CUENTA DE RESULTADOS'!I230</f>
        <v>0</v>
      </c>
      <c r="I128" s="716" t="n">
        <f aca="false">'CUENTA DE RESULTADOS'!J230</f>
        <v>0</v>
      </c>
      <c r="J128" s="716" t="n">
        <f aca="false">'CUENTA DE RESULTADOS'!K230</f>
        <v>0</v>
      </c>
      <c r="K128" s="716" t="n">
        <f aca="false">'CUENTA DE RESULTADOS'!L230</f>
        <v>0</v>
      </c>
      <c r="L128" s="716" t="n">
        <f aca="false">'CUENTA DE RESULTADOS'!M230</f>
        <v>0</v>
      </c>
      <c r="M128" s="716" t="n">
        <f aca="false">'CUENTA DE RESULTADOS'!N230</f>
        <v>0</v>
      </c>
      <c r="N128" s="716" t="n">
        <f aca="false">'CUENTA DE RESULTADOS'!O230</f>
        <v>0</v>
      </c>
      <c r="O128" s="635"/>
      <c r="P128" s="675" t="n">
        <f aca="false">SUM(C128:O128)</f>
        <v>0</v>
      </c>
      <c r="Q128" s="534"/>
    </row>
    <row r="129" customFormat="false" ht="12.75" hidden="false" customHeight="false" outlineLevel="0" collapsed="false">
      <c r="B129" s="674" t="str">
        <f aca="false">B57</f>
        <v>Total Gastos financieros</v>
      </c>
      <c r="C129" s="448" t="n">
        <f aca="false">'CUENTA DE RESULTADOS'!D279</f>
        <v>0</v>
      </c>
      <c r="D129" s="448" t="n">
        <f aca="false">'CUENTA DE RESULTADOS'!E279</f>
        <v>0</v>
      </c>
      <c r="E129" s="448" t="n">
        <f aca="false">'CUENTA DE RESULTADOS'!F279</f>
        <v>0</v>
      </c>
      <c r="F129" s="448" t="n">
        <f aca="false">'CUENTA DE RESULTADOS'!G279</f>
        <v>0</v>
      </c>
      <c r="G129" s="448" t="n">
        <f aca="false">'CUENTA DE RESULTADOS'!H279</f>
        <v>0</v>
      </c>
      <c r="H129" s="448" t="n">
        <f aca="false">'CUENTA DE RESULTADOS'!I279</f>
        <v>0</v>
      </c>
      <c r="I129" s="448" t="n">
        <f aca="false">'CUENTA DE RESULTADOS'!J279</f>
        <v>0</v>
      </c>
      <c r="J129" s="448" t="n">
        <f aca="false">'CUENTA DE RESULTADOS'!K279</f>
        <v>0</v>
      </c>
      <c r="K129" s="448" t="n">
        <f aca="false">'CUENTA DE RESULTADOS'!L279</f>
        <v>0</v>
      </c>
      <c r="L129" s="448" t="n">
        <f aca="false">'CUENTA DE RESULTADOS'!M279</f>
        <v>0</v>
      </c>
      <c r="M129" s="448" t="n">
        <f aca="false">'CUENTA DE RESULTADOS'!N279</f>
        <v>0</v>
      </c>
      <c r="N129" s="448" t="n">
        <f aca="false">'CUENTA DE RESULTADOS'!O279</f>
        <v>0</v>
      </c>
      <c r="O129" s="635"/>
      <c r="P129" s="675" t="n">
        <f aca="false">SUM(C129:O129)</f>
        <v>0</v>
      </c>
      <c r="Q129" s="534"/>
    </row>
    <row r="130" customFormat="false" ht="12.75" hidden="false" customHeight="false" outlineLevel="0" collapsed="false">
      <c r="B130" s="674" t="str">
        <f aca="false">B58</f>
        <v>Total Gastos comerciales</v>
      </c>
      <c r="C130" s="448" t="n">
        <f aca="false">'CUENTA DE RESULTADOS'!D244</f>
        <v>0</v>
      </c>
      <c r="D130" s="448" t="n">
        <f aca="false">'CUENTA DE RESULTADOS'!E244</f>
        <v>0</v>
      </c>
      <c r="E130" s="448" t="n">
        <f aca="false">'CUENTA DE RESULTADOS'!F244</f>
        <v>0</v>
      </c>
      <c r="F130" s="448" t="n">
        <f aca="false">'CUENTA DE RESULTADOS'!G244</f>
        <v>0</v>
      </c>
      <c r="G130" s="448" t="n">
        <f aca="false">'CUENTA DE RESULTADOS'!H244</f>
        <v>0</v>
      </c>
      <c r="H130" s="448" t="n">
        <f aca="false">'CUENTA DE RESULTADOS'!I244</f>
        <v>0</v>
      </c>
      <c r="I130" s="448" t="n">
        <f aca="false">'CUENTA DE RESULTADOS'!J244</f>
        <v>0</v>
      </c>
      <c r="J130" s="448" t="n">
        <f aca="false">'CUENTA DE RESULTADOS'!K244</f>
        <v>0</v>
      </c>
      <c r="K130" s="448" t="n">
        <f aca="false">'CUENTA DE RESULTADOS'!L244</f>
        <v>0</v>
      </c>
      <c r="L130" s="448" t="n">
        <f aca="false">'CUENTA DE RESULTADOS'!M244</f>
        <v>0</v>
      </c>
      <c r="M130" s="448" t="n">
        <f aca="false">'CUENTA DE RESULTADOS'!N244</f>
        <v>0</v>
      </c>
      <c r="N130" s="448" t="n">
        <f aca="false">'CUENTA DE RESULTADOS'!O244</f>
        <v>0</v>
      </c>
      <c r="O130" s="635"/>
      <c r="P130" s="675" t="n">
        <f aca="false">SUM(C130:O130)</f>
        <v>0</v>
      </c>
      <c r="Q130" s="534"/>
    </row>
    <row r="131" customFormat="false" ht="12.75" hidden="false" customHeight="false" outlineLevel="0" collapsed="false">
      <c r="B131" s="674" t="str">
        <f aca="false">B59</f>
        <v>Total Otros gastos (Servicios exteriores)</v>
      </c>
      <c r="C131" s="448" t="n">
        <f aca="false">'CUENTA DE RESULTADOS'!D258</f>
        <v>0</v>
      </c>
      <c r="D131" s="448" t="n">
        <f aca="false">'CUENTA DE RESULTADOS'!E258</f>
        <v>0</v>
      </c>
      <c r="E131" s="448" t="n">
        <f aca="false">'CUENTA DE RESULTADOS'!F258</f>
        <v>0</v>
      </c>
      <c r="F131" s="448" t="n">
        <f aca="false">'CUENTA DE RESULTADOS'!G258</f>
        <v>0</v>
      </c>
      <c r="G131" s="448" t="n">
        <f aca="false">'CUENTA DE RESULTADOS'!H258</f>
        <v>0</v>
      </c>
      <c r="H131" s="448" t="n">
        <f aca="false">'CUENTA DE RESULTADOS'!I258</f>
        <v>0</v>
      </c>
      <c r="I131" s="448" t="n">
        <f aca="false">'CUENTA DE RESULTADOS'!J258</f>
        <v>0</v>
      </c>
      <c r="J131" s="448" t="n">
        <f aca="false">'CUENTA DE RESULTADOS'!K258</f>
        <v>0</v>
      </c>
      <c r="K131" s="448" t="n">
        <f aca="false">'CUENTA DE RESULTADOS'!L258</f>
        <v>0</v>
      </c>
      <c r="L131" s="448" t="n">
        <f aca="false">'CUENTA DE RESULTADOS'!M258</f>
        <v>0</v>
      </c>
      <c r="M131" s="448" t="n">
        <f aca="false">'CUENTA DE RESULTADOS'!N258</f>
        <v>0</v>
      </c>
      <c r="N131" s="448" t="n">
        <f aca="false">'CUENTA DE RESULTADOS'!O258</f>
        <v>0</v>
      </c>
      <c r="O131" s="635"/>
      <c r="P131" s="675" t="n">
        <f aca="false">SUM(C131:O131)</f>
        <v>0</v>
      </c>
      <c r="Q131" s="534"/>
    </row>
    <row r="132" customFormat="false" ht="12.75" hidden="false" customHeight="false" outlineLevel="0" collapsed="false">
      <c r="B132" s="674" t="str">
        <f aca="false">B60</f>
        <v>Devolución de préstamos financieros</v>
      </c>
      <c r="C132" s="448" t="n">
        <f aca="true">OFFSET('Préstamos LP'!$F$59,D1,0,1,1)+OFFSET('Préstamos CP'!$E$48,D1,0,1,1)</f>
        <v>0</v>
      </c>
      <c r="D132" s="448" t="n">
        <f aca="true">OFFSET('Préstamos LP'!$F$59,E1,0,1,1)+OFFSET('Préstamos CP'!$E$48,E1,0,1,1)</f>
        <v>0</v>
      </c>
      <c r="E132" s="448" t="n">
        <f aca="true">OFFSET('Préstamos LP'!$F$59,F1,0,1,1)+OFFSET('Préstamos CP'!$E$48,F1,0,1,1)</f>
        <v>0</v>
      </c>
      <c r="F132" s="448" t="n">
        <f aca="true">OFFSET('Préstamos LP'!$F$59,G1,0,1,1)+OFFSET('Préstamos CP'!$E$48,G1,0,1,1)</f>
        <v>0</v>
      </c>
      <c r="G132" s="448" t="n">
        <f aca="true">OFFSET('Préstamos LP'!$F$59,H1,0,1,1)+OFFSET('Préstamos CP'!$E$48,H1,0,1,1)</f>
        <v>0</v>
      </c>
      <c r="H132" s="448" t="n">
        <f aca="true">OFFSET('Préstamos LP'!$F$59,I1,0,1,1)+OFFSET('Préstamos CP'!$E$48,I1,0,1,1)</f>
        <v>0</v>
      </c>
      <c r="I132" s="448" t="n">
        <f aca="true">OFFSET('Préstamos LP'!$F$59,J1,0,1,1)+OFFSET('Préstamos CP'!$E$48,J1,0,1,1)</f>
        <v>0</v>
      </c>
      <c r="J132" s="448" t="n">
        <f aca="true">OFFSET('Préstamos LP'!$F$59,K1,0,1,1)+OFFSET('Préstamos CP'!$E$48,K1,0,1,1)</f>
        <v>0</v>
      </c>
      <c r="K132" s="448" t="n">
        <f aca="true">OFFSET('Préstamos LP'!$F$59,L1,0,1,1)+OFFSET('Préstamos CP'!$E$48,L1,0,1,1)</f>
        <v>0</v>
      </c>
      <c r="L132" s="448" t="n">
        <f aca="true">OFFSET('Préstamos LP'!$F$59,M1,0,1,1)+OFFSET('Préstamos CP'!$E$48,M1,0,1,1)</f>
        <v>0</v>
      </c>
      <c r="M132" s="448" t="n">
        <f aca="true">OFFSET('Préstamos LP'!$F$59,N1,0,1,1)+OFFSET('Préstamos CP'!$E$48,N1,0,1,1)</f>
        <v>0</v>
      </c>
      <c r="N132" s="448" t="n">
        <f aca="true">OFFSET('Préstamos LP'!$F$59,O1,0,1,1)+OFFSET('Préstamos CP'!$E$48,O1,0,1,1)</f>
        <v>0</v>
      </c>
      <c r="O132" s="635"/>
      <c r="P132" s="675" t="n">
        <f aca="false">SUM(C132:O132)</f>
        <v>0</v>
      </c>
      <c r="Q132" s="534"/>
    </row>
    <row r="133" customFormat="false" ht="12.75" hidden="false" customHeight="false" outlineLevel="0" collapsed="false">
      <c r="B133" s="674" t="str">
        <f aca="false">B61</f>
        <v>Amortización de los arrendamientos financieros</v>
      </c>
      <c r="C133" s="448" t="n">
        <f aca="true">OFFSET('Préstamos LP'!$W$59,D1,0,1,1)</f>
        <v>0</v>
      </c>
      <c r="D133" s="448" t="n">
        <f aca="true">OFFSET('Préstamos LP'!$W$59,E1,0,1,1)</f>
        <v>0</v>
      </c>
      <c r="E133" s="448" t="n">
        <f aca="true">OFFSET('Préstamos LP'!$W$59,F1,0,1,1)</f>
        <v>0</v>
      </c>
      <c r="F133" s="448" t="n">
        <f aca="true">OFFSET('Préstamos LP'!$W$59,G1,0,1,1)</f>
        <v>0</v>
      </c>
      <c r="G133" s="448" t="n">
        <f aca="true">OFFSET('Préstamos LP'!$W$59,H1,0,1,1)</f>
        <v>0</v>
      </c>
      <c r="H133" s="448" t="n">
        <f aca="true">OFFSET('Préstamos LP'!$W$59,I1,0,1,1)</f>
        <v>0</v>
      </c>
      <c r="I133" s="448" t="n">
        <f aca="true">OFFSET('Préstamos LP'!$W$59,J1,0,1,1)</f>
        <v>0</v>
      </c>
      <c r="J133" s="448" t="n">
        <f aca="true">OFFSET('Préstamos LP'!$W$59,K1,0,1,1)</f>
        <v>0</v>
      </c>
      <c r="K133" s="448" t="n">
        <f aca="true">OFFSET('Préstamos LP'!$W$59,L1,0,1,1)</f>
        <v>0</v>
      </c>
      <c r="L133" s="448" t="n">
        <f aca="true">OFFSET('Préstamos LP'!$W$59,M1,0,1,1)</f>
        <v>0</v>
      </c>
      <c r="M133" s="448" t="n">
        <f aca="true">OFFSET('Préstamos LP'!$W$59,N1,0,1,1)</f>
        <v>0</v>
      </c>
      <c r="N133" s="448" t="n">
        <f aca="true">OFFSET('Préstamos LP'!$W$59,O1,0,1,1)</f>
        <v>0</v>
      </c>
      <c r="O133" s="635"/>
      <c r="P133" s="675" t="n">
        <f aca="false">SUM(C133:O133)</f>
        <v>0</v>
      </c>
      <c r="Q133" s="534"/>
    </row>
    <row r="134" customFormat="false" ht="12.75" hidden="false" customHeight="false" outlineLevel="0" collapsed="false">
      <c r="B134" s="674" t="str">
        <f aca="false">B62</f>
        <v>Devolución de otros préstamos no financieros</v>
      </c>
      <c r="C134" s="448" t="n">
        <f aca="true">OFFSET('Otra financiación'!$G$108,D1,0,1,1)</f>
        <v>0</v>
      </c>
      <c r="D134" s="448" t="n">
        <f aca="true">OFFSET('Otra financiación'!$G$108,E1,0,1,1)</f>
        <v>0</v>
      </c>
      <c r="E134" s="448" t="n">
        <f aca="true">OFFSET('Otra financiación'!$G$108,F1,0,1,1)</f>
        <v>0</v>
      </c>
      <c r="F134" s="448" t="n">
        <f aca="true">OFFSET('Otra financiación'!$G$108,G1,0,1,1)</f>
        <v>0</v>
      </c>
      <c r="G134" s="448" t="n">
        <f aca="true">OFFSET('Otra financiación'!$G$108,H1,0,1,1)</f>
        <v>0</v>
      </c>
      <c r="H134" s="448" t="n">
        <f aca="true">OFFSET('Otra financiación'!$G$108,I1,0,1,1)</f>
        <v>0</v>
      </c>
      <c r="I134" s="448" t="n">
        <f aca="true">OFFSET('Otra financiación'!$G$108,J1,0,1,1)</f>
        <v>0</v>
      </c>
      <c r="J134" s="448" t="n">
        <f aca="true">OFFSET('Otra financiación'!$G$108,K1,0,1,1)</f>
        <v>0</v>
      </c>
      <c r="K134" s="448" t="n">
        <f aca="true">OFFSET('Otra financiación'!$G$108,L1,0,1,1)</f>
        <v>0</v>
      </c>
      <c r="L134" s="448" t="n">
        <f aca="true">OFFSET('Otra financiación'!$G$108,M1,0,1,1)</f>
        <v>0</v>
      </c>
      <c r="M134" s="448" t="n">
        <f aca="true">OFFSET('Otra financiación'!$G$108,N1,0,1,1)</f>
        <v>0</v>
      </c>
      <c r="N134" s="448" t="n">
        <f aca="true">OFFSET('Otra financiación'!$G$108,O1,0,1,1)</f>
        <v>0</v>
      </c>
      <c r="O134" s="635"/>
      <c r="P134" s="675" t="n">
        <f aca="false">SUM(C134:O134)</f>
        <v>0</v>
      </c>
      <c r="Q134" s="534"/>
    </row>
    <row r="135" customFormat="false" ht="12.75" hidden="false" customHeight="false" outlineLevel="0" collapsed="false">
      <c r="B135" s="674" t="str">
        <f aca="false">B63</f>
        <v>Inversiones realizadas</v>
      </c>
      <c r="C135" s="716"/>
      <c r="D135" s="716"/>
      <c r="E135" s="716"/>
      <c r="F135" s="716"/>
      <c r="G135" s="716"/>
      <c r="H135" s="716"/>
      <c r="I135" s="716"/>
      <c r="J135" s="716"/>
      <c r="K135" s="716"/>
      <c r="L135" s="716"/>
      <c r="M135" s="716"/>
      <c r="N135" s="534"/>
      <c r="O135" s="724" t="n">
        <f aca="false">'Entrada Inver_Finan'!H63-'Préstamos LP'!J14</f>
        <v>0</v>
      </c>
      <c r="P135" s="675" t="n">
        <f aca="false">SUM(C135:O135)</f>
        <v>0</v>
      </c>
      <c r="Q135" s="534"/>
    </row>
    <row r="136" customFormat="false" ht="12.75" hidden="false" customHeight="false" outlineLevel="0" collapsed="false">
      <c r="B136" s="674" t="s">
        <v>454</v>
      </c>
      <c r="C136" s="725" t="n">
        <f aca="true">(C126+C127+C130+C131+C135)*'Datos generales'!$D$19+OFFSET('Préstamos LP'!$X$59,D1,0,1,1)</f>
        <v>164.454</v>
      </c>
      <c r="D136" s="725" t="n">
        <f aca="true">(D126+D127+D130+D131+D135)*'Datos generales'!$D$19+OFFSET('Préstamos LP'!$X$59,E1,0,1,1)</f>
        <v>164.454</v>
      </c>
      <c r="E136" s="725" t="n">
        <f aca="true">(E126+E127+E130+E131+E135)*'Datos generales'!$D$19+OFFSET('Préstamos LP'!$X$59,F1,0,1,1)</f>
        <v>164.454</v>
      </c>
      <c r="F136" s="725" t="n">
        <f aca="true">(F126+F127+F130+F131+F135)*'Datos generales'!$D$19+OFFSET('Préstamos LP'!$X$59,G1,0,1,1)</f>
        <v>164.454</v>
      </c>
      <c r="G136" s="725" t="n">
        <f aca="true">(G126+G127+G130+G131+G135)*'Datos generales'!$D$19+OFFSET('Préstamos LP'!$X$59,H1,0,1,1)</f>
        <v>164.454</v>
      </c>
      <c r="H136" s="725" t="n">
        <f aca="true">(H126+H127+H130+H131+H135)*'Datos generales'!$D$19+OFFSET('Préstamos LP'!$X$59,I1,0,1,1)</f>
        <v>164.454</v>
      </c>
      <c r="I136" s="725" t="n">
        <f aca="true">(I126+I127+I130+I131+I135)*'Datos generales'!$D$19+OFFSET('Préstamos LP'!$X$59,J1,0,1,1)</f>
        <v>164.454</v>
      </c>
      <c r="J136" s="725" t="n">
        <f aca="true">(J126+J127+J130+J131+J135)*'Datos generales'!$D$19+OFFSET('Préstamos LP'!$X$59,K1,0,1,1)</f>
        <v>164.454</v>
      </c>
      <c r="K136" s="725" t="n">
        <f aca="true">(K126+K127+K130+K131+K135)*'Datos generales'!$D$19+OFFSET('Préstamos LP'!$X$59,L1,0,1,1)</f>
        <v>164.454</v>
      </c>
      <c r="L136" s="725" t="n">
        <f aca="true">(L126+L127+L130+L131+L135)*'Datos generales'!$D$19+OFFSET('Préstamos LP'!$X$59,M1,0,1,1)</f>
        <v>164.454</v>
      </c>
      <c r="M136" s="725" t="n">
        <f aca="true">(M126+M127+M130+M131+M135)*'Datos generales'!$D$19+OFFSET('Préstamos LP'!$X$59,N1,0,1,1)</f>
        <v>164.454</v>
      </c>
      <c r="N136" s="725" t="n">
        <f aca="true">(N126+N127+N130+N131+N135)*'Datos generales'!$D$19+OFFSET('Préstamos LP'!$X$59,O1,0,1,1)</f>
        <v>164.454</v>
      </c>
      <c r="O136" s="725" t="n">
        <f aca="false">(O125+O126)*'Datos generales'!$D$16+(O130+O131+O133+O135)*'Datos generales'!$D$19</f>
        <v>0</v>
      </c>
      <c r="P136" s="675" t="n">
        <f aca="false">SUM(C136:O136)</f>
        <v>1973.448</v>
      </c>
      <c r="Q136" s="534"/>
    </row>
    <row r="137" customFormat="false" ht="12.75" hidden="false" customHeight="false" outlineLevel="0" collapsed="false">
      <c r="B137" s="687" t="s">
        <v>455</v>
      </c>
      <c r="C137" s="726" t="n">
        <f aca="false">IF(N112&lt;0,0,O112)</f>
        <v>0</v>
      </c>
      <c r="D137" s="448"/>
      <c r="E137" s="448"/>
      <c r="F137" s="726" t="n">
        <f aca="false">IF(E148&lt;0,0,E148)</f>
        <v>0</v>
      </c>
      <c r="G137" s="448"/>
      <c r="H137" s="448"/>
      <c r="I137" s="726" t="n">
        <f aca="false">IF(H148&lt;0,0,H148)</f>
        <v>0</v>
      </c>
      <c r="J137" s="448"/>
      <c r="K137" s="448"/>
      <c r="L137" s="726" t="n">
        <f aca="false">IF(K148&lt;0,0,K148)</f>
        <v>0</v>
      </c>
      <c r="M137" s="448"/>
      <c r="N137" s="448"/>
      <c r="O137" s="635"/>
      <c r="P137" s="675" t="n">
        <f aca="false">SUM(C137:O137)</f>
        <v>0</v>
      </c>
      <c r="Q137" s="534"/>
    </row>
    <row r="138" customFormat="false" ht="12.75" hidden="false" customHeight="false" outlineLevel="0" collapsed="false">
      <c r="B138" s="687" t="s">
        <v>469</v>
      </c>
      <c r="C138" s="726"/>
      <c r="D138" s="448"/>
      <c r="E138" s="448"/>
      <c r="F138" s="726" t="n">
        <f aca="false">'Impuesto sociedades'!F21</f>
        <v>608.6754</v>
      </c>
      <c r="G138" s="448"/>
      <c r="H138" s="448"/>
      <c r="I138" s="726" t="n">
        <f aca="false">'Impuesto sociedades'!F22</f>
        <v>5956.7438</v>
      </c>
      <c r="J138" s="448"/>
      <c r="K138" s="448"/>
      <c r="L138" s="726" t="n">
        <f aca="false">'Impuesto sociedades'!F23</f>
        <v>1400.8986</v>
      </c>
      <c r="M138" s="448"/>
      <c r="N138" s="435" t="n">
        <f aca="false">'Impuesto sociedades'!F24</f>
        <v>1400.8986</v>
      </c>
      <c r="O138" s="635"/>
      <c r="P138" s="675" t="n">
        <f aca="false">SUM(C138:O138)</f>
        <v>9367.2164</v>
      </c>
      <c r="Q138" s="534"/>
    </row>
    <row r="139" customFormat="false" ht="12.75" hidden="false" customHeight="false" outlineLevel="0" collapsed="false">
      <c r="B139" s="687" t="s">
        <v>470</v>
      </c>
      <c r="C139" s="726" t="n">
        <f aca="false">'Impuesto sociedades'!I63</f>
        <v>0</v>
      </c>
      <c r="D139" s="448"/>
      <c r="E139" s="448"/>
      <c r="F139" s="726" t="n">
        <f aca="false">'Impuesto sociedades'!L60</f>
        <v>0</v>
      </c>
      <c r="G139" s="448"/>
      <c r="H139" s="448" t="n">
        <f aca="false">'Impuesto sociedades'!I44</f>
        <v>0</v>
      </c>
      <c r="I139" s="726" t="n">
        <f aca="false">'Impuesto sociedades'!L61</f>
        <v>0</v>
      </c>
      <c r="J139" s="448"/>
      <c r="K139" s="448"/>
      <c r="L139" s="726" t="n">
        <f aca="false">'Impuesto sociedades'!L62</f>
        <v>0</v>
      </c>
      <c r="M139" s="448"/>
      <c r="N139" s="435"/>
      <c r="O139" s="635"/>
      <c r="P139" s="675" t="n">
        <f aca="false">SUM(C139:O139)</f>
        <v>0</v>
      </c>
      <c r="Q139" s="534"/>
    </row>
    <row r="140" customFormat="false" ht="12.75" hidden="false" customHeight="false" outlineLevel="0" collapsed="false">
      <c r="B140" s="687" t="s">
        <v>458</v>
      </c>
      <c r="C140" s="448" t="n">
        <f aca="false">'CUENTA DE RESULTADOS'!D239-'CUENTA DE RESULTADOS'!D238</f>
        <v>0</v>
      </c>
      <c r="D140" s="448" t="n">
        <f aca="false">'CUENTA DE RESULTADOS'!E239-'CUENTA DE RESULTADOS'!E238</f>
        <v>0</v>
      </c>
      <c r="E140" s="448" t="n">
        <f aca="false">'CUENTA DE RESULTADOS'!F239-'CUENTA DE RESULTADOS'!F238</f>
        <v>0</v>
      </c>
      <c r="F140" s="448" t="n">
        <f aca="false">'CUENTA DE RESULTADOS'!G239-'CUENTA DE RESULTADOS'!G238</f>
        <v>0</v>
      </c>
      <c r="G140" s="448" t="n">
        <f aca="false">'CUENTA DE RESULTADOS'!H239-'CUENTA DE RESULTADOS'!H238</f>
        <v>0</v>
      </c>
      <c r="H140" s="448" t="n">
        <f aca="false">'CUENTA DE RESULTADOS'!I239-'CUENTA DE RESULTADOS'!I238</f>
        <v>0</v>
      </c>
      <c r="I140" s="448" t="n">
        <f aca="false">'CUENTA DE RESULTADOS'!J239-'CUENTA DE RESULTADOS'!J238</f>
        <v>0</v>
      </c>
      <c r="J140" s="448" t="n">
        <f aca="false">'CUENTA DE RESULTADOS'!K239-'CUENTA DE RESULTADOS'!K238</f>
        <v>0</v>
      </c>
      <c r="K140" s="448" t="n">
        <f aca="false">'CUENTA DE RESULTADOS'!L239-'CUENTA DE RESULTADOS'!L238</f>
        <v>0</v>
      </c>
      <c r="L140" s="448" t="n">
        <f aca="false">'CUENTA DE RESULTADOS'!M239-'CUENTA DE RESULTADOS'!M238</f>
        <v>0</v>
      </c>
      <c r="M140" s="448" t="n">
        <f aca="false">'CUENTA DE RESULTADOS'!N239-'CUENTA DE RESULTADOS'!N238</f>
        <v>0</v>
      </c>
      <c r="N140" s="448" t="n">
        <f aca="false">'CUENTA DE RESULTADOS'!O239-'CUENTA DE RESULTADOS'!O238</f>
        <v>0</v>
      </c>
      <c r="O140" s="635"/>
      <c r="P140" s="675" t="n">
        <f aca="false">SUM(C140:O140)</f>
        <v>0</v>
      </c>
      <c r="Q140" s="534"/>
    </row>
    <row r="141" customFormat="false" ht="12.75" hidden="false" customHeight="false" outlineLevel="0" collapsed="false">
      <c r="B141" s="693" t="s">
        <v>459</v>
      </c>
      <c r="C141" s="534" t="n">
        <f aca="false">'CUENTA DE RESULTADOS'!E38</f>
        <v>22051.1816666667</v>
      </c>
      <c r="D141" s="539"/>
      <c r="E141" s="539"/>
      <c r="F141" s="727"/>
      <c r="G141" s="539"/>
      <c r="H141" s="539"/>
      <c r="I141" s="727"/>
      <c r="J141" s="539"/>
      <c r="K141" s="539"/>
      <c r="L141" s="727"/>
      <c r="M141" s="539"/>
      <c r="N141" s="539"/>
      <c r="O141" s="534"/>
      <c r="P141" s="720" t="n">
        <f aca="false">SUM(C141:N141)</f>
        <v>22051.1816666667</v>
      </c>
      <c r="Q141" s="534"/>
    </row>
    <row r="142" customFormat="false" ht="14.25" hidden="false" customHeight="false" outlineLevel="0" collapsed="false">
      <c r="B142" s="721" t="s">
        <v>460</v>
      </c>
      <c r="C142" s="722" t="n">
        <f aca="false">SUM(C125:C141)</f>
        <v>43449.0606666667</v>
      </c>
      <c r="D142" s="722" t="n">
        <f aca="false">SUM(D125:D141)</f>
        <v>22092.254</v>
      </c>
      <c r="E142" s="722" t="n">
        <f aca="false">SUM(E125:E141)</f>
        <v>22786.629</v>
      </c>
      <c r="F142" s="722" t="n">
        <f aca="false">SUM(F125:F141)</f>
        <v>24089.6794</v>
      </c>
      <c r="G142" s="722" t="n">
        <f aca="false">SUM(G125:G141)</f>
        <v>23481.004</v>
      </c>
      <c r="H142" s="722" t="n">
        <f aca="false">SUM(H125:H141)</f>
        <v>23481.004</v>
      </c>
      <c r="I142" s="722" t="n">
        <f aca="false">SUM(I125:I141)</f>
        <v>29437.7478</v>
      </c>
      <c r="J142" s="722" t="n">
        <f aca="false">SUM(J125:J141)</f>
        <v>23481.004</v>
      </c>
      <c r="K142" s="722" t="n">
        <f aca="false">SUM(K125:K141)</f>
        <v>23481.004</v>
      </c>
      <c r="L142" s="722" t="n">
        <f aca="false">SUM(L125:L141)</f>
        <v>24881.9026</v>
      </c>
      <c r="M142" s="722" t="n">
        <f aca="false">SUM(M125:M141)</f>
        <v>23481.004</v>
      </c>
      <c r="N142" s="722" t="n">
        <f aca="false">SUM(N125:N141)</f>
        <v>24881.9026</v>
      </c>
      <c r="O142" s="680" t="n">
        <f aca="false">SUM(O125:O141)</f>
        <v>0</v>
      </c>
      <c r="P142" s="723" t="n">
        <f aca="false">SUM(P125:P141)</f>
        <v>309024.196066667</v>
      </c>
      <c r="Q142" s="534"/>
    </row>
    <row r="143" customFormat="false" ht="12.75" hidden="false" customHeight="false" outlineLevel="0" collapsed="false">
      <c r="B143" s="728" t="s">
        <v>461</v>
      </c>
      <c r="C143" s="729" t="n">
        <f aca="false">+C124-C142</f>
        <v>-13299.1606666667</v>
      </c>
      <c r="D143" s="729" t="n">
        <f aca="false">+D124-D142</f>
        <v>8057.646</v>
      </c>
      <c r="E143" s="729" t="n">
        <f aca="false">+E124-E142</f>
        <v>7363.271</v>
      </c>
      <c r="F143" s="729" t="n">
        <f aca="false">+F124-F142</f>
        <v>6060.2206</v>
      </c>
      <c r="G143" s="729" t="n">
        <f aca="false">+G124-G142</f>
        <v>6668.896</v>
      </c>
      <c r="H143" s="729" t="n">
        <f aca="false">+H124-H142</f>
        <v>6668.896</v>
      </c>
      <c r="I143" s="729" t="n">
        <f aca="false">+I124-I142</f>
        <v>712.1522</v>
      </c>
      <c r="J143" s="729" t="n">
        <f aca="false">+J124-J142</f>
        <v>6668.896</v>
      </c>
      <c r="K143" s="729" t="n">
        <f aca="false">+K124-K142</f>
        <v>6668.896</v>
      </c>
      <c r="L143" s="729" t="n">
        <f aca="false">+L124-L142</f>
        <v>5267.9974</v>
      </c>
      <c r="M143" s="729" t="n">
        <f aca="false">+M124-M142</f>
        <v>6668.896</v>
      </c>
      <c r="N143" s="729" t="n">
        <f aca="false">+N124-N142</f>
        <v>5267.9974</v>
      </c>
      <c r="O143" s="730" t="n">
        <f aca="false">+O124-O142</f>
        <v>0</v>
      </c>
      <c r="P143" s="731" t="n">
        <f aca="false">+P124-P142</f>
        <v>52774.6039333334</v>
      </c>
      <c r="Q143" s="534"/>
    </row>
    <row r="144" customFormat="false" ht="14.25" hidden="false" customHeight="false" outlineLevel="0" collapsed="false">
      <c r="B144" s="732" t="s">
        <v>462</v>
      </c>
      <c r="C144" s="733" t="n">
        <f aca="false">+C118+C143</f>
        <v>127156.156866667</v>
      </c>
      <c r="D144" s="733" t="n">
        <f aca="false">+D118+D143</f>
        <v>135213.802866667</v>
      </c>
      <c r="E144" s="733" t="n">
        <f aca="false">+E118+E143</f>
        <v>142577.073866667</v>
      </c>
      <c r="F144" s="733" t="n">
        <f aca="false">+F118+F143</f>
        <v>148637.294466667</v>
      </c>
      <c r="G144" s="733" t="n">
        <f aca="false">+G118+G143</f>
        <v>155306.190466667</v>
      </c>
      <c r="H144" s="733" t="n">
        <f aca="false">+H118+H143</f>
        <v>161975.086466667</v>
      </c>
      <c r="I144" s="733" t="n">
        <f aca="false">+I118+I143</f>
        <v>162687.238666667</v>
      </c>
      <c r="J144" s="733" t="n">
        <f aca="false">+J118+J143</f>
        <v>169356.134666667</v>
      </c>
      <c r="K144" s="733" t="n">
        <f aca="false">+K118+K143</f>
        <v>176025.030666667</v>
      </c>
      <c r="L144" s="733" t="n">
        <f aca="false">+L118+L143</f>
        <v>181293.028066667</v>
      </c>
      <c r="M144" s="733" t="n">
        <f aca="false">+M118+M143</f>
        <v>187961.924066667</v>
      </c>
      <c r="N144" s="733" t="n">
        <f aca="false">+N118+N143</f>
        <v>193229.921466667</v>
      </c>
      <c r="O144" s="690" t="n">
        <f aca="false">+O118+O143</f>
        <v>193229.921466667</v>
      </c>
      <c r="P144" s="734" t="n">
        <f aca="false">+P118+P143</f>
        <v>193229.921466667</v>
      </c>
      <c r="Q144" s="534"/>
    </row>
    <row r="145" customFormat="false" ht="13.5" hidden="false" customHeight="false" outlineLevel="0" collapsed="false">
      <c r="C145" s="534"/>
      <c r="D145" s="534"/>
      <c r="E145" s="534"/>
      <c r="F145" s="534"/>
      <c r="G145" s="534"/>
      <c r="H145" s="534"/>
      <c r="I145" s="534"/>
      <c r="J145" s="534"/>
      <c r="K145" s="534"/>
      <c r="L145" s="534"/>
      <c r="M145" s="534"/>
      <c r="N145" s="534"/>
      <c r="O145" s="534"/>
      <c r="P145" s="534"/>
      <c r="Q145" s="534"/>
    </row>
    <row r="146" customFormat="false" ht="12.75" hidden="true" customHeight="false" outlineLevel="0" collapsed="false">
      <c r="B146" s="735" t="s">
        <v>471</v>
      </c>
      <c r="C146" s="742" t="n">
        <f aca="false">'Politica Cobr. Pagos'!E94</f>
        <v>2740.9</v>
      </c>
      <c r="D146" s="742" t="n">
        <f aca="false">'Politica Cobr. Pagos'!F94</f>
        <v>2740.9</v>
      </c>
      <c r="E146" s="742" t="n">
        <f aca="false">'Politica Cobr. Pagos'!G94</f>
        <v>2740.9</v>
      </c>
      <c r="F146" s="742" t="n">
        <f aca="false">'Politica Cobr. Pagos'!H94</f>
        <v>2740.9</v>
      </c>
      <c r="G146" s="742" t="n">
        <f aca="false">'Politica Cobr. Pagos'!I94</f>
        <v>2740.9</v>
      </c>
      <c r="H146" s="742" t="n">
        <f aca="false">'Politica Cobr. Pagos'!J94</f>
        <v>2740.9</v>
      </c>
      <c r="I146" s="742" t="n">
        <f aca="false">'Politica Cobr. Pagos'!K94</f>
        <v>2740.9</v>
      </c>
      <c r="J146" s="742" t="n">
        <f aca="false">'Politica Cobr. Pagos'!L94</f>
        <v>2740.9</v>
      </c>
      <c r="K146" s="742" t="n">
        <f aca="false">'Politica Cobr. Pagos'!M94</f>
        <v>2740.9</v>
      </c>
      <c r="L146" s="742" t="n">
        <f aca="false">'Politica Cobr. Pagos'!N94</f>
        <v>2740.9</v>
      </c>
      <c r="M146" s="742" t="n">
        <f aca="false">'Politica Cobr. Pagos'!O94</f>
        <v>2740.9</v>
      </c>
      <c r="N146" s="742" t="n">
        <f aca="false">'Politica Cobr. Pagos'!P94</f>
        <v>2740.9</v>
      </c>
      <c r="O146" s="534"/>
      <c r="P146" s="534"/>
      <c r="Q146" s="534"/>
    </row>
    <row r="147" customFormat="false" ht="13.5" hidden="true" customHeight="false" outlineLevel="0" collapsed="false">
      <c r="B147" s="735" t="s">
        <v>472</v>
      </c>
      <c r="C147" s="742" t="n">
        <f aca="false">'Politica Cobr. Pagos'!E159</f>
        <v>1995.1</v>
      </c>
      <c r="D147" s="742" t="n">
        <f aca="false">'Politica Cobr. Pagos'!F159</f>
        <v>1995.1</v>
      </c>
      <c r="E147" s="742" t="n">
        <f aca="false">'Politica Cobr. Pagos'!G159</f>
        <v>1995.1</v>
      </c>
      <c r="F147" s="742" t="n">
        <f aca="false">'Politica Cobr. Pagos'!H159</f>
        <v>1995.1</v>
      </c>
      <c r="G147" s="742" t="n">
        <f aca="false">'Politica Cobr. Pagos'!I159</f>
        <v>1995.1</v>
      </c>
      <c r="H147" s="742" t="n">
        <f aca="false">'Politica Cobr. Pagos'!J159</f>
        <v>1995.1</v>
      </c>
      <c r="I147" s="742" t="n">
        <f aca="false">'Politica Cobr. Pagos'!K159</f>
        <v>1995.1</v>
      </c>
      <c r="J147" s="742" t="n">
        <f aca="false">'Politica Cobr. Pagos'!L159</f>
        <v>1995.1</v>
      </c>
      <c r="K147" s="742" t="n">
        <f aca="false">'Politica Cobr. Pagos'!M159</f>
        <v>1995.1</v>
      </c>
      <c r="L147" s="742" t="n">
        <f aca="false">'Politica Cobr. Pagos'!N159</f>
        <v>1995.1</v>
      </c>
      <c r="M147" s="742" t="n">
        <f aca="false">'Politica Cobr. Pagos'!O159</f>
        <v>1995.1</v>
      </c>
      <c r="N147" s="742" t="n">
        <f aca="false">'Politica Cobr. Pagos'!P159</f>
        <v>1995.1</v>
      </c>
      <c r="O147" s="534"/>
      <c r="P147" s="534"/>
      <c r="Q147" s="534"/>
    </row>
    <row r="148" s="549" customFormat="true" ht="13.5" hidden="false" customHeight="false" outlineLevel="0" collapsed="false">
      <c r="B148" s="738" t="s">
        <v>473</v>
      </c>
      <c r="C148" s="701" t="n">
        <f aca="false">IF('Datos generales'!$D$22&gt;0,C146-C147-C136+O112-C137,0)</f>
        <v>-17125.354</v>
      </c>
      <c r="D148" s="701" t="n">
        <f aca="false">IF('Datos generales'!$D$22&gt;0,D146-D147-D136+C148-D137,0)</f>
        <v>-16544.008</v>
      </c>
      <c r="E148" s="701" t="n">
        <f aca="false">IF('Datos generales'!$D$22&gt;0,E146-E147-E136+D148-E137,0)</f>
        <v>-15962.662</v>
      </c>
      <c r="F148" s="701" t="n">
        <f aca="false">IF('Datos generales'!$D$22&gt;0,F146-F147-F136+E148-F137,0)</f>
        <v>-15381.316</v>
      </c>
      <c r="G148" s="701" t="n">
        <f aca="false">IF('Datos generales'!$D$22&gt;0,G146-G147-G136+F148-G137,0)</f>
        <v>-14799.97</v>
      </c>
      <c r="H148" s="701" t="n">
        <f aca="false">IF('Datos generales'!$D$22&gt;0,H146-H147-H136+G148-H137,0)</f>
        <v>-14218.624</v>
      </c>
      <c r="I148" s="701" t="n">
        <f aca="false">IF('Datos generales'!$D$22&gt;0,I146-I147-I136+H148-I137,0)</f>
        <v>-13637.278</v>
      </c>
      <c r="J148" s="701" t="n">
        <f aca="false">IF('Datos generales'!$D$22&gt;0,J146-J147-J136+I148-J137,0)</f>
        <v>-13055.932</v>
      </c>
      <c r="K148" s="701" t="n">
        <f aca="false">IF('Datos generales'!$D$22&gt;0,K146-K147-K136+J148-K137,0)</f>
        <v>-12474.586</v>
      </c>
      <c r="L148" s="701" t="n">
        <f aca="false">IF('Datos generales'!$D$22&gt;0,L146-L147-L136+K148-L137,0)</f>
        <v>-11893.24</v>
      </c>
      <c r="M148" s="701" t="n">
        <f aca="false">IF('Datos generales'!$D$22&gt;0,M146-M147-M136+L148-M137,0)</f>
        <v>-11311.894</v>
      </c>
      <c r="N148" s="701" t="n">
        <f aca="false">IF('Datos generales'!$D$22&gt;0,N146-N147-N136+M148-N137,0)</f>
        <v>-10730.548</v>
      </c>
      <c r="O148" s="702" t="n">
        <f aca="false">IF('Datos generales'!$D$22&gt;0,O146-O147-O136+N148-O137,0)</f>
        <v>-10730.548</v>
      </c>
    </row>
    <row r="149" customFormat="false" ht="12.75" hidden="false" customHeight="false" outlineLevel="0" collapsed="false">
      <c r="B149" s="35" t="s">
        <v>474</v>
      </c>
      <c r="C149" s="739" t="n">
        <v>38737</v>
      </c>
      <c r="F149" s="739" t="n">
        <v>38827</v>
      </c>
      <c r="I149" s="739" t="n">
        <v>38918</v>
      </c>
      <c r="L149" s="739" t="n">
        <v>39010</v>
      </c>
      <c r="N149" s="739" t="n">
        <v>39802</v>
      </c>
    </row>
    <row r="154" customFormat="false" ht="12.75" hidden="false" customHeight="false" outlineLevel="0" collapsed="false">
      <c r="I154" s="549"/>
    </row>
  </sheetData>
  <sheetProtection sheet="true" password="cc4b"/>
  <mergeCells count="1">
    <mergeCell ref="B4:G4"/>
  </mergeCells>
  <printOptions headings="false" gridLines="false" gridLinesSet="true" horizontalCentered="true" verticalCentered="true"/>
  <pageMargins left="0.75" right="0.75" top="0.39375"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91</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2001-01-17T08:43:53Z</dcterms:created>
  <dc:creator>Jorge Muñoz</dc:creator>
  <dc:description/>
  <dc:language>es-ES</dc:language>
  <cp:lastModifiedBy/>
  <dcterms:modified xsi:type="dcterms:W3CDTF">2023-01-18T11:46:28Z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