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CHAROLI\Desktop\Grillas salariales\2025\Calculadora salarial\"/>
    </mc:Choice>
  </mc:AlternateContent>
  <xr:revisionPtr revIDLastSave="0" documentId="8_{0867F65F-12FB-4B4C-8064-36FA0AD74793}" xr6:coauthVersionLast="47" xr6:coauthVersionMax="47" xr10:uidLastSave="{00000000-0000-0000-0000-000000000000}"/>
  <bookViews>
    <workbookView xWindow="-120" yWindow="-120" windowWidth="29040" windowHeight="15840" tabRatio="705" firstSheet="4" activeTab="4" xr2:uid="{8EFD92B7-82E4-407D-82E4-3F24DDA36B45}"/>
  </bookViews>
  <sheets>
    <sheet name="Maestrx JS" sheetId="1" r:id="rId1"/>
    <sheet name="Maestrx JC" sheetId="3" r:id="rId2"/>
    <sheet name="Hora cátedra (Media)" sheetId="4" r:id="rId3"/>
    <sheet name="Preceptoría" sheetId="5" r:id="rId4"/>
    <sheet name="Maestrx Celadorx" sheetId="8" r:id="rId5"/>
    <sheet name="Hora cátedra (Superior)" sheetId="6" r:id="rId6"/>
    <sheet name="Directorx" sheetId="9" r:id="rId7"/>
    <sheet name="Vicedirectorx" sheetId="10" r:id="rId8"/>
    <sheet name="Secretarix y Maestrx E." sheetId="11" r:id="rId9"/>
    <sheet name="Supervisorx" sheetId="12" r:id="rId10"/>
    <sheet name="Maestrx JS (Especial)" sheetId="13" r:id="rId11"/>
    <sheet name="Maestrx JC (Especial)" sheetId="14" r:id="rId12"/>
    <sheet name="Maestrx de ciclo" sheetId="16" r:id="rId13"/>
    <sheet name="Referencias" sheetId="2" r:id="rId14"/>
    <sheet name="Hoja1" sheetId="7" state="hidden" r:id="rId15"/>
  </sheets>
  <definedNames>
    <definedName name="Inicial">Referencias!$A$33:$A$41</definedName>
    <definedName name="Primaria">Referencias!$B$33:$B$42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 l="1"/>
  <c r="I17" i="8"/>
  <c r="J17" i="8"/>
  <c r="K17" i="8"/>
  <c r="L17" i="8"/>
  <c r="M17" i="8"/>
  <c r="L17" i="6"/>
  <c r="K17" i="6"/>
  <c r="J17" i="6"/>
  <c r="I17" i="6"/>
  <c r="H17" i="6"/>
  <c r="G17" i="6"/>
  <c r="F17" i="6"/>
  <c r="E17" i="6"/>
  <c r="D17" i="6"/>
  <c r="C17" i="6"/>
  <c r="M17" i="6"/>
  <c r="M12" i="6"/>
  <c r="M18" i="12"/>
  <c r="C18" i="12"/>
  <c r="D11" i="4"/>
  <c r="E11" i="4"/>
  <c r="F11" i="4"/>
  <c r="G11" i="4"/>
  <c r="H11" i="4"/>
  <c r="I11" i="4"/>
  <c r="J11" i="4"/>
  <c r="K11" i="4"/>
  <c r="L11" i="4"/>
  <c r="M11" i="4"/>
  <c r="C11" i="4"/>
  <c r="F11" i="3"/>
  <c r="G11" i="3"/>
  <c r="H11" i="3"/>
  <c r="I11" i="3"/>
  <c r="J11" i="3"/>
  <c r="K11" i="3"/>
  <c r="L11" i="3"/>
  <c r="M11" i="3"/>
  <c r="C11" i="3"/>
  <c r="D11" i="3"/>
  <c r="E11" i="3"/>
  <c r="E11" i="1"/>
  <c r="B5" i="2" l="1"/>
  <c r="H12" i="4"/>
  <c r="H13" i="4"/>
  <c r="H14" i="4"/>
  <c r="H15" i="4"/>
  <c r="B13" i="2"/>
  <c r="C7" i="1" l="1"/>
  <c r="C12" i="1"/>
  <c r="E15" i="5"/>
  <c r="F15" i="5"/>
  <c r="G15" i="5"/>
  <c r="H15" i="5"/>
  <c r="I15" i="5"/>
  <c r="J15" i="5"/>
  <c r="K15" i="5"/>
  <c r="L15" i="5"/>
  <c r="M15" i="5"/>
  <c r="D15" i="5"/>
  <c r="C15" i="5"/>
  <c r="B3" i="2"/>
  <c r="H11" i="16"/>
  <c r="I11" i="16"/>
  <c r="J11" i="16"/>
  <c r="K11" i="16"/>
  <c r="L11" i="16"/>
  <c r="M11" i="16"/>
  <c r="C7" i="16"/>
  <c r="D7" i="16" s="1"/>
  <c r="E7" i="16" s="1"/>
  <c r="F7" i="16" s="1"/>
  <c r="G7" i="16" s="1"/>
  <c r="H7" i="16" s="1"/>
  <c r="I7" i="16" s="1"/>
  <c r="J7" i="16" s="1"/>
  <c r="K7" i="16" s="1"/>
  <c r="L7" i="16" s="1"/>
  <c r="M7" i="16" s="1"/>
  <c r="C15" i="16"/>
  <c r="C12" i="16"/>
  <c r="F10" i="16"/>
  <c r="C9" i="16"/>
  <c r="D15" i="16"/>
  <c r="C14" i="16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D12" i="16"/>
  <c r="E12" i="16" s="1"/>
  <c r="F12" i="16" s="1"/>
  <c r="G12" i="16" s="1"/>
  <c r="H12" i="16" s="1"/>
  <c r="I12" i="16" s="1"/>
  <c r="J12" i="16" s="1"/>
  <c r="K12" i="16" s="1"/>
  <c r="L12" i="16" s="1"/>
  <c r="M12" i="16" s="1"/>
  <c r="F9" i="16"/>
  <c r="M8" i="16"/>
  <c r="L8" i="16"/>
  <c r="K8" i="16"/>
  <c r="J8" i="16"/>
  <c r="I8" i="16"/>
  <c r="H8" i="16"/>
  <c r="G8" i="16"/>
  <c r="F8" i="16"/>
  <c r="E8" i="16"/>
  <c r="D8" i="16"/>
  <c r="C8" i="16"/>
  <c r="M4" i="16"/>
  <c r="L4" i="16"/>
  <c r="K4" i="16"/>
  <c r="J4" i="16"/>
  <c r="I4" i="16"/>
  <c r="H4" i="16"/>
  <c r="G4" i="16"/>
  <c r="F4" i="16"/>
  <c r="E4" i="16"/>
  <c r="D4" i="16"/>
  <c r="C4" i="16"/>
  <c r="A2" i="16"/>
  <c r="A2" i="3"/>
  <c r="D22" i="2"/>
  <c r="H10" i="16" l="1"/>
  <c r="I10" i="16"/>
  <c r="J10" i="16"/>
  <c r="K10" i="16"/>
  <c r="L10" i="16"/>
  <c r="M10" i="16"/>
  <c r="G10" i="16"/>
  <c r="E9" i="16"/>
  <c r="D9" i="16"/>
  <c r="E15" i="16"/>
  <c r="C6" i="16"/>
  <c r="C5" i="16"/>
  <c r="C14" i="2" s="1"/>
  <c r="D6" i="16"/>
  <c r="D5" i="16"/>
  <c r="D14" i="2" s="1"/>
  <c r="E6" i="16"/>
  <c r="E5" i="16"/>
  <c r="E14" i="2" s="1"/>
  <c r="F6" i="16"/>
  <c r="F5" i="16"/>
  <c r="G6" i="16"/>
  <c r="G5" i="16"/>
  <c r="H6" i="16"/>
  <c r="H5" i="16"/>
  <c r="I6" i="16"/>
  <c r="I5" i="16"/>
  <c r="J6" i="16"/>
  <c r="J5" i="16"/>
  <c r="K6" i="16"/>
  <c r="K5" i="16"/>
  <c r="L6" i="16"/>
  <c r="L5" i="16"/>
  <c r="M6" i="16"/>
  <c r="M5" i="16"/>
  <c r="F15" i="16" l="1"/>
  <c r="F14" i="2" s="1"/>
  <c r="G15" i="16" l="1"/>
  <c r="G14" i="2" s="1"/>
  <c r="H15" i="16" l="1"/>
  <c r="I15" i="16" l="1"/>
  <c r="H18" i="16"/>
  <c r="H17" i="16"/>
  <c r="J15" i="16" l="1"/>
  <c r="I18" i="16"/>
  <c r="I17" i="16"/>
  <c r="K15" i="16" l="1"/>
  <c r="J18" i="16"/>
  <c r="J17" i="16"/>
  <c r="L15" i="16" l="1"/>
  <c r="K18" i="16"/>
  <c r="K17" i="16"/>
  <c r="M15" i="16" l="1"/>
  <c r="L18" i="16"/>
  <c r="L17" i="16"/>
  <c r="M18" i="16" l="1"/>
  <c r="M17" i="16"/>
  <c r="A2" i="14" l="1"/>
  <c r="A2" i="13"/>
  <c r="A2" i="12"/>
  <c r="A2" i="11"/>
  <c r="A2" i="10"/>
  <c r="A2" i="9"/>
  <c r="A2" i="6"/>
  <c r="A2" i="8"/>
  <c r="A2" i="4"/>
  <c r="A2" i="5"/>
  <c r="C28" i="2"/>
  <c r="C27" i="2"/>
  <c r="B2" i="2"/>
  <c r="H12" i="14"/>
  <c r="I12" i="14"/>
  <c r="J12" i="14"/>
  <c r="K12" i="14"/>
  <c r="L12" i="14"/>
  <c r="M12" i="14"/>
  <c r="C14" i="14"/>
  <c r="D14" i="14" s="1"/>
  <c r="C13" i="14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F10" i="14"/>
  <c r="M4" i="14"/>
  <c r="L4" i="14"/>
  <c r="K4" i="14"/>
  <c r="J4" i="14"/>
  <c r="I4" i="14"/>
  <c r="H4" i="14"/>
  <c r="G4" i="14"/>
  <c r="F4" i="14"/>
  <c r="E4" i="14"/>
  <c r="D4" i="14"/>
  <c r="C4" i="14"/>
  <c r="H12" i="13"/>
  <c r="I12" i="13"/>
  <c r="J12" i="13"/>
  <c r="K12" i="13"/>
  <c r="L12" i="13"/>
  <c r="M12" i="13"/>
  <c r="C9" i="1"/>
  <c r="C10" i="14" s="1"/>
  <c r="D9" i="1"/>
  <c r="D10" i="14" s="1"/>
  <c r="E9" i="1"/>
  <c r="E10" i="14" s="1"/>
  <c r="E14" i="14" l="1"/>
  <c r="C6" i="14"/>
  <c r="D6" i="14"/>
  <c r="E6" i="14"/>
  <c r="F6" i="14"/>
  <c r="G6" i="14"/>
  <c r="H6" i="14"/>
  <c r="I6" i="14"/>
  <c r="J6" i="14"/>
  <c r="K6" i="14"/>
  <c r="L6" i="14"/>
  <c r="M6" i="14"/>
  <c r="F14" i="14" l="1"/>
  <c r="G14" i="14" l="1"/>
  <c r="H14" i="14" l="1"/>
  <c r="I14" i="14" l="1"/>
  <c r="J14" i="14" l="1"/>
  <c r="K14" i="14" l="1"/>
  <c r="L14" i="14" l="1"/>
  <c r="M14" i="14" l="1"/>
  <c r="C16" i="13" l="1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C14" i="13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M19" i="13"/>
  <c r="L19" i="13"/>
  <c r="K19" i="13"/>
  <c r="J19" i="13"/>
  <c r="I19" i="13"/>
  <c r="H19" i="13"/>
  <c r="F11" i="13"/>
  <c r="G11" i="13" s="1"/>
  <c r="H11" i="13" s="1"/>
  <c r="I11" i="13" s="1"/>
  <c r="J11" i="13" s="1"/>
  <c r="K11" i="13" s="1"/>
  <c r="L11" i="13" s="1"/>
  <c r="M11" i="13" s="1"/>
  <c r="C10" i="13"/>
  <c r="C7" i="13"/>
  <c r="M4" i="13"/>
  <c r="L4" i="13"/>
  <c r="K4" i="13"/>
  <c r="J4" i="13"/>
  <c r="I4" i="13"/>
  <c r="H4" i="13"/>
  <c r="G4" i="13"/>
  <c r="F4" i="13"/>
  <c r="E4" i="13"/>
  <c r="D4" i="13"/>
  <c r="C4" i="13"/>
  <c r="C15" i="2"/>
  <c r="C14" i="12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M12" i="12"/>
  <c r="L12" i="12"/>
  <c r="K12" i="12"/>
  <c r="J12" i="12"/>
  <c r="I12" i="12"/>
  <c r="H12" i="12"/>
  <c r="F10" i="12"/>
  <c r="M4" i="12"/>
  <c r="L4" i="12"/>
  <c r="K4" i="12"/>
  <c r="J4" i="12"/>
  <c r="I4" i="12"/>
  <c r="H4" i="12"/>
  <c r="G4" i="12"/>
  <c r="F4" i="12"/>
  <c r="E4" i="12"/>
  <c r="D4" i="12"/>
  <c r="C4" i="12"/>
  <c r="C9" i="13" l="1"/>
  <c r="C6" i="13"/>
  <c r="C5" i="13"/>
  <c r="D6" i="13"/>
  <c r="E6" i="13"/>
  <c r="F6" i="13"/>
  <c r="G6" i="13"/>
  <c r="H6" i="13"/>
  <c r="I6" i="13"/>
  <c r="J6" i="13"/>
  <c r="K6" i="13"/>
  <c r="L6" i="13"/>
  <c r="M6" i="13"/>
  <c r="C8" i="13"/>
  <c r="D7" i="13"/>
  <c r="D9" i="13" s="1"/>
  <c r="D10" i="13"/>
  <c r="C7" i="12"/>
  <c r="C3" i="2" l="1"/>
  <c r="H3" i="2" s="1"/>
  <c r="C12" i="13" s="1"/>
  <c r="E10" i="13"/>
  <c r="D8" i="13"/>
  <c r="E7" i="13"/>
  <c r="E9" i="13" s="1"/>
  <c r="D5" i="13"/>
  <c r="D3" i="2" s="1"/>
  <c r="I3" i="2" s="1"/>
  <c r="D12" i="13" s="1"/>
  <c r="C18" i="13"/>
  <c r="M7" i="12"/>
  <c r="L7" i="12"/>
  <c r="K7" i="12"/>
  <c r="J7" i="12"/>
  <c r="I7" i="12"/>
  <c r="H7" i="12"/>
  <c r="G7" i="12"/>
  <c r="F7" i="12"/>
  <c r="E7" i="12"/>
  <c r="D7" i="12"/>
  <c r="D18" i="13" l="1"/>
  <c r="E8" i="13"/>
  <c r="F7" i="13"/>
  <c r="F9" i="13" s="1"/>
  <c r="E5" i="13"/>
  <c r="E3" i="2" s="1"/>
  <c r="J3" i="2" s="1"/>
  <c r="E12" i="13" s="1"/>
  <c r="D26" i="2"/>
  <c r="C26" i="2"/>
  <c r="D28" i="2"/>
  <c r="D27" i="2"/>
  <c r="D25" i="2"/>
  <c r="D19" i="2"/>
  <c r="D18" i="2"/>
  <c r="C19" i="2"/>
  <c r="C25" i="2"/>
  <c r="H12" i="11"/>
  <c r="I12" i="11"/>
  <c r="J12" i="11"/>
  <c r="K12" i="11"/>
  <c r="L12" i="11"/>
  <c r="M12" i="1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C14" i="1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C13" i="1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F10" i="11"/>
  <c r="M4" i="11"/>
  <c r="L4" i="11"/>
  <c r="K4" i="11"/>
  <c r="J4" i="11"/>
  <c r="I4" i="11"/>
  <c r="H4" i="11"/>
  <c r="G4" i="11"/>
  <c r="F4" i="11"/>
  <c r="E4" i="11"/>
  <c r="D4" i="11"/>
  <c r="C4" i="11"/>
  <c r="C16" i="12" l="1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E18" i="13"/>
  <c r="F8" i="13"/>
  <c r="G7" i="13"/>
  <c r="G9" i="13" s="1"/>
  <c r="F5" i="13"/>
  <c r="F3" i="2" s="1"/>
  <c r="K3" i="2" s="1"/>
  <c r="F12" i="13" s="1"/>
  <c r="C7" i="11"/>
  <c r="C5" i="11"/>
  <c r="D5" i="11"/>
  <c r="E5" i="11"/>
  <c r="F5" i="11"/>
  <c r="G5" i="11"/>
  <c r="H5" i="11"/>
  <c r="I5" i="11"/>
  <c r="J5" i="11"/>
  <c r="K5" i="11"/>
  <c r="L5" i="11"/>
  <c r="M5" i="11"/>
  <c r="F18" i="13" l="1"/>
  <c r="G8" i="13"/>
  <c r="H7" i="13"/>
  <c r="H9" i="13" s="1"/>
  <c r="G5" i="13"/>
  <c r="G3" i="2" s="1"/>
  <c r="L3" i="2" s="1"/>
  <c r="G12" i="13" s="1"/>
  <c r="M7" i="11"/>
  <c r="L7" i="11"/>
  <c r="K7" i="11"/>
  <c r="J7" i="11"/>
  <c r="I7" i="11"/>
  <c r="H7" i="11"/>
  <c r="G7" i="11"/>
  <c r="F7" i="11"/>
  <c r="E7" i="11"/>
  <c r="D7" i="11"/>
  <c r="G18" i="13" l="1"/>
  <c r="H8" i="13"/>
  <c r="I7" i="13"/>
  <c r="I9" i="13" s="1"/>
  <c r="H5" i="13"/>
  <c r="H21" i="13" s="1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F10" i="10"/>
  <c r="M4" i="10"/>
  <c r="M5" i="10" s="1"/>
  <c r="L4" i="10"/>
  <c r="L5" i="10" s="1"/>
  <c r="K4" i="10"/>
  <c r="K5" i="10" s="1"/>
  <c r="J4" i="10"/>
  <c r="J5" i="10" s="1"/>
  <c r="I4" i="10"/>
  <c r="I5" i="10" s="1"/>
  <c r="H4" i="10"/>
  <c r="H5" i="10" s="1"/>
  <c r="G4" i="10"/>
  <c r="G5" i="10" s="1"/>
  <c r="F4" i="10"/>
  <c r="F5" i="10" s="1"/>
  <c r="E4" i="10"/>
  <c r="E5" i="10" s="1"/>
  <c r="D4" i="10"/>
  <c r="C4" i="10"/>
  <c r="C13" i="9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D13" i="9"/>
  <c r="E13" i="9" s="1"/>
  <c r="F13" i="9" s="1"/>
  <c r="G13" i="9" s="1"/>
  <c r="H13" i="9" s="1"/>
  <c r="I13" i="9" s="1"/>
  <c r="J13" i="9" s="1"/>
  <c r="K13" i="9" s="1"/>
  <c r="L13" i="9" s="1"/>
  <c r="M13" i="9" s="1"/>
  <c r="F10" i="9"/>
  <c r="M4" i="9"/>
  <c r="L4" i="9"/>
  <c r="K4" i="9"/>
  <c r="J4" i="9"/>
  <c r="I4" i="9"/>
  <c r="H4" i="9"/>
  <c r="G4" i="9"/>
  <c r="F4" i="9"/>
  <c r="E4" i="9"/>
  <c r="D4" i="9"/>
  <c r="C4" i="9"/>
  <c r="F28" i="2"/>
  <c r="F27" i="2"/>
  <c r="F18" i="2"/>
  <c r="C18" i="2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H20" i="13" l="1"/>
  <c r="H18" i="13"/>
  <c r="I8" i="13"/>
  <c r="J7" i="13"/>
  <c r="J9" i="13" s="1"/>
  <c r="I5" i="13"/>
  <c r="I21" i="13" s="1"/>
  <c r="D5" i="10"/>
  <c r="D7" i="10"/>
  <c r="C5" i="9"/>
  <c r="D5" i="9"/>
  <c r="E5" i="9"/>
  <c r="F5" i="9"/>
  <c r="G5" i="9"/>
  <c r="H5" i="9"/>
  <c r="I5" i="9"/>
  <c r="J5" i="9"/>
  <c r="K5" i="9"/>
  <c r="L5" i="9"/>
  <c r="M5" i="9"/>
  <c r="C5" i="10"/>
  <c r="C7" i="10"/>
  <c r="C7" i="9"/>
  <c r="H11" i="8"/>
  <c r="I11" i="8"/>
  <c r="J11" i="8"/>
  <c r="K11" i="8"/>
  <c r="L11" i="8"/>
  <c r="M11" i="8"/>
  <c r="H11" i="5"/>
  <c r="I11" i="5"/>
  <c r="J11" i="5"/>
  <c r="K11" i="5"/>
  <c r="L11" i="5"/>
  <c r="M11" i="5"/>
  <c r="I20" i="13" l="1"/>
  <c r="I18" i="13"/>
  <c r="J8" i="13"/>
  <c r="K7" i="13"/>
  <c r="K9" i="13" s="1"/>
  <c r="J5" i="13"/>
  <c r="J21" i="13" s="1"/>
  <c r="M7" i="9"/>
  <c r="L7" i="9"/>
  <c r="K7" i="9"/>
  <c r="J7" i="9"/>
  <c r="I7" i="9"/>
  <c r="H7" i="9"/>
  <c r="G7" i="9"/>
  <c r="F7" i="9"/>
  <c r="E7" i="9"/>
  <c r="D7" i="9"/>
  <c r="M7" i="10"/>
  <c r="L7" i="10"/>
  <c r="K7" i="10"/>
  <c r="J7" i="10"/>
  <c r="I7" i="10"/>
  <c r="H7" i="10"/>
  <c r="G7" i="10"/>
  <c r="F7" i="10"/>
  <c r="E7" i="10"/>
  <c r="F10" i="8"/>
  <c r="G10" i="8" s="1"/>
  <c r="H10" i="8" s="1"/>
  <c r="I10" i="8" s="1"/>
  <c r="J10" i="8" s="1"/>
  <c r="K10" i="8" s="1"/>
  <c r="L10" i="8" s="1"/>
  <c r="M10" i="8" s="1"/>
  <c r="C9" i="8"/>
  <c r="D9" i="8" s="1"/>
  <c r="E9" i="8" s="1"/>
  <c r="C7" i="8"/>
  <c r="D7" i="8" s="1"/>
  <c r="M4" i="8"/>
  <c r="L4" i="8"/>
  <c r="K4" i="8"/>
  <c r="J4" i="8"/>
  <c r="I4" i="8"/>
  <c r="H4" i="8"/>
  <c r="G4" i="8"/>
  <c r="F4" i="8"/>
  <c r="E4" i="8"/>
  <c r="D4" i="8"/>
  <c r="C4" i="8"/>
  <c r="C15" i="4"/>
  <c r="D15" i="4" s="1"/>
  <c r="E15" i="4" s="1"/>
  <c r="F15" i="4" s="1"/>
  <c r="G15" i="4" s="1"/>
  <c r="I15" i="4" s="1"/>
  <c r="J15" i="4" s="1"/>
  <c r="K15" i="4" s="1"/>
  <c r="L15" i="4" s="1"/>
  <c r="M15" i="4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F10" i="5"/>
  <c r="G10" i="5" s="1"/>
  <c r="H10" i="5" s="1"/>
  <c r="I10" i="5" s="1"/>
  <c r="J10" i="5" s="1"/>
  <c r="K10" i="5" s="1"/>
  <c r="L10" i="5" s="1"/>
  <c r="M10" i="5" s="1"/>
  <c r="C9" i="5"/>
  <c r="D9" i="5" s="1"/>
  <c r="E9" i="5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C15" i="1"/>
  <c r="C14" i="1"/>
  <c r="C13" i="1"/>
  <c r="C13" i="4"/>
  <c r="C13" i="5"/>
  <c r="J20" i="13" l="1"/>
  <c r="J18" i="13"/>
  <c r="K8" i="13"/>
  <c r="L7" i="13"/>
  <c r="L9" i="13" s="1"/>
  <c r="K5" i="13"/>
  <c r="K21" i="13" s="1"/>
  <c r="C12" i="8"/>
  <c r="D12" i="1"/>
  <c r="C13" i="8"/>
  <c r="D13" i="1"/>
  <c r="C14" i="8"/>
  <c r="D14" i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C6" i="8"/>
  <c r="C5" i="8"/>
  <c r="D6" i="8"/>
  <c r="D5" i="8"/>
  <c r="E6" i="8"/>
  <c r="F6" i="8"/>
  <c r="G6" i="8"/>
  <c r="H6" i="8"/>
  <c r="I6" i="8"/>
  <c r="J6" i="8"/>
  <c r="K6" i="8"/>
  <c r="L6" i="8"/>
  <c r="M6" i="8"/>
  <c r="D8" i="8"/>
  <c r="E7" i="8"/>
  <c r="E6" i="7"/>
  <c r="K20" i="13" l="1"/>
  <c r="K18" i="13"/>
  <c r="L8" i="13"/>
  <c r="M7" i="13"/>
  <c r="M9" i="13" s="1"/>
  <c r="L5" i="13"/>
  <c r="L21" i="13" s="1"/>
  <c r="E13" i="1"/>
  <c r="D13" i="8"/>
  <c r="D13" i="4"/>
  <c r="D13" i="5"/>
  <c r="D12" i="8"/>
  <c r="E12" i="1"/>
  <c r="D14" i="8"/>
  <c r="D9" i="2" s="1"/>
  <c r="I9" i="2" s="1"/>
  <c r="E14" i="1"/>
  <c r="D11" i="8"/>
  <c r="D17" i="8" s="1"/>
  <c r="D11" i="5"/>
  <c r="E8" i="8"/>
  <c r="F7" i="8"/>
  <c r="E5" i="8"/>
  <c r="D18" i="8"/>
  <c r="C14" i="5"/>
  <c r="H11" i="1"/>
  <c r="I11" i="1"/>
  <c r="J11" i="1"/>
  <c r="K11" i="1"/>
  <c r="L11" i="1"/>
  <c r="M11" i="1"/>
  <c r="C12" i="4"/>
  <c r="C14" i="4"/>
  <c r="D12" i="4"/>
  <c r="D14" i="4"/>
  <c r="L20" i="13" l="1"/>
  <c r="L18" i="13"/>
  <c r="M8" i="13"/>
  <c r="M5" i="13"/>
  <c r="M21" i="13" s="1"/>
  <c r="E12" i="8"/>
  <c r="F12" i="1"/>
  <c r="F13" i="1"/>
  <c r="E13" i="8"/>
  <c r="E13" i="4"/>
  <c r="E13" i="5"/>
  <c r="E14" i="8"/>
  <c r="E9" i="2" s="1"/>
  <c r="J9" i="2" s="1"/>
  <c r="F14" i="1"/>
  <c r="E11" i="8"/>
  <c r="E17" i="8" s="1"/>
  <c r="E11" i="5"/>
  <c r="E18" i="8"/>
  <c r="F8" i="8"/>
  <c r="G7" i="8"/>
  <c r="F5" i="8"/>
  <c r="F10" i="1"/>
  <c r="C10" i="12"/>
  <c r="C8" i="1"/>
  <c r="F11" i="12" l="1"/>
  <c r="F11" i="14"/>
  <c r="C8" i="12"/>
  <c r="C7" i="14"/>
  <c r="M20" i="13"/>
  <c r="M18" i="13"/>
  <c r="C9" i="12"/>
  <c r="C6" i="12"/>
  <c r="G10" i="1"/>
  <c r="F11" i="11"/>
  <c r="F11" i="10"/>
  <c r="F11" i="9"/>
  <c r="C10" i="11"/>
  <c r="C10" i="10"/>
  <c r="C10" i="9"/>
  <c r="C8" i="11"/>
  <c r="C8" i="10"/>
  <c r="C8" i="9"/>
  <c r="G13" i="1"/>
  <c r="F13" i="8"/>
  <c r="F13" i="4"/>
  <c r="F13" i="5"/>
  <c r="F12" i="8"/>
  <c r="G12" i="1"/>
  <c r="F14" i="8"/>
  <c r="F9" i="2" s="1"/>
  <c r="K9" i="2" s="1"/>
  <c r="G14" i="1"/>
  <c r="D7" i="1"/>
  <c r="C8" i="8"/>
  <c r="C9" i="2" s="1"/>
  <c r="H9" i="2" s="1"/>
  <c r="C11" i="8" s="1"/>
  <c r="C17" i="8" s="1"/>
  <c r="F11" i="8"/>
  <c r="F17" i="8" s="1"/>
  <c r="F11" i="5"/>
  <c r="F18" i="8"/>
  <c r="G8" i="8"/>
  <c r="H7" i="8"/>
  <c r="G5" i="8"/>
  <c r="D10" i="12"/>
  <c r="C9" i="4"/>
  <c r="C13" i="2" l="1"/>
  <c r="H13" i="2" s="1"/>
  <c r="C12" i="12" s="1"/>
  <c r="G11" i="12"/>
  <c r="G11" i="14"/>
  <c r="D8" i="12"/>
  <c r="D7" i="14"/>
  <c r="C8" i="14"/>
  <c r="C9" i="14"/>
  <c r="C5" i="14"/>
  <c r="D9" i="12"/>
  <c r="D6" i="12"/>
  <c r="D13" i="2" s="1"/>
  <c r="I13" i="2" s="1"/>
  <c r="D12" i="12" s="1"/>
  <c r="H10" i="1"/>
  <c r="H10" i="4" s="1"/>
  <c r="G11" i="11"/>
  <c r="G11" i="10"/>
  <c r="G11" i="9"/>
  <c r="D10" i="11"/>
  <c r="D10" i="10"/>
  <c r="D10" i="9"/>
  <c r="E7" i="1"/>
  <c r="D8" i="11"/>
  <c r="D8" i="10"/>
  <c r="D8" i="9"/>
  <c r="C9" i="9"/>
  <c r="C6" i="9"/>
  <c r="C9" i="10"/>
  <c r="C6" i="10"/>
  <c r="C9" i="11"/>
  <c r="C6" i="11"/>
  <c r="C10" i="2" s="1"/>
  <c r="G12" i="8"/>
  <c r="H12" i="1"/>
  <c r="H13" i="1"/>
  <c r="G13" i="8"/>
  <c r="G13" i="4"/>
  <c r="G13" i="5"/>
  <c r="G14" i="8"/>
  <c r="G9" i="2" s="1"/>
  <c r="L9" i="2" s="1"/>
  <c r="H14" i="1"/>
  <c r="G11" i="8"/>
  <c r="G17" i="8" s="1"/>
  <c r="G11" i="5"/>
  <c r="G18" i="8"/>
  <c r="H8" i="8"/>
  <c r="I7" i="8"/>
  <c r="H5" i="8"/>
  <c r="E10" i="12"/>
  <c r="D7" i="3"/>
  <c r="E7" i="3"/>
  <c r="C7" i="3"/>
  <c r="F9" i="3"/>
  <c r="C8" i="5"/>
  <c r="G10" i="3"/>
  <c r="H10" i="3"/>
  <c r="F10" i="3"/>
  <c r="D9" i="3"/>
  <c r="E9" i="3"/>
  <c r="C9" i="3"/>
  <c r="I11" i="6"/>
  <c r="J11" i="6"/>
  <c r="K11" i="6"/>
  <c r="L11" i="6"/>
  <c r="M11" i="6"/>
  <c r="D14" i="6"/>
  <c r="E14" i="6"/>
  <c r="F14" i="6"/>
  <c r="G14" i="6"/>
  <c r="H14" i="6"/>
  <c r="D13" i="6"/>
  <c r="E13" i="6"/>
  <c r="F13" i="6"/>
  <c r="G13" i="6"/>
  <c r="H13" i="6"/>
  <c r="D12" i="6"/>
  <c r="E12" i="6"/>
  <c r="F12" i="6"/>
  <c r="G12" i="6"/>
  <c r="H12" i="6"/>
  <c r="C14" i="6"/>
  <c r="C13" i="6"/>
  <c r="C12" i="6"/>
  <c r="G10" i="6"/>
  <c r="H10" i="6"/>
  <c r="F10" i="6"/>
  <c r="D9" i="6"/>
  <c r="E9" i="6"/>
  <c r="C9" i="6"/>
  <c r="D7" i="6"/>
  <c r="E7" i="6"/>
  <c r="C7" i="6"/>
  <c r="E8" i="6"/>
  <c r="D8" i="6"/>
  <c r="C8" i="6"/>
  <c r="M4" i="6"/>
  <c r="L4" i="6"/>
  <c r="K4" i="6"/>
  <c r="J4" i="6"/>
  <c r="I4" i="6"/>
  <c r="H4" i="6"/>
  <c r="G4" i="6"/>
  <c r="F4" i="6"/>
  <c r="E4" i="6"/>
  <c r="D4" i="6"/>
  <c r="C4" i="6"/>
  <c r="D14" i="5"/>
  <c r="E14" i="5"/>
  <c r="F14" i="5"/>
  <c r="G14" i="5"/>
  <c r="H14" i="5"/>
  <c r="D12" i="5"/>
  <c r="E12" i="5"/>
  <c r="F12" i="5"/>
  <c r="G12" i="5"/>
  <c r="H12" i="5"/>
  <c r="C12" i="5"/>
  <c r="M8" i="5"/>
  <c r="L8" i="5"/>
  <c r="K8" i="5"/>
  <c r="J8" i="5"/>
  <c r="I8" i="5"/>
  <c r="H8" i="5"/>
  <c r="G8" i="5"/>
  <c r="F8" i="5"/>
  <c r="E8" i="5"/>
  <c r="D8" i="5"/>
  <c r="M4" i="5"/>
  <c r="L4" i="5"/>
  <c r="K4" i="5"/>
  <c r="J4" i="5"/>
  <c r="I4" i="5"/>
  <c r="H4" i="5"/>
  <c r="G4" i="5"/>
  <c r="F4" i="5"/>
  <c r="E4" i="5"/>
  <c r="D4" i="5"/>
  <c r="C4" i="5"/>
  <c r="H11" i="12" l="1"/>
  <c r="H11" i="14"/>
  <c r="E8" i="12"/>
  <c r="E7" i="14"/>
  <c r="C2" i="2"/>
  <c r="H2" i="2" s="1"/>
  <c r="C12" i="14" s="1"/>
  <c r="C19" i="14" s="1"/>
  <c r="C18" i="14"/>
  <c r="D8" i="14"/>
  <c r="D9" i="14"/>
  <c r="D5" i="14"/>
  <c r="E9" i="12"/>
  <c r="E6" i="12"/>
  <c r="E13" i="2" s="1"/>
  <c r="J13" i="2" s="1"/>
  <c r="I10" i="1"/>
  <c r="H11" i="11"/>
  <c r="H11" i="10"/>
  <c r="H11" i="9"/>
  <c r="E10" i="11"/>
  <c r="E10" i="10"/>
  <c r="E10" i="9"/>
  <c r="H10" i="2"/>
  <c r="C11" i="2"/>
  <c r="H11" i="2" s="1"/>
  <c r="C12" i="10" s="1"/>
  <c r="C19" i="10"/>
  <c r="C18" i="10"/>
  <c r="C12" i="2"/>
  <c r="H12" i="2" s="1"/>
  <c r="C12" i="9" s="1"/>
  <c r="C18" i="9" s="1"/>
  <c r="C19" i="9"/>
  <c r="D9" i="9"/>
  <c r="D6" i="9"/>
  <c r="D9" i="10"/>
  <c r="D6" i="10"/>
  <c r="D9" i="11"/>
  <c r="D6" i="11"/>
  <c r="F7" i="1"/>
  <c r="E8" i="11"/>
  <c r="E8" i="10"/>
  <c r="E8" i="9"/>
  <c r="I13" i="1"/>
  <c r="H13" i="8"/>
  <c r="H13" i="5"/>
  <c r="H12" i="8"/>
  <c r="I12" i="1"/>
  <c r="H14" i="8"/>
  <c r="I14" i="1"/>
  <c r="H18" i="1"/>
  <c r="H18" i="8"/>
  <c r="I8" i="8"/>
  <c r="J7" i="8"/>
  <c r="I5" i="8"/>
  <c r="C6" i="6"/>
  <c r="C5" i="6"/>
  <c r="D6" i="6"/>
  <c r="D5" i="6"/>
  <c r="E6" i="6"/>
  <c r="E5" i="6"/>
  <c r="F6" i="6"/>
  <c r="G6" i="6"/>
  <c r="H6" i="6"/>
  <c r="I6" i="6"/>
  <c r="J6" i="6"/>
  <c r="K6" i="6"/>
  <c r="L6" i="6"/>
  <c r="M6" i="6"/>
  <c r="C6" i="5"/>
  <c r="D6" i="5"/>
  <c r="D5" i="5"/>
  <c r="D17" i="5" s="1"/>
  <c r="E6" i="5"/>
  <c r="E5" i="5"/>
  <c r="E17" i="5" s="1"/>
  <c r="F6" i="5"/>
  <c r="F5" i="5"/>
  <c r="F17" i="5" s="1"/>
  <c r="G6" i="5"/>
  <c r="G5" i="5"/>
  <c r="G17" i="5" s="1"/>
  <c r="H6" i="5"/>
  <c r="H5" i="5"/>
  <c r="I6" i="5"/>
  <c r="I5" i="5"/>
  <c r="J6" i="5"/>
  <c r="J5" i="5"/>
  <c r="K6" i="5"/>
  <c r="K5" i="5"/>
  <c r="L6" i="5"/>
  <c r="L5" i="5"/>
  <c r="M6" i="5"/>
  <c r="M5" i="5"/>
  <c r="I11" i="12" l="1"/>
  <c r="I11" i="14"/>
  <c r="F8" i="12"/>
  <c r="F7" i="14"/>
  <c r="D2" i="2"/>
  <c r="I2" i="2" s="1"/>
  <c r="D12" i="14" s="1"/>
  <c r="D19" i="14" s="1"/>
  <c r="D18" i="14"/>
  <c r="E8" i="14"/>
  <c r="E9" i="14"/>
  <c r="E5" i="14"/>
  <c r="F9" i="12"/>
  <c r="F6" i="12"/>
  <c r="F13" i="2" s="1"/>
  <c r="K13" i="2" s="1"/>
  <c r="C12" i="11"/>
  <c r="J10" i="1"/>
  <c r="I11" i="11"/>
  <c r="I11" i="10"/>
  <c r="I11" i="9"/>
  <c r="I10" i="3"/>
  <c r="I10" i="6"/>
  <c r="E9" i="9"/>
  <c r="E6" i="9"/>
  <c r="E9" i="10"/>
  <c r="E6" i="10"/>
  <c r="E9" i="11"/>
  <c r="E6" i="11"/>
  <c r="G7" i="1"/>
  <c r="F8" i="11"/>
  <c r="F8" i="10"/>
  <c r="F8" i="9"/>
  <c r="F7" i="3"/>
  <c r="F7" i="6"/>
  <c r="D10" i="2"/>
  <c r="I10" i="2" s="1"/>
  <c r="D11" i="2"/>
  <c r="I11" i="2" s="1"/>
  <c r="D12" i="2"/>
  <c r="I12" i="2" s="1"/>
  <c r="I12" i="8"/>
  <c r="J12" i="1"/>
  <c r="I12" i="6"/>
  <c r="I12" i="5"/>
  <c r="J13" i="1"/>
  <c r="I13" i="8"/>
  <c r="I13" i="4"/>
  <c r="I13" i="5"/>
  <c r="I13" i="6"/>
  <c r="I14" i="8"/>
  <c r="J14" i="1"/>
  <c r="I18" i="1"/>
  <c r="I14" i="6"/>
  <c r="I14" i="5"/>
  <c r="I18" i="5"/>
  <c r="I17" i="5"/>
  <c r="H18" i="5"/>
  <c r="H17" i="5"/>
  <c r="E8" i="2"/>
  <c r="E18" i="6"/>
  <c r="D8" i="2"/>
  <c r="D18" i="6"/>
  <c r="C8" i="2"/>
  <c r="I18" i="8"/>
  <c r="J8" i="8"/>
  <c r="K7" i="8"/>
  <c r="J5" i="8"/>
  <c r="G7" i="2"/>
  <c r="G18" i="5"/>
  <c r="F7" i="2"/>
  <c r="F18" i="5"/>
  <c r="E7" i="2"/>
  <c r="E18" i="5"/>
  <c r="D7" i="2"/>
  <c r="L7" i="2"/>
  <c r="K7" i="2"/>
  <c r="J7" i="2"/>
  <c r="I7" i="2"/>
  <c r="D18" i="5" s="1"/>
  <c r="J8" i="2"/>
  <c r="I8" i="2"/>
  <c r="H8" i="2"/>
  <c r="C11" i="6" s="1"/>
  <c r="C18" i="6" s="1"/>
  <c r="J11" i="12" l="1"/>
  <c r="J11" i="14"/>
  <c r="G8" i="12"/>
  <c r="G7" i="14"/>
  <c r="E2" i="2"/>
  <c r="J2" i="2" s="1"/>
  <c r="E12" i="14" s="1"/>
  <c r="E19" i="14" s="1"/>
  <c r="E18" i="14"/>
  <c r="F8" i="14"/>
  <c r="F9" i="14"/>
  <c r="F5" i="14"/>
  <c r="D12" i="11"/>
  <c r="G9" i="12"/>
  <c r="G6" i="12"/>
  <c r="G13" i="2" s="1"/>
  <c r="L13" i="2" s="1"/>
  <c r="C19" i="12"/>
  <c r="C19" i="11"/>
  <c r="C18" i="11"/>
  <c r="K10" i="1"/>
  <c r="J11" i="11"/>
  <c r="J11" i="10"/>
  <c r="J11" i="9"/>
  <c r="J10" i="3"/>
  <c r="J10" i="6"/>
  <c r="D12" i="10"/>
  <c r="D12" i="9"/>
  <c r="F8" i="6"/>
  <c r="F5" i="6"/>
  <c r="F9" i="9"/>
  <c r="F6" i="9"/>
  <c r="F9" i="10"/>
  <c r="F6" i="10"/>
  <c r="F9" i="11"/>
  <c r="F6" i="11"/>
  <c r="H7" i="1"/>
  <c r="H7" i="4" s="1"/>
  <c r="H8" i="4" s="1"/>
  <c r="G8" i="11"/>
  <c r="G8" i="10"/>
  <c r="G8" i="9"/>
  <c r="G7" i="3"/>
  <c r="G7" i="6"/>
  <c r="E10" i="2"/>
  <c r="J10" i="2" s="1"/>
  <c r="E11" i="2"/>
  <c r="J11" i="2" s="1"/>
  <c r="E12" i="2"/>
  <c r="J12" i="2" s="1"/>
  <c r="K13" i="1"/>
  <c r="J13" i="8"/>
  <c r="J13" i="4"/>
  <c r="J13" i="5"/>
  <c r="J13" i="6"/>
  <c r="J12" i="8"/>
  <c r="K12" i="1"/>
  <c r="J12" i="6"/>
  <c r="J12" i="5"/>
  <c r="J14" i="8"/>
  <c r="K14" i="1"/>
  <c r="J18" i="1"/>
  <c r="J14" i="6"/>
  <c r="J14" i="5"/>
  <c r="J18" i="8"/>
  <c r="K8" i="8"/>
  <c r="L7" i="8"/>
  <c r="K5" i="8"/>
  <c r="E14" i="4"/>
  <c r="F14" i="4"/>
  <c r="G14" i="4"/>
  <c r="I14" i="4"/>
  <c r="J14" i="4"/>
  <c r="K14" i="4"/>
  <c r="E12" i="4"/>
  <c r="F12" i="4"/>
  <c r="G12" i="4"/>
  <c r="I12" i="4"/>
  <c r="J12" i="4"/>
  <c r="K12" i="4"/>
  <c r="G10" i="4"/>
  <c r="I10" i="4"/>
  <c r="J10" i="4"/>
  <c r="K10" i="4"/>
  <c r="F10" i="4"/>
  <c r="D9" i="4"/>
  <c r="E9" i="4"/>
  <c r="D7" i="4"/>
  <c r="E7" i="4"/>
  <c r="F7" i="4"/>
  <c r="G7" i="4"/>
  <c r="C4" i="4"/>
  <c r="C7" i="4"/>
  <c r="G8" i="4"/>
  <c r="F8" i="4"/>
  <c r="E8" i="4"/>
  <c r="D8" i="4"/>
  <c r="C8" i="4"/>
  <c r="M4" i="4"/>
  <c r="L4" i="4"/>
  <c r="K4" i="4"/>
  <c r="J4" i="4"/>
  <c r="I4" i="4"/>
  <c r="H4" i="4"/>
  <c r="G4" i="4"/>
  <c r="F4" i="4"/>
  <c r="E4" i="4"/>
  <c r="D4" i="4"/>
  <c r="G8" i="3"/>
  <c r="F8" i="3"/>
  <c r="E8" i="3"/>
  <c r="D8" i="3"/>
  <c r="C8" i="3"/>
  <c r="M4" i="3"/>
  <c r="L4" i="3"/>
  <c r="K4" i="3"/>
  <c r="J4" i="3"/>
  <c r="I4" i="3"/>
  <c r="H4" i="3"/>
  <c r="G4" i="3"/>
  <c r="F4" i="3"/>
  <c r="E4" i="3"/>
  <c r="D4" i="3"/>
  <c r="C4" i="3"/>
  <c r="K11" i="12" l="1"/>
  <c r="K11" i="14"/>
  <c r="H8" i="12"/>
  <c r="H7" i="14"/>
  <c r="F2" i="2"/>
  <c r="K2" i="2" s="1"/>
  <c r="F12" i="14" s="1"/>
  <c r="F19" i="14" s="1"/>
  <c r="F18" i="14"/>
  <c r="G8" i="14"/>
  <c r="G9" i="14"/>
  <c r="G5" i="14"/>
  <c r="E12" i="11"/>
  <c r="E12" i="12"/>
  <c r="H9" i="12"/>
  <c r="H6" i="12"/>
  <c r="D19" i="12"/>
  <c r="D18" i="12"/>
  <c r="D19" i="11"/>
  <c r="D18" i="11"/>
  <c r="L10" i="1"/>
  <c r="K11" i="11"/>
  <c r="K11" i="10"/>
  <c r="K11" i="9"/>
  <c r="K10" i="3"/>
  <c r="K10" i="6"/>
  <c r="E12" i="10"/>
  <c r="E12" i="9"/>
  <c r="G8" i="6"/>
  <c r="G5" i="6"/>
  <c r="G9" i="9"/>
  <c r="G6" i="9"/>
  <c r="G9" i="10"/>
  <c r="G6" i="10"/>
  <c r="G9" i="11"/>
  <c r="G6" i="11"/>
  <c r="I7" i="1"/>
  <c r="H8" i="11"/>
  <c r="H8" i="10"/>
  <c r="H8" i="9"/>
  <c r="H7" i="3"/>
  <c r="H8" i="3" s="1"/>
  <c r="H7" i="6"/>
  <c r="F10" i="2"/>
  <c r="K10" i="2" s="1"/>
  <c r="F11" i="2"/>
  <c r="K11" i="2" s="1"/>
  <c r="F19" i="10"/>
  <c r="F18" i="10"/>
  <c r="F18" i="9"/>
  <c r="F19" i="9"/>
  <c r="F12" i="2"/>
  <c r="K12" i="2" s="1"/>
  <c r="F8" i="2"/>
  <c r="K8" i="2" s="1"/>
  <c r="F18" i="6"/>
  <c r="D18" i="9"/>
  <c r="D19" i="9"/>
  <c r="D19" i="10"/>
  <c r="D18" i="10"/>
  <c r="K12" i="8"/>
  <c r="L12" i="1"/>
  <c r="K12" i="6"/>
  <c r="K12" i="5"/>
  <c r="L13" i="1"/>
  <c r="K13" i="8"/>
  <c r="K13" i="4"/>
  <c r="K13" i="5"/>
  <c r="K13" i="6"/>
  <c r="J18" i="5"/>
  <c r="J17" i="5"/>
  <c r="K14" i="8"/>
  <c r="L14" i="1"/>
  <c r="K18" i="1"/>
  <c r="K14" i="6"/>
  <c r="K14" i="5"/>
  <c r="K18" i="8"/>
  <c r="L8" i="8"/>
  <c r="M7" i="8"/>
  <c r="L5" i="8"/>
  <c r="D5" i="4"/>
  <c r="E5" i="4"/>
  <c r="F5" i="4"/>
  <c r="G5" i="4"/>
  <c r="H5" i="4"/>
  <c r="C6" i="4"/>
  <c r="C5" i="4"/>
  <c r="D6" i="4"/>
  <c r="E6" i="4"/>
  <c r="F6" i="4"/>
  <c r="G6" i="4"/>
  <c r="H6" i="4"/>
  <c r="I6" i="4"/>
  <c r="J6" i="4"/>
  <c r="K6" i="4"/>
  <c r="L6" i="4"/>
  <c r="M6" i="4"/>
  <c r="C6" i="3"/>
  <c r="C5" i="3"/>
  <c r="D6" i="3"/>
  <c r="D5" i="3"/>
  <c r="E6" i="3"/>
  <c r="E5" i="3"/>
  <c r="F6" i="3"/>
  <c r="F5" i="3"/>
  <c r="G6" i="3"/>
  <c r="G5" i="3"/>
  <c r="G17" i="3" s="1"/>
  <c r="H6" i="3"/>
  <c r="H5" i="3"/>
  <c r="I6" i="3"/>
  <c r="J6" i="3"/>
  <c r="K6" i="3"/>
  <c r="L6" i="3"/>
  <c r="M6" i="3"/>
  <c r="L11" i="12" l="1"/>
  <c r="L11" i="14"/>
  <c r="I8" i="12"/>
  <c r="I7" i="14"/>
  <c r="G2" i="2"/>
  <c r="L2" i="2" s="1"/>
  <c r="G12" i="14" s="1"/>
  <c r="H8" i="14"/>
  <c r="H9" i="14"/>
  <c r="H5" i="14"/>
  <c r="H19" i="14" s="1"/>
  <c r="F12" i="11"/>
  <c r="F12" i="12"/>
  <c r="I9" i="12"/>
  <c r="I6" i="12"/>
  <c r="H19" i="12"/>
  <c r="H18" i="12"/>
  <c r="E19" i="12"/>
  <c r="E18" i="12"/>
  <c r="E19" i="11"/>
  <c r="E18" i="11"/>
  <c r="M10" i="1"/>
  <c r="L11" i="11"/>
  <c r="L11" i="10"/>
  <c r="L11" i="9"/>
  <c r="L10" i="3"/>
  <c r="L10" i="6"/>
  <c r="L10" i="4"/>
  <c r="H8" i="6"/>
  <c r="H5" i="6"/>
  <c r="H9" i="9"/>
  <c r="H6" i="9"/>
  <c r="H9" i="10"/>
  <c r="H6" i="10"/>
  <c r="H9" i="11"/>
  <c r="H6" i="11"/>
  <c r="J7" i="1"/>
  <c r="I8" i="11"/>
  <c r="I8" i="10"/>
  <c r="I8" i="9"/>
  <c r="I7" i="3"/>
  <c r="I7" i="6"/>
  <c r="I7" i="4"/>
  <c r="G10" i="2"/>
  <c r="L10" i="2" s="1"/>
  <c r="G11" i="2"/>
  <c r="L11" i="2" s="1"/>
  <c r="G19" i="10"/>
  <c r="G18" i="10"/>
  <c r="G18" i="9"/>
  <c r="G19" i="9"/>
  <c r="G12" i="2"/>
  <c r="L12" i="2" s="1"/>
  <c r="G8" i="2"/>
  <c r="L8" i="2" s="1"/>
  <c r="G18" i="6"/>
  <c r="E18" i="9"/>
  <c r="E19" i="9"/>
  <c r="E19" i="10"/>
  <c r="E18" i="10"/>
  <c r="M13" i="1"/>
  <c r="L13" i="8"/>
  <c r="L13" i="4"/>
  <c r="L13" i="5"/>
  <c r="L13" i="6"/>
  <c r="L12" i="8"/>
  <c r="M12" i="1"/>
  <c r="L12" i="6"/>
  <c r="L12" i="5"/>
  <c r="L12" i="4"/>
  <c r="K18" i="5"/>
  <c r="K17" i="5"/>
  <c r="L14" i="8"/>
  <c r="M14" i="1"/>
  <c r="L18" i="1"/>
  <c r="L14" i="6"/>
  <c r="L14" i="5"/>
  <c r="L14" i="4"/>
  <c r="H18" i="3"/>
  <c r="H17" i="3"/>
  <c r="F5" i="2"/>
  <c r="F17" i="3"/>
  <c r="E5" i="2"/>
  <c r="D5" i="2"/>
  <c r="C5" i="2"/>
  <c r="L18" i="8"/>
  <c r="M8" i="8"/>
  <c r="M5" i="8"/>
  <c r="C6" i="2"/>
  <c r="G5" i="2"/>
  <c r="G18" i="3"/>
  <c r="H17" i="4"/>
  <c r="H18" i="4"/>
  <c r="G17" i="4"/>
  <c r="G18" i="4"/>
  <c r="G6" i="2"/>
  <c r="F17" i="4"/>
  <c r="F18" i="4"/>
  <c r="F6" i="2"/>
  <c r="E17" i="4"/>
  <c r="E18" i="4"/>
  <c r="E6" i="2"/>
  <c r="D6" i="2"/>
  <c r="L6" i="2"/>
  <c r="K6" i="2"/>
  <c r="J6" i="2"/>
  <c r="I6" i="2"/>
  <c r="L5" i="2"/>
  <c r="K5" i="2"/>
  <c r="J5" i="2"/>
  <c r="I5" i="2"/>
  <c r="H5" i="2"/>
  <c r="H6" i="2"/>
  <c r="C18" i="4"/>
  <c r="G18" i="14" l="1"/>
  <c r="G19" i="14"/>
  <c r="M11" i="12"/>
  <c r="M11" i="14"/>
  <c r="J8" i="12"/>
  <c r="J7" i="14"/>
  <c r="H18" i="14"/>
  <c r="I8" i="14"/>
  <c r="I9" i="14"/>
  <c r="I5" i="14"/>
  <c r="I19" i="14" s="1"/>
  <c r="G12" i="11"/>
  <c r="G12" i="12"/>
  <c r="J9" i="12"/>
  <c r="J6" i="12"/>
  <c r="I19" i="12"/>
  <c r="I18" i="12"/>
  <c r="F19" i="12"/>
  <c r="F18" i="12"/>
  <c r="F19" i="11"/>
  <c r="F18" i="11"/>
  <c r="M11" i="11"/>
  <c r="M11" i="10"/>
  <c r="M11" i="9"/>
  <c r="M10" i="3"/>
  <c r="M10" i="6"/>
  <c r="M10" i="4"/>
  <c r="I8" i="4"/>
  <c r="I5" i="4"/>
  <c r="I8" i="6"/>
  <c r="I5" i="6"/>
  <c r="I8" i="3"/>
  <c r="I5" i="3"/>
  <c r="I9" i="9"/>
  <c r="I6" i="9"/>
  <c r="I9" i="10"/>
  <c r="I6" i="10"/>
  <c r="I9" i="11"/>
  <c r="I6" i="11"/>
  <c r="K7" i="1"/>
  <c r="J8" i="11"/>
  <c r="J8" i="10"/>
  <c r="J8" i="9"/>
  <c r="J7" i="3"/>
  <c r="J7" i="6"/>
  <c r="J7" i="4"/>
  <c r="H19" i="11"/>
  <c r="H18" i="11"/>
  <c r="H19" i="10"/>
  <c r="H18" i="10"/>
  <c r="H18" i="9"/>
  <c r="H19" i="9"/>
  <c r="H18" i="6"/>
  <c r="M12" i="8"/>
  <c r="M12" i="5"/>
  <c r="M12" i="4"/>
  <c r="M13" i="8"/>
  <c r="M13" i="4"/>
  <c r="M13" i="5"/>
  <c r="M13" i="6"/>
  <c r="L18" i="5"/>
  <c r="L17" i="5"/>
  <c r="M14" i="8"/>
  <c r="M18" i="1"/>
  <c r="M14" i="6"/>
  <c r="M14" i="5"/>
  <c r="M14" i="4"/>
  <c r="D18" i="3"/>
  <c r="D17" i="3"/>
  <c r="E18" i="3"/>
  <c r="E17" i="3"/>
  <c r="M18" i="8"/>
  <c r="C17" i="3"/>
  <c r="F18" i="3"/>
  <c r="D17" i="4"/>
  <c r="D18" i="4"/>
  <c r="C17" i="4"/>
  <c r="D8" i="1"/>
  <c r="E8" i="1"/>
  <c r="F8" i="1"/>
  <c r="G8" i="1"/>
  <c r="H8" i="1"/>
  <c r="I8" i="1"/>
  <c r="J8" i="1"/>
  <c r="K8" i="1"/>
  <c r="D4" i="1"/>
  <c r="E4" i="1"/>
  <c r="F4" i="1"/>
  <c r="G4" i="1"/>
  <c r="H4" i="1"/>
  <c r="I4" i="1"/>
  <c r="J4" i="1"/>
  <c r="K4" i="1"/>
  <c r="L4" i="1"/>
  <c r="M4" i="1"/>
  <c r="C4" i="1"/>
  <c r="K8" i="12" l="1"/>
  <c r="K7" i="14"/>
  <c r="I18" i="14"/>
  <c r="J8" i="14"/>
  <c r="J9" i="14"/>
  <c r="J5" i="14"/>
  <c r="J19" i="14" s="1"/>
  <c r="K9" i="12"/>
  <c r="K6" i="12"/>
  <c r="J19" i="12"/>
  <c r="J18" i="12"/>
  <c r="G19" i="12"/>
  <c r="G18" i="12"/>
  <c r="G19" i="11"/>
  <c r="G18" i="11"/>
  <c r="J8" i="4"/>
  <c r="J5" i="4"/>
  <c r="J8" i="6"/>
  <c r="J5" i="6"/>
  <c r="J8" i="3"/>
  <c r="J5" i="3"/>
  <c r="J9" i="9"/>
  <c r="J6" i="9"/>
  <c r="J9" i="10"/>
  <c r="J6" i="10"/>
  <c r="J9" i="11"/>
  <c r="J6" i="11"/>
  <c r="L7" i="1"/>
  <c r="K8" i="11"/>
  <c r="K8" i="10"/>
  <c r="K8" i="9"/>
  <c r="K7" i="3"/>
  <c r="K7" i="6"/>
  <c r="K7" i="4"/>
  <c r="I19" i="11"/>
  <c r="I18" i="11"/>
  <c r="I19" i="10"/>
  <c r="I18" i="10"/>
  <c r="I18" i="9"/>
  <c r="I19" i="9"/>
  <c r="I18" i="3"/>
  <c r="I17" i="3"/>
  <c r="I18" i="6"/>
  <c r="I17" i="4"/>
  <c r="I18" i="4"/>
  <c r="M18" i="5"/>
  <c r="M17" i="5"/>
  <c r="C18" i="3"/>
  <c r="C6" i="1"/>
  <c r="C5" i="1"/>
  <c r="M6" i="1"/>
  <c r="L6" i="1"/>
  <c r="L5" i="1"/>
  <c r="K6" i="1"/>
  <c r="K5" i="1"/>
  <c r="K20" i="1" s="1"/>
  <c r="J6" i="1"/>
  <c r="J5" i="1"/>
  <c r="J20" i="1" s="1"/>
  <c r="I6" i="1"/>
  <c r="I5" i="1"/>
  <c r="I20" i="1" s="1"/>
  <c r="H6" i="1"/>
  <c r="H5" i="1"/>
  <c r="H20" i="1" s="1"/>
  <c r="G6" i="1"/>
  <c r="G5" i="1"/>
  <c r="F6" i="1"/>
  <c r="F5" i="1"/>
  <c r="E6" i="1"/>
  <c r="E5" i="1"/>
  <c r="D6" i="1"/>
  <c r="D5" i="1"/>
  <c r="L8" i="12" l="1"/>
  <c r="L7" i="14"/>
  <c r="J18" i="14"/>
  <c r="K8" i="14"/>
  <c r="K9" i="14"/>
  <c r="K5" i="14"/>
  <c r="K19" i="14" s="1"/>
  <c r="L9" i="12"/>
  <c r="L6" i="12"/>
  <c r="K19" i="12"/>
  <c r="K18" i="12"/>
  <c r="K8" i="4"/>
  <c r="K5" i="4"/>
  <c r="K8" i="6"/>
  <c r="K5" i="6"/>
  <c r="K8" i="3"/>
  <c r="K5" i="3"/>
  <c r="K9" i="9"/>
  <c r="K6" i="9"/>
  <c r="K9" i="10"/>
  <c r="K6" i="10"/>
  <c r="K9" i="11"/>
  <c r="K6" i="11"/>
  <c r="M7" i="1"/>
  <c r="L8" i="11"/>
  <c r="L8" i="10"/>
  <c r="L8" i="9"/>
  <c r="L7" i="3"/>
  <c r="L7" i="6"/>
  <c r="L7" i="4"/>
  <c r="L8" i="1"/>
  <c r="L20" i="1" s="1"/>
  <c r="J19" i="11"/>
  <c r="J18" i="11"/>
  <c r="J19" i="10"/>
  <c r="J18" i="10"/>
  <c r="J18" i="9"/>
  <c r="J19" i="9"/>
  <c r="J18" i="3"/>
  <c r="J17" i="3"/>
  <c r="J18" i="6"/>
  <c r="J17" i="4"/>
  <c r="J18" i="4"/>
  <c r="D4" i="2"/>
  <c r="E4" i="2"/>
  <c r="F4" i="2"/>
  <c r="G4" i="2"/>
  <c r="H19" i="1"/>
  <c r="I19" i="1"/>
  <c r="J19" i="1"/>
  <c r="K19" i="1"/>
  <c r="L19" i="1"/>
  <c r="C4" i="2"/>
  <c r="F17" i="1"/>
  <c r="G17" i="1"/>
  <c r="I4" i="2"/>
  <c r="D17" i="1"/>
  <c r="J4" i="2"/>
  <c r="E17" i="1"/>
  <c r="H17" i="1"/>
  <c r="I17" i="1"/>
  <c r="J17" i="1"/>
  <c r="K17" i="1"/>
  <c r="L17" i="1"/>
  <c r="H4" i="2"/>
  <c r="C11" i="1" s="1"/>
  <c r="C17" i="1"/>
  <c r="K4" i="2"/>
  <c r="L4" i="2"/>
  <c r="M8" i="12" l="1"/>
  <c r="M7" i="14"/>
  <c r="K18" i="14"/>
  <c r="L8" i="14"/>
  <c r="L9" i="14"/>
  <c r="L5" i="14"/>
  <c r="L19" i="14" s="1"/>
  <c r="G11" i="1"/>
  <c r="G20" i="1" s="1"/>
  <c r="G21" i="13"/>
  <c r="F11" i="1"/>
  <c r="F20" i="1" s="1"/>
  <c r="F21" i="13"/>
  <c r="C20" i="1"/>
  <c r="C21" i="13"/>
  <c r="E20" i="1"/>
  <c r="E21" i="13"/>
  <c r="D11" i="1"/>
  <c r="D20" i="1" s="1"/>
  <c r="D21" i="13"/>
  <c r="M9" i="12"/>
  <c r="M6" i="12"/>
  <c r="L19" i="12"/>
  <c r="L18" i="12"/>
  <c r="L8" i="4"/>
  <c r="L5" i="4"/>
  <c r="L8" i="6"/>
  <c r="L5" i="6"/>
  <c r="L8" i="3"/>
  <c r="L5" i="3"/>
  <c r="L9" i="9"/>
  <c r="L6" i="9"/>
  <c r="L9" i="10"/>
  <c r="L6" i="10"/>
  <c r="L9" i="11"/>
  <c r="L6" i="11"/>
  <c r="M8" i="11"/>
  <c r="M8" i="10"/>
  <c r="M8" i="9"/>
  <c r="M7" i="3"/>
  <c r="M7" i="6"/>
  <c r="M7" i="4"/>
  <c r="M8" i="1"/>
  <c r="M5" i="1"/>
  <c r="M20" i="1" s="1"/>
  <c r="K19" i="11"/>
  <c r="K18" i="11"/>
  <c r="K19" i="10"/>
  <c r="K18" i="10"/>
  <c r="K18" i="9"/>
  <c r="K19" i="9"/>
  <c r="K18" i="3"/>
  <c r="K17" i="3"/>
  <c r="K18" i="6"/>
  <c r="K17" i="4"/>
  <c r="K18" i="4"/>
  <c r="G18" i="1"/>
  <c r="G19" i="1"/>
  <c r="F18" i="1"/>
  <c r="F19" i="1"/>
  <c r="C18" i="1"/>
  <c r="C19" i="1"/>
  <c r="E18" i="1"/>
  <c r="E19" i="1"/>
  <c r="D18" i="1"/>
  <c r="D19" i="1"/>
  <c r="C5" i="5"/>
  <c r="C18" i="8"/>
  <c r="L18" i="14" l="1"/>
  <c r="M8" i="14"/>
  <c r="M9" i="14"/>
  <c r="M5" i="14"/>
  <c r="M19" i="14" s="1"/>
  <c r="D19" i="13"/>
  <c r="D20" i="13"/>
  <c r="E19" i="13"/>
  <c r="E20" i="13"/>
  <c r="C19" i="13"/>
  <c r="C20" i="13"/>
  <c r="F19" i="13"/>
  <c r="F20" i="13"/>
  <c r="G19" i="13"/>
  <c r="G20" i="13"/>
  <c r="M19" i="12"/>
  <c r="M19" i="1"/>
  <c r="M17" i="1"/>
  <c r="M8" i="4"/>
  <c r="M5" i="4"/>
  <c r="M8" i="6"/>
  <c r="M5" i="6"/>
  <c r="M8" i="3"/>
  <c r="M5" i="3"/>
  <c r="M9" i="9"/>
  <c r="M6" i="9"/>
  <c r="M9" i="10"/>
  <c r="M6" i="10"/>
  <c r="M9" i="11"/>
  <c r="M6" i="11"/>
  <c r="L19" i="11"/>
  <c r="L18" i="11"/>
  <c r="L19" i="10"/>
  <c r="L18" i="10"/>
  <c r="L18" i="9"/>
  <c r="L19" i="9"/>
  <c r="L18" i="3"/>
  <c r="L17" i="3"/>
  <c r="L18" i="6"/>
  <c r="L17" i="4"/>
  <c r="L18" i="4"/>
  <c r="C7" i="2"/>
  <c r="H7" i="2" s="1"/>
  <c r="C11" i="5" s="1"/>
  <c r="C18" i="5" s="1"/>
  <c r="C17" i="5"/>
  <c r="M18" i="14" l="1"/>
  <c r="M19" i="11"/>
  <c r="M18" i="11"/>
  <c r="M19" i="10"/>
  <c r="M18" i="10"/>
  <c r="M18" i="9"/>
  <c r="M19" i="9"/>
  <c r="M18" i="3"/>
  <c r="M17" i="3"/>
  <c r="M18" i="6"/>
  <c r="M17" i="4"/>
  <c r="M18" i="4"/>
  <c r="H14" i="2"/>
  <c r="C11" i="16"/>
  <c r="C17" i="16" s="1"/>
  <c r="C18" i="16"/>
  <c r="L14" i="2"/>
  <c r="G11" i="16"/>
  <c r="G17" i="16" s="1"/>
  <c r="G18" i="16"/>
  <c r="K14" i="2"/>
  <c r="F11" i="16"/>
  <c r="F17" i="16" s="1"/>
  <c r="F18" i="16"/>
  <c r="J14" i="2"/>
  <c r="E11" i="16"/>
  <c r="E17" i="16" s="1"/>
  <c r="E18" i="16"/>
  <c r="I14" i="2"/>
  <c r="D11" i="16"/>
  <c r="D17" i="16" s="1"/>
  <c r="D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B19" authorId="0" shapeId="0" xr:uid="{FFD3E8EF-7847-4352-8DEC-18CFA08CE9B0}">
      <text>
        <r>
          <rPr>
            <b/>
            <sz val="12"/>
            <color indexed="81"/>
            <rFont val="Helvetica"/>
          </rPr>
          <t>para los 1135 o más puntos y proprcional para puntaje menor</t>
        </r>
      </text>
    </comment>
    <comment ref="C19" authorId="0" shapeId="0" xr:uid="{E72766FD-EE22-49E0-8698-A5D413F65390}">
      <text>
        <r>
          <rPr>
            <b/>
            <sz val="12"/>
            <color indexed="81"/>
            <rFont val="Helvetica"/>
          </rPr>
          <t>para los 2070 o más puntos y proprcional para puntaje menor</t>
        </r>
      </text>
    </comment>
  </commentList>
</comments>
</file>

<file path=xl/sharedStrings.xml><?xml version="1.0" encoding="utf-8"?>
<sst xmlns="http://schemas.openxmlformats.org/spreadsheetml/2006/main" count="462" uniqueCount="87">
  <si>
    <t>Maestrx de Grado / Sección Turno Simple</t>
  </si>
  <si>
    <t>Puntos Indice</t>
  </si>
  <si>
    <t>Conceptos</t>
  </si>
  <si>
    <t>Carácter</t>
  </si>
  <si>
    <t>Sueldo Básico Unificado</t>
  </si>
  <si>
    <t>R B</t>
  </si>
  <si>
    <t>Adicional Salarial</t>
  </si>
  <si>
    <t>R NB</t>
  </si>
  <si>
    <t>Antigüedad</t>
  </si>
  <si>
    <t>Suma Fija Decreto Nº 483/05</t>
  </si>
  <si>
    <t>Antigüedad Decreto Nº 483/05</t>
  </si>
  <si>
    <t>Material Didáctico Mensual</t>
  </si>
  <si>
    <t>NR NB</t>
  </si>
  <si>
    <t>Material Didáctico R</t>
  </si>
  <si>
    <t>Complemento Mínimo</t>
  </si>
  <si>
    <t>Compensación Fija Proporcional</t>
  </si>
  <si>
    <t>FONID</t>
  </si>
  <si>
    <t>Compensación Transitoria</t>
  </si>
  <si>
    <t>Suma Fija</t>
  </si>
  <si>
    <t>Sueldo Remunerativo</t>
  </si>
  <si>
    <t>Sueldo No Remunerativo</t>
  </si>
  <si>
    <t>Sueldo Bruto</t>
  </si>
  <si>
    <t>Sueldo Neto</t>
  </si>
  <si>
    <t>Maestrx de Grado / Sección Turno Completo</t>
  </si>
  <si>
    <t>Hora Cátedra (Media-Técnica-Artística-CENS-Secundarias de Normales) - HASTA 30 HORAS</t>
  </si>
  <si>
    <t>Preceptoría</t>
  </si>
  <si>
    <t>Maestrx Celadorx JS</t>
  </si>
  <si>
    <t>Valor Índice</t>
  </si>
  <si>
    <t>Garantia Salarial JS</t>
  </si>
  <si>
    <t>Garantia Salarial JC</t>
  </si>
  <si>
    <t>Garantía HC</t>
  </si>
  <si>
    <t>Garantía Precep</t>
  </si>
  <si>
    <t>Garantia HC S</t>
  </si>
  <si>
    <t>Garantia celadorx</t>
  </si>
  <si>
    <t>JS</t>
  </si>
  <si>
    <t>JC</t>
  </si>
  <si>
    <t>HC</t>
  </si>
  <si>
    <t>H. CATEDRA NIVEL SUP.</t>
  </si>
  <si>
    <t>DECRETO Nº 483/05 Y SUS MODIF.</t>
  </si>
  <si>
    <t xml:space="preserve">SALARIO MINIMO DOCENTE </t>
  </si>
  <si>
    <t>Compensación Fija Proporc                  NO REM NO BONIF</t>
  </si>
  <si>
    <t xml:space="preserve">FONID / RESOL. 02/04 NETO </t>
  </si>
  <si>
    <t>ADICIONAL ESPECIAL REM Y NO BONIF.</t>
  </si>
  <si>
    <t>SUMA FIJA NO REM NO BONIF</t>
  </si>
  <si>
    <t>COMPENSACIÓN TRANSITORIA</t>
  </si>
  <si>
    <t>MATERIAL DIDACTICO NO REM  (1135/2070 o mayor- sino proporc)h/40%</t>
  </si>
  <si>
    <t>MATERIAL DIDACTICO REM  (1135/2070 o mayor - sino proporc) desde 50%</t>
  </si>
  <si>
    <t>Inicial</t>
  </si>
  <si>
    <t>Primaria</t>
  </si>
  <si>
    <t>Especial</t>
  </si>
  <si>
    <t>Media</t>
  </si>
  <si>
    <t>Superior</t>
  </si>
  <si>
    <t>Directorx de Jardín de Infantes Independeniente</t>
  </si>
  <si>
    <t>Directorx</t>
  </si>
  <si>
    <t>Vicedirectorx</t>
  </si>
  <si>
    <t>Maestrx Secretarix</t>
  </si>
  <si>
    <t xml:space="preserve">Maestrx Especialista </t>
  </si>
  <si>
    <t xml:space="preserve">Maestro /a Especialista </t>
  </si>
  <si>
    <t>Maestrx de Sección</t>
  </si>
  <si>
    <t>Maestrx Coordinadorx de Trayectorias Escolares</t>
  </si>
  <si>
    <t>Maestrx de Apoyo</t>
  </si>
  <si>
    <t>Maestrx de Apoyo para la integración</t>
  </si>
  <si>
    <t xml:space="preserve">Maestrx Celadorx </t>
  </si>
  <si>
    <t>Maestrx Bibliotecarix</t>
  </si>
  <si>
    <t xml:space="preserve">Hora cátedra Maestrx Especial </t>
  </si>
  <si>
    <t>Maestrx de Grado</t>
  </si>
  <si>
    <t>Área:</t>
  </si>
  <si>
    <t xml:space="preserve">Cargo: </t>
  </si>
  <si>
    <t>Hora Cátedra Nivel Superior - HASTA 24 HORAS</t>
  </si>
  <si>
    <t>Garantia secre</t>
  </si>
  <si>
    <t>Garantia vice</t>
  </si>
  <si>
    <t>Garantia dire</t>
  </si>
  <si>
    <t>Plus de Jerarquización</t>
  </si>
  <si>
    <t>Directorx Primaria e Inicial Turno Completo</t>
  </si>
  <si>
    <t>Plus de Jerarquización + Establ.</t>
  </si>
  <si>
    <t>Vicedirectorx Primaria e Inicial Turno Completo</t>
  </si>
  <si>
    <t>Supervisorx</t>
  </si>
  <si>
    <t>Garantia super</t>
  </si>
  <si>
    <t>Art. 128</t>
  </si>
  <si>
    <t>Garantía Especial JS</t>
  </si>
  <si>
    <t>Garantía Especial JC</t>
  </si>
  <si>
    <t>Maestrx de Especial Jornada Simple</t>
  </si>
  <si>
    <t>Maestrx de Especial Jornada Completa</t>
  </si>
  <si>
    <t>Secretarix y Maestrx Especialista Primaria e Inicial Turno Completo</t>
  </si>
  <si>
    <t>Garantia ciclo</t>
  </si>
  <si>
    <t>Maestrx de ciclo (Adultxs)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</si>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</sst>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_ &quot;$&quot;\ * #,##0.000000_ ;_ &quot;$&quot;\ * \-#,##0.000000_ ;_ &quot;$&quot;\ * &quot;-&quot;??_ ;_ @_ "/>
    <numFmt numFmtId="165" formatCode="0.0000"/>
    <numFmt numFmtId="166" formatCode="0.000"/>
    <numFmt numFmtId="167" formatCode="_-&quot;$&quot;\ * #,##0.0000_-;\-&quot;$&quot;\ * #,##0.0000_-;_-&quot;$&quot;\ * &quot;-&quot;??_-;_-@_-"/>
    <numFmt numFmtId="168" formatCode="_-&quot;$&quot;\ * #,##0.000000_-;\-&quot;$&quot;\ * #,##0.000000_-;_-&quot;$&quot;\ * &quot;-&quot;??????_-;_-@_-"/>
    <numFmt numFmtId="169" formatCode="_ &quot;$&quot;\ * #,##0_ ;_ &quot;$&quot;\ * \-#,##0_ ;_ &quot;$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1"/>
      <name val="Helvetica"/>
    </font>
    <font>
      <sz val="16"/>
      <name val="Helvetica"/>
      <family val="2"/>
    </font>
    <font>
      <sz val="11"/>
      <name val="Helvetica"/>
      <family val="2"/>
    </font>
    <font>
      <sz val="12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quotePrefix="1" applyFont="1"/>
    <xf numFmtId="44" fontId="0" fillId="0" borderId="0" xfId="0" applyNumberFormat="1"/>
    <xf numFmtId="0" fontId="0" fillId="0" borderId="2" xfId="0" applyBorder="1"/>
    <xf numFmtId="0" fontId="2" fillId="0" borderId="0" xfId="0" applyFont="1"/>
    <xf numFmtId="9" fontId="2" fillId="0" borderId="0" xfId="0" applyNumberFormat="1" applyFont="1"/>
    <xf numFmtId="0" fontId="2" fillId="0" borderId="1" xfId="0" applyFont="1" applyBorder="1"/>
    <xf numFmtId="44" fontId="2" fillId="0" borderId="2" xfId="0" applyNumberFormat="1" applyFont="1" applyBorder="1"/>
    <xf numFmtId="44" fontId="2" fillId="0" borderId="3" xfId="0" applyNumberFormat="1" applyFont="1" applyBorder="1"/>
    <xf numFmtId="0" fontId="2" fillId="2" borderId="4" xfId="0" applyFont="1" applyFill="1" applyBorder="1"/>
    <xf numFmtId="0" fontId="0" fillId="2" borderId="5" xfId="0" applyFill="1" applyBorder="1"/>
    <xf numFmtId="44" fontId="2" fillId="2" borderId="5" xfId="0" applyNumberFormat="1" applyFont="1" applyFill="1" applyBorder="1"/>
    <xf numFmtId="0" fontId="2" fillId="2" borderId="5" xfId="0" applyFont="1" applyFill="1" applyBorder="1"/>
    <xf numFmtId="164" fontId="4" fillId="3" borderId="6" xfId="1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 wrapText="1"/>
    </xf>
    <xf numFmtId="166" fontId="4" fillId="4" borderId="7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165" fontId="6" fillId="4" borderId="7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7" fillId="7" borderId="9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10" borderId="10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 wrapText="1"/>
    </xf>
    <xf numFmtId="0" fontId="8" fillId="10" borderId="9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168" fontId="0" fillId="0" borderId="0" xfId="0" applyNumberFormat="1"/>
    <xf numFmtId="169" fontId="4" fillId="0" borderId="0" xfId="1" applyNumberFormat="1" applyFont="1" applyFill="1" applyBorder="1" applyAlignment="1">
      <alignment horizontal="center" vertical="center" wrapText="1"/>
    </xf>
    <xf numFmtId="9" fontId="0" fillId="0" borderId="0" xfId="2" applyFont="1"/>
    <xf numFmtId="17" fontId="2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FBF-0B09-4BA6-8E34-32F5BCBF7186}">
  <dimension ref="A1:O23"/>
  <sheetViews>
    <sheetView workbookViewId="0">
      <selection activeCell="M8" sqref="M8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6" width="13" bestFit="1" customWidth="1"/>
    <col min="7" max="13" width="14.5703125" bestFit="1" customWidth="1"/>
    <col min="14" max="14" width="13" bestFit="1" customWidth="1"/>
  </cols>
  <sheetData>
    <row r="1" spans="1:13" ht="18.7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1135</v>
      </c>
    </row>
    <row r="2" spans="1:13" x14ac:dyDescent="0.25">
      <c r="A2" s="46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195254.05</v>
      </c>
      <c r="D4" s="2">
        <f>$M$1*Referencias!$B$1</f>
        <v>195254.05</v>
      </c>
      <c r="E4" s="2">
        <f>$M$1*Referencias!$B$1</f>
        <v>195254.05</v>
      </c>
      <c r="F4" s="2">
        <f>$M$1*Referencias!$B$1</f>
        <v>195254.05</v>
      </c>
      <c r="G4" s="2">
        <f>$M$1*Referencias!$B$1</f>
        <v>195254.05</v>
      </c>
      <c r="H4" s="2">
        <f>$M$1*Referencias!$B$1</f>
        <v>195254.05</v>
      </c>
      <c r="I4" s="2">
        <f>$M$1*Referencias!$B$1</f>
        <v>195254.05</v>
      </c>
      <c r="J4" s="2">
        <f>$M$1*Referencias!$B$1</f>
        <v>195254.05</v>
      </c>
      <c r="K4" s="2">
        <f>$M$1*Referencias!$B$1</f>
        <v>195254.05</v>
      </c>
      <c r="L4" s="2">
        <f>$M$1*Referencias!$B$1</f>
        <v>195254.05</v>
      </c>
      <c r="M4" s="2">
        <f>$M$1*Referencias!$B$1</f>
        <v>195254.05</v>
      </c>
    </row>
    <row r="5" spans="1:13" x14ac:dyDescent="0.25">
      <c r="A5" t="s">
        <v>6</v>
      </c>
      <c r="B5" t="s">
        <v>7</v>
      </c>
      <c r="C5" s="2">
        <f>C4*0.1+C7*0.1</f>
        <v>44422.425999999999</v>
      </c>
      <c r="D5" s="2">
        <f t="shared" ref="D5:M5" si="0">D4*0.1+D7*0.1</f>
        <v>44422.425999999999</v>
      </c>
      <c r="E5" s="2">
        <f t="shared" si="0"/>
        <v>44422.425999999999</v>
      </c>
      <c r="F5" s="2">
        <f t="shared" si="0"/>
        <v>44422.425999999999</v>
      </c>
      <c r="G5" s="2">
        <f t="shared" si="0"/>
        <v>44422.425999999999</v>
      </c>
      <c r="H5" s="2">
        <f t="shared" si="0"/>
        <v>44422.425999999999</v>
      </c>
      <c r="I5" s="2">
        <f t="shared" si="0"/>
        <v>44422.425999999999</v>
      </c>
      <c r="J5" s="2">
        <f t="shared" si="0"/>
        <v>44422.425999999999</v>
      </c>
      <c r="K5" s="2">
        <f t="shared" si="0"/>
        <v>44422.425999999999</v>
      </c>
      <c r="L5" s="2">
        <f t="shared" si="0"/>
        <v>44422.425999999999</v>
      </c>
      <c r="M5" s="2">
        <f t="shared" si="0"/>
        <v>44422.425999999999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58576.214999999997</v>
      </c>
      <c r="E6" s="2">
        <f t="shared" si="1"/>
        <v>78101.62</v>
      </c>
      <c r="F6" s="2">
        <f t="shared" si="1"/>
        <v>97627.024999999994</v>
      </c>
      <c r="G6" s="2">
        <f t="shared" si="1"/>
        <v>117152.43</v>
      </c>
      <c r="H6" s="2">
        <f t="shared" si="1"/>
        <v>136677.83499999999</v>
      </c>
      <c r="I6" s="2">
        <f t="shared" si="1"/>
        <v>156203.24</v>
      </c>
      <c r="J6" s="2">
        <f t="shared" si="1"/>
        <v>175728.64499999999</v>
      </c>
      <c r="K6" s="2">
        <f t="shared" si="1"/>
        <v>195254.05</v>
      </c>
      <c r="L6" s="2">
        <f t="shared" si="1"/>
        <v>214779.45500000002</v>
      </c>
      <c r="M6" s="2">
        <f t="shared" si="1"/>
        <v>234304.86</v>
      </c>
    </row>
    <row r="7" spans="1:13" x14ac:dyDescent="0.25">
      <c r="A7" t="s">
        <v>9</v>
      </c>
      <c r="B7" t="s">
        <v>5</v>
      </c>
      <c r="C7" s="2">
        <f>Referencias!B18</f>
        <v>248970.21</v>
      </c>
      <c r="D7" s="2">
        <f>C7</f>
        <v>248970.21</v>
      </c>
      <c r="E7" s="2">
        <f t="shared" ref="E7:M7" si="2">D7</f>
        <v>248970.21</v>
      </c>
      <c r="F7" s="2">
        <f t="shared" si="2"/>
        <v>248970.21</v>
      </c>
      <c r="G7" s="2">
        <f t="shared" si="2"/>
        <v>248970.21</v>
      </c>
      <c r="H7" s="2">
        <f t="shared" si="2"/>
        <v>248970.21</v>
      </c>
      <c r="I7" s="2">
        <f t="shared" si="2"/>
        <v>248970.21</v>
      </c>
      <c r="J7" s="2">
        <f t="shared" si="2"/>
        <v>248970.21</v>
      </c>
      <c r="K7" s="2">
        <f t="shared" si="2"/>
        <v>248970.21</v>
      </c>
      <c r="L7" s="2">
        <f t="shared" si="2"/>
        <v>248970.21</v>
      </c>
      <c r="M7" s="2">
        <f t="shared" si="2"/>
        <v>248970.21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3">D7*D3</f>
        <v>74691.062999999995</v>
      </c>
      <c r="E8" s="2">
        <f t="shared" si="3"/>
        <v>99588.084000000003</v>
      </c>
      <c r="F8" s="2">
        <f t="shared" si="3"/>
        <v>124485.105</v>
      </c>
      <c r="G8" s="2">
        <f t="shared" si="3"/>
        <v>149382.12599999999</v>
      </c>
      <c r="H8" s="2">
        <f t="shared" si="3"/>
        <v>174279.147</v>
      </c>
      <c r="I8" s="2">
        <f t="shared" si="3"/>
        <v>199176.16800000001</v>
      </c>
      <c r="J8" s="2">
        <f t="shared" si="3"/>
        <v>224073.18899999998</v>
      </c>
      <c r="K8" s="2">
        <f t="shared" si="3"/>
        <v>248970.21</v>
      </c>
      <c r="L8" s="2">
        <f t="shared" si="3"/>
        <v>273867.23100000003</v>
      </c>
      <c r="M8" s="2">
        <f t="shared" si="3"/>
        <v>298764.25199999998</v>
      </c>
    </row>
    <row r="9" spans="1:13" x14ac:dyDescent="0.25">
      <c r="A9" t="s">
        <v>11</v>
      </c>
      <c r="B9" t="s">
        <v>12</v>
      </c>
      <c r="C9" s="2">
        <f>Referencias!B27</f>
        <v>150335.64000000001</v>
      </c>
      <c r="D9" s="2">
        <f>C9</f>
        <v>150335.64000000001</v>
      </c>
      <c r="E9" s="2">
        <f>D9</f>
        <v>150335.64000000001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Referencias!B28</f>
        <v>186286.46</v>
      </c>
      <c r="G10" s="2">
        <f>F10</f>
        <v>186286.46</v>
      </c>
      <c r="H10" s="2">
        <f t="shared" ref="H10:M10" si="4">G10</f>
        <v>186286.46</v>
      </c>
      <c r="I10" s="2">
        <f t="shared" si="4"/>
        <v>186286.46</v>
      </c>
      <c r="J10" s="2">
        <f t="shared" si="4"/>
        <v>186286.46</v>
      </c>
      <c r="K10" s="2">
        <f t="shared" si="4"/>
        <v>186286.46</v>
      </c>
      <c r="L10" s="2">
        <f t="shared" si="4"/>
        <v>186286.46</v>
      </c>
      <c r="M10" s="2">
        <f t="shared" si="4"/>
        <v>186286.46</v>
      </c>
    </row>
    <row r="11" spans="1:13" x14ac:dyDescent="0.25">
      <c r="A11" t="s">
        <v>14</v>
      </c>
      <c r="B11" t="s">
        <v>12</v>
      </c>
      <c r="C11" s="2">
        <f>IF(Referencias!H4&gt;0,Referencias!H4,0)</f>
        <v>122304.16439799999</v>
      </c>
      <c r="D11" s="2">
        <f>IF(Referencias!I4&gt;0,Referencias!I4,0)</f>
        <v>14757.471052000066</v>
      </c>
      <c r="E11" s="2">
        <f>IF(Referencias!J4&gt;0,Referencias!J4,0)</f>
        <v>0</v>
      </c>
      <c r="F11" s="2">
        <f>IF(Referencias!K4&gt;0,Referencias!K4,0)</f>
        <v>0</v>
      </c>
      <c r="G11" s="2">
        <f>IF(Referencias!L4&gt;0,Referencias!L4,0)</f>
        <v>0</v>
      </c>
      <c r="H11" s="2">
        <f>IF(Referencias!M4&gt;0,Referencias!M4,0)</f>
        <v>0</v>
      </c>
      <c r="I11" s="2">
        <f>IF(Referencias!N4&gt;0,Referencias!N4,0)</f>
        <v>0</v>
      </c>
      <c r="J11" s="2">
        <f>IF(Referencias!O4&gt;0,Referencias!O4,0)</f>
        <v>0</v>
      </c>
      <c r="K11" s="2">
        <f>IF(Referencias!P4&gt;0,Referencias!P4,0)</f>
        <v>0</v>
      </c>
      <c r="L11" s="2">
        <f>IF(Referencias!Q4&gt;0,Referencias!Q4,0)</f>
        <v>0</v>
      </c>
      <c r="M11" s="2">
        <f>IF(Referencias!R4&gt;0,Referencias!R4,0)</f>
        <v>0</v>
      </c>
    </row>
    <row r="12" spans="1:13" x14ac:dyDescent="0.25">
      <c r="A12" t="s">
        <v>15</v>
      </c>
      <c r="B12" t="s">
        <v>12</v>
      </c>
      <c r="C12" s="2">
        <f>Referencias!B22</f>
        <v>34000</v>
      </c>
      <c r="D12" s="2">
        <f>C12</f>
        <v>34000</v>
      </c>
      <c r="E12" s="2">
        <f t="shared" ref="E12:M12" si="5">D12</f>
        <v>34000</v>
      </c>
      <c r="F12" s="2">
        <f t="shared" si="5"/>
        <v>34000</v>
      </c>
      <c r="G12" s="2">
        <f t="shared" si="5"/>
        <v>34000</v>
      </c>
      <c r="H12" s="2">
        <f t="shared" si="5"/>
        <v>34000</v>
      </c>
      <c r="I12" s="2">
        <f t="shared" si="5"/>
        <v>34000</v>
      </c>
      <c r="J12" s="2">
        <f t="shared" si="5"/>
        <v>34000</v>
      </c>
      <c r="K12" s="2">
        <f t="shared" si="5"/>
        <v>34000</v>
      </c>
      <c r="L12" s="2">
        <f t="shared" si="5"/>
        <v>34000</v>
      </c>
      <c r="M12" s="2">
        <f t="shared" si="5"/>
        <v>34000</v>
      </c>
    </row>
    <row r="13" spans="1:13" hidden="1" x14ac:dyDescent="0.25">
      <c r="A13" t="s">
        <v>16</v>
      </c>
      <c r="B13" t="s">
        <v>12</v>
      </c>
      <c r="C13" s="2">
        <f>Referencias!B23</f>
        <v>0</v>
      </c>
      <c r="D13" s="2">
        <f>C13</f>
        <v>0</v>
      </c>
      <c r="E13" s="2">
        <f t="shared" ref="E13:M13" si="6">D13</f>
        <v>0</v>
      </c>
      <c r="F13" s="2">
        <f t="shared" si="6"/>
        <v>0</v>
      </c>
      <c r="G13" s="2">
        <f t="shared" si="6"/>
        <v>0</v>
      </c>
      <c r="H13" s="2">
        <f t="shared" si="6"/>
        <v>0</v>
      </c>
      <c r="I13" s="2">
        <f t="shared" si="6"/>
        <v>0</v>
      </c>
      <c r="J13" s="2">
        <f t="shared" si="6"/>
        <v>0</v>
      </c>
      <c r="K13" s="2">
        <f t="shared" si="6"/>
        <v>0</v>
      </c>
      <c r="L13" s="2">
        <f t="shared" si="6"/>
        <v>0</v>
      </c>
      <c r="M13" s="2">
        <f t="shared" si="6"/>
        <v>0</v>
      </c>
    </row>
    <row r="14" spans="1:13" hidden="1" x14ac:dyDescent="0.25">
      <c r="A14" t="s">
        <v>17</v>
      </c>
      <c r="B14" t="s">
        <v>12</v>
      </c>
      <c r="C14" s="2">
        <f>Referencias!B26</f>
        <v>0</v>
      </c>
      <c r="D14" s="2">
        <f>C14</f>
        <v>0</v>
      </c>
      <c r="E14" s="2">
        <f t="shared" ref="E14:M14" si="7">D14</f>
        <v>0</v>
      </c>
      <c r="F14" s="2">
        <f t="shared" si="7"/>
        <v>0</v>
      </c>
      <c r="G14" s="2">
        <f t="shared" si="7"/>
        <v>0</v>
      </c>
      <c r="H14" s="2">
        <f t="shared" si="7"/>
        <v>0</v>
      </c>
      <c r="I14" s="2">
        <f t="shared" si="7"/>
        <v>0</v>
      </c>
      <c r="J14" s="2">
        <f t="shared" si="7"/>
        <v>0</v>
      </c>
      <c r="K14" s="2">
        <f t="shared" si="7"/>
        <v>0</v>
      </c>
      <c r="L14" s="2">
        <f t="shared" si="7"/>
        <v>0</v>
      </c>
      <c r="M14" s="2">
        <f t="shared" si="7"/>
        <v>0</v>
      </c>
    </row>
    <row r="15" spans="1:13" x14ac:dyDescent="0.25">
      <c r="A15" t="s">
        <v>18</v>
      </c>
      <c r="B15" t="s">
        <v>12</v>
      </c>
      <c r="C15" s="2">
        <f>Referencias!B25</f>
        <v>30000</v>
      </c>
      <c r="D15" s="2">
        <f>C15</f>
        <v>30000</v>
      </c>
      <c r="E15" s="2">
        <f t="shared" ref="E15:M15" si="8">D15</f>
        <v>30000</v>
      </c>
      <c r="F15" s="2">
        <f t="shared" si="8"/>
        <v>30000</v>
      </c>
      <c r="G15" s="2">
        <f t="shared" si="8"/>
        <v>30000</v>
      </c>
      <c r="H15" s="2">
        <f t="shared" si="8"/>
        <v>30000</v>
      </c>
      <c r="I15" s="2">
        <f t="shared" si="8"/>
        <v>30000</v>
      </c>
      <c r="J15" s="2">
        <f t="shared" si="8"/>
        <v>30000</v>
      </c>
      <c r="K15" s="2">
        <f t="shared" si="8"/>
        <v>30000</v>
      </c>
      <c r="L15" s="2">
        <f t="shared" si="8"/>
        <v>30000</v>
      </c>
      <c r="M15" s="2">
        <f t="shared" si="8"/>
        <v>30000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hidden="1" x14ac:dyDescent="0.25">
      <c r="A17" t="s">
        <v>19</v>
      </c>
      <c r="C17" s="2">
        <f t="shared" ref="C17:M17" si="9">C4+C5+C6+C7+C8+C10</f>
        <v>488646.68599999999</v>
      </c>
      <c r="D17" s="2">
        <f t="shared" si="9"/>
        <v>621913.96399999992</v>
      </c>
      <c r="E17" s="2">
        <f t="shared" si="9"/>
        <v>666336.39</v>
      </c>
      <c r="F17" s="2">
        <f t="shared" si="9"/>
        <v>897045.27599999995</v>
      </c>
      <c r="G17" s="2">
        <f t="shared" si="9"/>
        <v>941467.70199999982</v>
      </c>
      <c r="H17" s="2">
        <f t="shared" si="9"/>
        <v>985890.12799999991</v>
      </c>
      <c r="I17" s="2">
        <f t="shared" si="9"/>
        <v>1030312.554</v>
      </c>
      <c r="J17" s="2">
        <f t="shared" si="9"/>
        <v>1074734.98</v>
      </c>
      <c r="K17" s="2">
        <f t="shared" si="9"/>
        <v>1119157.406</v>
      </c>
      <c r="L17" s="2">
        <f t="shared" si="9"/>
        <v>1163579.8319999999</v>
      </c>
      <c r="M17" s="2">
        <f t="shared" si="9"/>
        <v>1208002.2579999999</v>
      </c>
      <c r="N17" s="2"/>
    </row>
    <row r="18" spans="1:15" ht="15.75" hidden="1" thickBot="1" x14ac:dyDescent="0.3">
      <c r="A18" t="s">
        <v>20</v>
      </c>
      <c r="C18" s="2">
        <f t="shared" ref="C18:M18" si="10">C9+C11+C12+C13+C14+C15</f>
        <v>336639.80439800001</v>
      </c>
      <c r="D18" s="2">
        <f t="shared" si="10"/>
        <v>229093.11105200008</v>
      </c>
      <c r="E18" s="2">
        <f t="shared" si="10"/>
        <v>214335.64</v>
      </c>
      <c r="F18" s="2">
        <f t="shared" si="10"/>
        <v>64000</v>
      </c>
      <c r="G18" s="2">
        <f t="shared" si="10"/>
        <v>64000</v>
      </c>
      <c r="H18" s="2">
        <f t="shared" si="10"/>
        <v>64000</v>
      </c>
      <c r="I18" s="2">
        <f t="shared" si="10"/>
        <v>64000</v>
      </c>
      <c r="J18" s="2">
        <f t="shared" si="10"/>
        <v>64000</v>
      </c>
      <c r="K18" s="2">
        <f t="shared" si="10"/>
        <v>64000</v>
      </c>
      <c r="L18" s="2">
        <f t="shared" si="10"/>
        <v>64000</v>
      </c>
      <c r="M18" s="2">
        <f t="shared" si="10"/>
        <v>64000</v>
      </c>
      <c r="N18" s="4"/>
      <c r="O18" s="30"/>
    </row>
    <row r="19" spans="1:15" ht="15.75" thickBot="1" x14ac:dyDescent="0.3">
      <c r="A19" s="8" t="s">
        <v>21</v>
      </c>
      <c r="B19" s="5"/>
      <c r="C19" s="10">
        <f t="shared" ref="C19:M19" si="11">SUM(C4:C15)</f>
        <v>825286.49039799999</v>
      </c>
      <c r="D19" s="10">
        <f t="shared" si="11"/>
        <v>851007.075052</v>
      </c>
      <c r="E19" s="10">
        <f t="shared" si="11"/>
        <v>880672.03</v>
      </c>
      <c r="F19" s="10">
        <f t="shared" si="11"/>
        <v>961045.27599999995</v>
      </c>
      <c r="G19" s="10">
        <f t="shared" si="11"/>
        <v>1005467.7019999998</v>
      </c>
      <c r="H19" s="10">
        <f t="shared" si="11"/>
        <v>1049890.128</v>
      </c>
      <c r="I19" s="10">
        <f t="shared" si="11"/>
        <v>1094312.554</v>
      </c>
      <c r="J19" s="10">
        <f t="shared" si="11"/>
        <v>1138734.98</v>
      </c>
      <c r="K19" s="10">
        <f t="shared" si="11"/>
        <v>1183157.406</v>
      </c>
      <c r="L19" s="10">
        <f t="shared" si="11"/>
        <v>1227579.8319999999</v>
      </c>
      <c r="M19" s="10">
        <f t="shared" si="11"/>
        <v>1272002.2579999999</v>
      </c>
    </row>
    <row r="20" spans="1:15" s="6" customFormat="1" ht="15.75" thickBot="1" x14ac:dyDescent="0.3">
      <c r="A20" s="11" t="s">
        <v>22</v>
      </c>
      <c r="B20" s="14"/>
      <c r="C20" s="13">
        <f t="shared" ref="C20:M20" si="12">(C4+C5+C6+C7+C8+C10)*0.807+C12+C13+C14+C11+C9+C15</f>
        <v>730977.68</v>
      </c>
      <c r="D20" s="13">
        <f t="shared" si="12"/>
        <v>730977.68</v>
      </c>
      <c r="E20" s="13">
        <f t="shared" si="12"/>
        <v>752069.10673000012</v>
      </c>
      <c r="F20" s="13">
        <f t="shared" si="12"/>
        <v>787915.537732</v>
      </c>
      <c r="G20" s="13">
        <f t="shared" si="12"/>
        <v>823764.4355139999</v>
      </c>
      <c r="H20" s="13">
        <f t="shared" si="12"/>
        <v>859613.33329600003</v>
      </c>
      <c r="I20" s="13">
        <f t="shared" si="12"/>
        <v>895462.23107800004</v>
      </c>
      <c r="J20" s="13">
        <f t="shared" si="12"/>
        <v>931311.12886000006</v>
      </c>
      <c r="K20" s="13">
        <f t="shared" si="12"/>
        <v>967160.02664200007</v>
      </c>
      <c r="L20" s="13">
        <f t="shared" si="12"/>
        <v>1003008.924424</v>
      </c>
      <c r="M20" s="13">
        <f t="shared" si="12"/>
        <v>1038857.822206</v>
      </c>
    </row>
    <row r="21" spans="1:1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5" x14ac:dyDescent="0.25">
      <c r="C22" s="4"/>
    </row>
    <row r="23" spans="1:15" x14ac:dyDescent="0.25">
      <c r="C23" s="4"/>
    </row>
  </sheetData>
  <mergeCells count="2">
    <mergeCell ref="A2:M2"/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9C5-A646-46C4-9AD3-C0077649C283}">
  <dimension ref="A1:N21"/>
  <sheetViews>
    <sheetView workbookViewId="0">
      <selection activeCell="C18" sqref="C18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4" width="14.5703125" bestFit="1" customWidth="1"/>
  </cols>
  <sheetData>
    <row r="1" spans="1:13" ht="18.75" x14ac:dyDescent="0.3">
      <c r="A1" s="47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5165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888534.95</v>
      </c>
      <c r="D4" s="2">
        <f>$M$1*Referencias!$B$1</f>
        <v>888534.95</v>
      </c>
      <c r="E4" s="2">
        <f>$M$1*Referencias!$B$1</f>
        <v>888534.95</v>
      </c>
      <c r="F4" s="2">
        <f>$M$1*Referencias!$B$1</f>
        <v>888534.95</v>
      </c>
      <c r="G4" s="2">
        <f>$M$1*Referencias!$B$1</f>
        <v>888534.95</v>
      </c>
      <c r="H4" s="2">
        <f>$M$1*Referencias!$B$1</f>
        <v>888534.95</v>
      </c>
      <c r="I4" s="2">
        <f>$M$1*Referencias!$B$1</f>
        <v>888534.95</v>
      </c>
      <c r="J4" s="2">
        <f>$M$1*Referencias!$B$1</f>
        <v>888534.95</v>
      </c>
      <c r="K4" s="2">
        <f>$M$1*Referencias!$B$1</f>
        <v>888534.95</v>
      </c>
      <c r="L4" s="2">
        <f>$M$1*Referencias!$B$1</f>
        <v>888534.95</v>
      </c>
      <c r="M4" s="2">
        <f>$M$1*Referencias!$B$1</f>
        <v>888534.95</v>
      </c>
    </row>
    <row r="5" spans="1:13" hidden="1" x14ac:dyDescent="0.25">
      <c r="A5" t="s">
        <v>72</v>
      </c>
      <c r="B5" t="s">
        <v>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5">
      <c r="A6" t="s">
        <v>6</v>
      </c>
      <c r="B6" t="s">
        <v>7</v>
      </c>
      <c r="C6" s="2">
        <f>C4*0.1+C8*0.1+C5*0.1</f>
        <v>138647.53700000001</v>
      </c>
      <c r="D6" s="2">
        <f t="shared" ref="D6:M6" si="0">D4*0.1+D8*0.1+D5*0.1</f>
        <v>138647.53700000001</v>
      </c>
      <c r="E6" s="2">
        <f t="shared" si="0"/>
        <v>138647.53700000001</v>
      </c>
      <c r="F6" s="2">
        <f t="shared" si="0"/>
        <v>138647.53700000001</v>
      </c>
      <c r="G6" s="2">
        <f t="shared" si="0"/>
        <v>138647.53700000001</v>
      </c>
      <c r="H6" s="2">
        <f t="shared" si="0"/>
        <v>138647.53700000001</v>
      </c>
      <c r="I6" s="2">
        <f t="shared" si="0"/>
        <v>138647.53700000001</v>
      </c>
      <c r="J6" s="2">
        <f t="shared" si="0"/>
        <v>138647.53700000001</v>
      </c>
      <c r="K6" s="2">
        <f t="shared" si="0"/>
        <v>138647.53700000001</v>
      </c>
      <c r="L6" s="2">
        <f t="shared" si="0"/>
        <v>138647.53700000001</v>
      </c>
      <c r="M6" s="2">
        <f t="shared" si="0"/>
        <v>138647.53700000001</v>
      </c>
    </row>
    <row r="7" spans="1:13" x14ac:dyDescent="0.25">
      <c r="A7" t="s">
        <v>8</v>
      </c>
      <c r="B7" t="s">
        <v>7</v>
      </c>
      <c r="C7" s="2">
        <f>C4*C3</f>
        <v>0</v>
      </c>
      <c r="D7" s="2">
        <f>(D4+D5)*D3</f>
        <v>266560.48499999999</v>
      </c>
      <c r="E7" s="2">
        <f t="shared" ref="E7:M7" si="1">(E4+E5)*E3</f>
        <v>355413.98</v>
      </c>
      <c r="F7" s="2">
        <f t="shared" si="1"/>
        <v>444267.47499999998</v>
      </c>
      <c r="G7" s="2">
        <f t="shared" si="1"/>
        <v>533120.97</v>
      </c>
      <c r="H7" s="2">
        <f t="shared" si="1"/>
        <v>621974.46499999997</v>
      </c>
      <c r="I7" s="2">
        <f t="shared" si="1"/>
        <v>710827.96</v>
      </c>
      <c r="J7" s="2">
        <f t="shared" si="1"/>
        <v>799681.45499999996</v>
      </c>
      <c r="K7" s="2">
        <f t="shared" si="1"/>
        <v>888534.95</v>
      </c>
      <c r="L7" s="2">
        <f t="shared" si="1"/>
        <v>977388.44500000007</v>
      </c>
      <c r="M7" s="2">
        <f t="shared" si="1"/>
        <v>1066241.94</v>
      </c>
    </row>
    <row r="8" spans="1:13" x14ac:dyDescent="0.25">
      <c r="A8" t="s">
        <v>9</v>
      </c>
      <c r="B8" t="s">
        <v>5</v>
      </c>
      <c r="C8" s="2">
        <f>'Maestrx JS'!C7*2</f>
        <v>497940.42</v>
      </c>
      <c r="D8" s="2">
        <f>'Maestrx JS'!D7*2</f>
        <v>497940.42</v>
      </c>
      <c r="E8" s="2">
        <f>'Maestrx JS'!E7*2</f>
        <v>497940.42</v>
      </c>
      <c r="F8" s="2">
        <f>'Maestrx JS'!F7*2</f>
        <v>497940.42</v>
      </c>
      <c r="G8" s="2">
        <f>'Maestrx JS'!G7*2</f>
        <v>497940.42</v>
      </c>
      <c r="H8" s="2">
        <f>'Maestrx JS'!H7*2</f>
        <v>497940.42</v>
      </c>
      <c r="I8" s="2">
        <f>'Maestrx JS'!I7*2</f>
        <v>497940.42</v>
      </c>
      <c r="J8" s="2">
        <f>'Maestrx JS'!J7*2</f>
        <v>497940.42</v>
      </c>
      <c r="K8" s="2">
        <f>'Maestrx JS'!K7*2</f>
        <v>497940.42</v>
      </c>
      <c r="L8" s="2">
        <f>'Maestrx JS'!L7*2</f>
        <v>497940.42</v>
      </c>
      <c r="M8" s="2">
        <f>'Maestrx JS'!M7*2</f>
        <v>497940.42</v>
      </c>
    </row>
    <row r="9" spans="1:13" x14ac:dyDescent="0.25">
      <c r="A9" t="s">
        <v>10</v>
      </c>
      <c r="B9" t="s">
        <v>7</v>
      </c>
      <c r="C9" s="2">
        <f>C8*C3</f>
        <v>0</v>
      </c>
      <c r="D9" s="2">
        <f t="shared" ref="D9:M9" si="2">D8*D3</f>
        <v>149382.12599999999</v>
      </c>
      <c r="E9" s="2">
        <f t="shared" si="2"/>
        <v>199176.16800000001</v>
      </c>
      <c r="F9" s="2">
        <f t="shared" si="2"/>
        <v>248970.21</v>
      </c>
      <c r="G9" s="2">
        <f t="shared" si="2"/>
        <v>298764.25199999998</v>
      </c>
      <c r="H9" s="2">
        <f t="shared" si="2"/>
        <v>348558.29399999999</v>
      </c>
      <c r="I9" s="2">
        <f t="shared" si="2"/>
        <v>398352.33600000001</v>
      </c>
      <c r="J9" s="2">
        <f t="shared" si="2"/>
        <v>448146.37799999997</v>
      </c>
      <c r="K9" s="2">
        <f t="shared" si="2"/>
        <v>497940.42</v>
      </c>
      <c r="L9" s="2">
        <f t="shared" si="2"/>
        <v>547734.46200000006</v>
      </c>
      <c r="M9" s="2">
        <f t="shared" si="2"/>
        <v>597528.50399999996</v>
      </c>
    </row>
    <row r="10" spans="1:13" x14ac:dyDescent="0.25">
      <c r="A10" t="s">
        <v>11</v>
      </c>
      <c r="B10" t="s">
        <v>12</v>
      </c>
      <c r="C10" s="2">
        <f>'Maestrx JS'!C9*2</f>
        <v>300671.28000000003</v>
      </c>
      <c r="D10" s="2">
        <f>'Maestrx JS'!D9*2</f>
        <v>300671.28000000003</v>
      </c>
      <c r="E10" s="2">
        <f>'Maestrx JS'!E9*2</f>
        <v>300671.28000000003</v>
      </c>
      <c r="F10" s="2">
        <f>'Maestrx JS'!F9*2</f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'Maestrx JS'!F10*2</f>
        <v>372572.92</v>
      </c>
      <c r="G11" s="2">
        <f>'Maestrx JS'!G10*2</f>
        <v>372572.92</v>
      </c>
      <c r="H11" s="2">
        <f>'Maestrx JS'!H10*2</f>
        <v>372572.92</v>
      </c>
      <c r="I11" s="2">
        <f>'Maestrx JS'!I10*2</f>
        <v>372572.92</v>
      </c>
      <c r="J11" s="2">
        <f>'Maestrx JS'!J10*2</f>
        <v>372572.92</v>
      </c>
      <c r="K11" s="2">
        <f>'Maestrx JS'!K10*2</f>
        <v>372572.92</v>
      </c>
      <c r="L11" s="2">
        <f>'Maestrx JS'!L10*2</f>
        <v>372572.92</v>
      </c>
      <c r="M11" s="2">
        <f>'Maestrx JS'!M10*2</f>
        <v>372572.92</v>
      </c>
    </row>
    <row r="12" spans="1:13" x14ac:dyDescent="0.25">
      <c r="A12" t="s">
        <v>14</v>
      </c>
      <c r="B12" t="s">
        <v>12</v>
      </c>
      <c r="C12" s="2">
        <f>IF(Referencias!H13&lt;0,0,Referencias!H13)</f>
        <v>71156.341240437701</v>
      </c>
      <c r="D12" s="2">
        <f>IF(Referencias!I13&lt;0,0,Referencias!I13)</f>
        <v>0</v>
      </c>
      <c r="E12" s="2">
        <f>IF(Referencias!J10&lt;0,0,Referencias!J10)</f>
        <v>0</v>
      </c>
      <c r="F12" s="2">
        <f>IF(Referencias!K10&lt;0,0,Referencias!K10)</f>
        <v>0</v>
      </c>
      <c r="G12" s="2">
        <f>IF(Referencias!L10&lt;0,0,Referencias!L10)</f>
        <v>0</v>
      </c>
      <c r="H12" s="2">
        <f>IF(Referencias!M10&lt;0,0,Referencias!M10)</f>
        <v>0</v>
      </c>
      <c r="I12" s="2">
        <f>IF(Referencias!N10&lt;0,0,Referencias!N10)</f>
        <v>0</v>
      </c>
      <c r="J12" s="2">
        <f>IF(Referencias!O10&lt;0,0,Referencias!O10)</f>
        <v>0</v>
      </c>
      <c r="K12" s="2">
        <f>IF(Referencias!P10&lt;0,0,Referencias!P10)</f>
        <v>0</v>
      </c>
      <c r="L12" s="2">
        <f>IF(Referencias!Q10&lt;0,0,Referencias!Q10)</f>
        <v>0</v>
      </c>
      <c r="M12" s="2">
        <f>IF(Referencias!R10&lt;0,0,Referencias!R10)</f>
        <v>0</v>
      </c>
    </row>
    <row r="13" spans="1:13" x14ac:dyDescent="0.25">
      <c r="A13" t="s">
        <v>15</v>
      </c>
      <c r="B13" t="s">
        <v>12</v>
      </c>
      <c r="C13" s="2">
        <f>Referencias!C22</f>
        <v>68000</v>
      </c>
      <c r="D13" s="2">
        <f>C13</f>
        <v>68000</v>
      </c>
      <c r="E13" s="2">
        <f t="shared" ref="E13:M16" si="3">D13</f>
        <v>68000</v>
      </c>
      <c r="F13" s="2">
        <f t="shared" si="3"/>
        <v>68000</v>
      </c>
      <c r="G13" s="2">
        <f t="shared" si="3"/>
        <v>68000</v>
      </c>
      <c r="H13" s="2">
        <f t="shared" si="3"/>
        <v>68000</v>
      </c>
      <c r="I13" s="2">
        <f t="shared" si="3"/>
        <v>68000</v>
      </c>
      <c r="J13" s="2">
        <f t="shared" si="3"/>
        <v>68000</v>
      </c>
      <c r="K13" s="2">
        <f t="shared" si="3"/>
        <v>68000</v>
      </c>
      <c r="L13" s="2">
        <f t="shared" si="3"/>
        <v>68000</v>
      </c>
      <c r="M13" s="2">
        <f t="shared" si="3"/>
        <v>68000</v>
      </c>
    </row>
    <row r="14" spans="1:13" hidden="1" x14ac:dyDescent="0.25">
      <c r="A14" t="s">
        <v>16</v>
      </c>
      <c r="B14" t="s">
        <v>12</v>
      </c>
      <c r="C14" s="2">
        <f>Referencias!C23</f>
        <v>0</v>
      </c>
      <c r="D14" s="2">
        <f>C14</f>
        <v>0</v>
      </c>
      <c r="E14" s="2">
        <f t="shared" si="3"/>
        <v>0</v>
      </c>
      <c r="F14" s="2">
        <f t="shared" si="3"/>
        <v>0</v>
      </c>
      <c r="G14" s="2">
        <f t="shared" si="3"/>
        <v>0</v>
      </c>
      <c r="H14" s="2">
        <f t="shared" si="3"/>
        <v>0</v>
      </c>
      <c r="I14" s="2">
        <f t="shared" si="3"/>
        <v>0</v>
      </c>
      <c r="J14" s="2">
        <f t="shared" si="3"/>
        <v>0</v>
      </c>
      <c r="K14" s="2">
        <f t="shared" si="3"/>
        <v>0</v>
      </c>
      <c r="L14" s="2">
        <f t="shared" si="3"/>
        <v>0</v>
      </c>
      <c r="M14" s="2">
        <f t="shared" si="3"/>
        <v>0</v>
      </c>
    </row>
    <row r="15" spans="1:13" hidden="1" x14ac:dyDescent="0.25">
      <c r="A15" t="s">
        <v>17</v>
      </c>
      <c r="B15" t="s">
        <v>12</v>
      </c>
      <c r="C15" s="2">
        <f>Referencias!C26</f>
        <v>0</v>
      </c>
      <c r="D15" s="2">
        <f>C15</f>
        <v>0</v>
      </c>
      <c r="E15" s="2">
        <f t="shared" si="3"/>
        <v>0</v>
      </c>
      <c r="F15" s="2">
        <f t="shared" si="3"/>
        <v>0</v>
      </c>
      <c r="G15" s="2">
        <f t="shared" si="3"/>
        <v>0</v>
      </c>
      <c r="H15" s="2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0</v>
      </c>
      <c r="L15" s="2">
        <f t="shared" si="3"/>
        <v>0</v>
      </c>
      <c r="M15" s="2">
        <f t="shared" si="3"/>
        <v>0</v>
      </c>
    </row>
    <row r="16" spans="1:13" x14ac:dyDescent="0.25">
      <c r="A16" t="s">
        <v>18</v>
      </c>
      <c r="B16" t="s">
        <v>12</v>
      </c>
      <c r="C16" s="2">
        <f>Referencias!C25</f>
        <v>60000</v>
      </c>
      <c r="D16" s="2">
        <f>C16</f>
        <v>60000</v>
      </c>
      <c r="E16" s="2">
        <f t="shared" si="3"/>
        <v>60000</v>
      </c>
      <c r="F16" s="2">
        <f t="shared" si="3"/>
        <v>60000</v>
      </c>
      <c r="G16" s="2">
        <f t="shared" si="3"/>
        <v>60000</v>
      </c>
      <c r="H16" s="2">
        <f t="shared" si="3"/>
        <v>60000</v>
      </c>
      <c r="I16" s="2">
        <f t="shared" si="3"/>
        <v>60000</v>
      </c>
      <c r="J16" s="2">
        <f t="shared" si="3"/>
        <v>60000</v>
      </c>
      <c r="K16" s="2">
        <f t="shared" si="3"/>
        <v>60000</v>
      </c>
      <c r="L16" s="2">
        <f t="shared" si="3"/>
        <v>60000</v>
      </c>
      <c r="M16" s="2">
        <f t="shared" si="3"/>
        <v>60000</v>
      </c>
    </row>
    <row r="17" spans="1:14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</row>
    <row r="18" spans="1:14" ht="15.75" thickBot="1" x14ac:dyDescent="0.3">
      <c r="A18" s="8" t="s">
        <v>21</v>
      </c>
      <c r="B18" s="5"/>
      <c r="C18" s="9">
        <f>SUM(C4:C16)</f>
        <v>2024950.5282404376</v>
      </c>
      <c r="D18" s="9">
        <f t="shared" ref="D18:L18" si="4">SUM(D4:D16)</f>
        <v>2369736.798</v>
      </c>
      <c r="E18" s="9">
        <f t="shared" si="4"/>
        <v>2508384.335</v>
      </c>
      <c r="F18" s="9">
        <f t="shared" si="4"/>
        <v>2718933.5119999996</v>
      </c>
      <c r="G18" s="9">
        <f t="shared" si="4"/>
        <v>2857581.0489999996</v>
      </c>
      <c r="H18" s="9">
        <f t="shared" si="4"/>
        <v>2996228.5860000001</v>
      </c>
      <c r="I18" s="9">
        <f t="shared" si="4"/>
        <v>3134876.1230000001</v>
      </c>
      <c r="J18" s="9">
        <f t="shared" si="4"/>
        <v>3273523.6599999997</v>
      </c>
      <c r="K18" s="9">
        <f t="shared" si="4"/>
        <v>3412171.1969999997</v>
      </c>
      <c r="L18" s="9">
        <f t="shared" si="4"/>
        <v>3550818.7340000002</v>
      </c>
      <c r="M18" s="9">
        <f>SUM(M4:M16)</f>
        <v>3689466.2709999997</v>
      </c>
      <c r="N18" s="4"/>
    </row>
    <row r="19" spans="1:14" ht="15.75" thickBot="1" x14ac:dyDescent="0.3">
      <c r="A19" s="11" t="s">
        <v>22</v>
      </c>
      <c r="B19" s="12"/>
      <c r="C19" s="13">
        <f>SUM(C4:C9,C11)*0.807+SUM(C10,C12:C16)</f>
        <v>1730601.8071894378</v>
      </c>
      <c r="D19" s="13">
        <f>SUM(D4:D9,D11)*0.807+SUM(D10,D12:D16)</f>
        <v>1995111.1530260001</v>
      </c>
      <c r="E19" s="13">
        <f t="shared" ref="E19:M19" si="5">SUM(E4:E9,E11)*0.807+SUM(E10,E12:E16)</f>
        <v>2106999.7153850002</v>
      </c>
      <c r="F19" s="13">
        <f t="shared" si="5"/>
        <v>2218883.344184</v>
      </c>
      <c r="G19" s="13">
        <f t="shared" si="5"/>
        <v>2330771.9065429997</v>
      </c>
      <c r="H19" s="13">
        <f t="shared" si="5"/>
        <v>2442660.4689020002</v>
      </c>
      <c r="I19" s="13">
        <f t="shared" si="5"/>
        <v>2554549.0312610003</v>
      </c>
      <c r="J19" s="13">
        <f t="shared" si="5"/>
        <v>2666437.5936199999</v>
      </c>
      <c r="K19" s="13">
        <f t="shared" si="5"/>
        <v>2778326.155979</v>
      </c>
      <c r="L19" s="13">
        <f t="shared" si="5"/>
        <v>2890214.7183380001</v>
      </c>
      <c r="M19" s="13">
        <f t="shared" si="5"/>
        <v>3002103.2806969997</v>
      </c>
    </row>
    <row r="21" spans="1:14" x14ac:dyDescent="0.25">
      <c r="E21" s="4"/>
      <c r="F21" s="4"/>
      <c r="G21" s="4"/>
      <c r="H21" s="4"/>
      <c r="I21" s="4"/>
      <c r="J21" s="4"/>
      <c r="K21" s="4"/>
    </row>
  </sheetData>
  <mergeCells count="2">
    <mergeCell ref="A1:K1"/>
    <mergeCell ref="A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D14B-75A0-475B-9025-67F6BE860D65}">
  <dimension ref="A1:M21"/>
  <sheetViews>
    <sheetView workbookViewId="0">
      <selection activeCell="C20" sqref="C20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5" width="13" bestFit="1" customWidth="1"/>
    <col min="6" max="13" width="14.5703125" bestFit="1" customWidth="1"/>
  </cols>
  <sheetData>
    <row r="1" spans="1:13" ht="18.75" x14ac:dyDescent="0.3">
      <c r="A1" s="47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1135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195254.05</v>
      </c>
      <c r="D4" s="2">
        <f>$M$1*Referencias!$B$1</f>
        <v>195254.05</v>
      </c>
      <c r="E4" s="2">
        <f>$M$1*Referencias!$B$1</f>
        <v>195254.05</v>
      </c>
      <c r="F4" s="2">
        <f>$M$1*Referencias!$B$1</f>
        <v>195254.05</v>
      </c>
      <c r="G4" s="2">
        <f>$M$1*Referencias!$B$1</f>
        <v>195254.05</v>
      </c>
      <c r="H4" s="2">
        <f>$M$1*Referencias!$B$1</f>
        <v>195254.05</v>
      </c>
      <c r="I4" s="2">
        <f>$M$1*Referencias!$B$1</f>
        <v>195254.05</v>
      </c>
      <c r="J4" s="2">
        <f>$M$1*Referencias!$B$1</f>
        <v>195254.05</v>
      </c>
      <c r="K4" s="2">
        <f>$M$1*Referencias!$B$1</f>
        <v>195254.05</v>
      </c>
      <c r="L4" s="2">
        <f>$M$1*Referencias!$B$1</f>
        <v>195254.05</v>
      </c>
      <c r="M4" s="2">
        <f>$M$1*Referencias!$B$1</f>
        <v>195254.05</v>
      </c>
    </row>
    <row r="5" spans="1:13" x14ac:dyDescent="0.25">
      <c r="A5" t="s">
        <v>6</v>
      </c>
      <c r="B5" t="s">
        <v>7</v>
      </c>
      <c r="C5" s="2">
        <f>C4*0.1+C7*0.1</f>
        <v>44422.425999999999</v>
      </c>
      <c r="D5" s="2">
        <f t="shared" ref="D5:M5" si="0">D4*0.1+D7*0.1</f>
        <v>44422.425999999999</v>
      </c>
      <c r="E5" s="2">
        <f t="shared" si="0"/>
        <v>44422.425999999999</v>
      </c>
      <c r="F5" s="2">
        <f t="shared" si="0"/>
        <v>44422.425999999999</v>
      </c>
      <c r="G5" s="2">
        <f t="shared" si="0"/>
        <v>44422.425999999999</v>
      </c>
      <c r="H5" s="2">
        <f t="shared" si="0"/>
        <v>44422.425999999999</v>
      </c>
      <c r="I5" s="2">
        <f t="shared" si="0"/>
        <v>44422.425999999999</v>
      </c>
      <c r="J5" s="2">
        <f t="shared" si="0"/>
        <v>44422.425999999999</v>
      </c>
      <c r="K5" s="2">
        <f t="shared" si="0"/>
        <v>44422.425999999999</v>
      </c>
      <c r="L5" s="2">
        <f t="shared" si="0"/>
        <v>44422.425999999999</v>
      </c>
      <c r="M5" s="2">
        <f t="shared" si="0"/>
        <v>44422.425999999999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58576.214999999997</v>
      </c>
      <c r="E6" s="2">
        <f t="shared" si="1"/>
        <v>78101.62</v>
      </c>
      <c r="F6" s="2">
        <f t="shared" si="1"/>
        <v>97627.024999999994</v>
      </c>
      <c r="G6" s="2">
        <f t="shared" si="1"/>
        <v>117152.43</v>
      </c>
      <c r="H6" s="2">
        <f t="shared" si="1"/>
        <v>136677.83499999999</v>
      </c>
      <c r="I6" s="2">
        <f t="shared" si="1"/>
        <v>156203.24</v>
      </c>
      <c r="J6" s="2">
        <f t="shared" si="1"/>
        <v>175728.64499999999</v>
      </c>
      <c r="K6" s="2">
        <f t="shared" si="1"/>
        <v>195254.05</v>
      </c>
      <c r="L6" s="2">
        <f t="shared" si="1"/>
        <v>214779.45500000002</v>
      </c>
      <c r="M6" s="2">
        <f t="shared" si="1"/>
        <v>234304.86</v>
      </c>
    </row>
    <row r="7" spans="1:13" x14ac:dyDescent="0.25">
      <c r="A7" t="s">
        <v>9</v>
      </c>
      <c r="B7" t="s">
        <v>5</v>
      </c>
      <c r="C7" s="2">
        <f>Referencias!B18</f>
        <v>248970.21</v>
      </c>
      <c r="D7" s="2">
        <f>C7</f>
        <v>248970.21</v>
      </c>
      <c r="E7" s="2">
        <f t="shared" ref="E7:M7" si="2">D7</f>
        <v>248970.21</v>
      </c>
      <c r="F7" s="2">
        <f t="shared" si="2"/>
        <v>248970.21</v>
      </c>
      <c r="G7" s="2">
        <f t="shared" si="2"/>
        <v>248970.21</v>
      </c>
      <c r="H7" s="2">
        <f t="shared" si="2"/>
        <v>248970.21</v>
      </c>
      <c r="I7" s="2">
        <f t="shared" si="2"/>
        <v>248970.21</v>
      </c>
      <c r="J7" s="2">
        <f t="shared" si="2"/>
        <v>248970.21</v>
      </c>
      <c r="K7" s="2">
        <f t="shared" si="2"/>
        <v>248970.21</v>
      </c>
      <c r="L7" s="2">
        <f t="shared" si="2"/>
        <v>248970.21</v>
      </c>
      <c r="M7" s="2">
        <f t="shared" si="2"/>
        <v>248970.21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3">D7*D3</f>
        <v>74691.062999999995</v>
      </c>
      <c r="E8" s="2">
        <f t="shared" si="3"/>
        <v>99588.084000000003</v>
      </c>
      <c r="F8" s="2">
        <f t="shared" si="3"/>
        <v>124485.105</v>
      </c>
      <c r="G8" s="2">
        <f t="shared" si="3"/>
        <v>149382.12599999999</v>
      </c>
      <c r="H8" s="2">
        <f t="shared" si="3"/>
        <v>174279.147</v>
      </c>
      <c r="I8" s="2">
        <f t="shared" si="3"/>
        <v>199176.16800000001</v>
      </c>
      <c r="J8" s="2">
        <f t="shared" si="3"/>
        <v>224073.18899999998</v>
      </c>
      <c r="K8" s="2">
        <f t="shared" si="3"/>
        <v>248970.21</v>
      </c>
      <c r="L8" s="2">
        <f t="shared" si="3"/>
        <v>273867.23100000003</v>
      </c>
      <c r="M8" s="2">
        <f t="shared" si="3"/>
        <v>298764.25199999998</v>
      </c>
    </row>
    <row r="9" spans="1:13" x14ac:dyDescent="0.25">
      <c r="A9" t="s">
        <v>78</v>
      </c>
      <c r="B9" t="s">
        <v>7</v>
      </c>
      <c r="C9" s="2">
        <f>(C4+C7)*0.15</f>
        <v>66633.638999999996</v>
      </c>
      <c r="D9" s="2">
        <f t="shared" ref="D9:M9" si="4">(D4+D7)*0.15</f>
        <v>66633.638999999996</v>
      </c>
      <c r="E9" s="2">
        <f t="shared" si="4"/>
        <v>66633.638999999996</v>
      </c>
      <c r="F9" s="2">
        <f t="shared" si="4"/>
        <v>66633.638999999996</v>
      </c>
      <c r="G9" s="2">
        <f t="shared" si="4"/>
        <v>66633.638999999996</v>
      </c>
      <c r="H9" s="2">
        <f t="shared" si="4"/>
        <v>66633.638999999996</v>
      </c>
      <c r="I9" s="2">
        <f t="shared" si="4"/>
        <v>66633.638999999996</v>
      </c>
      <c r="J9" s="2">
        <f t="shared" si="4"/>
        <v>66633.638999999996</v>
      </c>
      <c r="K9" s="2">
        <f t="shared" si="4"/>
        <v>66633.638999999996</v>
      </c>
      <c r="L9" s="2">
        <f t="shared" si="4"/>
        <v>66633.638999999996</v>
      </c>
      <c r="M9" s="2">
        <f t="shared" si="4"/>
        <v>66633.638999999996</v>
      </c>
    </row>
    <row r="10" spans="1:13" x14ac:dyDescent="0.25">
      <c r="A10" t="s">
        <v>11</v>
      </c>
      <c r="B10" t="s">
        <v>12</v>
      </c>
      <c r="C10" s="2">
        <f>Referencias!B27</f>
        <v>150335.64000000001</v>
      </c>
      <c r="D10" s="2">
        <f>C10</f>
        <v>150335.64000000001</v>
      </c>
      <c r="E10" s="2">
        <f>D10</f>
        <v>150335.64000000001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Referencias!B28</f>
        <v>186286.46</v>
      </c>
      <c r="G11" s="2">
        <f>F11</f>
        <v>186286.46</v>
      </c>
      <c r="H11" s="2">
        <f t="shared" ref="H11:M11" si="5">G11</f>
        <v>186286.46</v>
      </c>
      <c r="I11" s="2">
        <f t="shared" si="5"/>
        <v>186286.46</v>
      </c>
      <c r="J11" s="2">
        <f t="shared" si="5"/>
        <v>186286.46</v>
      </c>
      <c r="K11" s="2">
        <f t="shared" si="5"/>
        <v>186286.46</v>
      </c>
      <c r="L11" s="2">
        <f t="shared" si="5"/>
        <v>186286.46</v>
      </c>
      <c r="M11" s="2">
        <f t="shared" si="5"/>
        <v>186286.46</v>
      </c>
    </row>
    <row r="12" spans="1:13" x14ac:dyDescent="0.25">
      <c r="A12" t="s">
        <v>14</v>
      </c>
      <c r="B12" t="s">
        <v>12</v>
      </c>
      <c r="C12" s="2">
        <f>IF(Referencias!H3&gt;0,Referencias!H3,0)</f>
        <v>68530.817725000088</v>
      </c>
      <c r="D12" s="2">
        <f>IF(Referencias!I3&gt;0,Referencias!I3,0)</f>
        <v>0</v>
      </c>
      <c r="E12" s="2">
        <f>IF(Referencias!J3&gt;0,Referencias!J3,0)</f>
        <v>0</v>
      </c>
      <c r="F12" s="2">
        <f>IF(Referencias!K3&gt;0,Referencias!K3,0)</f>
        <v>0</v>
      </c>
      <c r="G12" s="2">
        <f>IF(Referencias!L3&gt;0,Referencias!L3,0)</f>
        <v>0</v>
      </c>
      <c r="H12" s="2">
        <f>IF(Referencias!M3&gt;0,Referencias!M3,0)</f>
        <v>0</v>
      </c>
      <c r="I12" s="2">
        <f>IF(Referencias!N3&gt;0,Referencias!N3,0)</f>
        <v>0</v>
      </c>
      <c r="J12" s="2">
        <f>IF(Referencias!O3&gt;0,Referencias!O3,0)</f>
        <v>0</v>
      </c>
      <c r="K12" s="2">
        <f>IF(Referencias!P3&gt;0,Referencias!P3,0)</f>
        <v>0</v>
      </c>
      <c r="L12" s="2">
        <f>IF(Referencias!Q3&gt;0,Referencias!Q3,0)</f>
        <v>0</v>
      </c>
      <c r="M12" s="2">
        <f>IF(Referencias!R3&gt;0,Referencias!R3,0)</f>
        <v>0</v>
      </c>
    </row>
    <row r="13" spans="1:13" x14ac:dyDescent="0.25">
      <c r="A13" t="s">
        <v>15</v>
      </c>
      <c r="B13" t="s">
        <v>12</v>
      </c>
      <c r="C13" s="2">
        <f>Referencias!B22</f>
        <v>34000</v>
      </c>
      <c r="D13" s="2">
        <f>C13</f>
        <v>34000</v>
      </c>
      <c r="E13" s="2">
        <f t="shared" ref="E13:M16" si="6">D13</f>
        <v>34000</v>
      </c>
      <c r="F13" s="2">
        <f t="shared" si="6"/>
        <v>34000</v>
      </c>
      <c r="G13" s="2">
        <f t="shared" si="6"/>
        <v>34000</v>
      </c>
      <c r="H13" s="2">
        <f t="shared" si="6"/>
        <v>34000</v>
      </c>
      <c r="I13" s="2">
        <f t="shared" si="6"/>
        <v>34000</v>
      </c>
      <c r="J13" s="2">
        <f t="shared" si="6"/>
        <v>34000</v>
      </c>
      <c r="K13" s="2">
        <f t="shared" si="6"/>
        <v>34000</v>
      </c>
      <c r="L13" s="2">
        <f t="shared" si="6"/>
        <v>34000</v>
      </c>
      <c r="M13" s="2">
        <f t="shared" si="6"/>
        <v>34000</v>
      </c>
    </row>
    <row r="14" spans="1:13" hidden="1" x14ac:dyDescent="0.25">
      <c r="A14" t="s">
        <v>16</v>
      </c>
      <c r="B14" t="s">
        <v>12</v>
      </c>
      <c r="C14" s="2">
        <f>Referencias!B23</f>
        <v>0</v>
      </c>
      <c r="D14" s="2">
        <f>C14</f>
        <v>0</v>
      </c>
      <c r="E14" s="2">
        <f t="shared" si="6"/>
        <v>0</v>
      </c>
      <c r="F14" s="2">
        <f t="shared" si="6"/>
        <v>0</v>
      </c>
      <c r="G14" s="2">
        <f t="shared" si="6"/>
        <v>0</v>
      </c>
      <c r="H14" s="2">
        <f t="shared" si="6"/>
        <v>0</v>
      </c>
      <c r="I14" s="2">
        <f t="shared" si="6"/>
        <v>0</v>
      </c>
      <c r="J14" s="2">
        <f t="shared" si="6"/>
        <v>0</v>
      </c>
      <c r="K14" s="2">
        <f t="shared" si="6"/>
        <v>0</v>
      </c>
      <c r="L14" s="2">
        <f t="shared" si="6"/>
        <v>0</v>
      </c>
      <c r="M14" s="2">
        <f t="shared" si="6"/>
        <v>0</v>
      </c>
    </row>
    <row r="15" spans="1:13" hidden="1" x14ac:dyDescent="0.25">
      <c r="A15" t="s">
        <v>17</v>
      </c>
      <c r="B15" t="s">
        <v>12</v>
      </c>
      <c r="C15" s="2">
        <f>Referencias!B26</f>
        <v>0</v>
      </c>
      <c r="D15" s="2">
        <f>C15</f>
        <v>0</v>
      </c>
      <c r="E15" s="2">
        <f t="shared" si="6"/>
        <v>0</v>
      </c>
      <c r="F15" s="2">
        <f t="shared" si="6"/>
        <v>0</v>
      </c>
      <c r="G15" s="2">
        <f t="shared" si="6"/>
        <v>0</v>
      </c>
      <c r="H15" s="2">
        <f t="shared" si="6"/>
        <v>0</v>
      </c>
      <c r="I15" s="2">
        <f t="shared" si="6"/>
        <v>0</v>
      </c>
      <c r="J15" s="2">
        <f t="shared" si="6"/>
        <v>0</v>
      </c>
      <c r="K15" s="2">
        <f t="shared" si="6"/>
        <v>0</v>
      </c>
      <c r="L15" s="2">
        <f t="shared" si="6"/>
        <v>0</v>
      </c>
      <c r="M15" s="2">
        <f t="shared" si="6"/>
        <v>0</v>
      </c>
    </row>
    <row r="16" spans="1:13" x14ac:dyDescent="0.25">
      <c r="A16" t="s">
        <v>18</v>
      </c>
      <c r="B16" t="s">
        <v>12</v>
      </c>
      <c r="C16" s="2">
        <f>Referencias!B25</f>
        <v>30000</v>
      </c>
      <c r="D16" s="2">
        <f>C16</f>
        <v>30000</v>
      </c>
      <c r="E16" s="2">
        <f t="shared" si="6"/>
        <v>30000</v>
      </c>
      <c r="F16" s="2">
        <f t="shared" si="6"/>
        <v>30000</v>
      </c>
      <c r="G16" s="2">
        <f t="shared" si="6"/>
        <v>30000</v>
      </c>
      <c r="H16" s="2">
        <f t="shared" si="6"/>
        <v>30000</v>
      </c>
      <c r="I16" s="2">
        <f t="shared" si="6"/>
        <v>30000</v>
      </c>
      <c r="J16" s="2">
        <f t="shared" si="6"/>
        <v>30000</v>
      </c>
      <c r="K16" s="2">
        <f t="shared" si="6"/>
        <v>30000</v>
      </c>
      <c r="L16" s="2">
        <f t="shared" si="6"/>
        <v>30000</v>
      </c>
      <c r="M16" s="2">
        <f t="shared" si="6"/>
        <v>30000</v>
      </c>
    </row>
    <row r="17" spans="1:13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idden="1" x14ac:dyDescent="0.25">
      <c r="A18" t="s">
        <v>19</v>
      </c>
      <c r="C18" s="2">
        <f>C4+C5+C6+C7+C8+C11</f>
        <v>488646.68599999999</v>
      </c>
      <c r="D18" s="2">
        <f t="shared" ref="D18:M18" si="7">D4+D5+D6+D7+D8+D11</f>
        <v>621913.96399999992</v>
      </c>
      <c r="E18" s="2">
        <f t="shared" si="7"/>
        <v>666336.39</v>
      </c>
      <c r="F18" s="2">
        <f t="shared" si="7"/>
        <v>897045.27599999995</v>
      </c>
      <c r="G18" s="2">
        <f t="shared" si="7"/>
        <v>941467.70199999982</v>
      </c>
      <c r="H18" s="2">
        <f t="shared" si="7"/>
        <v>985890.12799999991</v>
      </c>
      <c r="I18" s="2">
        <f t="shared" si="7"/>
        <v>1030312.554</v>
      </c>
      <c r="J18" s="2">
        <f t="shared" si="7"/>
        <v>1074734.98</v>
      </c>
      <c r="K18" s="2">
        <f t="shared" si="7"/>
        <v>1119157.406</v>
      </c>
      <c r="L18" s="2">
        <f t="shared" si="7"/>
        <v>1163579.8319999999</v>
      </c>
      <c r="M18" s="2">
        <f t="shared" si="7"/>
        <v>1208002.2579999999</v>
      </c>
    </row>
    <row r="19" spans="1:13" ht="15.75" hidden="1" thickBot="1" x14ac:dyDescent="0.3">
      <c r="A19" t="s">
        <v>20</v>
      </c>
      <c r="C19" s="2">
        <f t="shared" ref="C19:M19" si="8">C10+C12+C13+C14+C15+C16</f>
        <v>282866.4577250001</v>
      </c>
      <c r="D19" s="2">
        <f t="shared" si="8"/>
        <v>214335.64</v>
      </c>
      <c r="E19" s="2">
        <f t="shared" si="8"/>
        <v>214335.64</v>
      </c>
      <c r="F19" s="2">
        <f t="shared" si="8"/>
        <v>64000</v>
      </c>
      <c r="G19" s="2">
        <f t="shared" si="8"/>
        <v>64000</v>
      </c>
      <c r="H19" s="2">
        <f t="shared" si="8"/>
        <v>64000</v>
      </c>
      <c r="I19" s="2">
        <f t="shared" si="8"/>
        <v>64000</v>
      </c>
      <c r="J19" s="2">
        <f t="shared" si="8"/>
        <v>64000</v>
      </c>
      <c r="K19" s="2">
        <f t="shared" si="8"/>
        <v>64000</v>
      </c>
      <c r="L19" s="2">
        <f t="shared" si="8"/>
        <v>64000</v>
      </c>
      <c r="M19" s="2">
        <f t="shared" si="8"/>
        <v>64000</v>
      </c>
    </row>
    <row r="20" spans="1:13" ht="15.75" thickBot="1" x14ac:dyDescent="0.3">
      <c r="A20" s="8" t="s">
        <v>21</v>
      </c>
      <c r="B20" s="5"/>
      <c r="C20" s="10">
        <f t="shared" ref="C20:M20" si="9">SUM(C4:C16)</f>
        <v>838146.78272500006</v>
      </c>
      <c r="D20" s="10">
        <f t="shared" si="9"/>
        <v>902883.2429999999</v>
      </c>
      <c r="E20" s="10">
        <f t="shared" si="9"/>
        <v>947305.66899999999</v>
      </c>
      <c r="F20" s="10">
        <f t="shared" si="9"/>
        <v>1027678.9149999999</v>
      </c>
      <c r="G20" s="10">
        <f t="shared" si="9"/>
        <v>1072101.3409999998</v>
      </c>
      <c r="H20" s="10">
        <f t="shared" si="9"/>
        <v>1116523.767</v>
      </c>
      <c r="I20" s="10">
        <f t="shared" si="9"/>
        <v>1160946.193</v>
      </c>
      <c r="J20" s="10">
        <f t="shared" si="9"/>
        <v>1205368.6189999999</v>
      </c>
      <c r="K20" s="10">
        <f t="shared" si="9"/>
        <v>1249791.0449999999</v>
      </c>
      <c r="L20" s="10">
        <f t="shared" si="9"/>
        <v>1294213.4709999999</v>
      </c>
      <c r="M20" s="10">
        <f t="shared" si="9"/>
        <v>1338635.8969999999</v>
      </c>
    </row>
    <row r="21" spans="1:13" ht="15.75" thickBot="1" x14ac:dyDescent="0.3">
      <c r="A21" s="11" t="s">
        <v>22</v>
      </c>
      <c r="B21" s="14"/>
      <c r="C21" s="13">
        <f>(C4+C5+C6+C7+C8+C11+C9)*0.807+C13+C14+C15+C12+C10+C16</f>
        <v>730977.68</v>
      </c>
      <c r="D21" s="13">
        <f t="shared" ref="D21:M21" si="10">(D4+D5+D6+D7+D8+D11+D9)*0.807+D13+D14+D15+D12+D10+D16</f>
        <v>769993.55562100001</v>
      </c>
      <c r="E21" s="13">
        <f t="shared" si="10"/>
        <v>805842.45340300002</v>
      </c>
      <c r="F21" s="13">
        <f t="shared" si="10"/>
        <v>841688.88440500002</v>
      </c>
      <c r="G21" s="13">
        <f t="shared" si="10"/>
        <v>877537.78218699992</v>
      </c>
      <c r="H21" s="13">
        <f t="shared" si="10"/>
        <v>913386.67996900005</v>
      </c>
      <c r="I21" s="13">
        <f t="shared" si="10"/>
        <v>949235.57775100006</v>
      </c>
      <c r="J21" s="13">
        <f t="shared" si="10"/>
        <v>985084.47553299996</v>
      </c>
      <c r="K21" s="13">
        <f t="shared" si="10"/>
        <v>1020933.373315</v>
      </c>
      <c r="L21" s="13">
        <f t="shared" si="10"/>
        <v>1056782.271097</v>
      </c>
      <c r="M21" s="13">
        <f t="shared" si="10"/>
        <v>1092631.168879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ECC6-0080-4229-A0BE-01E4C3EBDAF0}">
  <dimension ref="A1:M19"/>
  <sheetViews>
    <sheetView workbookViewId="0">
      <selection activeCell="C18" sqref="C18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2070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356102.1</v>
      </c>
      <c r="D4" s="2">
        <f>$M$1*Referencias!$B$1</f>
        <v>356102.1</v>
      </c>
      <c r="E4" s="2">
        <f>$M$1*Referencias!$B$1</f>
        <v>356102.1</v>
      </c>
      <c r="F4" s="2">
        <f>$M$1*Referencias!$B$1</f>
        <v>356102.1</v>
      </c>
      <c r="G4" s="2">
        <f>$M$1*Referencias!$B$1</f>
        <v>356102.1</v>
      </c>
      <c r="H4" s="2">
        <f>$M$1*Referencias!$B$1</f>
        <v>356102.1</v>
      </c>
      <c r="I4" s="2">
        <f>$M$1*Referencias!$B$1</f>
        <v>356102.1</v>
      </c>
      <c r="J4" s="2">
        <f>$M$1*Referencias!$B$1</f>
        <v>356102.1</v>
      </c>
      <c r="K4" s="2">
        <f>$M$1*Referencias!$B$1</f>
        <v>356102.1</v>
      </c>
      <c r="L4" s="2">
        <f>$M$1*Referencias!$B$1</f>
        <v>356102.1</v>
      </c>
      <c r="M4" s="2">
        <f>$M$1*Referencias!$B$1</f>
        <v>356102.1</v>
      </c>
    </row>
    <row r="5" spans="1:13" x14ac:dyDescent="0.25">
      <c r="A5" t="s">
        <v>6</v>
      </c>
      <c r="B5" t="s">
        <v>7</v>
      </c>
      <c r="C5" s="2">
        <f>C4*0.1+C7*0.1</f>
        <v>85404.252000000008</v>
      </c>
      <c r="D5" s="2">
        <f t="shared" ref="D5:M5" si="0">D4*0.1+D7*0.1</f>
        <v>85404.252000000008</v>
      </c>
      <c r="E5" s="2">
        <f t="shared" si="0"/>
        <v>85404.252000000008</v>
      </c>
      <c r="F5" s="2">
        <f t="shared" si="0"/>
        <v>85404.252000000008</v>
      </c>
      <c r="G5" s="2">
        <f t="shared" si="0"/>
        <v>85404.252000000008</v>
      </c>
      <c r="H5" s="2">
        <f t="shared" si="0"/>
        <v>85404.252000000008</v>
      </c>
      <c r="I5" s="2">
        <f t="shared" si="0"/>
        <v>85404.252000000008</v>
      </c>
      <c r="J5" s="2">
        <f t="shared" si="0"/>
        <v>85404.252000000008</v>
      </c>
      <c r="K5" s="2">
        <f t="shared" si="0"/>
        <v>85404.252000000008</v>
      </c>
      <c r="L5" s="2">
        <f t="shared" si="0"/>
        <v>85404.252000000008</v>
      </c>
      <c r="M5" s="2">
        <f t="shared" si="0"/>
        <v>85404.252000000008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106830.62999999999</v>
      </c>
      <c r="E6" s="2">
        <f t="shared" si="1"/>
        <v>142440.84</v>
      </c>
      <c r="F6" s="2">
        <f t="shared" si="1"/>
        <v>178051.05</v>
      </c>
      <c r="G6" s="2">
        <f t="shared" si="1"/>
        <v>213661.25999999998</v>
      </c>
      <c r="H6" s="2">
        <f t="shared" si="1"/>
        <v>249271.46999999997</v>
      </c>
      <c r="I6" s="2">
        <f t="shared" si="1"/>
        <v>284881.68</v>
      </c>
      <c r="J6" s="2">
        <f t="shared" si="1"/>
        <v>320491.89</v>
      </c>
      <c r="K6" s="2">
        <f t="shared" si="1"/>
        <v>356102.1</v>
      </c>
      <c r="L6" s="2">
        <f t="shared" si="1"/>
        <v>391712.31</v>
      </c>
      <c r="M6" s="2">
        <f t="shared" si="1"/>
        <v>427322.51999999996</v>
      </c>
    </row>
    <row r="7" spans="1:13" x14ac:dyDescent="0.25">
      <c r="A7" t="s">
        <v>9</v>
      </c>
      <c r="B7" t="s">
        <v>5</v>
      </c>
      <c r="C7" s="2">
        <f>'Maestrx JS'!C7*2</f>
        <v>497940.42</v>
      </c>
      <c r="D7" s="2">
        <f>'Maestrx JS'!D7*2</f>
        <v>497940.42</v>
      </c>
      <c r="E7" s="2">
        <f>'Maestrx JS'!E7*2</f>
        <v>497940.42</v>
      </c>
      <c r="F7" s="2">
        <f>'Maestrx JS'!F7*2</f>
        <v>497940.42</v>
      </c>
      <c r="G7" s="2">
        <f>'Maestrx JS'!G7*2</f>
        <v>497940.42</v>
      </c>
      <c r="H7" s="2">
        <f>'Maestrx JS'!H7*2</f>
        <v>497940.42</v>
      </c>
      <c r="I7" s="2">
        <f>'Maestrx JS'!I7*2</f>
        <v>497940.42</v>
      </c>
      <c r="J7" s="2">
        <f>'Maestrx JS'!J7*2</f>
        <v>497940.42</v>
      </c>
      <c r="K7" s="2">
        <f>'Maestrx JS'!K7*2</f>
        <v>497940.42</v>
      </c>
      <c r="L7" s="2">
        <f>'Maestrx JS'!L7*2</f>
        <v>497940.42</v>
      </c>
      <c r="M7" s="2">
        <f>'Maestrx JS'!M7*2</f>
        <v>497940.42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2">D7*D3</f>
        <v>149382.12599999999</v>
      </c>
      <c r="E8" s="2">
        <f t="shared" si="2"/>
        <v>199176.16800000001</v>
      </c>
      <c r="F8" s="2">
        <f t="shared" si="2"/>
        <v>248970.21</v>
      </c>
      <c r="G8" s="2">
        <f t="shared" si="2"/>
        <v>298764.25199999998</v>
      </c>
      <c r="H8" s="2">
        <f t="shared" si="2"/>
        <v>348558.29399999999</v>
      </c>
      <c r="I8" s="2">
        <f t="shared" si="2"/>
        <v>398352.33600000001</v>
      </c>
      <c r="J8" s="2">
        <f t="shared" si="2"/>
        <v>448146.37799999997</v>
      </c>
      <c r="K8" s="2">
        <f t="shared" si="2"/>
        <v>497940.42</v>
      </c>
      <c r="L8" s="2">
        <f t="shared" si="2"/>
        <v>547734.46200000006</v>
      </c>
      <c r="M8" s="2">
        <f t="shared" si="2"/>
        <v>597528.50399999996</v>
      </c>
    </row>
    <row r="9" spans="1:13" x14ac:dyDescent="0.25">
      <c r="A9" t="s">
        <v>78</v>
      </c>
      <c r="B9" t="s">
        <v>7</v>
      </c>
      <c r="C9" s="2">
        <f>(C4+C7)*0.15</f>
        <v>128106.378</v>
      </c>
      <c r="D9" s="2">
        <f t="shared" ref="D9:M9" si="3">(D4+D7)*0.15</f>
        <v>128106.378</v>
      </c>
      <c r="E9" s="2">
        <f t="shared" si="3"/>
        <v>128106.378</v>
      </c>
      <c r="F9" s="2">
        <f t="shared" si="3"/>
        <v>128106.378</v>
      </c>
      <c r="G9" s="2">
        <f t="shared" si="3"/>
        <v>128106.378</v>
      </c>
      <c r="H9" s="2">
        <f t="shared" si="3"/>
        <v>128106.378</v>
      </c>
      <c r="I9" s="2">
        <f t="shared" si="3"/>
        <v>128106.378</v>
      </c>
      <c r="J9" s="2">
        <f t="shared" si="3"/>
        <v>128106.378</v>
      </c>
      <c r="K9" s="2">
        <f t="shared" si="3"/>
        <v>128106.378</v>
      </c>
      <c r="L9" s="2">
        <f t="shared" si="3"/>
        <v>128106.378</v>
      </c>
      <c r="M9" s="2">
        <f t="shared" si="3"/>
        <v>128106.378</v>
      </c>
    </row>
    <row r="10" spans="1:13" x14ac:dyDescent="0.25">
      <c r="A10" t="s">
        <v>11</v>
      </c>
      <c r="B10" t="s">
        <v>12</v>
      </c>
      <c r="C10" s="2">
        <f>'Maestrx JS'!C9*2</f>
        <v>300671.28000000003</v>
      </c>
      <c r="D10" s="2">
        <f>'Maestrx JS'!D9*2</f>
        <v>300671.28000000003</v>
      </c>
      <c r="E10" s="2">
        <f>'Maestrx JS'!E9*2</f>
        <v>300671.28000000003</v>
      </c>
      <c r="F10" s="2">
        <f>'Maestrx JS'!F9*2</f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'Maestrx JS'!F10*2</f>
        <v>372572.92</v>
      </c>
      <c r="G11" s="2">
        <f>'Maestrx JS'!G10*2</f>
        <v>372572.92</v>
      </c>
      <c r="H11" s="2">
        <f>'Maestrx JS'!H10*2</f>
        <v>372572.92</v>
      </c>
      <c r="I11" s="2">
        <f>'Maestrx JS'!I10*2</f>
        <v>372572.92</v>
      </c>
      <c r="J11" s="2">
        <f>'Maestrx JS'!J10*2</f>
        <v>372572.92</v>
      </c>
      <c r="K11" s="2">
        <f>'Maestrx JS'!K10*2</f>
        <v>372572.92</v>
      </c>
      <c r="L11" s="2">
        <f>'Maestrx JS'!L10*2</f>
        <v>372572.92</v>
      </c>
      <c r="M11" s="2">
        <f>'Maestrx JS'!M10*2</f>
        <v>372572.92</v>
      </c>
    </row>
    <row r="12" spans="1:13" x14ac:dyDescent="0.25">
      <c r="A12" t="s">
        <v>14</v>
      </c>
      <c r="B12" t="s">
        <v>12</v>
      </c>
      <c r="C12" s="2">
        <f>IF(Referencias!H2&gt;0,Referencias!H2,0)</f>
        <v>171768.68794999993</v>
      </c>
      <c r="D12" s="2">
        <f>IF(Referencias!I2&gt;0,Referencias!I2,0)</f>
        <v>0</v>
      </c>
      <c r="E12" s="2">
        <f>IF(Referencias!J2&gt;0,Referencias!J2,0)</f>
        <v>0</v>
      </c>
      <c r="F12" s="2">
        <f>IF(Referencias!K2&gt;0,Referencias!K2,0)</f>
        <v>0</v>
      </c>
      <c r="G12" s="2">
        <f>IF(Referencias!L2&gt;0,Referencias!L2,0)</f>
        <v>0</v>
      </c>
      <c r="H12" s="2">
        <f>IF(Referencias!M2&gt;0,Referencias!M2,0)</f>
        <v>0</v>
      </c>
      <c r="I12" s="2">
        <f>IF(Referencias!N2&gt;0,Referencias!N2,0)</f>
        <v>0</v>
      </c>
      <c r="J12" s="2">
        <f>IF(Referencias!O2&gt;0,Referencias!O2,0)</f>
        <v>0</v>
      </c>
      <c r="K12" s="2">
        <f>IF(Referencias!P2&gt;0,Referencias!P2,0)</f>
        <v>0</v>
      </c>
      <c r="L12" s="2">
        <f>IF(Referencias!Q2&gt;0,Referencias!Q2,0)</f>
        <v>0</v>
      </c>
      <c r="M12" s="2">
        <f>IF(Referencias!R2&gt;0,Referencias!R2,0)</f>
        <v>0</v>
      </c>
    </row>
    <row r="13" spans="1:13" x14ac:dyDescent="0.25">
      <c r="A13" t="s">
        <v>15</v>
      </c>
      <c r="B13" t="s">
        <v>12</v>
      </c>
      <c r="C13" s="2">
        <f>Referencias!C22</f>
        <v>68000</v>
      </c>
      <c r="D13" s="2">
        <f>C13</f>
        <v>68000</v>
      </c>
      <c r="E13" s="2">
        <f t="shared" ref="E13:M16" si="4">D13</f>
        <v>68000</v>
      </c>
      <c r="F13" s="2">
        <f t="shared" si="4"/>
        <v>68000</v>
      </c>
      <c r="G13" s="2">
        <f t="shared" si="4"/>
        <v>68000</v>
      </c>
      <c r="H13" s="2">
        <f t="shared" si="4"/>
        <v>68000</v>
      </c>
      <c r="I13" s="2">
        <f t="shared" si="4"/>
        <v>68000</v>
      </c>
      <c r="J13" s="2">
        <f t="shared" si="4"/>
        <v>68000</v>
      </c>
      <c r="K13" s="2">
        <f t="shared" si="4"/>
        <v>68000</v>
      </c>
      <c r="L13" s="2">
        <f t="shared" si="4"/>
        <v>68000</v>
      </c>
      <c r="M13" s="2">
        <f t="shared" si="4"/>
        <v>68000</v>
      </c>
    </row>
    <row r="14" spans="1:13" hidden="1" x14ac:dyDescent="0.25">
      <c r="A14" t="s">
        <v>16</v>
      </c>
      <c r="B14" t="s">
        <v>12</v>
      </c>
      <c r="C14" s="2">
        <f>Referencias!C23</f>
        <v>0</v>
      </c>
      <c r="D14" s="2">
        <f>C14</f>
        <v>0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 t="shared" si="4"/>
        <v>0</v>
      </c>
      <c r="J14" s="2">
        <f t="shared" si="4"/>
        <v>0</v>
      </c>
      <c r="K14" s="2">
        <f t="shared" si="4"/>
        <v>0</v>
      </c>
      <c r="L14" s="2">
        <f t="shared" si="4"/>
        <v>0</v>
      </c>
      <c r="M14" s="2">
        <f t="shared" si="4"/>
        <v>0</v>
      </c>
    </row>
    <row r="15" spans="1:13" hidden="1" x14ac:dyDescent="0.25">
      <c r="A15" t="s">
        <v>17</v>
      </c>
      <c r="B15" t="s">
        <v>12</v>
      </c>
      <c r="C15" s="2">
        <f>Referencias!C26</f>
        <v>0</v>
      </c>
      <c r="D15" s="2">
        <f>C15</f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</row>
    <row r="16" spans="1:13" x14ac:dyDescent="0.25">
      <c r="A16" t="s">
        <v>18</v>
      </c>
      <c r="B16" t="s">
        <v>12</v>
      </c>
      <c r="C16" s="2">
        <f>Referencias!C25</f>
        <v>60000</v>
      </c>
      <c r="D16" s="2">
        <f>C16</f>
        <v>60000</v>
      </c>
      <c r="E16" s="2">
        <f t="shared" si="4"/>
        <v>60000</v>
      </c>
      <c r="F16" s="2">
        <f t="shared" si="4"/>
        <v>60000</v>
      </c>
      <c r="G16" s="2">
        <f t="shared" si="4"/>
        <v>60000</v>
      </c>
      <c r="H16" s="2">
        <f t="shared" si="4"/>
        <v>60000</v>
      </c>
      <c r="I16" s="2">
        <f t="shared" si="4"/>
        <v>60000</v>
      </c>
      <c r="J16" s="2">
        <f t="shared" si="4"/>
        <v>60000</v>
      </c>
      <c r="K16" s="2">
        <f t="shared" si="4"/>
        <v>60000</v>
      </c>
      <c r="L16" s="2">
        <f t="shared" si="4"/>
        <v>60000</v>
      </c>
      <c r="M16" s="2">
        <f t="shared" si="4"/>
        <v>60000</v>
      </c>
    </row>
    <row r="17" spans="1:13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8" t="s">
        <v>21</v>
      </c>
      <c r="B18" s="5"/>
      <c r="C18" s="9">
        <f>SUM(C4:C16)</f>
        <v>1667993.1179499999</v>
      </c>
      <c r="D18" s="9">
        <f t="shared" ref="D18:L18" si="5">SUM(D4:D16)</f>
        <v>1752437.186</v>
      </c>
      <c r="E18" s="9">
        <f t="shared" si="5"/>
        <v>1837841.4380000001</v>
      </c>
      <c r="F18" s="9">
        <f t="shared" si="5"/>
        <v>1995147.3299999998</v>
      </c>
      <c r="G18" s="9">
        <f t="shared" si="5"/>
        <v>2080551.5819999999</v>
      </c>
      <c r="H18" s="9">
        <f t="shared" si="5"/>
        <v>2165955.8339999998</v>
      </c>
      <c r="I18" s="9">
        <f t="shared" si="5"/>
        <v>2251360.0859999997</v>
      </c>
      <c r="J18" s="9">
        <f t="shared" si="5"/>
        <v>2336764.338</v>
      </c>
      <c r="K18" s="9">
        <f t="shared" si="5"/>
        <v>2422168.59</v>
      </c>
      <c r="L18" s="9">
        <f t="shared" si="5"/>
        <v>2507572.8420000002</v>
      </c>
      <c r="M18" s="9">
        <f>SUM(M4:M16)</f>
        <v>2592977.094</v>
      </c>
    </row>
    <row r="19" spans="1:13" ht="15.75" thickBot="1" x14ac:dyDescent="0.3">
      <c r="A19" s="11" t="s">
        <v>22</v>
      </c>
      <c r="B19" s="12"/>
      <c r="C19" s="13">
        <f>(C4+C5+C6+C7+C8+C11+C9)*0.807+C13+C14+C15+C12+C10+C16</f>
        <v>1461955.36</v>
      </c>
      <c r="D19" s="13">
        <f t="shared" ref="D19:M19" si="6">(D4+D5+D6+D7+D8+D11+D9)*0.807+D13+D14+D15+D12+D10+D16</f>
        <v>1496950.3661420001</v>
      </c>
      <c r="E19" s="13">
        <f t="shared" si="6"/>
        <v>1565871.5975060002</v>
      </c>
      <c r="F19" s="13">
        <f t="shared" si="6"/>
        <v>1634787.8953100001</v>
      </c>
      <c r="G19" s="13">
        <f t="shared" si="6"/>
        <v>1703709.1266739999</v>
      </c>
      <c r="H19" s="13">
        <f t="shared" si="6"/>
        <v>1772630.3580379998</v>
      </c>
      <c r="I19" s="13">
        <f t="shared" si="6"/>
        <v>1841551.5894019997</v>
      </c>
      <c r="J19" s="13">
        <f t="shared" si="6"/>
        <v>1910472.8207660001</v>
      </c>
      <c r="K19" s="13">
        <f t="shared" si="6"/>
        <v>1979394.05213</v>
      </c>
      <c r="L19" s="13">
        <f t="shared" si="6"/>
        <v>2048315.2834940003</v>
      </c>
      <c r="M19" s="13">
        <f t="shared" si="6"/>
        <v>2117236.514858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372-54A7-429A-8605-23C23AFB442B}">
  <dimension ref="A1:M18"/>
  <sheetViews>
    <sheetView workbookViewId="0">
      <selection activeCell="C17" sqref="C17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85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832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143128.95999999999</v>
      </c>
      <c r="D4" s="2">
        <f>$M$1*Referencias!$B$1</f>
        <v>143128.95999999999</v>
      </c>
      <c r="E4" s="2">
        <f>$M$1*Referencias!$B$1</f>
        <v>143128.95999999999</v>
      </c>
      <c r="F4" s="2">
        <f>$M$1*Referencias!$B$1</f>
        <v>143128.95999999999</v>
      </c>
      <c r="G4" s="2">
        <f>$M$1*Referencias!$B$1</f>
        <v>143128.95999999999</v>
      </c>
      <c r="H4" s="2">
        <f>$M$1*Referencias!$B$1</f>
        <v>143128.95999999999</v>
      </c>
      <c r="I4" s="2">
        <f>$M$1*Referencias!$B$1</f>
        <v>143128.95999999999</v>
      </c>
      <c r="J4" s="2">
        <f>$M$1*Referencias!$B$1</f>
        <v>143128.95999999999</v>
      </c>
      <c r="K4" s="2">
        <f>$M$1*Referencias!$B$1</f>
        <v>143128.95999999999</v>
      </c>
      <c r="L4" s="2">
        <f>$M$1*Referencias!$B$1</f>
        <v>143128.95999999999</v>
      </c>
      <c r="M4" s="2">
        <f>$M$1*Referencias!$B$1</f>
        <v>143128.95999999999</v>
      </c>
    </row>
    <row r="5" spans="1:13" x14ac:dyDescent="0.25">
      <c r="A5" t="s">
        <v>6</v>
      </c>
      <c r="B5" t="s">
        <v>7</v>
      </c>
      <c r="C5" s="2">
        <f>C4*0.1+C7*0.1</f>
        <v>38106.061000000002</v>
      </c>
      <c r="D5" s="2">
        <f t="shared" ref="D5:M5" si="0">D4*0.1+D7*0.1</f>
        <v>38106.061000000002</v>
      </c>
      <c r="E5" s="2">
        <f t="shared" si="0"/>
        <v>38106.061000000002</v>
      </c>
      <c r="F5" s="2">
        <f t="shared" si="0"/>
        <v>38106.061000000002</v>
      </c>
      <c r="G5" s="2">
        <f t="shared" si="0"/>
        <v>38106.061000000002</v>
      </c>
      <c r="H5" s="2">
        <f t="shared" si="0"/>
        <v>38106.061000000002</v>
      </c>
      <c r="I5" s="2">
        <f t="shared" si="0"/>
        <v>38106.061000000002</v>
      </c>
      <c r="J5" s="2">
        <f t="shared" si="0"/>
        <v>38106.061000000002</v>
      </c>
      <c r="K5" s="2">
        <f t="shared" si="0"/>
        <v>38106.061000000002</v>
      </c>
      <c r="L5" s="2">
        <f t="shared" si="0"/>
        <v>38106.061000000002</v>
      </c>
      <c r="M5" s="2">
        <f t="shared" si="0"/>
        <v>38106.061000000002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42938.687999999995</v>
      </c>
      <c r="E6" s="2">
        <f t="shared" si="1"/>
        <v>57251.584000000003</v>
      </c>
      <c r="F6" s="2">
        <f t="shared" si="1"/>
        <v>71564.479999999996</v>
      </c>
      <c r="G6" s="2">
        <f t="shared" si="1"/>
        <v>85877.375999999989</v>
      </c>
      <c r="H6" s="2">
        <f t="shared" si="1"/>
        <v>100190.27199999998</v>
      </c>
      <c r="I6" s="2">
        <f t="shared" si="1"/>
        <v>114503.16800000001</v>
      </c>
      <c r="J6" s="2">
        <f t="shared" si="1"/>
        <v>128816.064</v>
      </c>
      <c r="K6" s="2">
        <f t="shared" si="1"/>
        <v>143128.95999999999</v>
      </c>
      <c r="L6" s="2">
        <f t="shared" si="1"/>
        <v>157441.856</v>
      </c>
      <c r="M6" s="2">
        <f t="shared" si="1"/>
        <v>171754.75199999998</v>
      </c>
    </row>
    <row r="7" spans="1:13" x14ac:dyDescent="0.25">
      <c r="A7" t="s">
        <v>9</v>
      </c>
      <c r="B7" t="s">
        <v>5</v>
      </c>
      <c r="C7" s="2">
        <f>Referencias!E18</f>
        <v>237931.65</v>
      </c>
      <c r="D7" s="2">
        <f>C7</f>
        <v>237931.65</v>
      </c>
      <c r="E7" s="2">
        <f t="shared" ref="E7:M7" si="2">D7</f>
        <v>237931.65</v>
      </c>
      <c r="F7" s="2">
        <f t="shared" si="2"/>
        <v>237931.65</v>
      </c>
      <c r="G7" s="2">
        <f t="shared" si="2"/>
        <v>237931.65</v>
      </c>
      <c r="H7" s="2">
        <f t="shared" si="2"/>
        <v>237931.65</v>
      </c>
      <c r="I7" s="2">
        <f t="shared" si="2"/>
        <v>237931.65</v>
      </c>
      <c r="J7" s="2">
        <f t="shared" si="2"/>
        <v>237931.65</v>
      </c>
      <c r="K7" s="2">
        <f t="shared" si="2"/>
        <v>237931.65</v>
      </c>
      <c r="L7" s="2">
        <f t="shared" si="2"/>
        <v>237931.65</v>
      </c>
      <c r="M7" s="2">
        <f t="shared" si="2"/>
        <v>237931.65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3">D7*D3</f>
        <v>71379.494999999995</v>
      </c>
      <c r="E8" s="2">
        <f t="shared" si="3"/>
        <v>95172.66</v>
      </c>
      <c r="F8" s="2">
        <f t="shared" si="3"/>
        <v>118965.825</v>
      </c>
      <c r="G8" s="2">
        <f t="shared" si="3"/>
        <v>142758.99</v>
      </c>
      <c r="H8" s="2">
        <f t="shared" si="3"/>
        <v>166552.155</v>
      </c>
      <c r="I8" s="2">
        <f t="shared" si="3"/>
        <v>190345.32</v>
      </c>
      <c r="J8" s="2">
        <f t="shared" si="3"/>
        <v>214138.48499999999</v>
      </c>
      <c r="K8" s="2">
        <f t="shared" si="3"/>
        <v>237931.65</v>
      </c>
      <c r="L8" s="2">
        <f t="shared" si="3"/>
        <v>261724.815</v>
      </c>
      <c r="M8" s="2">
        <f t="shared" si="3"/>
        <v>285517.98</v>
      </c>
    </row>
    <row r="9" spans="1:13" x14ac:dyDescent="0.25">
      <c r="A9" t="s">
        <v>11</v>
      </c>
      <c r="B9" t="s">
        <v>12</v>
      </c>
      <c r="C9" s="2">
        <f>Referencias!E27</f>
        <v>144255.38</v>
      </c>
      <c r="D9" s="2">
        <f>$C$9</f>
        <v>144255.38</v>
      </c>
      <c r="E9" s="2">
        <f>$C$9</f>
        <v>144255.38</v>
      </c>
      <c r="F9" s="2">
        <f>'Maestrx JS'!F9*2</f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Referencias!E28</f>
        <v>178762.58</v>
      </c>
      <c r="G10" s="2">
        <f>$F$10</f>
        <v>178762.58</v>
      </c>
      <c r="H10" s="2">
        <f t="shared" ref="H10:M10" si="4">$F$10</f>
        <v>178762.58</v>
      </c>
      <c r="I10" s="2">
        <f t="shared" si="4"/>
        <v>178762.58</v>
      </c>
      <c r="J10" s="2">
        <f t="shared" si="4"/>
        <v>178762.58</v>
      </c>
      <c r="K10" s="2">
        <f t="shared" si="4"/>
        <v>178762.58</v>
      </c>
      <c r="L10" s="2">
        <f t="shared" si="4"/>
        <v>178762.58</v>
      </c>
      <c r="M10" s="2">
        <f t="shared" si="4"/>
        <v>178762.58</v>
      </c>
    </row>
    <row r="11" spans="1:13" x14ac:dyDescent="0.25">
      <c r="A11" t="s">
        <v>14</v>
      </c>
      <c r="B11" t="s">
        <v>12</v>
      </c>
      <c r="C11" s="2">
        <f>IF(Referencias!H14&gt;0,Referencias!H14,0)</f>
        <v>13084.808115334832</v>
      </c>
      <c r="D11" s="2">
        <f>IF(Referencias!I14&gt;0,Referencias!I14,0)</f>
        <v>0</v>
      </c>
      <c r="E11" s="2">
        <f>IF(Referencias!J14&gt;0,Referencias!J14,0)</f>
        <v>0</v>
      </c>
      <c r="F11" s="2">
        <f>IF(Referencias!K14&gt;0,Referencias!K14,0)</f>
        <v>0</v>
      </c>
      <c r="G11" s="2">
        <f>IF(Referencias!L14&gt;0,Referencias!L14,0)</f>
        <v>0</v>
      </c>
      <c r="H11" s="2">
        <f>IF(Referencias!M14&gt;0,Referencias!M14,0)</f>
        <v>0</v>
      </c>
      <c r="I11" s="2">
        <f>IF(Referencias!N14&gt;0,Referencias!N14,0)</f>
        <v>0</v>
      </c>
      <c r="J11" s="2">
        <f>IF(Referencias!O14&gt;0,Referencias!O14,0)</f>
        <v>0</v>
      </c>
      <c r="K11" s="2">
        <f>IF(Referencias!P14&gt;0,Referencias!P14,0)</f>
        <v>0</v>
      </c>
      <c r="L11" s="2">
        <f>IF(Referencias!Q14&gt;0,Referencias!Q14,0)</f>
        <v>0</v>
      </c>
      <c r="M11" s="2">
        <f>IF(Referencias!R14&gt;0,Referencias!R14,0)</f>
        <v>0</v>
      </c>
    </row>
    <row r="12" spans="1:13" x14ac:dyDescent="0.25">
      <c r="A12" t="s">
        <v>15</v>
      </c>
      <c r="B12" t="s">
        <v>12</v>
      </c>
      <c r="C12" s="2">
        <f>Referencias!C22/2</f>
        <v>34000</v>
      </c>
      <c r="D12" s="2">
        <f>C12</f>
        <v>34000</v>
      </c>
      <c r="E12" s="2">
        <f t="shared" ref="E12:M15" si="5">D12</f>
        <v>34000</v>
      </c>
      <c r="F12" s="2">
        <f t="shared" si="5"/>
        <v>34000</v>
      </c>
      <c r="G12" s="2">
        <f t="shared" si="5"/>
        <v>34000</v>
      </c>
      <c r="H12" s="2">
        <f t="shared" si="5"/>
        <v>34000</v>
      </c>
      <c r="I12" s="2">
        <f t="shared" si="5"/>
        <v>34000</v>
      </c>
      <c r="J12" s="2">
        <f t="shared" si="5"/>
        <v>34000</v>
      </c>
      <c r="K12" s="2">
        <f t="shared" si="5"/>
        <v>34000</v>
      </c>
      <c r="L12" s="2">
        <f t="shared" si="5"/>
        <v>34000</v>
      </c>
      <c r="M12" s="2">
        <f t="shared" si="5"/>
        <v>34000</v>
      </c>
    </row>
    <row r="13" spans="1:13" hidden="1" x14ac:dyDescent="0.25">
      <c r="A13" t="s">
        <v>16</v>
      </c>
      <c r="B13" t="s">
        <v>12</v>
      </c>
      <c r="C13" s="2">
        <f>Referencias!C23</f>
        <v>0</v>
      </c>
      <c r="D13" s="2">
        <f>C13</f>
        <v>0</v>
      </c>
      <c r="E13" s="2">
        <f t="shared" si="5"/>
        <v>0</v>
      </c>
      <c r="F13" s="2">
        <f t="shared" si="5"/>
        <v>0</v>
      </c>
      <c r="G13" s="2">
        <f t="shared" si="5"/>
        <v>0</v>
      </c>
      <c r="H13" s="2">
        <f t="shared" si="5"/>
        <v>0</v>
      </c>
      <c r="I13" s="2">
        <f t="shared" si="5"/>
        <v>0</v>
      </c>
      <c r="J13" s="2">
        <f t="shared" si="5"/>
        <v>0</v>
      </c>
      <c r="K13" s="2">
        <f t="shared" si="5"/>
        <v>0</v>
      </c>
      <c r="L13" s="2">
        <f t="shared" si="5"/>
        <v>0</v>
      </c>
      <c r="M13" s="2">
        <f t="shared" si="5"/>
        <v>0</v>
      </c>
    </row>
    <row r="14" spans="1:13" hidden="1" x14ac:dyDescent="0.25">
      <c r="A14" t="s">
        <v>17</v>
      </c>
      <c r="B14" t="s">
        <v>12</v>
      </c>
      <c r="C14" s="2">
        <f>Referencias!C26</f>
        <v>0</v>
      </c>
      <c r="D14" s="2">
        <f>C14</f>
        <v>0</v>
      </c>
      <c r="E14" s="2">
        <f t="shared" si="5"/>
        <v>0</v>
      </c>
      <c r="F14" s="2">
        <f t="shared" si="5"/>
        <v>0</v>
      </c>
      <c r="G14" s="2">
        <f t="shared" si="5"/>
        <v>0</v>
      </c>
      <c r="H14" s="2">
        <f t="shared" si="5"/>
        <v>0</v>
      </c>
      <c r="I14" s="2">
        <f t="shared" si="5"/>
        <v>0</v>
      </c>
      <c r="J14" s="2">
        <f t="shared" si="5"/>
        <v>0</v>
      </c>
      <c r="K14" s="2">
        <f t="shared" si="5"/>
        <v>0</v>
      </c>
      <c r="L14" s="2">
        <f t="shared" si="5"/>
        <v>0</v>
      </c>
      <c r="M14" s="2">
        <f t="shared" si="5"/>
        <v>0</v>
      </c>
    </row>
    <row r="15" spans="1:13" x14ac:dyDescent="0.25">
      <c r="A15" t="s">
        <v>18</v>
      </c>
      <c r="B15" t="s">
        <v>12</v>
      </c>
      <c r="C15" s="2">
        <f>Referencias!B25/1135*M1</f>
        <v>21991.189427312776</v>
      </c>
      <c r="D15" s="2">
        <f>C15</f>
        <v>21991.189427312776</v>
      </c>
      <c r="E15" s="2">
        <f t="shared" si="5"/>
        <v>21991.189427312776</v>
      </c>
      <c r="F15" s="2">
        <f t="shared" si="5"/>
        <v>21991.189427312776</v>
      </c>
      <c r="G15" s="2">
        <f t="shared" si="5"/>
        <v>21991.189427312776</v>
      </c>
      <c r="H15" s="2">
        <f t="shared" si="5"/>
        <v>21991.189427312776</v>
      </c>
      <c r="I15" s="2">
        <f t="shared" si="5"/>
        <v>21991.189427312776</v>
      </c>
      <c r="J15" s="2">
        <f t="shared" si="5"/>
        <v>21991.189427312776</v>
      </c>
      <c r="K15" s="2">
        <f t="shared" si="5"/>
        <v>21991.189427312776</v>
      </c>
      <c r="L15" s="2">
        <f t="shared" si="5"/>
        <v>21991.189427312776</v>
      </c>
      <c r="M15" s="2">
        <f t="shared" si="5"/>
        <v>21991.189427312776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8" t="s">
        <v>21</v>
      </c>
      <c r="B17" s="5"/>
      <c r="C17" s="9">
        <f>SUM(C4:C15)</f>
        <v>632498.04854264762</v>
      </c>
      <c r="D17" s="9">
        <f t="shared" ref="D17:L17" si="6">SUM(D4:D15)</f>
        <v>733731.42342731287</v>
      </c>
      <c r="E17" s="9">
        <f t="shared" si="6"/>
        <v>771837.48442731285</v>
      </c>
      <c r="F17" s="9">
        <f t="shared" si="6"/>
        <v>844450.74542731268</v>
      </c>
      <c r="G17" s="9">
        <f t="shared" si="6"/>
        <v>882556.80642731278</v>
      </c>
      <c r="H17" s="9">
        <f t="shared" si="6"/>
        <v>920662.86742731277</v>
      </c>
      <c r="I17" s="9">
        <f t="shared" si="6"/>
        <v>958768.92842731276</v>
      </c>
      <c r="J17" s="9">
        <f t="shared" si="6"/>
        <v>996874.98942731274</v>
      </c>
      <c r="K17" s="9">
        <f t="shared" si="6"/>
        <v>1034981.0504273128</v>
      </c>
      <c r="L17" s="9">
        <f t="shared" si="6"/>
        <v>1073087.1114273125</v>
      </c>
      <c r="M17" s="9">
        <f>SUM(M4:M15)</f>
        <v>1111193.1724273127</v>
      </c>
    </row>
    <row r="18" spans="1:13" ht="15.75" thickBot="1" x14ac:dyDescent="0.3">
      <c r="A18" s="11" t="s">
        <v>22</v>
      </c>
      <c r="B18" s="12"/>
      <c r="C18" s="13">
        <f>(C4+C5+C6+C7+C8+C10)*0.807+C12+C13+C14+C11+C9+C15</f>
        <v>551598.88103964773</v>
      </c>
      <c r="D18" s="13">
        <f t="shared" ref="D18:M18" si="7">(D4+D5+D6+D7+D8+D10)*0.807+D12+D13+D14+D11+D9+D15</f>
        <v>630768.84660531289</v>
      </c>
      <c r="E18" s="13">
        <f t="shared" si="7"/>
        <v>661520.43783231289</v>
      </c>
      <c r="F18" s="13">
        <f t="shared" si="7"/>
        <v>692278.05111931276</v>
      </c>
      <c r="G18" s="13">
        <f t="shared" si="7"/>
        <v>723029.64234631287</v>
      </c>
      <c r="H18" s="13">
        <f t="shared" si="7"/>
        <v>753781.23357331287</v>
      </c>
      <c r="I18" s="13">
        <f t="shared" si="7"/>
        <v>784532.82480031287</v>
      </c>
      <c r="J18" s="13">
        <f t="shared" si="7"/>
        <v>815284.41602731275</v>
      </c>
      <c r="K18" s="13">
        <f t="shared" si="7"/>
        <v>846036.00725431286</v>
      </c>
      <c r="L18" s="13">
        <f t="shared" si="7"/>
        <v>876787.59848131274</v>
      </c>
      <c r="M18" s="13">
        <f t="shared" si="7"/>
        <v>907539.18970831286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6513-5660-405A-892E-2739BE5BB154}">
  <dimension ref="A1:M42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20" bestFit="1" customWidth="1"/>
    <col min="2" max="2" width="25.7109375" bestFit="1" customWidth="1"/>
    <col min="3" max="8" width="14.5703125" bestFit="1" customWidth="1"/>
    <col min="9" max="12" width="13" bestFit="1" customWidth="1"/>
  </cols>
  <sheetData>
    <row r="1" spans="1:13" x14ac:dyDescent="0.25">
      <c r="A1" t="s">
        <v>27</v>
      </c>
      <c r="B1" s="15">
        <v>172.03</v>
      </c>
      <c r="C1" s="1">
        <v>0</v>
      </c>
      <c r="D1" s="1">
        <v>0.3</v>
      </c>
      <c r="E1" s="1">
        <v>0.4</v>
      </c>
      <c r="F1" s="1">
        <v>0.5</v>
      </c>
      <c r="G1" s="1">
        <v>0.6</v>
      </c>
      <c r="H1" s="1">
        <v>0</v>
      </c>
      <c r="I1" s="1">
        <v>0.3</v>
      </c>
      <c r="J1" s="1">
        <v>0.4</v>
      </c>
      <c r="K1" s="1">
        <v>0.5</v>
      </c>
      <c r="L1" s="1">
        <v>0.6</v>
      </c>
    </row>
    <row r="2" spans="1:13" x14ac:dyDescent="0.25">
      <c r="A2" t="s">
        <v>80</v>
      </c>
      <c r="B2" s="44">
        <f>B5</f>
        <v>1461955.36</v>
      </c>
      <c r="C2" s="2">
        <f>SUM('Maestrx JC (Especial)'!C4:C9,'Maestrx JC (Especial)'!C11)*0.807+SUM('Maestrx JC (Especial)'!C10,'Maestrx JC (Especial)'!C13:C16)</f>
        <v>1290186.6720500002</v>
      </c>
      <c r="D2" s="2">
        <f>SUM('Maestrx JC (Especial)'!D4:D9,'Maestrx JC (Especial)'!D11)*0.807+SUM('Maestrx JC (Especial)'!D10,'Maestrx JC (Especial)'!D13:D16)</f>
        <v>1496950.3661420001</v>
      </c>
      <c r="E2" s="2">
        <f>SUM('Maestrx JC (Especial)'!E4:E9,'Maestrx JC (Especial)'!E11)*0.807+SUM('Maestrx JC (Especial)'!E10,'Maestrx JC (Especial)'!E13:E16)</f>
        <v>1565871.5975060002</v>
      </c>
      <c r="F2" s="2">
        <f>SUM('Maestrx JC (Especial)'!F4:F9,'Maestrx JC (Especial)'!F11)*0.807+SUM('Maestrx JC (Especial)'!F10,'Maestrx JC (Especial)'!F13:F16)</f>
        <v>1634787.8953100001</v>
      </c>
      <c r="G2" s="2">
        <f>SUM('Maestrx JC (Especial)'!G4:G9,'Maestrx JC (Especial)'!G11)*0.807+SUM('Maestrx JC (Especial)'!G10,'Maestrx JC (Especial)'!G13:G16)</f>
        <v>1703709.1266739999</v>
      </c>
      <c r="H2" s="2">
        <f>$B$2-C2</f>
        <v>171768.68794999993</v>
      </c>
      <c r="I2" s="2">
        <f t="shared" ref="I2:L2" si="0">$B$2-D2</f>
        <v>-34995.006141999969</v>
      </c>
      <c r="J2" s="2">
        <f t="shared" si="0"/>
        <v>-103916.23750600009</v>
      </c>
      <c r="K2" s="2">
        <f t="shared" si="0"/>
        <v>-172832.53530999995</v>
      </c>
      <c r="L2" s="2">
        <f t="shared" si="0"/>
        <v>-241753.76667399984</v>
      </c>
      <c r="M2" s="45"/>
    </row>
    <row r="3" spans="1:13" x14ac:dyDescent="0.25">
      <c r="A3" t="s">
        <v>79</v>
      </c>
      <c r="B3" s="44">
        <f>B4</f>
        <v>730977.68</v>
      </c>
      <c r="C3" s="2">
        <f>SUM('Maestrx JS (Especial)'!C4:C9,'Maestrx JS (Especial)'!C11)*0.807+SUM('Maestrx JS (Especial)'!C10,'Maestrx JS (Especial)'!C13:C16)</f>
        <v>662446.86227499996</v>
      </c>
      <c r="D3" s="2">
        <f>SUM('Maestrx JS (Especial)'!D4:D9,'Maestrx JS (Especial)'!D11)*0.807+SUM('Maestrx JS (Especial)'!D10,'Maestrx JS (Especial)'!D13:D16)</f>
        <v>769993.55562100001</v>
      </c>
      <c r="E3" s="2">
        <f>SUM('Maestrx JS (Especial)'!E4:E9,'Maestrx JS (Especial)'!E11)*0.807+SUM('Maestrx JS (Especial)'!E10,'Maestrx JS (Especial)'!E13:E16)</f>
        <v>805842.45340300002</v>
      </c>
      <c r="F3" s="2">
        <f>SUM('Maestrx JS (Especial)'!F4:F9,'Maestrx JS (Especial)'!F11)*0.807+SUM('Maestrx JS (Especial)'!F10,'Maestrx JS (Especial)'!F13:F16)</f>
        <v>841688.88440500002</v>
      </c>
      <c r="G3" s="2">
        <f>SUM('Maestrx JS (Especial)'!G4:G9,'Maestrx JS (Especial)'!G11)*0.807+SUM('Maestrx JS (Especial)'!G10,'Maestrx JS (Especial)'!G13:G16)</f>
        <v>877537.78218699992</v>
      </c>
      <c r="H3" s="2">
        <f>$B$3-C3</f>
        <v>68530.817725000088</v>
      </c>
      <c r="I3" s="2">
        <f t="shared" ref="I3:L3" si="1">$B$3-D3</f>
        <v>-39015.875620999956</v>
      </c>
      <c r="J3" s="2">
        <f t="shared" si="1"/>
        <v>-74864.77340299997</v>
      </c>
      <c r="K3" s="2">
        <f t="shared" si="1"/>
        <v>-110711.20440499997</v>
      </c>
      <c r="L3" s="2">
        <f t="shared" si="1"/>
        <v>-146560.10218699987</v>
      </c>
    </row>
    <row r="4" spans="1:13" x14ac:dyDescent="0.25">
      <c r="A4" t="s">
        <v>28</v>
      </c>
      <c r="B4">
        <v>730977.68</v>
      </c>
      <c r="C4" s="4">
        <f>(SUM('Maestrx JS'!C4:C8,'Maestrx JS'!C10)*0.807)+'Maestrx JS'!C12+'Maestrx JS'!C13+'Maestrx JS'!C14+'Maestrx JS'!C9+'Maestrx JS'!C15</f>
        <v>608673.51560200006</v>
      </c>
      <c r="D4" s="4">
        <f>(SUM('Maestrx JS'!D4:D8,'Maestrx JS'!D10)*0.807)+'Maestrx JS'!D12+'Maestrx JS'!D13+'Maestrx JS'!D14+'Maestrx JS'!D9+'Maestrx JS'!D15</f>
        <v>716220.20894799998</v>
      </c>
      <c r="E4" s="4">
        <f>(SUM('Maestrx JS'!E4:E8,'Maestrx JS'!E10)*0.807)+'Maestrx JS'!E12+'Maestrx JS'!E13+'Maestrx JS'!E14+'Maestrx JS'!E9+'Maestrx JS'!E15</f>
        <v>752069.10673000012</v>
      </c>
      <c r="F4" s="4">
        <f>(SUM('Maestrx JS'!F4:F8,'Maestrx JS'!F10)*0.807)+'Maestrx JS'!F12+'Maestrx JS'!F13+'Maestrx JS'!F14+'Maestrx JS'!F9+'Maestrx JS'!F15</f>
        <v>787915.537732</v>
      </c>
      <c r="G4" s="4">
        <f>(SUM('Maestrx JS'!G4:G8,'Maestrx JS'!G10)*0.807)+'Maestrx JS'!G12+'Maestrx JS'!G13+'Maestrx JS'!G14+'Maestrx JS'!G9+'Maestrx JS'!G15</f>
        <v>823764.4355139999</v>
      </c>
      <c r="H4" s="4">
        <f>$B$4-C4</f>
        <v>122304.16439799999</v>
      </c>
      <c r="I4" s="4">
        <f t="shared" ref="I4:L4" si="2">$B$4-D4</f>
        <v>14757.471052000066</v>
      </c>
      <c r="J4" s="4">
        <f t="shared" si="2"/>
        <v>-21091.426730000065</v>
      </c>
      <c r="K4" s="4">
        <f t="shared" si="2"/>
        <v>-56937.857731999946</v>
      </c>
      <c r="L4" s="4">
        <f t="shared" si="2"/>
        <v>-92786.755513999844</v>
      </c>
    </row>
    <row r="5" spans="1:13" x14ac:dyDescent="0.25">
      <c r="A5" t="s">
        <v>29</v>
      </c>
      <c r="B5">
        <f>B4*2</f>
        <v>1461955.36</v>
      </c>
      <c r="C5" s="4">
        <f>(SUM('Maestrx JC'!C4:C8,'Maestrx JC'!C10)*0.807)+'Maestrx JC'!C9+'Maestrx JC'!C12+'Maestrx JC'!C13+'Maestrx JC'!C14+'Maestrx JC'!C15</f>
        <v>1186804.825004</v>
      </c>
      <c r="D5" s="4">
        <f>(SUM('Maestrx JC'!D4:D8,'Maestrx JC'!D10)*0.807)+'Maestrx JC'!D9+'Maestrx JC'!D12+'Maestrx JC'!D13+'Maestrx JC'!D14+'Maestrx JC'!D15</f>
        <v>1393568.5190960001</v>
      </c>
      <c r="E5" s="4">
        <f>(SUM('Maestrx JC'!E4:E8,'Maestrx JC'!E10)*0.807)+'Maestrx JC'!E9+'Maestrx JC'!E12+'Maestrx JC'!E13+'Maestrx JC'!E14+'Maestrx JC'!E15</f>
        <v>1462489.7504600002</v>
      </c>
      <c r="F5" s="4">
        <f>(SUM('Maestrx JC'!F4:F8,'Maestrx JC'!F10)*0.807)+'Maestrx JC'!F9+'Maestrx JC'!F12+'Maestrx JC'!F13+'Maestrx JC'!F14+'Maestrx JC'!F15</f>
        <v>1531406.0482639999</v>
      </c>
      <c r="G5" s="4">
        <f>(SUM('Maestrx JC'!G4:G8,'Maestrx JC'!G10)*0.807)+'Maestrx JC'!G9+'Maestrx JC'!G12+'Maestrx JC'!G13+'Maestrx JC'!G14+'Maestrx JC'!G15</f>
        <v>1600327.279628</v>
      </c>
      <c r="H5" s="4">
        <f>$B$5-C5</f>
        <v>275150.53499600012</v>
      </c>
      <c r="I5" s="4">
        <f t="shared" ref="I5:L5" si="3">$B$5-D5</f>
        <v>68386.840903999982</v>
      </c>
      <c r="J5" s="4">
        <f t="shared" si="3"/>
        <v>-534.39046000014059</v>
      </c>
      <c r="K5" s="4">
        <f t="shared" si="3"/>
        <v>-69450.688263999764</v>
      </c>
      <c r="L5" s="4">
        <f t="shared" si="3"/>
        <v>-138371.91962799989</v>
      </c>
    </row>
    <row r="6" spans="1:13" x14ac:dyDescent="0.25">
      <c r="A6" t="s">
        <v>30</v>
      </c>
      <c r="B6">
        <v>37194.5</v>
      </c>
      <c r="C6" s="4">
        <f>(SUM('Hora cátedra (Media)'!C4:C8,'Hora cátedra (Media)'!C10)*0.807)+'Hora cátedra (Media)'!C12+'Hora cátedra (Media)'!C13+'Hora cátedra (Media)'!C14+'Hora cátedra (Media)'!C9+'Hora cátedra (Media)'!C15</f>
        <v>31941.984161456145</v>
      </c>
      <c r="D6" s="4">
        <f>(SUM('Hora cátedra (Media)'!D4:D8,'Hora cátedra (Media)'!D10)*0.807)+'Hora cátedra (Media)'!D12+'Hora cátedra (Media)'!D13+'Hora cátedra (Media)'!D14+'Hora cátedra (Media)'!D9+'Hora cátedra (Media)'!D15</f>
        <v>37446.702712666673</v>
      </c>
      <c r="E6" s="4">
        <f>(SUM('Hora cátedra (Media)'!E4:E8,'Hora cátedra (Media)'!E10)*0.807)+'Hora cátedra (Media)'!E12+'Hora cátedra (Media)'!E13+'Hora cátedra (Media)'!E14+'Hora cátedra (Media)'!E9+'Hora cátedra (Media)'!E15</f>
        <v>39281.608896403515</v>
      </c>
      <c r="F6" s="4">
        <f>(SUM('Hora cátedra (Media)'!F4:F8,'Hora cátedra (Media)'!F10)*0.807)+'Hora cátedra (Media)'!F12+'Hora cátedra (Media)'!F13+'Hora cátedra (Media)'!F14+'Hora cátedra (Media)'!F9+'Hora cátedra (Media)'!F15</f>
        <v>41116.385249614039</v>
      </c>
      <c r="G6" s="4">
        <f>(SUM('Hora cátedra (Media)'!G4:G8,'Hora cátedra (Media)'!G10)*0.807)+'Hora cátedra (Media)'!G12+'Hora cátedra (Media)'!G13+'Hora cátedra (Media)'!G14+'Hora cátedra (Media)'!G9+'Hora cátedra (Media)'!G15</f>
        <v>42951.291433350882</v>
      </c>
      <c r="H6" s="4">
        <f>$B$6-C6</f>
        <v>5252.5158385438554</v>
      </c>
      <c r="I6" s="4">
        <f t="shared" ref="I6:L6" si="4">$B$6-D6</f>
        <v>-252.2027126666726</v>
      </c>
      <c r="J6" s="4">
        <f t="shared" si="4"/>
        <v>-2087.1088964035152</v>
      </c>
      <c r="K6" s="4">
        <f t="shared" si="4"/>
        <v>-3921.8852496140389</v>
      </c>
      <c r="L6" s="4">
        <f t="shared" si="4"/>
        <v>-5756.7914333508816</v>
      </c>
    </row>
    <row r="7" spans="1:13" x14ac:dyDescent="0.25">
      <c r="A7" t="s">
        <v>31</v>
      </c>
      <c r="B7">
        <v>623438.55000000005</v>
      </c>
      <c r="C7" s="4">
        <f>(SUM(Preceptoría!C4:C8,Preceptoría!C10)*0.807)+Preceptoría!C12+Preceptoría!C13+Preceptoría!C14+Preceptoría!C9+Preceptoría!C15</f>
        <v>564848.20721699996</v>
      </c>
      <c r="D7" s="4">
        <f>(SUM(Preceptoría!D4:D8,Preceptoría!D10)*0.807)+Preceptoría!D12+Preceptoría!D13+Preceptoría!D14+Preceptoría!D9+Preceptoría!D15</f>
        <v>662100.79645800008</v>
      </c>
      <c r="E7" s="4">
        <f>(SUM(Preceptoría!E4:E8,Preceptoría!E10)*0.807)+Preceptoría!E12+Preceptoría!E13+Preceptoría!E14+Preceptoría!E9+Preceptoría!E15</f>
        <v>694518.32620500005</v>
      </c>
      <c r="F7" s="4">
        <f>(SUM(Preceptoría!F4:F8,Preceptoría!F10)*0.807)+Preceptoría!F12+Preceptoría!F13+Preceptoría!F14+Preceptoría!F9+Preceptoría!F15</f>
        <v>726941.87801199988</v>
      </c>
      <c r="G7" s="4">
        <f>(SUM(Preceptoría!G4:G8,Preceptoría!G10)*0.807)+Preceptoría!G12+Preceptoría!G13+Preceptoría!G14+Preceptoría!G9+Preceptoría!G15</f>
        <v>759359.40775899997</v>
      </c>
      <c r="H7" s="4">
        <f>$B$7-C7</f>
        <v>58590.342783000087</v>
      </c>
      <c r="I7" s="4">
        <f t="shared" ref="I7:L7" si="5">$B$7-D7</f>
        <v>-38662.246458000038</v>
      </c>
      <c r="J7" s="4">
        <f t="shared" si="5"/>
        <v>-71079.776205000002</v>
      </c>
      <c r="K7" s="4">
        <f t="shared" si="5"/>
        <v>-103503.32801199984</v>
      </c>
      <c r="L7" s="4">
        <f t="shared" si="5"/>
        <v>-135920.85775899992</v>
      </c>
    </row>
    <row r="8" spans="1:13" x14ac:dyDescent="0.25">
      <c r="A8" t="s">
        <v>32</v>
      </c>
      <c r="B8">
        <v>37761.164701754395</v>
      </c>
      <c r="C8" s="4">
        <f>(SUM('Hora cátedra (Superior)'!C4:C8,'Hora cátedra (Superior)'!C10)*0.807)+'Hora cátedra (Superior)'!C12+'Hora cátedra (Superior)'!C13+'Hora cátedra (Superior)'!C14+'Hora cátedra (Superior)'!C9+'Hora cátedra (Superior)'!C15</f>
        <v>33883.050107122806</v>
      </c>
      <c r="D8" s="4">
        <f>(SUM('Hora cátedra (Superior)'!D4:D8,'Hora cátedra (Superior)'!D10)*0.807)+'Hora cátedra (Superior)'!D12+'Hora cátedra (Superior)'!D13+'Hora cátedra (Superior)'!D14+'Hora cátedra (Superior)'!D9</f>
        <v>38183.657456912282</v>
      </c>
      <c r="E8" s="4">
        <f>(SUM('Hora cátedra (Superior)'!E4:E8,'Hora cátedra (Superior)'!E10)*0.807)+'Hora cátedra (Superior)'!E12+'Hora cátedra (Superior)'!E13+'Hora cátedra (Superior)'!E14+'Hora cátedra (Superior)'!E9</f>
        <v>40143.509029649125</v>
      </c>
      <c r="F8" s="4">
        <f>(SUM('Hora cátedra (Superior)'!F4:F8,'Hora cátedra (Superior)'!F10)*0.807)+'Hora cátedra (Superior)'!F12+'Hora cátedra (Superior)'!F13+'Hora cátedra (Superior)'!F14+'Hora cátedra (Superior)'!F9</f>
        <v>42103.230771859657</v>
      </c>
      <c r="G8" s="4">
        <f>(SUM('Hora cátedra (Superior)'!G4:G8,'Hora cátedra (Superior)'!G10)*0.807)+'Hora cátedra (Superior)'!G12+'Hora cátedra (Superior)'!G13+'Hora cátedra (Superior)'!G14+'Hora cátedra (Superior)'!G9</f>
        <v>44063.0823445965</v>
      </c>
      <c r="H8" s="4">
        <f>$B$8-C8</f>
        <v>3878.1145946315883</v>
      </c>
      <c r="I8" s="4">
        <f t="shared" ref="I8:L8" si="6">$B$8-D8</f>
        <v>-422.49275515788759</v>
      </c>
      <c r="J8" s="4">
        <f t="shared" si="6"/>
        <v>-2382.3443278947307</v>
      </c>
      <c r="K8" s="4">
        <f t="shared" si="6"/>
        <v>-4342.066070105262</v>
      </c>
      <c r="L8" s="4">
        <f t="shared" si="6"/>
        <v>-6301.9176428421051</v>
      </c>
    </row>
    <row r="9" spans="1:13" x14ac:dyDescent="0.25">
      <c r="A9" t="s">
        <v>33</v>
      </c>
      <c r="B9">
        <v>640774.09067841421</v>
      </c>
      <c r="C9" s="4">
        <f>SUM('Maestrx Celadorx'!C4:C8,'Maestrx Celadorx'!C10,'Maestrx Celadorx'!C10)*0.807+SUM('Maestrx Celadorx'!C12,'Maestrx Celadorx'!C14,'Maestrx Celadorx'!C15,'Maestrx Celadorx'!C9)</f>
        <v>565295.91390903317</v>
      </c>
      <c r="D9" s="4">
        <f>SUM('Maestrx Celadorx'!D4:D8,'Maestrx Celadorx'!D10,'Maestrx Celadorx'!D10)*0.807+SUM('Maestrx Celadorx'!D12,'Maestrx Celadorx'!D14,'Maestrx Celadorx'!D15,'Maestrx Celadorx'!D9)</f>
        <v>663777.13280853303</v>
      </c>
      <c r="E9" s="4">
        <f>SUM('Maestrx Celadorx'!E4:E8,'Maestrx Celadorx'!E10,'Maestrx Celadorx'!E10)*0.807+SUM('Maestrx Celadorx'!E12,'Maestrx Celadorx'!E14,'Maestrx Celadorx'!E15,'Maestrx Celadorx'!E9)</f>
        <v>696604.20577503322</v>
      </c>
      <c r="F9" s="4">
        <f>SUM('Maestrx Celadorx'!F4:F8,'Maestrx Celadorx'!F10,'Maestrx Celadorx'!F10)*0.807+SUM('Maestrx Celadorx'!F12,'Maestrx Celadorx'!F14,'Maestrx Celadorx'!F15,'Maestrx Celadorx'!F9)</f>
        <v>873698.70286153303</v>
      </c>
      <c r="G9" s="4">
        <f>SUM('Maestrx Celadorx'!G4:G8,'Maestrx Celadorx'!G10,'Maestrx Celadorx'!G10)*0.807+SUM('Maestrx Celadorx'!G12,'Maestrx Celadorx'!G14,'Maestrx Celadorx'!G15,'Maestrx Celadorx'!G9)</f>
        <v>906525.77582803299</v>
      </c>
      <c r="H9" s="4">
        <f>$B$9-C9</f>
        <v>75478.17676938104</v>
      </c>
      <c r="I9" s="4">
        <f t="shared" ref="I9:L9" si="7">$B$9-D9</f>
        <v>-23003.042130118818</v>
      </c>
      <c r="J9" s="4">
        <f t="shared" si="7"/>
        <v>-55830.115096619003</v>
      </c>
      <c r="K9" s="4">
        <f t="shared" si="7"/>
        <v>-232924.61218311882</v>
      </c>
      <c r="L9" s="4">
        <f t="shared" si="7"/>
        <v>-265751.68514961877</v>
      </c>
    </row>
    <row r="10" spans="1:13" x14ac:dyDescent="0.25">
      <c r="A10" t="s">
        <v>69</v>
      </c>
      <c r="B10">
        <v>1515992.1583193501</v>
      </c>
      <c r="C10" s="4">
        <f>SUM('Secretarix y Maestrx E.'!C4:C9,'Secretarix y Maestrx E.'!D11)*0.807+SUM('Secretarix y Maestrx E.'!C10,'Secretarix y Maestrx E.'!C13:C16)</f>
        <v>1284975.11128235</v>
      </c>
      <c r="D10" s="4">
        <f>SUM('Secretarix y Maestrx E.'!D4:D9,'Secretarix y Maestrx E.'!D11)*0.807+SUM('Secretarix y Maestrx E.'!D10,'Secretarix y Maestrx E.'!D13:D16)</f>
        <v>1518512.5198139001</v>
      </c>
      <c r="E10" s="4">
        <f>SUM('Secretarix y Maestrx E.'!E4:E9,'Secretarix y Maestrx E.'!E11)*0.807+SUM('Secretarix y Maestrx E.'!E10,'Secretarix y Maestrx E.'!E13:E16)</f>
        <v>1596358.32265775</v>
      </c>
      <c r="F10" s="4">
        <f>SUM('Secretarix y Maestrx E.'!F4:F9,'Secretarix y Maestrx E.'!F11)*0.807+SUM('Secretarix y Maestrx E.'!F10,'Secretarix y Maestrx E.'!F13:F16)</f>
        <v>1674199.1919416001</v>
      </c>
      <c r="G10" s="4">
        <f>SUM('Secretarix y Maestrx E.'!G4:G9,'Secretarix y Maestrx E.'!G11)*0.807+SUM('Secretarix y Maestrx E.'!G10,'Secretarix y Maestrx E.'!G13:G16)</f>
        <v>1752044.9947854499</v>
      </c>
      <c r="H10" s="4">
        <f>$B$10-C10</f>
        <v>231017.04703700007</v>
      </c>
      <c r="I10" s="4">
        <f>$B$10-D10</f>
        <v>-2520.3614945500158</v>
      </c>
      <c r="J10" s="4">
        <f>$B$10-E10</f>
        <v>-80366.164338399889</v>
      </c>
      <c r="K10" s="4">
        <f>$B$10-F10</f>
        <v>-158207.03362224996</v>
      </c>
      <c r="L10" s="4">
        <f>$B$10-G10</f>
        <v>-236052.83646609983</v>
      </c>
    </row>
    <row r="11" spans="1:13" x14ac:dyDescent="0.25">
      <c r="A11" t="s">
        <v>70</v>
      </c>
      <c r="B11">
        <v>1523047.4079515501</v>
      </c>
      <c r="C11" s="4">
        <f>SUM(Vicedirectorx!C4:C9,Vicedirectorx!C11)*0.807+SUM(Vicedirectorx!C10,Vicedirectorx!C13:C16)</f>
        <v>1339065.3584625502</v>
      </c>
      <c r="D11" s="4">
        <f>SUM(Vicedirectorx!D4:D9,Vicedirectorx!D11)*0.807+SUM(Vicedirectorx!D10,Vicedirectorx!D13:D16)</f>
        <v>1587354.6525886999</v>
      </c>
      <c r="E11" s="4">
        <f>SUM(Vicedirectorx!E4:E9,Vicedirectorx!E11)*0.807+SUM(Vicedirectorx!E10,Vicedirectorx!E13:E16)</f>
        <v>1670117.7506307501</v>
      </c>
      <c r="F11" s="4">
        <f>SUM(Vicedirectorx!F4:F9,Vicedirectorx!F11)*0.807+SUM(Vicedirectorx!F10,Vicedirectorx!F13:F16)</f>
        <v>1752875.9151128</v>
      </c>
      <c r="G11" s="4">
        <f>SUM(Vicedirectorx!G4:G9,Vicedirectorx!G11)*0.807+SUM(Vicedirectorx!G10,Vicedirectorx!G13:G16)</f>
        <v>1835639.0131548499</v>
      </c>
      <c r="H11" s="4">
        <f>$B$11-C11</f>
        <v>183982.04948899988</v>
      </c>
      <c r="I11" s="4">
        <f>$B$11-D11</f>
        <v>-64307.244637149852</v>
      </c>
      <c r="J11" s="4">
        <f>$B$11-E11</f>
        <v>-147070.3426792</v>
      </c>
      <c r="K11" s="4">
        <f>$B$11-F11</f>
        <v>-229828.50716124987</v>
      </c>
      <c r="L11" s="4">
        <f>$B$11-G11</f>
        <v>-312591.60520329978</v>
      </c>
    </row>
    <row r="12" spans="1:13" x14ac:dyDescent="0.25">
      <c r="A12" t="s">
        <v>71</v>
      </c>
      <c r="B12">
        <v>1562171.97</v>
      </c>
      <c r="C12" s="4">
        <f>SUM(Directorx!C4:C9,Directorx!C11)*0.807+SUM(Directorx!C10,Directorx!C13:C16)</f>
        <v>1448131.5768027501</v>
      </c>
      <c r="D12" s="4">
        <f>SUM(Directorx!D4:D9,Directorx!D11)*0.807+SUM(Directorx!D10,Directorx!D13:D16)</f>
        <v>1726166.2032035</v>
      </c>
      <c r="E12" s="4">
        <f>SUM(Directorx!E4:E9,Directorx!E11)*0.807+SUM(Directorx!E10,Directorx!E13:E16)</f>
        <v>1818844.4120037502</v>
      </c>
      <c r="F12" s="4">
        <f>SUM(Directorx!F4:F9,Directorx!F11)*0.807+SUM(Directorx!F10,Directorx!F13:F16)</f>
        <v>1911517.6872439999</v>
      </c>
      <c r="G12" s="4">
        <f>SUM(Directorx!G4:G9,Directorx!G11)*0.807+SUM(Directorx!G10,Directorx!G13:G16)</f>
        <v>2004195.8960442499</v>
      </c>
      <c r="H12" s="4">
        <f>$B$12-C12</f>
        <v>114040.39319724985</v>
      </c>
      <c r="I12" s="4">
        <f t="shared" ref="I12:L12" si="8">$B$12-D12</f>
        <v>-163994.23320350004</v>
      </c>
      <c r="J12" s="4">
        <f t="shared" si="8"/>
        <v>-256672.44200375024</v>
      </c>
      <c r="K12" s="4">
        <f t="shared" si="8"/>
        <v>-349345.71724399994</v>
      </c>
      <c r="L12" s="4">
        <f t="shared" si="8"/>
        <v>-442023.92604424991</v>
      </c>
    </row>
    <row r="13" spans="1:13" x14ac:dyDescent="0.25">
      <c r="A13" t="s">
        <v>77</v>
      </c>
      <c r="B13" s="43">
        <f>1690000*B16</f>
        <v>1730601.8071894378</v>
      </c>
      <c r="C13" s="4">
        <f>SUM(Supervisorx!C4:C9,Supervisorx!C11)*0.807+SUM(Supervisorx!C10,Supervisorx!C13:C16)</f>
        <v>1659445.4659490001</v>
      </c>
      <c r="D13" s="4">
        <f>SUM(Supervisorx!D4:D9,Supervisorx!D11)*0.807+SUM(Supervisorx!D10,Supervisorx!D13:D16)</f>
        <v>1995111.1530260001</v>
      </c>
      <c r="E13" s="4">
        <f>SUM(Supervisorx!E4:E9,Supervisorx!E11)*0.807+SUM(Supervisorx!E10,Supervisorx!E13:E16)</f>
        <v>2106999.7153850002</v>
      </c>
      <c r="F13" s="4">
        <f>SUM(Supervisorx!F4:F9,Supervisorx!F11)*0.807+SUM(Supervisorx!F10,Supervisorx!F13:F16)</f>
        <v>2218883.344184</v>
      </c>
      <c r="G13" s="4">
        <f>SUM(Supervisorx!G4:G9,Supervisorx!G11)*0.807+SUM(Supervisorx!G10,Supervisorx!G13:G16)</f>
        <v>2330771.9065429997</v>
      </c>
      <c r="H13" s="4">
        <f>$B$13-C13</f>
        <v>71156.341240437701</v>
      </c>
      <c r="I13" s="4">
        <f t="shared" ref="I13:L13" si="9">$B$13-D13</f>
        <v>-264509.34583656234</v>
      </c>
      <c r="J13" s="4">
        <f t="shared" si="9"/>
        <v>-376397.90819556243</v>
      </c>
      <c r="K13" s="4">
        <f t="shared" si="9"/>
        <v>-488281.53699456225</v>
      </c>
      <c r="L13" s="4">
        <f t="shared" si="9"/>
        <v>-600170.09935356188</v>
      </c>
    </row>
    <row r="14" spans="1:13" x14ac:dyDescent="0.25">
      <c r="A14" t="s">
        <v>84</v>
      </c>
      <c r="B14" s="43">
        <v>551598.88103964762</v>
      </c>
      <c r="C14" s="4">
        <f>SUM('Maestrx de ciclo'!C4:C8,'Maestrx de ciclo'!C10)*0.807+SUM('Maestrx de ciclo'!C9,'Maestrx de ciclo'!C12:C15)</f>
        <v>538514.07292431279</v>
      </c>
      <c r="D14" s="4">
        <f>SUM('Maestrx de ciclo'!D4:D8,'Maestrx de ciclo'!D10)*0.807+SUM('Maestrx de ciclo'!D9,'Maestrx de ciclo'!D12:D15)</f>
        <v>630768.84660531289</v>
      </c>
      <c r="E14" s="4">
        <f>SUM('Maestrx de ciclo'!E4:E8,'Maestrx de ciclo'!E10)*0.807+SUM('Maestrx de ciclo'!E9,'Maestrx de ciclo'!E12:E15)</f>
        <v>661520.43783231289</v>
      </c>
      <c r="F14" s="4">
        <f>SUM('Maestrx de ciclo'!F4:F8,'Maestrx de ciclo'!F10)*0.807+SUM('Maestrx de ciclo'!F9,'Maestrx de ciclo'!F12:F15)</f>
        <v>692278.05111931276</v>
      </c>
      <c r="G14" s="4">
        <f>SUM('Maestrx de ciclo'!G4:G8,'Maestrx de ciclo'!G10)*0.807+SUM('Maestrx de ciclo'!G9,'Maestrx de ciclo'!G12:G15)</f>
        <v>723029.64234631287</v>
      </c>
      <c r="H14" s="4">
        <f>$B$14-C14</f>
        <v>13084.808115334832</v>
      </c>
      <c r="I14" s="4">
        <f t="shared" ref="I14:L14" si="10">$B$14-D14</f>
        <v>-79169.965565665276</v>
      </c>
      <c r="J14" s="4">
        <f t="shared" si="10"/>
        <v>-109921.55679266527</v>
      </c>
      <c r="K14" s="4">
        <f t="shared" si="10"/>
        <v>-140679.17007966514</v>
      </c>
      <c r="L14" s="4">
        <f t="shared" si="10"/>
        <v>-171430.76130666526</v>
      </c>
    </row>
    <row r="15" spans="1:13" x14ac:dyDescent="0.25">
      <c r="C15" s="43">
        <f>B1/124.642</f>
        <v>1.3801928723865151</v>
      </c>
      <c r="E15" s="4"/>
      <c r="F15" s="4"/>
      <c r="G15" s="4"/>
      <c r="H15" s="4"/>
      <c r="I15" s="4"/>
      <c r="J15" s="4"/>
      <c r="K15" s="4"/>
      <c r="L15" s="4"/>
    </row>
    <row r="16" spans="1:13" x14ac:dyDescent="0.25">
      <c r="B16">
        <v>1.0240247379819158</v>
      </c>
    </row>
    <row r="17" spans="1:12" ht="15" customHeight="1" x14ac:dyDescent="0.25">
      <c r="B17" s="19" t="s">
        <v>34</v>
      </c>
      <c r="C17" s="19" t="s">
        <v>35</v>
      </c>
      <c r="D17" s="19" t="s">
        <v>36</v>
      </c>
      <c r="I17" s="28" t="s">
        <v>37</v>
      </c>
    </row>
    <row r="18" spans="1:12" x14ac:dyDescent="0.25">
      <c r="A18" s="20" t="s">
        <v>38</v>
      </c>
      <c r="B18" s="16">
        <v>248970.21</v>
      </c>
      <c r="C18" s="16">
        <f>B18*2</f>
        <v>497940.42</v>
      </c>
      <c r="D18" s="18">
        <f>B18/19</f>
        <v>13103.695263157895</v>
      </c>
      <c r="E18" s="26">
        <v>237931.65</v>
      </c>
      <c r="F18" s="26">
        <f>E18*2</f>
        <v>475863.3</v>
      </c>
      <c r="G18" s="26"/>
      <c r="H18" s="26">
        <v>19</v>
      </c>
      <c r="I18" s="28">
        <v>38</v>
      </c>
      <c r="J18">
        <v>19</v>
      </c>
      <c r="K18">
        <v>38</v>
      </c>
    </row>
    <row r="19" spans="1:12" x14ac:dyDescent="0.25">
      <c r="A19" s="20" t="s">
        <v>39</v>
      </c>
      <c r="B19" s="16">
        <v>666977.68000000005</v>
      </c>
      <c r="C19" s="16">
        <f>B19*2</f>
        <v>1333955.3600000001</v>
      </c>
      <c r="D19" s="18">
        <f>B19/20</f>
        <v>33348.884000000005</v>
      </c>
      <c r="E19" s="26"/>
      <c r="F19" s="26"/>
      <c r="G19" s="26"/>
      <c r="H19" s="26">
        <v>20</v>
      </c>
      <c r="I19" s="18">
        <v>40</v>
      </c>
      <c r="J19">
        <v>20</v>
      </c>
      <c r="K19">
        <v>40</v>
      </c>
      <c r="L19">
        <v>251565</v>
      </c>
    </row>
    <row r="20" spans="1:12" x14ac:dyDescent="0.25">
      <c r="A20" s="21"/>
      <c r="B20" s="16">
        <v>0</v>
      </c>
      <c r="C20" s="16">
        <v>0</v>
      </c>
      <c r="D20" s="18">
        <v>0</v>
      </c>
      <c r="E20" s="26"/>
      <c r="F20" s="26"/>
      <c r="G20" s="26"/>
      <c r="H20" s="26">
        <v>19</v>
      </c>
      <c r="I20" s="18">
        <v>38</v>
      </c>
      <c r="J20">
        <v>19</v>
      </c>
      <c r="K20">
        <v>38</v>
      </c>
    </row>
    <row r="21" spans="1:12" x14ac:dyDescent="0.25">
      <c r="A21" s="22"/>
      <c r="B21" s="16">
        <v>100</v>
      </c>
      <c r="C21" s="16">
        <v>0</v>
      </c>
      <c r="D21" s="18">
        <v>0</v>
      </c>
      <c r="E21" s="26"/>
      <c r="F21" s="26"/>
      <c r="G21" s="26">
        <v>0</v>
      </c>
      <c r="H21" s="26">
        <v>15</v>
      </c>
      <c r="I21" s="18">
        <v>30</v>
      </c>
      <c r="J21">
        <v>12</v>
      </c>
      <c r="K21">
        <v>24</v>
      </c>
    </row>
    <row r="22" spans="1:12" ht="45" x14ac:dyDescent="0.25">
      <c r="A22" s="23" t="s">
        <v>40</v>
      </c>
      <c r="B22" s="16">
        <v>34000</v>
      </c>
      <c r="C22" s="16">
        <v>68000</v>
      </c>
      <c r="D22" s="18">
        <f>B22/15</f>
        <v>2266.6666666666665</v>
      </c>
      <c r="E22" s="26"/>
      <c r="F22" s="26"/>
      <c r="G22" s="26">
        <v>3208.3333333333335</v>
      </c>
      <c r="H22" s="26">
        <v>15</v>
      </c>
      <c r="I22" s="17">
        <v>30</v>
      </c>
      <c r="J22">
        <v>12</v>
      </c>
      <c r="K22">
        <v>24</v>
      </c>
    </row>
    <row r="23" spans="1:12" x14ac:dyDescent="0.25">
      <c r="A23" s="20" t="s">
        <v>41</v>
      </c>
      <c r="B23" s="16">
        <v>0</v>
      </c>
      <c r="C23" s="16">
        <v>0</v>
      </c>
      <c r="D23" s="18">
        <v>0</v>
      </c>
      <c r="E23" s="26"/>
      <c r="F23" s="26"/>
      <c r="G23" s="26">
        <v>0</v>
      </c>
      <c r="H23" s="26">
        <v>15</v>
      </c>
      <c r="I23" s="18">
        <v>30</v>
      </c>
      <c r="J23">
        <v>12</v>
      </c>
      <c r="K23">
        <v>24</v>
      </c>
    </row>
    <row r="24" spans="1:12" x14ac:dyDescent="0.25">
      <c r="A24" s="22" t="s">
        <v>42</v>
      </c>
      <c r="B24" s="16">
        <v>0</v>
      </c>
      <c r="C24" s="16">
        <v>0</v>
      </c>
      <c r="D24" s="17">
        <v>0</v>
      </c>
      <c r="E24" s="26"/>
      <c r="F24" s="26"/>
      <c r="G24" s="26"/>
      <c r="H24" s="26">
        <v>15</v>
      </c>
      <c r="I24" s="18">
        <v>30</v>
      </c>
      <c r="J24">
        <v>12</v>
      </c>
      <c r="K24">
        <v>24</v>
      </c>
    </row>
    <row r="25" spans="1:12" ht="30" x14ac:dyDescent="0.25">
      <c r="A25" s="24" t="s">
        <v>43</v>
      </c>
      <c r="B25" s="16">
        <v>30000</v>
      </c>
      <c r="C25" s="16">
        <f>B25*2</f>
        <v>60000</v>
      </c>
      <c r="D25" s="16">
        <f>B25/19</f>
        <v>1578.9473684210527</v>
      </c>
      <c r="E25" s="26"/>
      <c r="F25" s="26"/>
      <c r="G25" s="26">
        <v>865.78947368421052</v>
      </c>
      <c r="H25" s="26">
        <v>19</v>
      </c>
      <c r="I25" s="18">
        <v>38</v>
      </c>
      <c r="J25">
        <v>19</v>
      </c>
      <c r="K25">
        <v>38</v>
      </c>
    </row>
    <row r="26" spans="1:12" x14ac:dyDescent="0.25">
      <c r="A26" s="20" t="s">
        <v>44</v>
      </c>
      <c r="B26" s="16"/>
      <c r="C26" s="16">
        <f>B26*2</f>
        <v>0</v>
      </c>
      <c r="D26" s="16">
        <f>B26/15</f>
        <v>0</v>
      </c>
      <c r="E26" s="26"/>
      <c r="F26" s="26"/>
      <c r="G26" s="26">
        <v>1020.8333333333334</v>
      </c>
      <c r="H26" s="26">
        <v>15</v>
      </c>
      <c r="I26" s="16">
        <v>30</v>
      </c>
      <c r="J26">
        <v>12</v>
      </c>
      <c r="K26">
        <v>24</v>
      </c>
    </row>
    <row r="27" spans="1:12" ht="60" x14ac:dyDescent="0.25">
      <c r="A27" s="25" t="s">
        <v>45</v>
      </c>
      <c r="B27" s="16">
        <v>150335.64000000001</v>
      </c>
      <c r="C27" s="16">
        <f>B27*2</f>
        <v>300671.28000000003</v>
      </c>
      <c r="D27" s="16">
        <f>B27/19</f>
        <v>7912.4021052631588</v>
      </c>
      <c r="E27" s="26">
        <v>144255.38</v>
      </c>
      <c r="F27" s="26">
        <f>E27*2</f>
        <v>288510.76</v>
      </c>
      <c r="G27" s="26"/>
      <c r="H27" s="26">
        <v>19</v>
      </c>
      <c r="I27" s="18">
        <v>38</v>
      </c>
      <c r="J27">
        <v>19</v>
      </c>
      <c r="K27">
        <v>38</v>
      </c>
    </row>
    <row r="28" spans="1:12" ht="75" x14ac:dyDescent="0.25">
      <c r="A28" s="25" t="s">
        <v>46</v>
      </c>
      <c r="B28" s="16">
        <v>186286.46</v>
      </c>
      <c r="C28" s="16">
        <f>B28*2</f>
        <v>372572.92</v>
      </c>
      <c r="D28" s="16">
        <f>B28/19</f>
        <v>9804.5505263157884</v>
      </c>
      <c r="E28" s="26">
        <v>178762.58</v>
      </c>
      <c r="F28" s="26">
        <f>E28*2</f>
        <v>357525.16</v>
      </c>
      <c r="G28" s="26"/>
      <c r="H28" s="26">
        <v>19</v>
      </c>
      <c r="I28" s="17">
        <v>38</v>
      </c>
      <c r="J28">
        <v>19</v>
      </c>
      <c r="K28">
        <v>38</v>
      </c>
    </row>
    <row r="29" spans="1:12" ht="20.25" x14ac:dyDescent="0.25">
      <c r="B29" s="29"/>
      <c r="C29" s="29"/>
      <c r="I29" s="27"/>
    </row>
    <row r="32" spans="1:12" ht="15.75" thickBot="1" x14ac:dyDescent="0.3">
      <c r="A32" t="s">
        <v>47</v>
      </c>
      <c r="B32" t="s">
        <v>48</v>
      </c>
      <c r="C32" t="s">
        <v>49</v>
      </c>
      <c r="D32" t="s">
        <v>50</v>
      </c>
      <c r="E32" t="s">
        <v>51</v>
      </c>
    </row>
    <row r="33" spans="1:2" ht="15.75" thickBot="1" x14ac:dyDescent="0.3">
      <c r="A33" s="31" t="s">
        <v>52</v>
      </c>
      <c r="B33" s="38" t="s">
        <v>53</v>
      </c>
    </row>
    <row r="34" spans="1:2" ht="15.75" thickBot="1" x14ac:dyDescent="0.3">
      <c r="A34" s="32" t="s">
        <v>54</v>
      </c>
      <c r="B34" s="32" t="s">
        <v>54</v>
      </c>
    </row>
    <row r="35" spans="1:2" ht="15.75" thickBot="1" x14ac:dyDescent="0.3">
      <c r="A35" s="33" t="s">
        <v>55</v>
      </c>
      <c r="B35" s="33" t="s">
        <v>55</v>
      </c>
    </row>
    <row r="36" spans="1:2" ht="15.75" thickBot="1" x14ac:dyDescent="0.3">
      <c r="A36" s="34" t="s">
        <v>56</v>
      </c>
      <c r="B36" s="34" t="s">
        <v>57</v>
      </c>
    </row>
    <row r="37" spans="1:2" ht="45.75" thickBot="1" x14ac:dyDescent="0.3">
      <c r="A37" s="35" t="s">
        <v>58</v>
      </c>
      <c r="B37" s="39" t="s">
        <v>59</v>
      </c>
    </row>
    <row r="38" spans="1:2" x14ac:dyDescent="0.25">
      <c r="A38" s="36" t="s">
        <v>60</v>
      </c>
      <c r="B38" s="40" t="s">
        <v>60</v>
      </c>
    </row>
    <row r="39" spans="1:2" x14ac:dyDescent="0.25">
      <c r="A39" s="36" t="s">
        <v>61</v>
      </c>
      <c r="B39" s="41" t="s">
        <v>61</v>
      </c>
    </row>
    <row r="40" spans="1:2" x14ac:dyDescent="0.25">
      <c r="A40" s="36" t="s">
        <v>62</v>
      </c>
      <c r="B40" s="42" t="s">
        <v>63</v>
      </c>
    </row>
    <row r="41" spans="1:2" ht="15.75" thickBot="1" x14ac:dyDescent="0.3">
      <c r="A41" s="37" t="s">
        <v>64</v>
      </c>
      <c r="B41" s="36" t="s">
        <v>65</v>
      </c>
    </row>
    <row r="42" spans="1:2" ht="15.75" thickBot="1" x14ac:dyDescent="0.3">
      <c r="B42" s="37" t="s">
        <v>64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2E4-0AEA-4C5D-876A-BFAD45021D27}">
  <dimension ref="B2:E6"/>
  <sheetViews>
    <sheetView workbookViewId="0">
      <selection activeCell="C3" sqref="C3"/>
    </sheetView>
  </sheetViews>
  <sheetFormatPr baseColWidth="10" defaultColWidth="11.42578125" defaultRowHeight="15" x14ac:dyDescent="0.25"/>
  <cols>
    <col min="3" max="3" width="22.85546875" customWidth="1"/>
  </cols>
  <sheetData>
    <row r="2" spans="2:5" x14ac:dyDescent="0.25">
      <c r="B2" t="s">
        <v>66</v>
      </c>
      <c r="C2" t="s">
        <v>48</v>
      </c>
    </row>
    <row r="3" spans="2:5" x14ac:dyDescent="0.25">
      <c r="B3" t="s">
        <v>67</v>
      </c>
      <c r="C3" t="s">
        <v>65</v>
      </c>
    </row>
    <row r="6" spans="2:5" x14ac:dyDescent="0.25">
      <c r="E6">
        <f>_xlfn.IFS(C2="Inicial",1,C2="Primaria",2)</f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75723A-7AA0-41EB-BCF2-F0367DE7F97E}">
          <x14:formula1>
            <xm:f>Referencias!$A$32:$E$32</xm:f>
          </x14:formula1>
          <xm:sqref>C2</xm:sqref>
        </x14:dataValidation>
        <x14:dataValidation type="list" allowBlank="1" showInputMessage="1" showErrorMessage="1" xr:uid="{EA9D18B9-C739-4D83-B3EF-BDCDAE93DC9F}">
          <x14:formula1>
            <xm:f>_xlfn.IFS($C$2="Inicial",Referencias!$A$33:$A$41,$C$2="Primaria",Primaria)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3561-A3DE-41A8-A803-1FA2EB346967}">
  <dimension ref="A1:M20"/>
  <sheetViews>
    <sheetView workbookViewId="0">
      <selection activeCell="I21" sqref="I21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23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2070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356102.1</v>
      </c>
      <c r="D4" s="2">
        <f>$M$1*Referencias!$B$1</f>
        <v>356102.1</v>
      </c>
      <c r="E4" s="2">
        <f>$M$1*Referencias!$B$1</f>
        <v>356102.1</v>
      </c>
      <c r="F4" s="2">
        <f>$M$1*Referencias!$B$1</f>
        <v>356102.1</v>
      </c>
      <c r="G4" s="2">
        <f>$M$1*Referencias!$B$1</f>
        <v>356102.1</v>
      </c>
      <c r="H4" s="2">
        <f>$M$1*Referencias!$B$1</f>
        <v>356102.1</v>
      </c>
      <c r="I4" s="2">
        <f>$M$1*Referencias!$B$1</f>
        <v>356102.1</v>
      </c>
      <c r="J4" s="2">
        <f>$M$1*Referencias!$B$1</f>
        <v>356102.1</v>
      </c>
      <c r="K4" s="2">
        <f>$M$1*Referencias!$B$1</f>
        <v>356102.1</v>
      </c>
      <c r="L4" s="2">
        <f>$M$1*Referencias!$B$1</f>
        <v>356102.1</v>
      </c>
      <c r="M4" s="2">
        <f>$M$1*Referencias!$B$1</f>
        <v>356102.1</v>
      </c>
    </row>
    <row r="5" spans="1:13" x14ac:dyDescent="0.25">
      <c r="A5" t="s">
        <v>6</v>
      </c>
      <c r="B5" t="s">
        <v>7</v>
      </c>
      <c r="C5" s="2">
        <f>C4*0.1+C7*0.1</f>
        <v>85404.252000000008</v>
      </c>
      <c r="D5" s="2">
        <f t="shared" ref="D5:M5" si="0">D4*0.1+D7*0.1</f>
        <v>85404.252000000008</v>
      </c>
      <c r="E5" s="2">
        <f t="shared" si="0"/>
        <v>85404.252000000008</v>
      </c>
      <c r="F5" s="2">
        <f t="shared" si="0"/>
        <v>85404.252000000008</v>
      </c>
      <c r="G5" s="2">
        <f t="shared" si="0"/>
        <v>85404.252000000008</v>
      </c>
      <c r="H5" s="2">
        <f t="shared" si="0"/>
        <v>85404.252000000008</v>
      </c>
      <c r="I5" s="2">
        <f t="shared" si="0"/>
        <v>85404.252000000008</v>
      </c>
      <c r="J5" s="2">
        <f t="shared" si="0"/>
        <v>85404.252000000008</v>
      </c>
      <c r="K5" s="2">
        <f t="shared" si="0"/>
        <v>85404.252000000008</v>
      </c>
      <c r="L5" s="2">
        <f t="shared" si="0"/>
        <v>85404.252000000008</v>
      </c>
      <c r="M5" s="2">
        <f t="shared" si="0"/>
        <v>85404.252000000008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106830.62999999999</v>
      </c>
      <c r="E6" s="2">
        <f t="shared" si="1"/>
        <v>142440.84</v>
      </c>
      <c r="F6" s="2">
        <f t="shared" si="1"/>
        <v>178051.05</v>
      </c>
      <c r="G6" s="2">
        <f t="shared" si="1"/>
        <v>213661.25999999998</v>
      </c>
      <c r="H6" s="2">
        <f t="shared" si="1"/>
        <v>249271.46999999997</v>
      </c>
      <c r="I6" s="2">
        <f t="shared" si="1"/>
        <v>284881.68</v>
      </c>
      <c r="J6" s="2">
        <f t="shared" si="1"/>
        <v>320491.89</v>
      </c>
      <c r="K6" s="2">
        <f t="shared" si="1"/>
        <v>356102.1</v>
      </c>
      <c r="L6" s="2">
        <f t="shared" si="1"/>
        <v>391712.31</v>
      </c>
      <c r="M6" s="2">
        <f t="shared" si="1"/>
        <v>427322.51999999996</v>
      </c>
    </row>
    <row r="7" spans="1:13" x14ac:dyDescent="0.25">
      <c r="A7" t="s">
        <v>9</v>
      </c>
      <c r="B7" t="s">
        <v>5</v>
      </c>
      <c r="C7" s="2">
        <f>'Maestrx JS'!C7*2</f>
        <v>497940.42</v>
      </c>
      <c r="D7" s="2">
        <f>'Maestrx JS'!D7*2</f>
        <v>497940.42</v>
      </c>
      <c r="E7" s="2">
        <f>'Maestrx JS'!E7*2</f>
        <v>497940.42</v>
      </c>
      <c r="F7" s="2">
        <f>'Maestrx JS'!F7*2</f>
        <v>497940.42</v>
      </c>
      <c r="G7" s="2">
        <f>'Maestrx JS'!G7*2</f>
        <v>497940.42</v>
      </c>
      <c r="H7" s="2">
        <f>'Maestrx JS'!H7*2</f>
        <v>497940.42</v>
      </c>
      <c r="I7" s="2">
        <f>'Maestrx JS'!I7*2</f>
        <v>497940.42</v>
      </c>
      <c r="J7" s="2">
        <f>'Maestrx JS'!J7*2</f>
        <v>497940.42</v>
      </c>
      <c r="K7" s="2">
        <f>'Maestrx JS'!K7*2</f>
        <v>497940.42</v>
      </c>
      <c r="L7" s="2">
        <f>'Maestrx JS'!L7*2</f>
        <v>497940.42</v>
      </c>
      <c r="M7" s="2">
        <f>'Maestrx JS'!M7*2</f>
        <v>497940.42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2">D7*D3</f>
        <v>149382.12599999999</v>
      </c>
      <c r="E8" s="2">
        <f t="shared" si="2"/>
        <v>199176.16800000001</v>
      </c>
      <c r="F8" s="2">
        <f t="shared" si="2"/>
        <v>248970.21</v>
      </c>
      <c r="G8" s="2">
        <f t="shared" si="2"/>
        <v>298764.25199999998</v>
      </c>
      <c r="H8" s="2">
        <f t="shared" si="2"/>
        <v>348558.29399999999</v>
      </c>
      <c r="I8" s="2">
        <f t="shared" si="2"/>
        <v>398352.33600000001</v>
      </c>
      <c r="J8" s="2">
        <f t="shared" si="2"/>
        <v>448146.37799999997</v>
      </c>
      <c r="K8" s="2">
        <f t="shared" si="2"/>
        <v>497940.42</v>
      </c>
      <c r="L8" s="2">
        <f t="shared" si="2"/>
        <v>547734.46200000006</v>
      </c>
      <c r="M8" s="2">
        <f t="shared" si="2"/>
        <v>597528.50399999996</v>
      </c>
    </row>
    <row r="9" spans="1:13" x14ac:dyDescent="0.25">
      <c r="A9" t="s">
        <v>11</v>
      </c>
      <c r="B9" t="s">
        <v>12</v>
      </c>
      <c r="C9" s="2">
        <f>'Maestrx JS'!C9*2</f>
        <v>300671.28000000003</v>
      </c>
      <c r="D9" s="2">
        <f>'Maestrx JS'!D9*2</f>
        <v>300671.28000000003</v>
      </c>
      <c r="E9" s="2">
        <f>'Maestrx JS'!E9*2</f>
        <v>300671.28000000003</v>
      </c>
      <c r="F9" s="2">
        <f>'Maestrx JS'!F9*2</f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'Maestrx JS'!F10*2</f>
        <v>372572.92</v>
      </c>
      <c r="G10" s="2">
        <f>'Maestrx JS'!G10*2</f>
        <v>372572.92</v>
      </c>
      <c r="H10" s="2">
        <f>'Maestrx JS'!H10*2</f>
        <v>372572.92</v>
      </c>
      <c r="I10" s="2">
        <f>'Maestrx JS'!I10*2</f>
        <v>372572.92</v>
      </c>
      <c r="J10" s="2">
        <f>'Maestrx JS'!J10*2</f>
        <v>372572.92</v>
      </c>
      <c r="K10" s="2">
        <f>'Maestrx JS'!K10*2</f>
        <v>372572.92</v>
      </c>
      <c r="L10" s="2">
        <f>'Maestrx JS'!L10*2</f>
        <v>372572.92</v>
      </c>
      <c r="M10" s="2">
        <f>'Maestrx JS'!M10*2</f>
        <v>372572.92</v>
      </c>
    </row>
    <row r="11" spans="1:13" x14ac:dyDescent="0.25">
      <c r="A11" t="s">
        <v>14</v>
      </c>
      <c r="B11" t="s">
        <v>12</v>
      </c>
      <c r="C11" s="2">
        <f>IF(Referencias!H5&gt;0,Referencias!H5,0)</f>
        <v>275150.53499600012</v>
      </c>
      <c r="D11" s="2">
        <f>IF(Referencias!I5&gt;0,Referencias!I5,0)</f>
        <v>68386.840903999982</v>
      </c>
      <c r="E11" s="2">
        <f>IF(Referencias!J5&gt;0,Referencias!J5,0)</f>
        <v>0</v>
      </c>
      <c r="F11" s="2">
        <f>IF(Referencias!K5&gt;0,Referencias!K5,0)</f>
        <v>0</v>
      </c>
      <c r="G11" s="2">
        <f>IF(Referencias!L5&gt;0,Referencias!L5,0)</f>
        <v>0</v>
      </c>
      <c r="H11" s="2">
        <f>IF(Referencias!M5&gt;0,Referencias!M5,0)</f>
        <v>0</v>
      </c>
      <c r="I11" s="2">
        <f>IF(Referencias!N5&gt;0,Referencias!N5,0)</f>
        <v>0</v>
      </c>
      <c r="J11" s="2">
        <f>IF(Referencias!O5&gt;0,Referencias!O5,0)</f>
        <v>0</v>
      </c>
      <c r="K11" s="2">
        <f>IF(Referencias!P5&gt;0,Referencias!P5,0)</f>
        <v>0</v>
      </c>
      <c r="L11" s="2">
        <f>IF(Referencias!Q5&gt;0,Referencias!Q5,0)</f>
        <v>0</v>
      </c>
      <c r="M11" s="2">
        <f>IF(Referencias!R5&gt;0,Referencias!R5,0)</f>
        <v>0</v>
      </c>
    </row>
    <row r="12" spans="1:13" x14ac:dyDescent="0.25">
      <c r="A12" t="s">
        <v>15</v>
      </c>
      <c r="B12" t="s">
        <v>12</v>
      </c>
      <c r="C12" s="2">
        <f>Referencias!C22</f>
        <v>68000</v>
      </c>
      <c r="D12" s="2">
        <f>C12</f>
        <v>68000</v>
      </c>
      <c r="E12" s="2">
        <f t="shared" ref="E12:M12" si="3">D12</f>
        <v>68000</v>
      </c>
      <c r="F12" s="2">
        <f t="shared" si="3"/>
        <v>68000</v>
      </c>
      <c r="G12" s="2">
        <f t="shared" si="3"/>
        <v>68000</v>
      </c>
      <c r="H12" s="2">
        <f t="shared" si="3"/>
        <v>68000</v>
      </c>
      <c r="I12" s="2">
        <f t="shared" si="3"/>
        <v>68000</v>
      </c>
      <c r="J12" s="2">
        <f t="shared" si="3"/>
        <v>68000</v>
      </c>
      <c r="K12" s="2">
        <f t="shared" si="3"/>
        <v>68000</v>
      </c>
      <c r="L12" s="2">
        <f t="shared" si="3"/>
        <v>68000</v>
      </c>
      <c r="M12" s="2">
        <f t="shared" si="3"/>
        <v>68000</v>
      </c>
    </row>
    <row r="13" spans="1:13" hidden="1" x14ac:dyDescent="0.25">
      <c r="A13" t="s">
        <v>16</v>
      </c>
      <c r="B13" t="s">
        <v>12</v>
      </c>
      <c r="C13" s="2">
        <f>Referencias!C23</f>
        <v>0</v>
      </c>
      <c r="D13" s="2">
        <f>C13</f>
        <v>0</v>
      </c>
      <c r="E13" s="2">
        <f t="shared" ref="E13:M13" si="4">D13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</row>
    <row r="14" spans="1:13" hidden="1" x14ac:dyDescent="0.25">
      <c r="A14" t="s">
        <v>17</v>
      </c>
      <c r="B14" t="s">
        <v>12</v>
      </c>
      <c r="C14" s="2">
        <f>Referencias!C26</f>
        <v>0</v>
      </c>
      <c r="D14" s="2">
        <f>C14</f>
        <v>0</v>
      </c>
      <c r="E14" s="2">
        <f t="shared" ref="E14:M14" si="5">D14</f>
        <v>0</v>
      </c>
      <c r="F14" s="2">
        <f t="shared" si="5"/>
        <v>0</v>
      </c>
      <c r="G14" s="2">
        <f t="shared" si="5"/>
        <v>0</v>
      </c>
      <c r="H14" s="2">
        <f t="shared" si="5"/>
        <v>0</v>
      </c>
      <c r="I14" s="2">
        <f t="shared" si="5"/>
        <v>0</v>
      </c>
      <c r="J14" s="2">
        <f t="shared" si="5"/>
        <v>0</v>
      </c>
      <c r="K14" s="2">
        <f t="shared" si="5"/>
        <v>0</v>
      </c>
      <c r="L14" s="2">
        <f t="shared" si="5"/>
        <v>0</v>
      </c>
      <c r="M14" s="2">
        <f t="shared" si="5"/>
        <v>0</v>
      </c>
    </row>
    <row r="15" spans="1:13" x14ac:dyDescent="0.25">
      <c r="A15" t="s">
        <v>18</v>
      </c>
      <c r="B15" t="s">
        <v>12</v>
      </c>
      <c r="C15" s="2">
        <f>Referencias!C25</f>
        <v>60000</v>
      </c>
      <c r="D15" s="2">
        <f>C15</f>
        <v>60000</v>
      </c>
      <c r="E15" s="2">
        <f t="shared" ref="E15:M15" si="6">D15</f>
        <v>60000</v>
      </c>
      <c r="F15" s="2">
        <f t="shared" si="6"/>
        <v>60000</v>
      </c>
      <c r="G15" s="2">
        <f t="shared" si="6"/>
        <v>60000</v>
      </c>
      <c r="H15" s="2">
        <f t="shared" si="6"/>
        <v>60000</v>
      </c>
      <c r="I15" s="2">
        <f t="shared" si="6"/>
        <v>60000</v>
      </c>
      <c r="J15" s="2">
        <f t="shared" si="6"/>
        <v>60000</v>
      </c>
      <c r="K15" s="2">
        <f t="shared" si="6"/>
        <v>60000</v>
      </c>
      <c r="L15" s="2">
        <f t="shared" si="6"/>
        <v>60000</v>
      </c>
      <c r="M15" s="2">
        <f t="shared" si="6"/>
        <v>60000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8" t="s">
        <v>21</v>
      </c>
      <c r="B17" s="5"/>
      <c r="C17" s="9">
        <f>SUM(C4:C15)</f>
        <v>1643268.586996</v>
      </c>
      <c r="D17" s="9">
        <f t="shared" ref="D17:L17" si="7">SUM(D4:D15)</f>
        <v>1692717.6489039999</v>
      </c>
      <c r="E17" s="9">
        <f t="shared" si="7"/>
        <v>1709735.06</v>
      </c>
      <c r="F17" s="9">
        <f t="shared" si="7"/>
        <v>1867040.9519999998</v>
      </c>
      <c r="G17" s="9">
        <f t="shared" si="7"/>
        <v>1952445.2039999999</v>
      </c>
      <c r="H17" s="9">
        <f t="shared" si="7"/>
        <v>2037849.4559999998</v>
      </c>
      <c r="I17" s="9">
        <f t="shared" si="7"/>
        <v>2123253.7079999996</v>
      </c>
      <c r="J17" s="9">
        <f t="shared" si="7"/>
        <v>2208657.96</v>
      </c>
      <c r="K17" s="9">
        <f t="shared" si="7"/>
        <v>2294062.2119999998</v>
      </c>
      <c r="L17" s="9">
        <f t="shared" si="7"/>
        <v>2379466.4640000002</v>
      </c>
      <c r="M17" s="9">
        <f>SUM(M4:M15)</f>
        <v>2464870.716</v>
      </c>
    </row>
    <row r="18" spans="1:13" ht="15.75" thickBot="1" x14ac:dyDescent="0.3">
      <c r="A18" s="11" t="s">
        <v>22</v>
      </c>
      <c r="B18" s="12"/>
      <c r="C18" s="13">
        <f>(C4+C5+C6+C7+C8+C10)*0.807+C12+C13+C14+C11+C9+C15</f>
        <v>1461955.36</v>
      </c>
      <c r="D18" s="13">
        <f t="shared" ref="D18:M18" si="8">(D4+D5+D6+D7+D8+D10)*0.807+D12+D13+D14+D11+D9+D15</f>
        <v>1461955.36</v>
      </c>
      <c r="E18" s="13">
        <f t="shared" si="8"/>
        <v>1462489.75046</v>
      </c>
      <c r="F18" s="13">
        <f t="shared" si="8"/>
        <v>1531406.0482639999</v>
      </c>
      <c r="G18" s="13">
        <f t="shared" si="8"/>
        <v>1600327.279628</v>
      </c>
      <c r="H18" s="13">
        <f t="shared" si="8"/>
        <v>1669248.5109919999</v>
      </c>
      <c r="I18" s="13">
        <f t="shared" si="8"/>
        <v>1738169.7423559998</v>
      </c>
      <c r="J18" s="13">
        <f t="shared" si="8"/>
        <v>1807090.9737200001</v>
      </c>
      <c r="K18" s="13">
        <f t="shared" si="8"/>
        <v>1876012.205084</v>
      </c>
      <c r="L18" s="13">
        <f t="shared" si="8"/>
        <v>1944933.4364480001</v>
      </c>
      <c r="M18" s="13">
        <f t="shared" si="8"/>
        <v>2013854.667812</v>
      </c>
    </row>
    <row r="19" spans="1:13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2">
    <mergeCell ref="A1:K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052F-AAE7-450A-83F3-42C8EC42042E}">
  <dimension ref="A1:M20"/>
  <sheetViews>
    <sheetView workbookViewId="0">
      <selection activeCell="F40" sqref="F40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11" width="12" bestFit="1" customWidth="1"/>
    <col min="12" max="12" width="13" bestFit="1" customWidth="1"/>
    <col min="13" max="13" width="12" bestFit="1" customWidth="1"/>
  </cols>
  <sheetData>
    <row r="1" spans="1:13" ht="18.75" x14ac:dyDescent="0.3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56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9633.68</v>
      </c>
      <c r="D4" s="2">
        <f>$M$1*Referencias!$B$1</f>
        <v>9633.68</v>
      </c>
      <c r="E4" s="2">
        <f>$M$1*Referencias!$B$1</f>
        <v>9633.68</v>
      </c>
      <c r="F4" s="2">
        <f>$M$1*Referencias!$B$1</f>
        <v>9633.68</v>
      </c>
      <c r="G4" s="2">
        <f>$M$1*Referencias!$B$1</f>
        <v>9633.68</v>
      </c>
      <c r="H4" s="2">
        <f>$M$1*Referencias!$B$1</f>
        <v>9633.68</v>
      </c>
      <c r="I4" s="2">
        <f>$M$1*Referencias!$B$1</f>
        <v>9633.68</v>
      </c>
      <c r="J4" s="2">
        <f>$M$1*Referencias!$B$1</f>
        <v>9633.68</v>
      </c>
      <c r="K4" s="2">
        <f>$M$1*Referencias!$B$1</f>
        <v>9633.68</v>
      </c>
      <c r="L4" s="2">
        <f>$M$1*Referencias!$B$1</f>
        <v>9633.68</v>
      </c>
      <c r="M4" s="2">
        <f>$M$1*Referencias!$B$1</f>
        <v>9633.68</v>
      </c>
    </row>
    <row r="5" spans="1:13" x14ac:dyDescent="0.25">
      <c r="A5" t="s">
        <v>6</v>
      </c>
      <c r="B5" t="s">
        <v>7</v>
      </c>
      <c r="C5" s="2">
        <f>C4*0.1+C7*0.1</f>
        <v>2273.7375263157896</v>
      </c>
      <c r="D5" s="2">
        <f t="shared" ref="D5:M5" si="0">D4*0.1+D7*0.1</f>
        <v>2273.7375263157896</v>
      </c>
      <c r="E5" s="2">
        <f t="shared" si="0"/>
        <v>2273.7375263157896</v>
      </c>
      <c r="F5" s="2">
        <f t="shared" si="0"/>
        <v>2273.7375263157896</v>
      </c>
      <c r="G5" s="2">
        <f t="shared" si="0"/>
        <v>2273.7375263157896</v>
      </c>
      <c r="H5" s="2">
        <f t="shared" si="0"/>
        <v>2273.7375263157896</v>
      </c>
      <c r="I5" s="2">
        <f t="shared" si="0"/>
        <v>2273.7375263157896</v>
      </c>
      <c r="J5" s="2">
        <f t="shared" si="0"/>
        <v>2273.7375263157896</v>
      </c>
      <c r="K5" s="2">
        <f t="shared" si="0"/>
        <v>2273.7375263157896</v>
      </c>
      <c r="L5" s="2">
        <f t="shared" si="0"/>
        <v>2273.7375263157896</v>
      </c>
      <c r="M5" s="2">
        <f t="shared" si="0"/>
        <v>2273.7375263157896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2890.1039999999998</v>
      </c>
      <c r="E6" s="2">
        <f t="shared" si="1"/>
        <v>3853.4720000000002</v>
      </c>
      <c r="F6" s="2">
        <f t="shared" si="1"/>
        <v>4816.84</v>
      </c>
      <c r="G6" s="2">
        <f t="shared" si="1"/>
        <v>5780.2079999999996</v>
      </c>
      <c r="H6" s="2">
        <f t="shared" si="1"/>
        <v>6743.576</v>
      </c>
      <c r="I6" s="2">
        <f t="shared" si="1"/>
        <v>7706.9440000000004</v>
      </c>
      <c r="J6" s="2">
        <f t="shared" si="1"/>
        <v>8670.3119999999999</v>
      </c>
      <c r="K6" s="2">
        <f t="shared" si="1"/>
        <v>9633.68</v>
      </c>
      <c r="L6" s="2">
        <f t="shared" si="1"/>
        <v>10597.048000000001</v>
      </c>
      <c r="M6" s="2">
        <f t="shared" si="1"/>
        <v>11560.415999999999</v>
      </c>
    </row>
    <row r="7" spans="1:13" x14ac:dyDescent="0.25">
      <c r="A7" t="s">
        <v>9</v>
      </c>
      <c r="B7" t="s">
        <v>5</v>
      </c>
      <c r="C7" s="2">
        <f>'Maestrx JS'!C7/19</f>
        <v>13103.695263157895</v>
      </c>
      <c r="D7" s="2">
        <f>'Maestrx JS'!D7/19</f>
        <v>13103.695263157895</v>
      </c>
      <c r="E7" s="2">
        <f>'Maestrx JS'!E7/19</f>
        <v>13103.695263157895</v>
      </c>
      <c r="F7" s="2">
        <f>'Maestrx JS'!F7/19</f>
        <v>13103.695263157895</v>
      </c>
      <c r="G7" s="2">
        <f>'Maestrx JS'!G7/19</f>
        <v>13103.695263157895</v>
      </c>
      <c r="H7" s="2">
        <f>'Maestrx JS'!H7/19</f>
        <v>13103.695263157895</v>
      </c>
      <c r="I7" s="2">
        <f>'Maestrx JS'!I7/19</f>
        <v>13103.695263157895</v>
      </c>
      <c r="J7" s="2">
        <f>'Maestrx JS'!J7/19</f>
        <v>13103.695263157895</v>
      </c>
      <c r="K7" s="2">
        <f>'Maestrx JS'!K7/19</f>
        <v>13103.695263157895</v>
      </c>
      <c r="L7" s="2">
        <f>'Maestrx JS'!L7/19</f>
        <v>13103.695263157895</v>
      </c>
      <c r="M7" s="2">
        <f>'Maestrx JS'!M7/19</f>
        <v>13103.695263157895</v>
      </c>
    </row>
    <row r="8" spans="1:13" x14ac:dyDescent="0.25">
      <c r="A8" t="s">
        <v>10</v>
      </c>
      <c r="B8" t="s">
        <v>7</v>
      </c>
      <c r="C8" s="2">
        <f>C7*C3</f>
        <v>0</v>
      </c>
      <c r="D8" s="2">
        <f t="shared" ref="D8:M8" si="2">D7*D3</f>
        <v>3931.1085789473682</v>
      </c>
      <c r="E8" s="2">
        <f t="shared" si="2"/>
        <v>5241.4781052631588</v>
      </c>
      <c r="F8" s="2">
        <f t="shared" si="2"/>
        <v>6551.8476315789476</v>
      </c>
      <c r="G8" s="2">
        <f t="shared" si="2"/>
        <v>7862.2171578947364</v>
      </c>
      <c r="H8" s="2">
        <f t="shared" si="2"/>
        <v>9172.5866842105261</v>
      </c>
      <c r="I8" s="2">
        <f t="shared" si="2"/>
        <v>10482.956210526318</v>
      </c>
      <c r="J8" s="2">
        <f t="shared" si="2"/>
        <v>11793.325736842105</v>
      </c>
      <c r="K8" s="2">
        <f t="shared" si="2"/>
        <v>13103.695263157895</v>
      </c>
      <c r="L8" s="2">
        <f t="shared" si="2"/>
        <v>14414.064789473687</v>
      </c>
      <c r="M8" s="2">
        <f t="shared" si="2"/>
        <v>15724.434315789473</v>
      </c>
    </row>
    <row r="9" spans="1:13" x14ac:dyDescent="0.25">
      <c r="A9" t="s">
        <v>11</v>
      </c>
      <c r="B9" t="s">
        <v>12</v>
      </c>
      <c r="C9" s="2">
        <f>'Maestrx JS'!C9/19</f>
        <v>7912.4021052631588</v>
      </c>
      <c r="D9" s="2">
        <f>'Maestrx JS'!D9/19</f>
        <v>7912.4021052631588</v>
      </c>
      <c r="E9" s="2">
        <f>'Maestrx JS'!E9/19</f>
        <v>7912.4021052631588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'Maestrx JS'!F10/19</f>
        <v>9804.5505263157884</v>
      </c>
      <c r="G10" s="2">
        <f>'Maestrx JS'!G10/19</f>
        <v>9804.5505263157884</v>
      </c>
      <c r="H10" s="2">
        <f>'Maestrx JS'!H10/19</f>
        <v>9804.5505263157884</v>
      </c>
      <c r="I10" s="2">
        <f>'Maestrx JS'!I10/19</f>
        <v>9804.5505263157884</v>
      </c>
      <c r="J10" s="2">
        <f>'Maestrx JS'!J10/19</f>
        <v>9804.5505263157884</v>
      </c>
      <c r="K10" s="2">
        <f>'Maestrx JS'!K10/19</f>
        <v>9804.5505263157884</v>
      </c>
      <c r="L10" s="2">
        <f>'Maestrx JS'!L10/19</f>
        <v>9804.5505263157884</v>
      </c>
      <c r="M10" s="2">
        <f>'Maestrx JS'!M10/19</f>
        <v>9804.5505263157884</v>
      </c>
    </row>
    <row r="11" spans="1:13" x14ac:dyDescent="0.25">
      <c r="A11" t="s">
        <v>14</v>
      </c>
      <c r="B11" t="s">
        <v>12</v>
      </c>
      <c r="C11" s="2">
        <f>IF(Referencias!H6&gt;0,Referencias!H6,0)</f>
        <v>5252.5158385438554</v>
      </c>
      <c r="D11" s="2">
        <f>IF(Referencias!I6&gt;0,Referencias!I6,0)</f>
        <v>0</v>
      </c>
      <c r="E11" s="2">
        <f>IF(Referencias!J6&gt;0,Referencias!J6,0)</f>
        <v>0</v>
      </c>
      <c r="F11" s="2">
        <f>IF(Referencias!K6&gt;0,Referencias!K6,0)</f>
        <v>0</v>
      </c>
      <c r="G11" s="2">
        <f>IF(Referencias!L6&gt;0,Referencias!L6,0)</f>
        <v>0</v>
      </c>
      <c r="H11" s="2">
        <f>IF(Referencias!M6&gt;0,Referencias!M6,0)</f>
        <v>0</v>
      </c>
      <c r="I11" s="2">
        <f>IF(Referencias!N6&gt;0,Referencias!N6,0)</f>
        <v>0</v>
      </c>
      <c r="J11" s="2">
        <f>IF(Referencias!O6&gt;0,Referencias!O6,0)</f>
        <v>0</v>
      </c>
      <c r="K11" s="2">
        <f>IF(Referencias!P6&gt;0,Referencias!P6,0)</f>
        <v>0</v>
      </c>
      <c r="L11" s="2">
        <f>IF(Referencias!Q6&gt;0,Referencias!Q6,0)</f>
        <v>0</v>
      </c>
      <c r="M11" s="2">
        <f>IF(Referencias!R6&gt;0,Referencias!R6,0)</f>
        <v>0</v>
      </c>
    </row>
    <row r="12" spans="1:13" x14ac:dyDescent="0.25">
      <c r="A12" t="s">
        <v>15</v>
      </c>
      <c r="B12" t="s">
        <v>12</v>
      </c>
      <c r="C12" s="2">
        <f>'Maestrx JS'!C12/15</f>
        <v>2266.6666666666665</v>
      </c>
      <c r="D12" s="2">
        <f>'Maestrx JS'!D12/15</f>
        <v>2266.6666666666665</v>
      </c>
      <c r="E12" s="2">
        <f>'Maestrx JS'!E12/15</f>
        <v>2266.6666666666665</v>
      </c>
      <c r="F12" s="2">
        <f>'Maestrx JS'!F12/15</f>
        <v>2266.6666666666665</v>
      </c>
      <c r="G12" s="2">
        <f>'Maestrx JS'!G12/15</f>
        <v>2266.6666666666665</v>
      </c>
      <c r="H12" s="2">
        <f>'Maestrx JS'!H12/15</f>
        <v>2266.6666666666665</v>
      </c>
      <c r="I12" s="2">
        <f>'Maestrx JS'!I12/15</f>
        <v>2266.6666666666665</v>
      </c>
      <c r="J12" s="2">
        <f>'Maestrx JS'!J12/15</f>
        <v>2266.6666666666665</v>
      </c>
      <c r="K12" s="2">
        <f>'Maestrx JS'!K12/15</f>
        <v>2266.6666666666665</v>
      </c>
      <c r="L12" s="2">
        <f>'Maestrx JS'!L12/15</f>
        <v>2266.6666666666665</v>
      </c>
      <c r="M12" s="2">
        <f>'Maestrx JS'!M12/15</f>
        <v>2266.6666666666665</v>
      </c>
    </row>
    <row r="13" spans="1:13" hidden="1" x14ac:dyDescent="0.25">
      <c r="A13" t="s">
        <v>16</v>
      </c>
      <c r="B13" t="s">
        <v>12</v>
      </c>
      <c r="C13" s="2">
        <f>'Maestrx JS'!C13/15</f>
        <v>0</v>
      </c>
      <c r="D13" s="2">
        <f>'Maestrx JS'!D13/15</f>
        <v>0</v>
      </c>
      <c r="E13" s="2">
        <f>'Maestrx JS'!E13/15</f>
        <v>0</v>
      </c>
      <c r="F13" s="2">
        <f>'Maestrx JS'!F13/15</f>
        <v>0</v>
      </c>
      <c r="G13" s="2">
        <f>'Maestrx JS'!G13/15</f>
        <v>0</v>
      </c>
      <c r="H13" s="2">
        <f>'Maestrx JS'!H13/15</f>
        <v>0</v>
      </c>
      <c r="I13" s="2">
        <f>'Maestrx JS'!I13/15</f>
        <v>0</v>
      </c>
      <c r="J13" s="2">
        <f>'Maestrx JS'!J13/15</f>
        <v>0</v>
      </c>
      <c r="K13" s="2">
        <f>'Maestrx JS'!K13/15</f>
        <v>0</v>
      </c>
      <c r="L13" s="2">
        <f>'Maestrx JS'!L13/15</f>
        <v>0</v>
      </c>
      <c r="M13" s="2">
        <f>'Maestrx JS'!M13/15</f>
        <v>0</v>
      </c>
    </row>
    <row r="14" spans="1:13" hidden="1" x14ac:dyDescent="0.25">
      <c r="A14" t="s">
        <v>17</v>
      </c>
      <c r="B14" t="s">
        <v>12</v>
      </c>
      <c r="C14" s="2">
        <f>'Maestrx JS'!C14/15</f>
        <v>0</v>
      </c>
      <c r="D14" s="2">
        <f>'Maestrx JS'!D14/15</f>
        <v>0</v>
      </c>
      <c r="E14" s="2">
        <f>'Maestrx JS'!E14/15</f>
        <v>0</v>
      </c>
      <c r="F14" s="2">
        <f>'Maestrx JS'!F14/15</f>
        <v>0</v>
      </c>
      <c r="G14" s="2">
        <f>'Maestrx JS'!G14/15</f>
        <v>0</v>
      </c>
      <c r="H14" s="2">
        <f>'Maestrx JS'!H14/15</f>
        <v>0</v>
      </c>
      <c r="I14" s="2">
        <f>'Maestrx JS'!I14/15</f>
        <v>0</v>
      </c>
      <c r="J14" s="2">
        <f>'Maestrx JS'!J14/15</f>
        <v>0</v>
      </c>
      <c r="K14" s="2">
        <f>'Maestrx JS'!K14/15</f>
        <v>0</v>
      </c>
      <c r="L14" s="2">
        <f>'Maestrx JS'!L14/15</f>
        <v>0</v>
      </c>
      <c r="M14" s="2">
        <f>'Maestrx JS'!M14/15</f>
        <v>0</v>
      </c>
    </row>
    <row r="15" spans="1:13" x14ac:dyDescent="0.25">
      <c r="A15" t="s">
        <v>18</v>
      </c>
      <c r="B15" t="s">
        <v>12</v>
      </c>
      <c r="C15" s="2">
        <f>Referencias!B25/19</f>
        <v>1578.9473684210527</v>
      </c>
      <c r="D15" s="2">
        <f>C15</f>
        <v>1578.9473684210527</v>
      </c>
      <c r="E15" s="2">
        <f t="shared" ref="E15:M15" si="3">D15</f>
        <v>1578.9473684210527</v>
      </c>
      <c r="F15" s="2">
        <f t="shared" si="3"/>
        <v>1578.9473684210527</v>
      </c>
      <c r="G15" s="2">
        <f t="shared" si="3"/>
        <v>1578.9473684210527</v>
      </c>
      <c r="H15" s="2">
        <f t="shared" si="3"/>
        <v>1578.9473684210527</v>
      </c>
      <c r="I15" s="2">
        <f t="shared" si="3"/>
        <v>1578.9473684210527</v>
      </c>
      <c r="J15" s="2">
        <f t="shared" si="3"/>
        <v>1578.9473684210527</v>
      </c>
      <c r="K15" s="2">
        <f t="shared" si="3"/>
        <v>1578.9473684210527</v>
      </c>
      <c r="L15" s="2">
        <f t="shared" si="3"/>
        <v>1578.9473684210527</v>
      </c>
      <c r="M15" s="2">
        <f t="shared" si="3"/>
        <v>1578.9473684210527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8" t="s">
        <v>21</v>
      </c>
      <c r="B17" s="5"/>
      <c r="C17" s="9">
        <f>SUM(C4:C15)</f>
        <v>42021.644768368416</v>
      </c>
      <c r="D17" s="9">
        <f t="shared" ref="D17:M17" si="4">SUM(D4:D15)</f>
        <v>43590.341508771933</v>
      </c>
      <c r="E17" s="9">
        <f t="shared" si="4"/>
        <v>45864.079035087721</v>
      </c>
      <c r="F17" s="9">
        <f t="shared" si="4"/>
        <v>50029.964982456142</v>
      </c>
      <c r="G17" s="9">
        <f t="shared" si="4"/>
        <v>52303.70250877193</v>
      </c>
      <c r="H17" s="9">
        <f t="shared" si="4"/>
        <v>54577.440035087719</v>
      </c>
      <c r="I17" s="9">
        <f t="shared" si="4"/>
        <v>56851.177561403514</v>
      </c>
      <c r="J17" s="9">
        <f t="shared" si="4"/>
        <v>59124.915087719295</v>
      </c>
      <c r="K17" s="9">
        <f t="shared" si="4"/>
        <v>61398.652614035091</v>
      </c>
      <c r="L17" s="9">
        <f t="shared" si="4"/>
        <v>63672.390140350879</v>
      </c>
      <c r="M17" s="9">
        <f t="shared" si="4"/>
        <v>65946.127666666667</v>
      </c>
    </row>
    <row r="18" spans="1:13" ht="15.75" thickBot="1" x14ac:dyDescent="0.3">
      <c r="A18" s="11" t="s">
        <v>22</v>
      </c>
      <c r="B18" s="12"/>
      <c r="C18" s="13">
        <f>(C4+C5+C6+C7+C8+C10)*0.807+C12+C13+C14+C11+C9+C15</f>
        <v>37194.5</v>
      </c>
      <c r="D18" s="13">
        <f t="shared" ref="D18:M18" si="5">(D4+D5+D6+D7+D8+D10)*0.807+D12+D13+D14+D11+D9+D15</f>
        <v>37446.702712666673</v>
      </c>
      <c r="E18" s="13">
        <f t="shared" si="5"/>
        <v>39281.608896403515</v>
      </c>
      <c r="F18" s="13">
        <f t="shared" si="5"/>
        <v>41116.385249614039</v>
      </c>
      <c r="G18" s="13">
        <f t="shared" si="5"/>
        <v>42951.291433350882</v>
      </c>
      <c r="H18" s="13">
        <f t="shared" si="5"/>
        <v>44786.197617087724</v>
      </c>
      <c r="I18" s="13">
        <f t="shared" si="5"/>
        <v>46621.103800824567</v>
      </c>
      <c r="J18" s="13">
        <f t="shared" si="5"/>
        <v>48456.009984561402</v>
      </c>
      <c r="K18" s="13">
        <f t="shared" si="5"/>
        <v>50290.916168298252</v>
      </c>
      <c r="L18" s="13">
        <f t="shared" si="5"/>
        <v>52125.822352035095</v>
      </c>
      <c r="M18" s="13">
        <f t="shared" si="5"/>
        <v>53960.72853577193</v>
      </c>
    </row>
    <row r="20" spans="1:13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2">
    <mergeCell ref="A1:K1"/>
    <mergeCell ref="A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E4F5-46A7-4F84-9EBC-CD77B41984D7}">
  <dimension ref="A1:M23"/>
  <sheetViews>
    <sheetView zoomScaleNormal="100" workbookViewId="0">
      <selection activeCell="M1" sqref="M1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8" width="13" bestFit="1" customWidth="1"/>
    <col min="9" max="12" width="14.5703125" bestFit="1" customWidth="1"/>
    <col min="13" max="13" width="14.85546875" bestFit="1" customWidth="1"/>
  </cols>
  <sheetData>
    <row r="1" spans="1:13" ht="18.75" x14ac:dyDescent="0.3">
      <c r="A1" s="47" t="s">
        <v>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952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163772.56</v>
      </c>
      <c r="D4" s="2">
        <f>$M$1*Referencias!$B$1</f>
        <v>163772.56</v>
      </c>
      <c r="E4" s="2">
        <f>$M$1*Referencias!$B$1</f>
        <v>163772.56</v>
      </c>
      <c r="F4" s="2">
        <f>$M$1*Referencias!$B$1</f>
        <v>163772.56</v>
      </c>
      <c r="G4" s="2">
        <f>$M$1*Referencias!$B$1</f>
        <v>163772.56</v>
      </c>
      <c r="H4" s="2">
        <f>$M$1*Referencias!$B$1</f>
        <v>163772.56</v>
      </c>
      <c r="I4" s="2">
        <f>$M$1*Referencias!$B$1</f>
        <v>163772.56</v>
      </c>
      <c r="J4" s="2">
        <f>$M$1*Referencias!$B$1</f>
        <v>163772.56</v>
      </c>
      <c r="K4" s="2">
        <f>$M$1*Referencias!$B$1</f>
        <v>163772.56</v>
      </c>
      <c r="L4" s="2">
        <f>$M$1*Referencias!$B$1</f>
        <v>163772.56</v>
      </c>
      <c r="M4" s="2">
        <f>$M$1*Referencias!$B$1</f>
        <v>163772.56</v>
      </c>
    </row>
    <row r="5" spans="1:13" x14ac:dyDescent="0.25">
      <c r="A5" t="s">
        <v>6</v>
      </c>
      <c r="B5" t="s">
        <v>7</v>
      </c>
      <c r="C5" s="2">
        <f>C4*0.1+C7*0.1</f>
        <v>40170.421000000002</v>
      </c>
      <c r="D5" s="2">
        <f t="shared" ref="D5:M5" si="0">D4*0.1+D7*0.1</f>
        <v>40170.421000000002</v>
      </c>
      <c r="E5" s="2">
        <f t="shared" si="0"/>
        <v>40170.421000000002</v>
      </c>
      <c r="F5" s="2">
        <f t="shared" si="0"/>
        <v>40170.421000000002</v>
      </c>
      <c r="G5" s="2">
        <f t="shared" si="0"/>
        <v>40170.421000000002</v>
      </c>
      <c r="H5" s="2">
        <f t="shared" si="0"/>
        <v>40170.421000000002</v>
      </c>
      <c r="I5" s="2">
        <f t="shared" si="0"/>
        <v>40170.421000000002</v>
      </c>
      <c r="J5" s="2">
        <f t="shared" si="0"/>
        <v>40170.421000000002</v>
      </c>
      <c r="K5" s="2">
        <f t="shared" si="0"/>
        <v>40170.421000000002</v>
      </c>
      <c r="L5" s="2">
        <f t="shared" si="0"/>
        <v>40170.421000000002</v>
      </c>
      <c r="M5" s="2">
        <f t="shared" si="0"/>
        <v>40170.421000000002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49131.767999999996</v>
      </c>
      <c r="E6" s="2">
        <f t="shared" si="1"/>
        <v>65509.024000000005</v>
      </c>
      <c r="F6" s="2">
        <f t="shared" si="1"/>
        <v>81886.28</v>
      </c>
      <c r="G6" s="2">
        <f t="shared" si="1"/>
        <v>98263.535999999993</v>
      </c>
      <c r="H6" s="2">
        <f t="shared" si="1"/>
        <v>114640.79199999999</v>
      </c>
      <c r="I6" s="2">
        <f t="shared" si="1"/>
        <v>131018.04800000001</v>
      </c>
      <c r="J6" s="2">
        <f t="shared" si="1"/>
        <v>147395.304</v>
      </c>
      <c r="K6" s="2">
        <f t="shared" si="1"/>
        <v>163772.56</v>
      </c>
      <c r="L6" s="2">
        <f t="shared" si="1"/>
        <v>180149.81600000002</v>
      </c>
      <c r="M6" s="2">
        <f t="shared" si="1"/>
        <v>196527.07199999999</v>
      </c>
    </row>
    <row r="7" spans="1:13" x14ac:dyDescent="0.25">
      <c r="A7" t="s">
        <v>9</v>
      </c>
      <c r="B7" t="s">
        <v>5</v>
      </c>
      <c r="C7" s="2">
        <f>Referencias!E18</f>
        <v>237931.65</v>
      </c>
      <c r="D7" s="2">
        <f>C7</f>
        <v>237931.65</v>
      </c>
      <c r="E7" s="2">
        <f t="shared" ref="E7:M7" si="2">D7</f>
        <v>237931.65</v>
      </c>
      <c r="F7" s="2">
        <f t="shared" si="2"/>
        <v>237931.65</v>
      </c>
      <c r="G7" s="2">
        <f t="shared" si="2"/>
        <v>237931.65</v>
      </c>
      <c r="H7" s="2">
        <f t="shared" si="2"/>
        <v>237931.65</v>
      </c>
      <c r="I7" s="2">
        <f t="shared" si="2"/>
        <v>237931.65</v>
      </c>
      <c r="J7" s="2">
        <f t="shared" si="2"/>
        <v>237931.65</v>
      </c>
      <c r="K7" s="2">
        <f t="shared" si="2"/>
        <v>237931.65</v>
      </c>
      <c r="L7" s="2">
        <f t="shared" si="2"/>
        <v>237931.65</v>
      </c>
      <c r="M7" s="2">
        <f t="shared" si="2"/>
        <v>237931.65</v>
      </c>
    </row>
    <row r="8" spans="1:13" x14ac:dyDescent="0.25">
      <c r="A8" t="s">
        <v>10</v>
      </c>
      <c r="B8" t="s">
        <v>7</v>
      </c>
      <c r="C8" s="2">
        <f>'Maestrx JS'!C7*C3</f>
        <v>0</v>
      </c>
      <c r="D8" s="2">
        <f t="shared" ref="D8:M8" si="3">D7*D3</f>
        <v>71379.494999999995</v>
      </c>
      <c r="E8" s="2">
        <f t="shared" si="3"/>
        <v>95172.66</v>
      </c>
      <c r="F8" s="2">
        <f t="shared" si="3"/>
        <v>118965.825</v>
      </c>
      <c r="G8" s="2">
        <f t="shared" si="3"/>
        <v>142758.99</v>
      </c>
      <c r="H8" s="2">
        <f t="shared" si="3"/>
        <v>166552.155</v>
      </c>
      <c r="I8" s="2">
        <f t="shared" si="3"/>
        <v>190345.32</v>
      </c>
      <c r="J8" s="2">
        <f t="shared" si="3"/>
        <v>214138.48499999999</v>
      </c>
      <c r="K8" s="2">
        <f t="shared" si="3"/>
        <v>237931.65</v>
      </c>
      <c r="L8" s="2">
        <f t="shared" si="3"/>
        <v>261724.815</v>
      </c>
      <c r="M8" s="2">
        <f t="shared" si="3"/>
        <v>285517.98</v>
      </c>
    </row>
    <row r="9" spans="1:13" x14ac:dyDescent="0.25">
      <c r="A9" t="s">
        <v>11</v>
      </c>
      <c r="B9" t="s">
        <v>12</v>
      </c>
      <c r="C9" s="2">
        <f>Referencias!E27</f>
        <v>144255.38</v>
      </c>
      <c r="D9" s="2">
        <f>C9</f>
        <v>144255.38</v>
      </c>
      <c r="E9" s="2">
        <f>D9</f>
        <v>144255.38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Referencias!E28</f>
        <v>178762.58</v>
      </c>
      <c r="G10" s="2">
        <f>F10</f>
        <v>178762.58</v>
      </c>
      <c r="H10" s="2">
        <f t="shared" ref="H10:M10" si="4">G10</f>
        <v>178762.58</v>
      </c>
      <c r="I10" s="2">
        <f t="shared" si="4"/>
        <v>178762.58</v>
      </c>
      <c r="J10" s="2">
        <f t="shared" si="4"/>
        <v>178762.58</v>
      </c>
      <c r="K10" s="2">
        <f t="shared" si="4"/>
        <v>178762.58</v>
      </c>
      <c r="L10" s="2">
        <f t="shared" si="4"/>
        <v>178762.58</v>
      </c>
      <c r="M10" s="2">
        <f t="shared" si="4"/>
        <v>178762.58</v>
      </c>
    </row>
    <row r="11" spans="1:13" x14ac:dyDescent="0.25">
      <c r="A11" t="s">
        <v>14</v>
      </c>
      <c r="B11" t="s">
        <v>12</v>
      </c>
      <c r="C11" s="2">
        <f>IF(Referencias!H7&gt;0,Referencias!H7,0)</f>
        <v>58590.342783000087</v>
      </c>
      <c r="D11" s="2">
        <f>IF(Referencias!I9&gt;0,Referencias!I9,0)</f>
        <v>0</v>
      </c>
      <c r="E11" s="2">
        <f>IF(Referencias!J9&gt;0,Referencias!J9,0)</f>
        <v>0</v>
      </c>
      <c r="F11" s="2">
        <f>IF(Referencias!K9&gt;0,Referencias!K9,0)</f>
        <v>0</v>
      </c>
      <c r="G11" s="2">
        <f>IF(Referencias!L9&gt;0,Referencias!L9,0)</f>
        <v>0</v>
      </c>
      <c r="H11" s="2">
        <f>IF(Referencias!M9&gt;0,Referencias!M9,0)</f>
        <v>0</v>
      </c>
      <c r="I11" s="2">
        <f>IF(Referencias!N9&gt;0,Referencias!N9,0)</f>
        <v>0</v>
      </c>
      <c r="J11" s="2">
        <f>IF(Referencias!O9&gt;0,Referencias!O9,0)</f>
        <v>0</v>
      </c>
      <c r="K11" s="2">
        <f>IF(Referencias!P9&gt;0,Referencias!P9,0)</f>
        <v>0</v>
      </c>
      <c r="L11" s="2">
        <f>IF(Referencias!Q9&gt;0,Referencias!Q9,0)</f>
        <v>0</v>
      </c>
      <c r="M11" s="2">
        <f>IF(Referencias!R9&gt;0,Referencias!R9,0)</f>
        <v>0</v>
      </c>
    </row>
    <row r="12" spans="1:13" x14ac:dyDescent="0.25">
      <c r="A12" t="s">
        <v>15</v>
      </c>
      <c r="B12" t="s">
        <v>12</v>
      </c>
      <c r="C12" s="2">
        <f>'Maestrx JS'!C12</f>
        <v>34000</v>
      </c>
      <c r="D12" s="2">
        <f>'Maestrx JS'!D12</f>
        <v>34000</v>
      </c>
      <c r="E12" s="2">
        <f>'Maestrx JS'!E12</f>
        <v>34000</v>
      </c>
      <c r="F12" s="2">
        <f>'Maestrx JS'!F12</f>
        <v>34000</v>
      </c>
      <c r="G12" s="2">
        <f>'Maestrx JS'!G12</f>
        <v>34000</v>
      </c>
      <c r="H12" s="2">
        <f>'Maestrx JS'!H12</f>
        <v>34000</v>
      </c>
      <c r="I12" s="2">
        <f>'Maestrx JS'!I12</f>
        <v>34000</v>
      </c>
      <c r="J12" s="2">
        <f>'Maestrx JS'!J12</f>
        <v>34000</v>
      </c>
      <c r="K12" s="2">
        <f>'Maestrx JS'!K12</f>
        <v>34000</v>
      </c>
      <c r="L12" s="2">
        <f>'Maestrx JS'!L12</f>
        <v>34000</v>
      </c>
      <c r="M12" s="2">
        <f>'Maestrx JS'!M12</f>
        <v>34000</v>
      </c>
    </row>
    <row r="13" spans="1:13" hidden="1" x14ac:dyDescent="0.25">
      <c r="A13" t="s">
        <v>16</v>
      </c>
      <c r="B13" t="s">
        <v>12</v>
      </c>
      <c r="C13" s="2">
        <f>'Maestrx JS'!C13</f>
        <v>0</v>
      </c>
      <c r="D13" s="2">
        <f>'Maestrx JS'!D13</f>
        <v>0</v>
      </c>
      <c r="E13" s="2">
        <f>'Maestrx JS'!E13</f>
        <v>0</v>
      </c>
      <c r="F13" s="2">
        <f>'Maestrx JS'!F13</f>
        <v>0</v>
      </c>
      <c r="G13" s="2">
        <f>'Maestrx JS'!G13</f>
        <v>0</v>
      </c>
      <c r="H13" s="2">
        <f>'Maestrx JS'!H13</f>
        <v>0</v>
      </c>
      <c r="I13" s="2">
        <f>'Maestrx JS'!I13</f>
        <v>0</v>
      </c>
      <c r="J13" s="2">
        <f>'Maestrx JS'!J13</f>
        <v>0</v>
      </c>
      <c r="K13" s="2">
        <f>'Maestrx JS'!K13</f>
        <v>0</v>
      </c>
      <c r="L13" s="2">
        <f>'Maestrx JS'!L13</f>
        <v>0</v>
      </c>
      <c r="M13" s="2">
        <f>'Maestrx JS'!M13</f>
        <v>0</v>
      </c>
    </row>
    <row r="14" spans="1:13" hidden="1" x14ac:dyDescent="0.25">
      <c r="A14" t="s">
        <v>17</v>
      </c>
      <c r="B14" t="s">
        <v>12</v>
      </c>
      <c r="C14" s="2">
        <f>'Maestrx JS'!C14</f>
        <v>0</v>
      </c>
      <c r="D14" s="2">
        <f>'Maestrx JS'!D14</f>
        <v>0</v>
      </c>
      <c r="E14" s="2">
        <f>'Maestrx JS'!E14</f>
        <v>0</v>
      </c>
      <c r="F14" s="2">
        <f>'Maestrx JS'!F14</f>
        <v>0</v>
      </c>
      <c r="G14" s="2">
        <f>'Maestrx JS'!G14</f>
        <v>0</v>
      </c>
      <c r="H14" s="2">
        <f>'Maestrx JS'!H14</f>
        <v>0</v>
      </c>
      <c r="I14" s="2">
        <f>'Maestrx JS'!I14</f>
        <v>0</v>
      </c>
      <c r="J14" s="2">
        <f>'Maestrx JS'!J14</f>
        <v>0</v>
      </c>
      <c r="K14" s="2">
        <f>'Maestrx JS'!K14</f>
        <v>0</v>
      </c>
      <c r="L14" s="2">
        <f>'Maestrx JS'!L14</f>
        <v>0</v>
      </c>
      <c r="M14" s="2">
        <f>'Maestrx JS'!M14</f>
        <v>0</v>
      </c>
    </row>
    <row r="15" spans="1:13" x14ac:dyDescent="0.25">
      <c r="A15" t="s">
        <v>18</v>
      </c>
      <c r="B15" t="s">
        <v>12</v>
      </c>
      <c r="C15" s="2">
        <f>'Maestrx JS'!C15</f>
        <v>30000</v>
      </c>
      <c r="D15" s="2">
        <f>C15</f>
        <v>30000</v>
      </c>
      <c r="E15" s="2">
        <f t="shared" ref="E15:M15" si="5">D15</f>
        <v>30000</v>
      </c>
      <c r="F15" s="2">
        <f t="shared" si="5"/>
        <v>30000</v>
      </c>
      <c r="G15" s="2">
        <f t="shared" si="5"/>
        <v>30000</v>
      </c>
      <c r="H15" s="2">
        <f t="shared" si="5"/>
        <v>30000</v>
      </c>
      <c r="I15" s="2">
        <f t="shared" si="5"/>
        <v>30000</v>
      </c>
      <c r="J15" s="2">
        <f t="shared" si="5"/>
        <v>30000</v>
      </c>
      <c r="K15" s="2">
        <f t="shared" si="5"/>
        <v>30000</v>
      </c>
      <c r="L15" s="2">
        <f t="shared" si="5"/>
        <v>30000</v>
      </c>
      <c r="M15" s="2">
        <f t="shared" si="5"/>
        <v>30000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8" t="s">
        <v>21</v>
      </c>
      <c r="B17" s="5"/>
      <c r="C17" s="9">
        <f>SUM(C4:C15)</f>
        <v>708720.35378300003</v>
      </c>
      <c r="D17" s="9">
        <f t="shared" ref="D17:M17" si="6">SUM(D4:D15)</f>
        <v>770641.27399999998</v>
      </c>
      <c r="E17" s="9">
        <f t="shared" si="6"/>
        <v>810811.69500000007</v>
      </c>
      <c r="F17" s="9">
        <f t="shared" si="6"/>
        <v>885489.31599999988</v>
      </c>
      <c r="G17" s="9">
        <f t="shared" si="6"/>
        <v>925659.73699999996</v>
      </c>
      <c r="H17" s="9">
        <f t="shared" si="6"/>
        <v>965830.15799999994</v>
      </c>
      <c r="I17" s="9">
        <f t="shared" si="6"/>
        <v>1006000.579</v>
      </c>
      <c r="J17" s="9">
        <f t="shared" si="6"/>
        <v>1046171</v>
      </c>
      <c r="K17" s="9">
        <f t="shared" si="6"/>
        <v>1086341.4210000001</v>
      </c>
      <c r="L17" s="9">
        <f t="shared" si="6"/>
        <v>1126511.8420000002</v>
      </c>
      <c r="M17" s="9">
        <f t="shared" si="6"/>
        <v>1166682.263</v>
      </c>
    </row>
    <row r="18" spans="1:13" ht="15.75" thickBot="1" x14ac:dyDescent="0.3">
      <c r="A18" s="11" t="s">
        <v>22</v>
      </c>
      <c r="B18" s="12"/>
      <c r="C18" s="13">
        <f>(C4+C5+C6+C7+C8+C10)*0.807+C12+C13+C14+C11+C9+C15</f>
        <v>623438.55000000005</v>
      </c>
      <c r="D18" s="13">
        <f t="shared" ref="D18:M18" si="7">(D4+D5+D6+D7+D8+D10)*0.807+D12+D13+D14+D11+D9+D15</f>
        <v>662100.79645800008</v>
      </c>
      <c r="E18" s="13">
        <f t="shared" si="7"/>
        <v>694518.32620500005</v>
      </c>
      <c r="F18" s="13">
        <f t="shared" si="7"/>
        <v>726941.87801199988</v>
      </c>
      <c r="G18" s="13">
        <f t="shared" si="7"/>
        <v>759359.40775899997</v>
      </c>
      <c r="H18" s="13">
        <f t="shared" si="7"/>
        <v>791776.93750600005</v>
      </c>
      <c r="I18" s="13">
        <f t="shared" si="7"/>
        <v>824194.46725300013</v>
      </c>
      <c r="J18" s="13">
        <f t="shared" si="7"/>
        <v>856611.99700000009</v>
      </c>
      <c r="K18" s="13">
        <f t="shared" si="7"/>
        <v>889029.52674700005</v>
      </c>
      <c r="L18" s="13">
        <f t="shared" si="7"/>
        <v>921447.05649400025</v>
      </c>
      <c r="M18" s="13">
        <f t="shared" si="7"/>
        <v>953864.5862410001</v>
      </c>
    </row>
    <row r="20" spans="1:13" x14ac:dyDescent="0.25">
      <c r="M20" s="4"/>
    </row>
    <row r="21" spans="1:13" x14ac:dyDescent="0.25">
      <c r="M21" s="4"/>
    </row>
    <row r="22" spans="1:13" x14ac:dyDescent="0.25">
      <c r="M22" s="4"/>
    </row>
    <row r="23" spans="1:13" x14ac:dyDescent="0.25">
      <c r="M23" s="4"/>
    </row>
  </sheetData>
  <mergeCells count="2">
    <mergeCell ref="A1:K1"/>
    <mergeCell ref="A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9273-FF9E-4C06-B06A-39091A293576}">
  <dimension ref="A1:M18"/>
  <sheetViews>
    <sheetView tabSelected="1" zoomScaleNormal="100" workbookViewId="0">
      <selection activeCell="F18" sqref="F18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8" width="13" bestFit="1" customWidth="1"/>
    <col min="9" max="13" width="14.5703125" bestFit="1" customWidth="1"/>
  </cols>
  <sheetData>
    <row r="1" spans="1:13" ht="18.75" x14ac:dyDescent="0.3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981.5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168847.44500000001</v>
      </c>
      <c r="D4" s="2">
        <f>$M$1*Referencias!$B$1</f>
        <v>168847.44500000001</v>
      </c>
      <c r="E4" s="2">
        <f>$M$1*Referencias!$B$1</f>
        <v>168847.44500000001</v>
      </c>
      <c r="F4" s="2">
        <f>$M$1*Referencias!$B$1</f>
        <v>168847.44500000001</v>
      </c>
      <c r="G4" s="2">
        <f>$M$1*Referencias!$B$1</f>
        <v>168847.44500000001</v>
      </c>
      <c r="H4" s="2">
        <f>$M$1*Referencias!$B$1</f>
        <v>168847.44500000001</v>
      </c>
      <c r="I4" s="2">
        <f>$M$1*Referencias!$B$1</f>
        <v>168847.44500000001</v>
      </c>
      <c r="J4" s="2">
        <f>$M$1*Referencias!$B$1</f>
        <v>168847.44500000001</v>
      </c>
      <c r="K4" s="2">
        <f>$M$1*Referencias!$B$1</f>
        <v>168847.44500000001</v>
      </c>
      <c r="L4" s="2">
        <f>$M$1*Referencias!$B$1</f>
        <v>168847.44500000001</v>
      </c>
      <c r="M4" s="2">
        <f>$M$1*Referencias!$B$1</f>
        <v>168847.44500000001</v>
      </c>
    </row>
    <row r="5" spans="1:13" x14ac:dyDescent="0.25">
      <c r="A5" t="s">
        <v>6</v>
      </c>
      <c r="B5" t="s">
        <v>7</v>
      </c>
      <c r="C5" s="2">
        <f>C4*0.1+C7*0.1</f>
        <v>40677.909500000002</v>
      </c>
      <c r="D5" s="2">
        <f t="shared" ref="D5:M5" si="0">D4*0.1+D7*0.1</f>
        <v>40677.909500000002</v>
      </c>
      <c r="E5" s="2">
        <f t="shared" si="0"/>
        <v>40677.909500000002</v>
      </c>
      <c r="F5" s="2">
        <f t="shared" si="0"/>
        <v>40677.909500000002</v>
      </c>
      <c r="G5" s="2">
        <f t="shared" si="0"/>
        <v>40677.909500000002</v>
      </c>
      <c r="H5" s="2">
        <f t="shared" si="0"/>
        <v>40677.909500000002</v>
      </c>
      <c r="I5" s="2">
        <f t="shared" si="0"/>
        <v>40677.909500000002</v>
      </c>
      <c r="J5" s="2">
        <f t="shared" si="0"/>
        <v>40677.909500000002</v>
      </c>
      <c r="K5" s="2">
        <f t="shared" si="0"/>
        <v>40677.909500000002</v>
      </c>
      <c r="L5" s="2">
        <f t="shared" si="0"/>
        <v>40677.909500000002</v>
      </c>
      <c r="M5" s="2">
        <f t="shared" si="0"/>
        <v>40677.909500000002</v>
      </c>
    </row>
    <row r="6" spans="1:13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50654.233500000002</v>
      </c>
      <c r="E6" s="2">
        <f t="shared" si="1"/>
        <v>67538.978000000003</v>
      </c>
      <c r="F6" s="2">
        <f t="shared" si="1"/>
        <v>84423.722500000003</v>
      </c>
      <c r="G6" s="2">
        <f t="shared" si="1"/>
        <v>101308.467</v>
      </c>
      <c r="H6" s="2">
        <f t="shared" si="1"/>
        <v>118193.21149999999</v>
      </c>
      <c r="I6" s="2">
        <f t="shared" si="1"/>
        <v>135077.95600000001</v>
      </c>
      <c r="J6" s="2">
        <f t="shared" si="1"/>
        <v>151962.70050000001</v>
      </c>
      <c r="K6" s="2">
        <f t="shared" si="1"/>
        <v>168847.44500000001</v>
      </c>
      <c r="L6" s="2">
        <f t="shared" si="1"/>
        <v>185732.18950000004</v>
      </c>
      <c r="M6" s="2">
        <f t="shared" si="1"/>
        <v>202616.93400000001</v>
      </c>
    </row>
    <row r="7" spans="1:13" x14ac:dyDescent="0.25">
      <c r="A7" t="s">
        <v>9</v>
      </c>
      <c r="B7" t="s">
        <v>5</v>
      </c>
      <c r="C7" s="2">
        <f>Referencias!E18</f>
        <v>237931.65</v>
      </c>
      <c r="D7" s="2">
        <f>C7</f>
        <v>237931.65</v>
      </c>
      <c r="E7" s="2">
        <f t="shared" ref="E7:M7" si="2">D7</f>
        <v>237931.65</v>
      </c>
      <c r="F7" s="2">
        <f t="shared" si="2"/>
        <v>237931.65</v>
      </c>
      <c r="G7" s="2">
        <f t="shared" si="2"/>
        <v>237931.65</v>
      </c>
      <c r="H7" s="2">
        <f t="shared" si="2"/>
        <v>237931.65</v>
      </c>
      <c r="I7" s="2">
        <f t="shared" si="2"/>
        <v>237931.65</v>
      </c>
      <c r="J7" s="2">
        <f t="shared" si="2"/>
        <v>237931.65</v>
      </c>
      <c r="K7" s="2">
        <f t="shared" si="2"/>
        <v>237931.65</v>
      </c>
      <c r="L7" s="2">
        <f t="shared" si="2"/>
        <v>237931.65</v>
      </c>
      <c r="M7" s="2">
        <f t="shared" si="2"/>
        <v>237931.65</v>
      </c>
    </row>
    <row r="8" spans="1:13" x14ac:dyDescent="0.25">
      <c r="A8" t="s">
        <v>10</v>
      </c>
      <c r="B8" t="s">
        <v>7</v>
      </c>
      <c r="C8" s="2">
        <f>'Maestrx JS'!C7*C3</f>
        <v>0</v>
      </c>
      <c r="D8" s="2">
        <f t="shared" ref="D8:M8" si="3">D7*D3</f>
        <v>71379.494999999995</v>
      </c>
      <c r="E8" s="2">
        <f t="shared" si="3"/>
        <v>95172.66</v>
      </c>
      <c r="F8" s="2">
        <f t="shared" si="3"/>
        <v>118965.825</v>
      </c>
      <c r="G8" s="2">
        <f t="shared" si="3"/>
        <v>142758.99</v>
      </c>
      <c r="H8" s="2">
        <f t="shared" si="3"/>
        <v>166552.155</v>
      </c>
      <c r="I8" s="2">
        <f t="shared" si="3"/>
        <v>190345.32</v>
      </c>
      <c r="J8" s="2">
        <f t="shared" si="3"/>
        <v>214138.48499999999</v>
      </c>
      <c r="K8" s="2">
        <f t="shared" si="3"/>
        <v>237931.65</v>
      </c>
      <c r="L8" s="2">
        <f t="shared" si="3"/>
        <v>261724.815</v>
      </c>
      <c r="M8" s="2">
        <f t="shared" si="3"/>
        <v>285517.98</v>
      </c>
    </row>
    <row r="9" spans="1:13" x14ac:dyDescent="0.25">
      <c r="A9" t="s">
        <v>11</v>
      </c>
      <c r="B9" t="s">
        <v>12</v>
      </c>
      <c r="C9" s="2">
        <f>Referencias!E27</f>
        <v>144255.38</v>
      </c>
      <c r="D9" s="2">
        <f>C9</f>
        <v>144255.38</v>
      </c>
      <c r="E9" s="2">
        <f>D9</f>
        <v>144255.38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Referencias!E28</f>
        <v>178762.58</v>
      </c>
      <c r="G10" s="2">
        <f>F10</f>
        <v>178762.58</v>
      </c>
      <c r="H10" s="2">
        <f t="shared" ref="H10:M10" si="4">G10</f>
        <v>178762.58</v>
      </c>
      <c r="I10" s="2">
        <f t="shared" si="4"/>
        <v>178762.58</v>
      </c>
      <c r="J10" s="2">
        <f t="shared" si="4"/>
        <v>178762.58</v>
      </c>
      <c r="K10" s="2">
        <f t="shared" si="4"/>
        <v>178762.58</v>
      </c>
      <c r="L10" s="2">
        <f t="shared" si="4"/>
        <v>178762.58</v>
      </c>
      <c r="M10" s="2">
        <f t="shared" si="4"/>
        <v>178762.58</v>
      </c>
    </row>
    <row r="11" spans="1:13" x14ac:dyDescent="0.25">
      <c r="A11" t="s">
        <v>14</v>
      </c>
      <c r="B11" t="s">
        <v>12</v>
      </c>
      <c r="C11" s="2">
        <f>IF(Referencias!H9&gt;0,Referencias!H9,0)</f>
        <v>75478.17676938104</v>
      </c>
      <c r="D11" s="2">
        <f>IF(Referencias!I9&gt;0,Referencias!I9,0)</f>
        <v>0</v>
      </c>
      <c r="E11" s="2">
        <f>IF(Referencias!J9&gt;0,Referencias!J9,0)</f>
        <v>0</v>
      </c>
      <c r="F11" s="2">
        <f>IF(Referencias!K9&gt;0,Referencias!K9,0)</f>
        <v>0</v>
      </c>
      <c r="G11" s="2">
        <f>IF(Referencias!L9&gt;0,Referencias!L9,0)</f>
        <v>0</v>
      </c>
      <c r="H11" s="2">
        <f>IF(Referencias!M9&gt;0,Referencias!M9,0)</f>
        <v>0</v>
      </c>
      <c r="I11" s="2">
        <f>IF(Referencias!N9&gt;0,Referencias!N9,0)</f>
        <v>0</v>
      </c>
      <c r="J11" s="2">
        <f>IF(Referencias!O9&gt;0,Referencias!O9,0)</f>
        <v>0</v>
      </c>
      <c r="K11" s="2">
        <f>IF(Referencias!P9&gt;0,Referencias!P9,0)</f>
        <v>0</v>
      </c>
      <c r="L11" s="2">
        <f>IF(Referencias!Q9&gt;0,Referencias!Q9,0)</f>
        <v>0</v>
      </c>
      <c r="M11" s="2">
        <f>IF(Referencias!R9&gt;0,Referencias!R9,0)</f>
        <v>0</v>
      </c>
    </row>
    <row r="12" spans="1:13" x14ac:dyDescent="0.25">
      <c r="A12" t="s">
        <v>15</v>
      </c>
      <c r="B12" t="s">
        <v>12</v>
      </c>
      <c r="C12" s="2">
        <f>'Maestrx JS'!C12</f>
        <v>34000</v>
      </c>
      <c r="D12" s="2">
        <f>'Maestrx JS'!D12</f>
        <v>34000</v>
      </c>
      <c r="E12" s="2">
        <f>'Maestrx JS'!E12</f>
        <v>34000</v>
      </c>
      <c r="F12" s="2">
        <f>'Maestrx JS'!F12</f>
        <v>34000</v>
      </c>
      <c r="G12" s="2">
        <f>'Maestrx JS'!G12</f>
        <v>34000</v>
      </c>
      <c r="H12" s="2">
        <f>'Maestrx JS'!H12</f>
        <v>34000</v>
      </c>
      <c r="I12" s="2">
        <f>'Maestrx JS'!I12</f>
        <v>34000</v>
      </c>
      <c r="J12" s="2">
        <f>'Maestrx JS'!J12</f>
        <v>34000</v>
      </c>
      <c r="K12" s="2">
        <f>'Maestrx JS'!K12</f>
        <v>34000</v>
      </c>
      <c r="L12" s="2">
        <f>'Maestrx JS'!L12</f>
        <v>34000</v>
      </c>
      <c r="M12" s="2">
        <f>'Maestrx JS'!M12</f>
        <v>34000</v>
      </c>
    </row>
    <row r="13" spans="1:13" hidden="1" x14ac:dyDescent="0.25">
      <c r="A13" t="s">
        <v>16</v>
      </c>
      <c r="B13" t="s">
        <v>12</v>
      </c>
      <c r="C13" s="2">
        <f>'Maestrx JS'!C13</f>
        <v>0</v>
      </c>
      <c r="D13" s="2">
        <f>'Maestrx JS'!D13</f>
        <v>0</v>
      </c>
      <c r="E13" s="2">
        <f>'Maestrx JS'!E13</f>
        <v>0</v>
      </c>
      <c r="F13" s="2">
        <f>'Maestrx JS'!F13</f>
        <v>0</v>
      </c>
      <c r="G13" s="2">
        <f>'Maestrx JS'!G13</f>
        <v>0</v>
      </c>
      <c r="H13" s="2">
        <f>'Maestrx JS'!H13</f>
        <v>0</v>
      </c>
      <c r="I13" s="2">
        <f>'Maestrx JS'!I13</f>
        <v>0</v>
      </c>
      <c r="J13" s="2">
        <f>'Maestrx JS'!J13</f>
        <v>0</v>
      </c>
      <c r="K13" s="2">
        <f>'Maestrx JS'!K13</f>
        <v>0</v>
      </c>
      <c r="L13" s="2">
        <f>'Maestrx JS'!L13</f>
        <v>0</v>
      </c>
      <c r="M13" s="2">
        <f>'Maestrx JS'!M13</f>
        <v>0</v>
      </c>
    </row>
    <row r="14" spans="1:13" hidden="1" x14ac:dyDescent="0.25">
      <c r="A14" t="s">
        <v>17</v>
      </c>
      <c r="B14" t="s">
        <v>12</v>
      </c>
      <c r="C14" s="2">
        <f>'Maestrx JS'!C14</f>
        <v>0</v>
      </c>
      <c r="D14" s="2">
        <f>'Maestrx JS'!D14</f>
        <v>0</v>
      </c>
      <c r="E14" s="2">
        <f>'Maestrx JS'!E14</f>
        <v>0</v>
      </c>
      <c r="F14" s="2">
        <f>'Maestrx JS'!F14</f>
        <v>0</v>
      </c>
      <c r="G14" s="2">
        <f>'Maestrx JS'!G14</f>
        <v>0</v>
      </c>
      <c r="H14" s="2">
        <f>'Maestrx JS'!H14</f>
        <v>0</v>
      </c>
      <c r="I14" s="2">
        <f>'Maestrx JS'!I14</f>
        <v>0</v>
      </c>
      <c r="J14" s="2">
        <f>'Maestrx JS'!J14</f>
        <v>0</v>
      </c>
      <c r="K14" s="2">
        <f>'Maestrx JS'!K14</f>
        <v>0</v>
      </c>
      <c r="L14" s="2">
        <f>'Maestrx JS'!L14</f>
        <v>0</v>
      </c>
      <c r="M14" s="2">
        <f>'Maestrx JS'!M14</f>
        <v>0</v>
      </c>
    </row>
    <row r="15" spans="1:13" x14ac:dyDescent="0.25">
      <c r="A15" t="s">
        <v>18</v>
      </c>
      <c r="B15" t="s">
        <v>12</v>
      </c>
      <c r="C15" s="2">
        <f>'Maestrx JS'!$C$15/1135*$M$1</f>
        <v>25942.731277533039</v>
      </c>
      <c r="D15" s="2">
        <f>C15</f>
        <v>25942.731277533039</v>
      </c>
      <c r="E15" s="2">
        <f t="shared" ref="E15:M15" si="5">D15</f>
        <v>25942.731277533039</v>
      </c>
      <c r="F15" s="2">
        <f t="shared" si="5"/>
        <v>25942.731277533039</v>
      </c>
      <c r="G15" s="2">
        <f t="shared" si="5"/>
        <v>25942.731277533039</v>
      </c>
      <c r="H15" s="2">
        <f t="shared" si="5"/>
        <v>25942.731277533039</v>
      </c>
      <c r="I15" s="2">
        <f t="shared" si="5"/>
        <v>25942.731277533039</v>
      </c>
      <c r="J15" s="2">
        <f t="shared" si="5"/>
        <v>25942.731277533039</v>
      </c>
      <c r="K15" s="2">
        <f t="shared" si="5"/>
        <v>25942.731277533039</v>
      </c>
      <c r="L15" s="2">
        <f t="shared" si="5"/>
        <v>25942.731277533039</v>
      </c>
      <c r="M15" s="2">
        <f t="shared" si="5"/>
        <v>25942.731277533039</v>
      </c>
    </row>
    <row r="16" spans="1:13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thickBot="1" x14ac:dyDescent="0.3">
      <c r="A17" s="8" t="s">
        <v>21</v>
      </c>
      <c r="B17" s="5"/>
      <c r="C17" s="9">
        <f>SUM(C4:C15)</f>
        <v>727133.29254691408</v>
      </c>
      <c r="D17" s="9">
        <f t="shared" ref="D17:M17" si="6">SUM(D4:D15)</f>
        <v>773688.844277533</v>
      </c>
      <c r="E17" s="9">
        <f t="shared" si="6"/>
        <v>814366.75377753307</v>
      </c>
      <c r="F17" s="9">
        <f t="shared" si="6"/>
        <v>889551.86327753298</v>
      </c>
      <c r="G17" s="9">
        <f t="shared" si="6"/>
        <v>930229.77277753293</v>
      </c>
      <c r="H17" s="9">
        <f t="shared" si="6"/>
        <v>970907.68227753299</v>
      </c>
      <c r="I17" s="9">
        <f t="shared" si="6"/>
        <v>1011585.5917775331</v>
      </c>
      <c r="J17" s="9">
        <f t="shared" si="6"/>
        <v>1052263.5012775331</v>
      </c>
      <c r="K17" s="9">
        <f t="shared" si="6"/>
        <v>1092941.4107775332</v>
      </c>
      <c r="L17" s="9">
        <f t="shared" si="6"/>
        <v>1133619.3202775333</v>
      </c>
      <c r="M17" s="9">
        <f t="shared" si="6"/>
        <v>1174297.2297775331</v>
      </c>
    </row>
    <row r="18" spans="1:13" ht="15.75" thickBot="1" x14ac:dyDescent="0.3">
      <c r="A18" s="11" t="s">
        <v>22</v>
      </c>
      <c r="B18" s="12"/>
      <c r="C18" s="13">
        <f>(C4+C5+C6+C7+C8+C10)*0.807+C12+C13+C14+C11+C9+C15</f>
        <v>640774.0906784141</v>
      </c>
      <c r="D18" s="13">
        <f t="shared" ref="D18:M18" si="7">(D4+D5+D6+D7+D8+D10)*0.807+D12+D13+D14+D11+D9+D15</f>
        <v>663777.13280853303</v>
      </c>
      <c r="E18" s="13">
        <f t="shared" si="7"/>
        <v>696604.2057750331</v>
      </c>
      <c r="F18" s="13">
        <f t="shared" si="7"/>
        <v>729437.30080153304</v>
      </c>
      <c r="G18" s="13">
        <f t="shared" si="7"/>
        <v>762264.37376803299</v>
      </c>
      <c r="H18" s="13">
        <f t="shared" si="7"/>
        <v>795091.44673453306</v>
      </c>
      <c r="I18" s="13">
        <f t="shared" si="7"/>
        <v>827918.51970103313</v>
      </c>
      <c r="J18" s="13">
        <f t="shared" si="7"/>
        <v>860745.59266753308</v>
      </c>
      <c r="K18" s="13">
        <f t="shared" si="7"/>
        <v>893572.66563403304</v>
      </c>
      <c r="L18" s="13">
        <f t="shared" si="7"/>
        <v>926399.73860053322</v>
      </c>
      <c r="M18" s="13">
        <f t="shared" si="7"/>
        <v>959226.81156703306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A6A7-39F9-4843-A00D-05F64E6C74D9}">
  <dimension ref="A1:N21"/>
  <sheetViews>
    <sheetView workbookViewId="0">
      <selection activeCell="M17" sqref="C17:M17"/>
    </sheetView>
  </sheetViews>
  <sheetFormatPr baseColWidth="10" defaultColWidth="11.42578125" defaultRowHeight="15" x14ac:dyDescent="0.25"/>
  <cols>
    <col min="1" max="1" width="29.7109375" bestFit="1" customWidth="1"/>
    <col min="2" max="2" width="8.28515625" bestFit="1" customWidth="1"/>
    <col min="3" max="13" width="13" bestFit="1" customWidth="1"/>
    <col min="14" max="14" width="12" bestFit="1" customWidth="1"/>
  </cols>
  <sheetData>
    <row r="1" spans="1:14" ht="18.75" x14ac:dyDescent="0.3">
      <c r="A1" s="47" t="s">
        <v>68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65</v>
      </c>
    </row>
    <row r="2" spans="1:14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4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4" x14ac:dyDescent="0.25">
      <c r="A4" t="s">
        <v>4</v>
      </c>
      <c r="B4" t="s">
        <v>5</v>
      </c>
      <c r="C4" s="2">
        <f>$M$1*Referencias!$B$1</f>
        <v>11181.95</v>
      </c>
      <c r="D4" s="2">
        <f>$M$1*Referencias!$B$1</f>
        <v>11181.95</v>
      </c>
      <c r="E4" s="2">
        <f>$M$1*Referencias!$B$1</f>
        <v>11181.95</v>
      </c>
      <c r="F4" s="2">
        <f>$M$1*Referencias!$B$1</f>
        <v>11181.95</v>
      </c>
      <c r="G4" s="2">
        <f>$M$1*Referencias!$B$1</f>
        <v>11181.95</v>
      </c>
      <c r="H4" s="2">
        <f>$M$1*Referencias!$B$1</f>
        <v>11181.95</v>
      </c>
      <c r="I4" s="2">
        <f>$M$1*Referencias!$B$1</f>
        <v>11181.95</v>
      </c>
      <c r="J4" s="2">
        <f>$M$1*Referencias!$B$1</f>
        <v>11181.95</v>
      </c>
      <c r="K4" s="2">
        <f>$M$1*Referencias!$B$1</f>
        <v>11181.95</v>
      </c>
      <c r="L4" s="2">
        <f>$M$1*Referencias!$B$1</f>
        <v>11181.95</v>
      </c>
      <c r="M4" s="2">
        <f>$M$1*Referencias!$B$1</f>
        <v>11181.95</v>
      </c>
    </row>
    <row r="5" spans="1:14" x14ac:dyDescent="0.25">
      <c r="A5" t="s">
        <v>6</v>
      </c>
      <c r="B5" t="s">
        <v>7</v>
      </c>
      <c r="C5" s="2">
        <f>C4*0.1+C7*0.1</f>
        <v>2428.5645263157899</v>
      </c>
      <c r="D5" s="2">
        <f t="shared" ref="D5:M5" si="0">D4*0.1+D7*0.1</f>
        <v>2428.5645263157899</v>
      </c>
      <c r="E5" s="2">
        <f t="shared" si="0"/>
        <v>2428.5645263157899</v>
      </c>
      <c r="F5" s="2">
        <f t="shared" si="0"/>
        <v>2428.5645263157899</v>
      </c>
      <c r="G5" s="2">
        <f t="shared" si="0"/>
        <v>2428.5645263157899</v>
      </c>
      <c r="H5" s="2">
        <f t="shared" si="0"/>
        <v>2428.5645263157899</v>
      </c>
      <c r="I5" s="2">
        <f t="shared" si="0"/>
        <v>2428.5645263157899</v>
      </c>
      <c r="J5" s="2">
        <f t="shared" si="0"/>
        <v>2428.5645263157899</v>
      </c>
      <c r="K5" s="2">
        <f t="shared" si="0"/>
        <v>2428.5645263157899</v>
      </c>
      <c r="L5" s="2">
        <f t="shared" si="0"/>
        <v>2428.5645263157899</v>
      </c>
      <c r="M5" s="2">
        <f t="shared" si="0"/>
        <v>2428.5645263157899</v>
      </c>
    </row>
    <row r="6" spans="1:14" x14ac:dyDescent="0.25">
      <c r="A6" t="s">
        <v>8</v>
      </c>
      <c r="B6" t="s">
        <v>7</v>
      </c>
      <c r="C6" s="2">
        <f>C4*C3</f>
        <v>0</v>
      </c>
      <c r="D6" s="2">
        <f t="shared" ref="D6:M6" si="1">D4*D3</f>
        <v>3354.585</v>
      </c>
      <c r="E6" s="2">
        <f t="shared" si="1"/>
        <v>4472.7800000000007</v>
      </c>
      <c r="F6" s="2">
        <f t="shared" si="1"/>
        <v>5590.9750000000004</v>
      </c>
      <c r="G6" s="2">
        <f t="shared" si="1"/>
        <v>6709.17</v>
      </c>
      <c r="H6" s="2">
        <f t="shared" si="1"/>
        <v>7827.3649999999998</v>
      </c>
      <c r="I6" s="2">
        <f t="shared" si="1"/>
        <v>8945.5600000000013</v>
      </c>
      <c r="J6" s="2">
        <f t="shared" si="1"/>
        <v>10063.755000000001</v>
      </c>
      <c r="K6" s="2">
        <f t="shared" si="1"/>
        <v>11181.95</v>
      </c>
      <c r="L6" s="2">
        <f t="shared" si="1"/>
        <v>12300.145000000002</v>
      </c>
      <c r="M6" s="2">
        <f t="shared" si="1"/>
        <v>13418.34</v>
      </c>
    </row>
    <row r="7" spans="1:14" x14ac:dyDescent="0.25">
      <c r="A7" t="s">
        <v>9</v>
      </c>
      <c r="B7" t="s">
        <v>5</v>
      </c>
      <c r="C7" s="2">
        <f>'Maestrx JS'!C7/19</f>
        <v>13103.695263157895</v>
      </c>
      <c r="D7" s="2">
        <f>'Maestrx JS'!D7/19</f>
        <v>13103.695263157895</v>
      </c>
      <c r="E7" s="2">
        <f>'Maestrx JS'!E7/19</f>
        <v>13103.695263157895</v>
      </c>
      <c r="F7" s="2">
        <f>'Maestrx JS'!F7/19</f>
        <v>13103.695263157895</v>
      </c>
      <c r="G7" s="2">
        <f>'Maestrx JS'!G7/19</f>
        <v>13103.695263157895</v>
      </c>
      <c r="H7" s="2">
        <f>'Maestrx JS'!H7/19</f>
        <v>13103.695263157895</v>
      </c>
      <c r="I7" s="2">
        <f>'Maestrx JS'!I7/19</f>
        <v>13103.695263157895</v>
      </c>
      <c r="J7" s="2">
        <f>'Maestrx JS'!J7/19</f>
        <v>13103.695263157895</v>
      </c>
      <c r="K7" s="2">
        <f>'Maestrx JS'!K7/19</f>
        <v>13103.695263157895</v>
      </c>
      <c r="L7" s="2">
        <f>'Maestrx JS'!L7/19</f>
        <v>13103.695263157895</v>
      </c>
      <c r="M7" s="2">
        <f>'Maestrx JS'!M7/19</f>
        <v>13103.695263157895</v>
      </c>
    </row>
    <row r="8" spans="1:14" x14ac:dyDescent="0.25">
      <c r="A8" t="s">
        <v>10</v>
      </c>
      <c r="B8" t="s">
        <v>7</v>
      </c>
      <c r="C8" s="2">
        <f>C7*C3</f>
        <v>0</v>
      </c>
      <c r="D8" s="2">
        <f t="shared" ref="D8:M8" si="2">D7*D3</f>
        <v>3931.1085789473682</v>
      </c>
      <c r="E8" s="2">
        <f t="shared" si="2"/>
        <v>5241.4781052631588</v>
      </c>
      <c r="F8" s="2">
        <f t="shared" si="2"/>
        <v>6551.8476315789476</v>
      </c>
      <c r="G8" s="2">
        <f t="shared" si="2"/>
        <v>7862.2171578947364</v>
      </c>
      <c r="H8" s="2">
        <f t="shared" si="2"/>
        <v>9172.5866842105261</v>
      </c>
      <c r="I8" s="2">
        <f t="shared" si="2"/>
        <v>10482.956210526318</v>
      </c>
      <c r="J8" s="2">
        <f t="shared" si="2"/>
        <v>11793.325736842105</v>
      </c>
      <c r="K8" s="2">
        <f t="shared" si="2"/>
        <v>13103.695263157895</v>
      </c>
      <c r="L8" s="2">
        <f t="shared" si="2"/>
        <v>14414.064789473687</v>
      </c>
      <c r="M8" s="2">
        <f t="shared" si="2"/>
        <v>15724.434315789473</v>
      </c>
    </row>
    <row r="9" spans="1:14" x14ac:dyDescent="0.25">
      <c r="A9" t="s">
        <v>11</v>
      </c>
      <c r="B9" t="s">
        <v>12</v>
      </c>
      <c r="C9" s="2">
        <f>'Maestrx JS'!C9/19</f>
        <v>7912.4021052631588</v>
      </c>
      <c r="D9" s="2">
        <f>'Maestrx JS'!D9/19</f>
        <v>7912.4021052631588</v>
      </c>
      <c r="E9" s="2">
        <f>'Maestrx JS'!E9/19</f>
        <v>7912.4021052631588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4" x14ac:dyDescent="0.25">
      <c r="A10" t="s">
        <v>13</v>
      </c>
      <c r="B10" t="s">
        <v>7</v>
      </c>
      <c r="C10" s="3">
        <v>0</v>
      </c>
      <c r="D10" s="3">
        <v>0</v>
      </c>
      <c r="E10" s="3">
        <v>0</v>
      </c>
      <c r="F10" s="2">
        <f>'Maestrx JS'!F10/19</f>
        <v>9804.5505263157884</v>
      </c>
      <c r="G10" s="2">
        <f>'Maestrx JS'!G10/19</f>
        <v>9804.5505263157884</v>
      </c>
      <c r="H10" s="2">
        <f>'Maestrx JS'!H10/19</f>
        <v>9804.5505263157884</v>
      </c>
      <c r="I10" s="2">
        <f>'Maestrx JS'!I10/19</f>
        <v>9804.5505263157884</v>
      </c>
      <c r="J10" s="2">
        <f>'Maestrx JS'!J10/19</f>
        <v>9804.5505263157884</v>
      </c>
      <c r="K10" s="2">
        <f>'Maestrx JS'!K10/19</f>
        <v>9804.5505263157884</v>
      </c>
      <c r="L10" s="2">
        <f>'Maestrx JS'!L10/19</f>
        <v>9804.5505263157884</v>
      </c>
      <c r="M10" s="2">
        <f>'Maestrx JS'!M10/19</f>
        <v>9804.5505263157884</v>
      </c>
    </row>
    <row r="11" spans="1:14" x14ac:dyDescent="0.25">
      <c r="A11" t="s">
        <v>14</v>
      </c>
      <c r="B11" t="s">
        <v>12</v>
      </c>
      <c r="C11" s="2">
        <f>Referencias!H8</f>
        <v>3878.1145946315883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>Referencias!N8</f>
        <v>0</v>
      </c>
      <c r="J11" s="2">
        <f>Referencias!O8</f>
        <v>0</v>
      </c>
      <c r="K11" s="2">
        <f>Referencias!P8</f>
        <v>0</v>
      </c>
      <c r="L11" s="2">
        <f>Referencias!Q8</f>
        <v>0</v>
      </c>
      <c r="M11" s="2">
        <f>Referencias!R8</f>
        <v>0</v>
      </c>
    </row>
    <row r="12" spans="1:14" x14ac:dyDescent="0.25">
      <c r="A12" t="s">
        <v>15</v>
      </c>
      <c r="B12" t="s">
        <v>12</v>
      </c>
      <c r="C12" s="2">
        <f>'Maestrx JS'!C12/12</f>
        <v>2833.3333333333335</v>
      </c>
      <c r="D12" s="2">
        <f>'Maestrx JS'!D12/12</f>
        <v>2833.3333333333335</v>
      </c>
      <c r="E12" s="2">
        <f>'Maestrx JS'!E12/12</f>
        <v>2833.3333333333335</v>
      </c>
      <c r="F12" s="2">
        <f>'Maestrx JS'!F12/12</f>
        <v>2833.3333333333335</v>
      </c>
      <c r="G12" s="2">
        <f>'Maestrx JS'!G12/12</f>
        <v>2833.3333333333335</v>
      </c>
      <c r="H12" s="2">
        <f>'Maestrx JS'!H12/12</f>
        <v>2833.3333333333335</v>
      </c>
      <c r="I12" s="2">
        <f>'Maestrx JS'!I12/12</f>
        <v>2833.3333333333335</v>
      </c>
      <c r="J12" s="2">
        <f>'Maestrx JS'!J12/12</f>
        <v>2833.3333333333335</v>
      </c>
      <c r="K12" s="2">
        <f>'Maestrx JS'!K12/12</f>
        <v>2833.3333333333335</v>
      </c>
      <c r="L12" s="2">
        <f>'Maestrx JS'!L12/12</f>
        <v>2833.3333333333335</v>
      </c>
      <c r="M12" s="2">
        <f>'Maestrx JS'!M12/12</f>
        <v>2833.3333333333335</v>
      </c>
    </row>
    <row r="13" spans="1:14" hidden="1" x14ac:dyDescent="0.25">
      <c r="A13" t="s">
        <v>16</v>
      </c>
      <c r="B13" t="s">
        <v>12</v>
      </c>
      <c r="C13" s="2">
        <f>'Maestrx JS'!C13/12</f>
        <v>0</v>
      </c>
      <c r="D13" s="2">
        <f>'Maestrx JS'!D13/12</f>
        <v>0</v>
      </c>
      <c r="E13" s="2">
        <f>'Maestrx JS'!E13/12</f>
        <v>0</v>
      </c>
      <c r="F13" s="2">
        <f>'Maestrx JS'!F13/12</f>
        <v>0</v>
      </c>
      <c r="G13" s="2">
        <f>'Maestrx JS'!G13/12</f>
        <v>0</v>
      </c>
      <c r="H13" s="2">
        <f>'Maestrx JS'!H13/12</f>
        <v>0</v>
      </c>
      <c r="I13" s="2">
        <f>'Maestrx JS'!I13/12</f>
        <v>0</v>
      </c>
      <c r="J13" s="2">
        <f>'Maestrx JS'!J13/12</f>
        <v>0</v>
      </c>
      <c r="K13" s="2">
        <f>'Maestrx JS'!K13/12</f>
        <v>0</v>
      </c>
      <c r="L13" s="2">
        <f>'Maestrx JS'!L13/12</f>
        <v>0</v>
      </c>
      <c r="M13" s="2">
        <f>'Maestrx JS'!M13/12</f>
        <v>0</v>
      </c>
    </row>
    <row r="14" spans="1:14" hidden="1" x14ac:dyDescent="0.25">
      <c r="A14" t="s">
        <v>17</v>
      </c>
      <c r="B14" t="s">
        <v>12</v>
      </c>
      <c r="C14" s="2">
        <f>'Maestrx JS'!C14/12</f>
        <v>0</v>
      </c>
      <c r="D14" s="2">
        <f>'Maestrx JS'!D14/12</f>
        <v>0</v>
      </c>
      <c r="E14" s="2">
        <f>'Maestrx JS'!E14/12</f>
        <v>0</v>
      </c>
      <c r="F14" s="2">
        <f>'Maestrx JS'!F14/12</f>
        <v>0</v>
      </c>
      <c r="G14" s="2">
        <f>'Maestrx JS'!G14/12</f>
        <v>0</v>
      </c>
      <c r="H14" s="2">
        <f>'Maestrx JS'!H14/12</f>
        <v>0</v>
      </c>
      <c r="I14" s="2">
        <f>'Maestrx JS'!I14/12</f>
        <v>0</v>
      </c>
      <c r="J14" s="2">
        <f>'Maestrx JS'!J14/12</f>
        <v>0</v>
      </c>
      <c r="K14" s="2">
        <f>'Maestrx JS'!K14/12</f>
        <v>0</v>
      </c>
      <c r="L14" s="2">
        <f>'Maestrx JS'!L14/12</f>
        <v>0</v>
      </c>
      <c r="M14" s="2">
        <f>'Maestrx JS'!M14/12</f>
        <v>0</v>
      </c>
    </row>
    <row r="15" spans="1:14" x14ac:dyDescent="0.25">
      <c r="A15" t="s">
        <v>18</v>
      </c>
      <c r="B15" t="s">
        <v>12</v>
      </c>
      <c r="C15" s="2">
        <f>Referencias!B25/19</f>
        <v>1578.9473684210527</v>
      </c>
      <c r="D15" s="2">
        <f>C15</f>
        <v>1578.9473684210527</v>
      </c>
      <c r="E15" s="2">
        <f t="shared" ref="E15:M15" si="3">D15</f>
        <v>1578.9473684210527</v>
      </c>
      <c r="F15" s="2">
        <f t="shared" si="3"/>
        <v>1578.9473684210527</v>
      </c>
      <c r="G15" s="2">
        <f t="shared" si="3"/>
        <v>1578.9473684210527</v>
      </c>
      <c r="H15" s="2">
        <f t="shared" si="3"/>
        <v>1578.9473684210527</v>
      </c>
      <c r="I15" s="2">
        <f t="shared" si="3"/>
        <v>1578.9473684210527</v>
      </c>
      <c r="J15" s="2">
        <f t="shared" si="3"/>
        <v>1578.9473684210527</v>
      </c>
      <c r="K15" s="2">
        <f t="shared" si="3"/>
        <v>1578.9473684210527</v>
      </c>
      <c r="L15" s="2">
        <f t="shared" si="3"/>
        <v>1578.9473684210527</v>
      </c>
      <c r="M15" s="2">
        <f t="shared" si="3"/>
        <v>1578.9473684210527</v>
      </c>
      <c r="N15" s="4"/>
    </row>
    <row r="16" spans="1:14" ht="15.75" thickBot="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</row>
    <row r="17" spans="1:14" ht="15.75" thickBot="1" x14ac:dyDescent="0.3">
      <c r="A17" s="8" t="s">
        <v>21</v>
      </c>
      <c r="B17" s="5"/>
      <c r="C17" s="10">
        <f t="shared" ref="C17:L17" si="4">SUM(C4:C15)</f>
        <v>42917.007191122822</v>
      </c>
      <c r="D17" s="10">
        <f t="shared" si="4"/>
        <v>46324.586175438599</v>
      </c>
      <c r="E17" s="10">
        <f t="shared" si="4"/>
        <v>48753.150701754392</v>
      </c>
      <c r="F17" s="10">
        <f t="shared" si="4"/>
        <v>53073.86364912281</v>
      </c>
      <c r="G17" s="10">
        <f t="shared" si="4"/>
        <v>55502.428175438603</v>
      </c>
      <c r="H17" s="10">
        <f t="shared" si="4"/>
        <v>57930.992701754389</v>
      </c>
      <c r="I17" s="10">
        <f t="shared" si="4"/>
        <v>60359.557228070182</v>
      </c>
      <c r="J17" s="10">
        <f t="shared" si="4"/>
        <v>62788.121754385968</v>
      </c>
      <c r="K17" s="10">
        <f t="shared" si="4"/>
        <v>65216.686280701761</v>
      </c>
      <c r="L17" s="10">
        <f t="shared" si="4"/>
        <v>67645.250807017554</v>
      </c>
      <c r="M17" s="10">
        <f>SUM(M4:M15)</f>
        <v>70073.815333333318</v>
      </c>
      <c r="N17" s="4"/>
    </row>
    <row r="18" spans="1:14" ht="15.75" thickBot="1" x14ac:dyDescent="0.3">
      <c r="A18" s="11" t="s">
        <v>22</v>
      </c>
      <c r="B18" s="12"/>
      <c r="C18" s="13">
        <f>(C4+C5+C6+C7+C8+C10)*0.807+C12+C13+C14+C11+C9+C15</f>
        <v>37761.164701754402</v>
      </c>
      <c r="D18" s="13">
        <f t="shared" ref="D18:M18" si="5">(D4+D5+D6+D7+D8+D10)*0.807+D12+D13+D14+D11+D9+D15</f>
        <v>39762.604825333336</v>
      </c>
      <c r="E18" s="13">
        <f t="shared" si="5"/>
        <v>41722.456398070179</v>
      </c>
      <c r="F18" s="13">
        <f t="shared" si="5"/>
        <v>43682.17814028071</v>
      </c>
      <c r="G18" s="13">
        <f t="shared" si="5"/>
        <v>45642.029713017553</v>
      </c>
      <c r="H18" s="13">
        <f t="shared" si="5"/>
        <v>47601.881285754389</v>
      </c>
      <c r="I18" s="13">
        <f t="shared" si="5"/>
        <v>49561.732858491239</v>
      </c>
      <c r="J18" s="13">
        <f t="shared" si="5"/>
        <v>51521.584431228075</v>
      </c>
      <c r="K18" s="13">
        <f t="shared" si="5"/>
        <v>53481.436003964918</v>
      </c>
      <c r="L18" s="13">
        <f t="shared" si="5"/>
        <v>55441.287576701769</v>
      </c>
      <c r="M18" s="13">
        <f t="shared" si="5"/>
        <v>57401.139149438597</v>
      </c>
    </row>
    <row r="20" spans="1:14" x14ac:dyDescent="0.25">
      <c r="E20" s="4"/>
      <c r="F20" s="4"/>
      <c r="G20" s="4"/>
      <c r="H20" s="4"/>
      <c r="I20" s="4"/>
      <c r="J20" s="4"/>
      <c r="K20" s="4"/>
      <c r="L20" s="4"/>
      <c r="M20" s="4"/>
    </row>
    <row r="21" spans="1:14" x14ac:dyDescent="0.25">
      <c r="D21" s="4"/>
    </row>
  </sheetData>
  <mergeCells count="2">
    <mergeCell ref="A1:K1"/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34BB-D4D1-441D-A858-900A1EC20305}">
  <dimension ref="A1:M19"/>
  <sheetViews>
    <sheetView workbookViewId="0">
      <selection activeCell="K18" sqref="K18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3125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537593.75</v>
      </c>
      <c r="D4" s="2">
        <f>$M$1*Referencias!$B$1</f>
        <v>537593.75</v>
      </c>
      <c r="E4" s="2">
        <f>$M$1*Referencias!$B$1</f>
        <v>537593.75</v>
      </c>
      <c r="F4" s="2">
        <f>$M$1*Referencias!$B$1</f>
        <v>537593.75</v>
      </c>
      <c r="G4" s="2">
        <f>$M$1*Referencias!$B$1</f>
        <v>537593.75</v>
      </c>
      <c r="H4" s="2">
        <f>$M$1*Referencias!$B$1</f>
        <v>537593.75</v>
      </c>
      <c r="I4" s="2">
        <f>$M$1*Referencias!$B$1</f>
        <v>537593.75</v>
      </c>
      <c r="J4" s="2">
        <f>$M$1*Referencias!$B$1</f>
        <v>537593.75</v>
      </c>
      <c r="K4" s="2">
        <f>$M$1*Referencias!$B$1</f>
        <v>537593.75</v>
      </c>
      <c r="L4" s="2">
        <f>$M$1*Referencias!$B$1</f>
        <v>537593.75</v>
      </c>
      <c r="M4" s="2">
        <f>$M$1*Referencias!$B$1</f>
        <v>537593.75</v>
      </c>
    </row>
    <row r="5" spans="1:13" x14ac:dyDescent="0.25">
      <c r="A5" t="s">
        <v>74</v>
      </c>
      <c r="B5" t="s">
        <v>5</v>
      </c>
      <c r="C5" s="2">
        <f>C4*21%</f>
        <v>112894.6875</v>
      </c>
      <c r="D5" s="2">
        <f t="shared" ref="D5:M5" si="0">D4*21%</f>
        <v>112894.6875</v>
      </c>
      <c r="E5" s="2">
        <f t="shared" si="0"/>
        <v>112894.6875</v>
      </c>
      <c r="F5" s="2">
        <f t="shared" si="0"/>
        <v>112894.6875</v>
      </c>
      <c r="G5" s="2">
        <f t="shared" si="0"/>
        <v>112894.6875</v>
      </c>
      <c r="H5" s="2">
        <f t="shared" si="0"/>
        <v>112894.6875</v>
      </c>
      <c r="I5" s="2">
        <f t="shared" si="0"/>
        <v>112894.6875</v>
      </c>
      <c r="J5" s="2">
        <f t="shared" si="0"/>
        <v>112894.6875</v>
      </c>
      <c r="K5" s="2">
        <f t="shared" si="0"/>
        <v>112894.6875</v>
      </c>
      <c r="L5" s="2">
        <f t="shared" si="0"/>
        <v>112894.6875</v>
      </c>
      <c r="M5" s="2">
        <f t="shared" si="0"/>
        <v>112894.6875</v>
      </c>
    </row>
    <row r="6" spans="1:13" x14ac:dyDescent="0.25">
      <c r="A6" t="s">
        <v>6</v>
      </c>
      <c r="B6" t="s">
        <v>7</v>
      </c>
      <c r="C6" s="2">
        <f>C4*0.1+C8*0.1+C5*0.1</f>
        <v>114842.88575</v>
      </c>
      <c r="D6" s="2">
        <f t="shared" ref="D6:M6" si="1">D4*0.1+D8*0.1+D5*0.1</f>
        <v>114842.88575</v>
      </c>
      <c r="E6" s="2">
        <f t="shared" si="1"/>
        <v>114842.88575</v>
      </c>
      <c r="F6" s="2">
        <f t="shared" si="1"/>
        <v>114842.88575</v>
      </c>
      <c r="G6" s="2">
        <f t="shared" si="1"/>
        <v>114842.88575</v>
      </c>
      <c r="H6" s="2">
        <f t="shared" si="1"/>
        <v>114842.88575</v>
      </c>
      <c r="I6" s="2">
        <f t="shared" si="1"/>
        <v>114842.88575</v>
      </c>
      <c r="J6" s="2">
        <f t="shared" si="1"/>
        <v>114842.88575</v>
      </c>
      <c r="K6" s="2">
        <f t="shared" si="1"/>
        <v>114842.88575</v>
      </c>
      <c r="L6" s="2">
        <f t="shared" si="1"/>
        <v>114842.88575</v>
      </c>
      <c r="M6" s="2">
        <f t="shared" si="1"/>
        <v>114842.88575</v>
      </c>
    </row>
    <row r="7" spans="1:13" x14ac:dyDescent="0.25">
      <c r="A7" t="s">
        <v>8</v>
      </c>
      <c r="B7" t="s">
        <v>7</v>
      </c>
      <c r="C7" s="2">
        <f>C4*C3</f>
        <v>0</v>
      </c>
      <c r="D7" s="2">
        <f>(D4+D5)*D3</f>
        <v>195146.53125</v>
      </c>
      <c r="E7" s="2">
        <f t="shared" ref="E7:M7" si="2">(E4+E5)*E3</f>
        <v>260195.375</v>
      </c>
      <c r="F7" s="2">
        <f t="shared" si="2"/>
        <v>325244.21875</v>
      </c>
      <c r="G7" s="2">
        <f t="shared" si="2"/>
        <v>390293.0625</v>
      </c>
      <c r="H7" s="2">
        <f t="shared" si="2"/>
        <v>455341.90625</v>
      </c>
      <c r="I7" s="2">
        <f t="shared" si="2"/>
        <v>520390.75</v>
      </c>
      <c r="J7" s="2">
        <f t="shared" si="2"/>
        <v>585439.59375</v>
      </c>
      <c r="K7" s="2">
        <f t="shared" si="2"/>
        <v>650488.4375</v>
      </c>
      <c r="L7" s="2">
        <f t="shared" si="2"/>
        <v>715537.28125</v>
      </c>
      <c r="M7" s="2">
        <f t="shared" si="2"/>
        <v>780586.125</v>
      </c>
    </row>
    <row r="8" spans="1:13" x14ac:dyDescent="0.25">
      <c r="A8" t="s">
        <v>9</v>
      </c>
      <c r="B8" t="s">
        <v>5</v>
      </c>
      <c r="C8" s="2">
        <f>'Maestrx JS'!C7*2</f>
        <v>497940.42</v>
      </c>
      <c r="D8" s="2">
        <f>'Maestrx JS'!D7*2</f>
        <v>497940.42</v>
      </c>
      <c r="E8" s="2">
        <f>'Maestrx JS'!E7*2</f>
        <v>497940.42</v>
      </c>
      <c r="F8" s="2">
        <f>'Maestrx JS'!F7*2</f>
        <v>497940.42</v>
      </c>
      <c r="G8" s="2">
        <f>'Maestrx JS'!G7*2</f>
        <v>497940.42</v>
      </c>
      <c r="H8" s="2">
        <f>'Maestrx JS'!H7*2</f>
        <v>497940.42</v>
      </c>
      <c r="I8" s="2">
        <f>'Maestrx JS'!I7*2</f>
        <v>497940.42</v>
      </c>
      <c r="J8" s="2">
        <f>'Maestrx JS'!J7*2</f>
        <v>497940.42</v>
      </c>
      <c r="K8" s="2">
        <f>'Maestrx JS'!K7*2</f>
        <v>497940.42</v>
      </c>
      <c r="L8" s="2">
        <f>'Maestrx JS'!L7*2</f>
        <v>497940.42</v>
      </c>
      <c r="M8" s="2">
        <f>'Maestrx JS'!M7*2</f>
        <v>497940.42</v>
      </c>
    </row>
    <row r="9" spans="1:13" x14ac:dyDescent="0.25">
      <c r="A9" t="s">
        <v>10</v>
      </c>
      <c r="B9" t="s">
        <v>7</v>
      </c>
      <c r="C9" s="2">
        <f>C8*C3</f>
        <v>0</v>
      </c>
      <c r="D9" s="2">
        <f t="shared" ref="D9:M9" si="3">D8*D3</f>
        <v>149382.12599999999</v>
      </c>
      <c r="E9" s="2">
        <f t="shared" si="3"/>
        <v>199176.16800000001</v>
      </c>
      <c r="F9" s="2">
        <f t="shared" si="3"/>
        <v>248970.21</v>
      </c>
      <c r="G9" s="2">
        <f t="shared" si="3"/>
        <v>298764.25199999998</v>
      </c>
      <c r="H9" s="2">
        <f t="shared" si="3"/>
        <v>348558.29399999999</v>
      </c>
      <c r="I9" s="2">
        <f t="shared" si="3"/>
        <v>398352.33600000001</v>
      </c>
      <c r="J9" s="2">
        <f t="shared" si="3"/>
        <v>448146.37799999997</v>
      </c>
      <c r="K9" s="2">
        <f t="shared" si="3"/>
        <v>497940.42</v>
      </c>
      <c r="L9" s="2">
        <f t="shared" si="3"/>
        <v>547734.46200000006</v>
      </c>
      <c r="M9" s="2">
        <f t="shared" si="3"/>
        <v>597528.50399999996</v>
      </c>
    </row>
    <row r="10" spans="1:13" x14ac:dyDescent="0.25">
      <c r="A10" t="s">
        <v>11</v>
      </c>
      <c r="B10" t="s">
        <v>12</v>
      </c>
      <c r="C10" s="2">
        <f>'Maestrx JS'!C9*2</f>
        <v>300671.28000000003</v>
      </c>
      <c r="D10" s="2">
        <f>'Maestrx JS'!D9*2</f>
        <v>300671.28000000003</v>
      </c>
      <c r="E10" s="2">
        <f>'Maestrx JS'!E9*2</f>
        <v>300671.28000000003</v>
      </c>
      <c r="F10" s="2">
        <f>'Maestrx JS'!F9*2</f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'Maestrx JS'!F10*2</f>
        <v>372572.92</v>
      </c>
      <c r="G11" s="2">
        <f>'Maestrx JS'!G10*2</f>
        <v>372572.92</v>
      </c>
      <c r="H11" s="2">
        <f>'Maestrx JS'!H10*2</f>
        <v>372572.92</v>
      </c>
      <c r="I11" s="2">
        <f>'Maestrx JS'!I10*2</f>
        <v>372572.92</v>
      </c>
      <c r="J11" s="2">
        <f>'Maestrx JS'!J10*2</f>
        <v>372572.92</v>
      </c>
      <c r="K11" s="2">
        <f>'Maestrx JS'!K10*2</f>
        <v>372572.92</v>
      </c>
      <c r="L11" s="2">
        <f>'Maestrx JS'!L10*2</f>
        <v>372572.92</v>
      </c>
      <c r="M11" s="2">
        <f>'Maestrx JS'!M10*2</f>
        <v>372572.92</v>
      </c>
    </row>
    <row r="12" spans="1:13" x14ac:dyDescent="0.25">
      <c r="A12" t="s">
        <v>14</v>
      </c>
      <c r="B12" t="s">
        <v>12</v>
      </c>
      <c r="C12" s="2">
        <f>IF(Referencias!H12&lt;0,0,Referencias!H12)</f>
        <v>114040.39319724985</v>
      </c>
      <c r="D12" s="2">
        <f>IF(Referencias!I12&lt;0,0,Referencias!I12)</f>
        <v>0</v>
      </c>
      <c r="E12" s="2">
        <f>IF(Referencias!J12&lt;0,0,Referencias!J12)</f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5">
      <c r="A13" t="s">
        <v>15</v>
      </c>
      <c r="B13" t="s">
        <v>12</v>
      </c>
      <c r="C13" s="2">
        <f>Referencias!C22</f>
        <v>68000</v>
      </c>
      <c r="D13" s="2">
        <f>C13</f>
        <v>68000</v>
      </c>
      <c r="E13" s="2">
        <f t="shared" ref="E13:M16" si="4">D13</f>
        <v>68000</v>
      </c>
      <c r="F13" s="2">
        <f t="shared" si="4"/>
        <v>68000</v>
      </c>
      <c r="G13" s="2">
        <f t="shared" si="4"/>
        <v>68000</v>
      </c>
      <c r="H13" s="2">
        <f t="shared" si="4"/>
        <v>68000</v>
      </c>
      <c r="I13" s="2">
        <f t="shared" si="4"/>
        <v>68000</v>
      </c>
      <c r="J13" s="2">
        <f t="shared" si="4"/>
        <v>68000</v>
      </c>
      <c r="K13" s="2">
        <f t="shared" si="4"/>
        <v>68000</v>
      </c>
      <c r="L13" s="2">
        <f t="shared" si="4"/>
        <v>68000</v>
      </c>
      <c r="M13" s="2">
        <f t="shared" si="4"/>
        <v>68000</v>
      </c>
    </row>
    <row r="14" spans="1:13" hidden="1" x14ac:dyDescent="0.25">
      <c r="A14" t="s">
        <v>16</v>
      </c>
      <c r="B14" t="s">
        <v>12</v>
      </c>
      <c r="C14" s="2">
        <f>Referencias!C23</f>
        <v>0</v>
      </c>
      <c r="D14" s="2">
        <f>C14</f>
        <v>0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 t="shared" si="4"/>
        <v>0</v>
      </c>
      <c r="J14" s="2">
        <f t="shared" si="4"/>
        <v>0</v>
      </c>
      <c r="K14" s="2">
        <f t="shared" si="4"/>
        <v>0</v>
      </c>
      <c r="L14" s="2">
        <f t="shared" si="4"/>
        <v>0</v>
      </c>
      <c r="M14" s="2">
        <f t="shared" si="4"/>
        <v>0</v>
      </c>
    </row>
    <row r="15" spans="1:13" hidden="1" x14ac:dyDescent="0.25">
      <c r="A15" t="s">
        <v>17</v>
      </c>
      <c r="B15" t="s">
        <v>12</v>
      </c>
      <c r="C15" s="2">
        <f>Referencias!C26</f>
        <v>0</v>
      </c>
      <c r="D15" s="2">
        <f>C15</f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</row>
    <row r="16" spans="1:13" x14ac:dyDescent="0.25">
      <c r="A16" t="s">
        <v>18</v>
      </c>
      <c r="B16" t="s">
        <v>12</v>
      </c>
      <c r="C16" s="2">
        <f>Referencias!C25</f>
        <v>60000</v>
      </c>
      <c r="D16" s="2">
        <f>C16</f>
        <v>60000</v>
      </c>
      <c r="E16" s="2">
        <f t="shared" si="4"/>
        <v>60000</v>
      </c>
      <c r="F16" s="2">
        <f t="shared" si="4"/>
        <v>60000</v>
      </c>
      <c r="G16" s="2">
        <f t="shared" si="4"/>
        <v>60000</v>
      </c>
      <c r="H16" s="2">
        <f t="shared" si="4"/>
        <v>60000</v>
      </c>
      <c r="I16" s="2">
        <f t="shared" si="4"/>
        <v>60000</v>
      </c>
      <c r="J16" s="2">
        <f t="shared" si="4"/>
        <v>60000</v>
      </c>
      <c r="K16" s="2">
        <f t="shared" si="4"/>
        <v>60000</v>
      </c>
      <c r="L16" s="2">
        <f t="shared" si="4"/>
        <v>60000</v>
      </c>
      <c r="M16" s="2">
        <f t="shared" si="4"/>
        <v>60000</v>
      </c>
    </row>
    <row r="17" spans="1:13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8" t="s">
        <v>21</v>
      </c>
      <c r="B18" s="5"/>
      <c r="C18" s="9">
        <f>SUM(C4:C16)</f>
        <v>1805983.4164472499</v>
      </c>
      <c r="D18" s="9">
        <f t="shared" ref="D18:L18" si="5">SUM(D4:D16)</f>
        <v>2036471.6805</v>
      </c>
      <c r="E18" s="9">
        <f t="shared" si="5"/>
        <v>2151314.5662500001</v>
      </c>
      <c r="F18" s="9">
        <f t="shared" si="5"/>
        <v>2338059.0919999997</v>
      </c>
      <c r="G18" s="9">
        <f t="shared" si="5"/>
        <v>2452901.9777499996</v>
      </c>
      <c r="H18" s="9">
        <f t="shared" si="5"/>
        <v>2567744.8635</v>
      </c>
      <c r="I18" s="9">
        <f t="shared" si="5"/>
        <v>2682587.7492499999</v>
      </c>
      <c r="J18" s="9">
        <f t="shared" si="5"/>
        <v>2797430.6349999998</v>
      </c>
      <c r="K18" s="9">
        <f t="shared" si="5"/>
        <v>2912273.5207499997</v>
      </c>
      <c r="L18" s="9">
        <f t="shared" si="5"/>
        <v>3027116.4064999996</v>
      </c>
      <c r="M18" s="9">
        <f>SUM(M4:M16)</f>
        <v>3141959.2922499999</v>
      </c>
    </row>
    <row r="19" spans="1:13" ht="15.75" thickBot="1" x14ac:dyDescent="0.3">
      <c r="A19" s="11" t="s">
        <v>22</v>
      </c>
      <c r="B19" s="12"/>
      <c r="C19" s="13">
        <f>SUM(C4:C9,C11)*0.807+SUM(C10,C12:C16)</f>
        <v>1562171.97</v>
      </c>
      <c r="D19" s="13">
        <f t="shared" ref="D19:M19" si="6">SUM(D4:D9,D11)*0.807+SUM(D10,D12:D16)</f>
        <v>1726166.2032035</v>
      </c>
      <c r="E19" s="13">
        <f t="shared" si="6"/>
        <v>1818844.4120037502</v>
      </c>
      <c r="F19" s="13">
        <f t="shared" si="6"/>
        <v>1911517.6872439999</v>
      </c>
      <c r="G19" s="13">
        <f t="shared" si="6"/>
        <v>2004195.8960442499</v>
      </c>
      <c r="H19" s="13">
        <f t="shared" si="6"/>
        <v>2096874.1048445001</v>
      </c>
      <c r="I19" s="13">
        <f t="shared" si="6"/>
        <v>2189552.31364475</v>
      </c>
      <c r="J19" s="13">
        <f t="shared" si="6"/>
        <v>2282230.5224449998</v>
      </c>
      <c r="K19" s="13">
        <f t="shared" si="6"/>
        <v>2374908.73124525</v>
      </c>
      <c r="L19" s="13">
        <f t="shared" si="6"/>
        <v>2467586.9400454997</v>
      </c>
      <c r="M19" s="13">
        <f t="shared" si="6"/>
        <v>2560265.1488457499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4B96-1ECA-4574-8302-E03171CFFE80}">
  <dimension ref="A1:M19"/>
  <sheetViews>
    <sheetView workbookViewId="0">
      <selection activeCell="E40" sqref="E40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75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2667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458804.01</v>
      </c>
      <c r="D4" s="2">
        <f>$M$1*Referencias!$B$1</f>
        <v>458804.01</v>
      </c>
      <c r="E4" s="2">
        <f>$M$1*Referencias!$B$1</f>
        <v>458804.01</v>
      </c>
      <c r="F4" s="2">
        <f>$M$1*Referencias!$B$1</f>
        <v>458804.01</v>
      </c>
      <c r="G4" s="2">
        <f>$M$1*Referencias!$B$1</f>
        <v>458804.01</v>
      </c>
      <c r="H4" s="2">
        <f>$M$1*Referencias!$B$1</f>
        <v>458804.01</v>
      </c>
      <c r="I4" s="2">
        <f>$M$1*Referencias!$B$1</f>
        <v>458804.01</v>
      </c>
      <c r="J4" s="2">
        <f>$M$1*Referencias!$B$1</f>
        <v>458804.01</v>
      </c>
      <c r="K4" s="2">
        <f>$M$1*Referencias!$B$1</f>
        <v>458804.01</v>
      </c>
      <c r="L4" s="2">
        <f>$M$1*Referencias!$B$1</f>
        <v>458804.01</v>
      </c>
      <c r="M4" s="2">
        <f>$M$1*Referencias!$B$1</f>
        <v>458804.01</v>
      </c>
    </row>
    <row r="5" spans="1:13" x14ac:dyDescent="0.25">
      <c r="A5" t="s">
        <v>72</v>
      </c>
      <c r="B5" t="s">
        <v>5</v>
      </c>
      <c r="C5" s="2">
        <f>C4*15%</f>
        <v>68820.601500000004</v>
      </c>
      <c r="D5" s="2">
        <f t="shared" ref="D5:M5" si="0">D4*15%</f>
        <v>68820.601500000004</v>
      </c>
      <c r="E5" s="2">
        <f t="shared" si="0"/>
        <v>68820.601500000004</v>
      </c>
      <c r="F5" s="2">
        <f t="shared" si="0"/>
        <v>68820.601500000004</v>
      </c>
      <c r="G5" s="2">
        <f t="shared" si="0"/>
        <v>68820.601500000004</v>
      </c>
      <c r="H5" s="2">
        <f t="shared" si="0"/>
        <v>68820.601500000004</v>
      </c>
      <c r="I5" s="2">
        <f t="shared" si="0"/>
        <v>68820.601500000004</v>
      </c>
      <c r="J5" s="2">
        <f t="shared" si="0"/>
        <v>68820.601500000004</v>
      </c>
      <c r="K5" s="2">
        <f t="shared" si="0"/>
        <v>68820.601500000004</v>
      </c>
      <c r="L5" s="2">
        <f t="shared" si="0"/>
        <v>68820.601500000004</v>
      </c>
      <c r="M5" s="2">
        <f t="shared" si="0"/>
        <v>68820.601500000004</v>
      </c>
    </row>
    <row r="6" spans="1:13" x14ac:dyDescent="0.25">
      <c r="A6" t="s">
        <v>6</v>
      </c>
      <c r="B6" t="s">
        <v>7</v>
      </c>
      <c r="C6" s="2">
        <f>C4*0.1+C8*0.1+C5*0.1</f>
        <v>102556.50315</v>
      </c>
      <c r="D6" s="2">
        <f t="shared" ref="D6:M6" si="1">D4*0.1+D8*0.1+D5*0.1</f>
        <v>102556.50315</v>
      </c>
      <c r="E6" s="2">
        <f t="shared" si="1"/>
        <v>102556.50315</v>
      </c>
      <c r="F6" s="2">
        <f t="shared" si="1"/>
        <v>102556.50315</v>
      </c>
      <c r="G6" s="2">
        <f t="shared" si="1"/>
        <v>102556.50315</v>
      </c>
      <c r="H6" s="2">
        <f t="shared" si="1"/>
        <v>102556.50315</v>
      </c>
      <c r="I6" s="2">
        <f t="shared" si="1"/>
        <v>102556.50315</v>
      </c>
      <c r="J6" s="2">
        <f t="shared" si="1"/>
        <v>102556.50315</v>
      </c>
      <c r="K6" s="2">
        <f t="shared" si="1"/>
        <v>102556.50315</v>
      </c>
      <c r="L6" s="2">
        <f t="shared" si="1"/>
        <v>102556.50315</v>
      </c>
      <c r="M6" s="2">
        <f t="shared" si="1"/>
        <v>102556.50315</v>
      </c>
    </row>
    <row r="7" spans="1:13" x14ac:dyDescent="0.25">
      <c r="A7" t="s">
        <v>8</v>
      </c>
      <c r="B7" t="s">
        <v>7</v>
      </c>
      <c r="C7" s="2">
        <f>C4*C3</f>
        <v>0</v>
      </c>
      <c r="D7" s="2">
        <f>(D4+D5)*D3</f>
        <v>158287.38344999999</v>
      </c>
      <c r="E7" s="2">
        <f t="shared" ref="E7:M7" si="2">(E4+E5)*E3</f>
        <v>211049.84460000001</v>
      </c>
      <c r="F7" s="2">
        <f t="shared" si="2"/>
        <v>263812.30575</v>
      </c>
      <c r="G7" s="2">
        <f t="shared" si="2"/>
        <v>316574.76689999999</v>
      </c>
      <c r="H7" s="2">
        <f t="shared" si="2"/>
        <v>369337.22804999998</v>
      </c>
      <c r="I7" s="2">
        <f t="shared" si="2"/>
        <v>422099.68920000002</v>
      </c>
      <c r="J7" s="2">
        <f t="shared" si="2"/>
        <v>474862.15035000001</v>
      </c>
      <c r="K7" s="2">
        <f t="shared" si="2"/>
        <v>527624.6115</v>
      </c>
      <c r="L7" s="2">
        <f t="shared" si="2"/>
        <v>580387.0726500001</v>
      </c>
      <c r="M7" s="2">
        <f t="shared" si="2"/>
        <v>633149.53379999998</v>
      </c>
    </row>
    <row r="8" spans="1:13" x14ac:dyDescent="0.25">
      <c r="A8" t="s">
        <v>9</v>
      </c>
      <c r="B8" t="s">
        <v>5</v>
      </c>
      <c r="C8" s="2">
        <f>'Maestrx JS'!C7*2</f>
        <v>497940.42</v>
      </c>
      <c r="D8" s="2">
        <f>'Maestrx JS'!D7*2</f>
        <v>497940.42</v>
      </c>
      <c r="E8" s="2">
        <f>'Maestrx JS'!E7*2</f>
        <v>497940.42</v>
      </c>
      <c r="F8" s="2">
        <f>'Maestrx JS'!F7*2</f>
        <v>497940.42</v>
      </c>
      <c r="G8" s="2">
        <f>'Maestrx JS'!G7*2</f>
        <v>497940.42</v>
      </c>
      <c r="H8" s="2">
        <f>'Maestrx JS'!H7*2</f>
        <v>497940.42</v>
      </c>
      <c r="I8" s="2">
        <f>'Maestrx JS'!I7*2</f>
        <v>497940.42</v>
      </c>
      <c r="J8" s="2">
        <f>'Maestrx JS'!J7*2</f>
        <v>497940.42</v>
      </c>
      <c r="K8" s="2">
        <f>'Maestrx JS'!K7*2</f>
        <v>497940.42</v>
      </c>
      <c r="L8" s="2">
        <f>'Maestrx JS'!L7*2</f>
        <v>497940.42</v>
      </c>
      <c r="M8" s="2">
        <f>'Maestrx JS'!M7*2</f>
        <v>497940.42</v>
      </c>
    </row>
    <row r="9" spans="1:13" x14ac:dyDescent="0.25">
      <c r="A9" t="s">
        <v>10</v>
      </c>
      <c r="B9" t="s">
        <v>7</v>
      </c>
      <c r="C9" s="2">
        <f>C8*C3</f>
        <v>0</v>
      </c>
      <c r="D9" s="2">
        <f t="shared" ref="D9:M9" si="3">D8*D3</f>
        <v>149382.12599999999</v>
      </c>
      <c r="E9" s="2">
        <f t="shared" si="3"/>
        <v>199176.16800000001</v>
      </c>
      <c r="F9" s="2">
        <f t="shared" si="3"/>
        <v>248970.21</v>
      </c>
      <c r="G9" s="2">
        <f t="shared" si="3"/>
        <v>298764.25199999998</v>
      </c>
      <c r="H9" s="2">
        <f t="shared" si="3"/>
        <v>348558.29399999999</v>
      </c>
      <c r="I9" s="2">
        <f t="shared" si="3"/>
        <v>398352.33600000001</v>
      </c>
      <c r="J9" s="2">
        <f t="shared" si="3"/>
        <v>448146.37799999997</v>
      </c>
      <c r="K9" s="2">
        <f t="shared" si="3"/>
        <v>497940.42</v>
      </c>
      <c r="L9" s="2">
        <f t="shared" si="3"/>
        <v>547734.46200000006</v>
      </c>
      <c r="M9" s="2">
        <f t="shared" si="3"/>
        <v>597528.50399999996</v>
      </c>
    </row>
    <row r="10" spans="1:13" x14ac:dyDescent="0.25">
      <c r="A10" t="s">
        <v>11</v>
      </c>
      <c r="B10" t="s">
        <v>12</v>
      </c>
      <c r="C10" s="2">
        <f>'Maestrx JS'!C9*2</f>
        <v>300671.28000000003</v>
      </c>
      <c r="D10" s="2">
        <f>'Maestrx JS'!D9*2</f>
        <v>300671.28000000003</v>
      </c>
      <c r="E10" s="2">
        <f>'Maestrx JS'!E9*2</f>
        <v>300671.28000000003</v>
      </c>
      <c r="F10" s="2">
        <f>'Maestrx JS'!F9*2</f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'Maestrx JS'!F10*2</f>
        <v>372572.92</v>
      </c>
      <c r="G11" s="2">
        <f>'Maestrx JS'!G10*2</f>
        <v>372572.92</v>
      </c>
      <c r="H11" s="2">
        <f>'Maestrx JS'!H10*2</f>
        <v>372572.92</v>
      </c>
      <c r="I11" s="2">
        <f>'Maestrx JS'!I10*2</f>
        <v>372572.92</v>
      </c>
      <c r="J11" s="2">
        <f>'Maestrx JS'!J10*2</f>
        <v>372572.92</v>
      </c>
      <c r="K11" s="2">
        <f>'Maestrx JS'!K10*2</f>
        <v>372572.92</v>
      </c>
      <c r="L11" s="2">
        <f>'Maestrx JS'!L10*2</f>
        <v>372572.92</v>
      </c>
      <c r="M11" s="2">
        <f>'Maestrx JS'!M10*2</f>
        <v>372572.92</v>
      </c>
    </row>
    <row r="12" spans="1:13" x14ac:dyDescent="0.25">
      <c r="A12" t="s">
        <v>14</v>
      </c>
      <c r="B12" t="s">
        <v>12</v>
      </c>
      <c r="C12" s="2">
        <f>IF(Referencias!H11&lt;0,0,Referencias!H11)</f>
        <v>183982.04948899988</v>
      </c>
      <c r="D12" s="2">
        <f>IF(Referencias!I12&lt;0,0,Referencias!I12)</f>
        <v>0</v>
      </c>
      <c r="E12" s="2">
        <f>IF(Referencias!J12&lt;0,0,Referencias!J12)</f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5">
      <c r="A13" t="s">
        <v>15</v>
      </c>
      <c r="B13" t="s">
        <v>12</v>
      </c>
      <c r="C13" s="2">
        <f>Referencias!C22</f>
        <v>68000</v>
      </c>
      <c r="D13" s="2">
        <f>C13</f>
        <v>68000</v>
      </c>
      <c r="E13" s="2">
        <f t="shared" ref="E13:M16" si="4">D13</f>
        <v>68000</v>
      </c>
      <c r="F13" s="2">
        <f t="shared" si="4"/>
        <v>68000</v>
      </c>
      <c r="G13" s="2">
        <f t="shared" si="4"/>
        <v>68000</v>
      </c>
      <c r="H13" s="2">
        <f t="shared" si="4"/>
        <v>68000</v>
      </c>
      <c r="I13" s="2">
        <f t="shared" si="4"/>
        <v>68000</v>
      </c>
      <c r="J13" s="2">
        <f t="shared" si="4"/>
        <v>68000</v>
      </c>
      <c r="K13" s="2">
        <f t="shared" si="4"/>
        <v>68000</v>
      </c>
      <c r="L13" s="2">
        <f t="shared" si="4"/>
        <v>68000</v>
      </c>
      <c r="M13" s="2">
        <f t="shared" si="4"/>
        <v>68000</v>
      </c>
    </row>
    <row r="14" spans="1:13" hidden="1" x14ac:dyDescent="0.25">
      <c r="A14" t="s">
        <v>16</v>
      </c>
      <c r="B14" t="s">
        <v>12</v>
      </c>
      <c r="C14" s="2">
        <f>Referencias!C23</f>
        <v>0</v>
      </c>
      <c r="D14" s="2">
        <f>C14</f>
        <v>0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 t="shared" si="4"/>
        <v>0</v>
      </c>
      <c r="J14" s="2">
        <f t="shared" si="4"/>
        <v>0</v>
      </c>
      <c r="K14" s="2">
        <f t="shared" si="4"/>
        <v>0</v>
      </c>
      <c r="L14" s="2">
        <f t="shared" si="4"/>
        <v>0</v>
      </c>
      <c r="M14" s="2">
        <f t="shared" si="4"/>
        <v>0</v>
      </c>
    </row>
    <row r="15" spans="1:13" hidden="1" x14ac:dyDescent="0.25">
      <c r="A15" t="s">
        <v>17</v>
      </c>
      <c r="B15" t="s">
        <v>12</v>
      </c>
      <c r="C15" s="2">
        <f>Referencias!C26</f>
        <v>0</v>
      </c>
      <c r="D15" s="2">
        <f>C15</f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</row>
    <row r="16" spans="1:13" x14ac:dyDescent="0.25">
      <c r="A16" t="s">
        <v>18</v>
      </c>
      <c r="B16" t="s">
        <v>12</v>
      </c>
      <c r="C16" s="2">
        <f>Referencias!C25</f>
        <v>60000</v>
      </c>
      <c r="D16" s="2">
        <f>C16</f>
        <v>60000</v>
      </c>
      <c r="E16" s="2">
        <f t="shared" si="4"/>
        <v>60000</v>
      </c>
      <c r="F16" s="2">
        <f t="shared" si="4"/>
        <v>60000</v>
      </c>
      <c r="G16" s="2">
        <f t="shared" si="4"/>
        <v>60000</v>
      </c>
      <c r="H16" s="2">
        <f t="shared" si="4"/>
        <v>60000</v>
      </c>
      <c r="I16" s="2">
        <f t="shared" si="4"/>
        <v>60000</v>
      </c>
      <c r="J16" s="2">
        <f t="shared" si="4"/>
        <v>60000</v>
      </c>
      <c r="K16" s="2">
        <f t="shared" si="4"/>
        <v>60000</v>
      </c>
      <c r="L16" s="2">
        <f t="shared" si="4"/>
        <v>60000</v>
      </c>
      <c r="M16" s="2">
        <f t="shared" si="4"/>
        <v>60000</v>
      </c>
    </row>
    <row r="17" spans="1:13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8" t="s">
        <v>21</v>
      </c>
      <c r="B18" s="5"/>
      <c r="C18" s="9">
        <f>SUM(C4:C16)</f>
        <v>1740774.864139</v>
      </c>
      <c r="D18" s="9">
        <f t="shared" ref="D18:L18" si="5">SUM(D4:D16)</f>
        <v>1864462.3240999999</v>
      </c>
      <c r="E18" s="9">
        <f t="shared" si="5"/>
        <v>1967018.8272500001</v>
      </c>
      <c r="F18" s="9">
        <f t="shared" si="5"/>
        <v>2141476.9704</v>
      </c>
      <c r="G18" s="9">
        <f t="shared" si="5"/>
        <v>2244033.4735499998</v>
      </c>
      <c r="H18" s="9">
        <f t="shared" si="5"/>
        <v>2346589.9767</v>
      </c>
      <c r="I18" s="9">
        <f t="shared" si="5"/>
        <v>2449146.4798499998</v>
      </c>
      <c r="J18" s="9">
        <f t="shared" si="5"/>
        <v>2551702.983</v>
      </c>
      <c r="K18" s="9">
        <f t="shared" si="5"/>
        <v>2654259.4861499998</v>
      </c>
      <c r="L18" s="9">
        <f t="shared" si="5"/>
        <v>2756815.9893</v>
      </c>
      <c r="M18" s="9">
        <f>SUM(M4:M16)</f>
        <v>2859372.4924499998</v>
      </c>
    </row>
    <row r="19" spans="1:13" ht="15.75" thickBot="1" x14ac:dyDescent="0.3">
      <c r="A19" s="11" t="s">
        <v>22</v>
      </c>
      <c r="B19" s="12"/>
      <c r="C19" s="13">
        <f>SUM(C4:C9,C11)*0.807+SUM(C10,C12:C16)</f>
        <v>1523047.4079515501</v>
      </c>
      <c r="D19" s="13">
        <f t="shared" ref="D19:M19" si="6">SUM(D4:D9,D11)*0.807+SUM(D10,D12:D16)</f>
        <v>1587354.6525886999</v>
      </c>
      <c r="E19" s="13">
        <f t="shared" si="6"/>
        <v>1670117.7506307501</v>
      </c>
      <c r="F19" s="13">
        <f t="shared" si="6"/>
        <v>1752875.9151128</v>
      </c>
      <c r="G19" s="13">
        <f t="shared" si="6"/>
        <v>1835639.0131548499</v>
      </c>
      <c r="H19" s="13">
        <f t="shared" si="6"/>
        <v>1918402.1111969</v>
      </c>
      <c r="I19" s="13">
        <f t="shared" si="6"/>
        <v>2001165.2092389499</v>
      </c>
      <c r="J19" s="13">
        <f t="shared" si="6"/>
        <v>2083928.3072810001</v>
      </c>
      <c r="K19" s="13">
        <f t="shared" si="6"/>
        <v>2166691.40532305</v>
      </c>
      <c r="L19" s="13">
        <f t="shared" si="6"/>
        <v>2249454.5033651004</v>
      </c>
      <c r="M19" s="13">
        <f t="shared" si="6"/>
        <v>2332217.6014071498</v>
      </c>
    </row>
  </sheetData>
  <mergeCells count="2">
    <mergeCell ref="A1:K1"/>
    <mergeCell ref="A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72CA-B696-4A02-A647-3A8A6F6E3962}">
  <dimension ref="A1:M19"/>
  <sheetViews>
    <sheetView workbookViewId="0">
      <selection activeCell="G19" sqref="G19"/>
    </sheetView>
  </sheetViews>
  <sheetFormatPr baseColWidth="10" defaultRowHeight="15" x14ac:dyDescent="0.25"/>
  <cols>
    <col min="1" max="1" width="29.7109375" bestFit="1" customWidth="1"/>
    <col min="2" max="2" width="8.28515625" bestFit="1" customWidth="1"/>
    <col min="3" max="13" width="14.5703125" bestFit="1" customWidth="1"/>
  </cols>
  <sheetData>
    <row r="1" spans="1:13" ht="18.75" x14ac:dyDescent="0.3">
      <c r="A1" s="47" t="s">
        <v>83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t="s">
        <v>1</v>
      </c>
      <c r="M1">
        <v>2359</v>
      </c>
    </row>
    <row r="2" spans="1:13" x14ac:dyDescent="0.25">
      <c r="A2" s="46" t="str">
        <f>'Maestrx JS'!A2:M2</f>
        <v>ABRIL 2025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6" t="s">
        <v>2</v>
      </c>
      <c r="B3" s="6" t="s">
        <v>3</v>
      </c>
      <c r="C3" s="7">
        <v>0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7">
        <v>1.1000000000000001</v>
      </c>
      <c r="M3" s="7">
        <v>1.2</v>
      </c>
    </row>
    <row r="4" spans="1:13" x14ac:dyDescent="0.25">
      <c r="A4" t="s">
        <v>4</v>
      </c>
      <c r="B4" t="s">
        <v>5</v>
      </c>
      <c r="C4" s="2">
        <f>$M$1*Referencias!$B$1</f>
        <v>405818.77</v>
      </c>
      <c r="D4" s="2">
        <f>$M$1*Referencias!$B$1</f>
        <v>405818.77</v>
      </c>
      <c r="E4" s="2">
        <f>$M$1*Referencias!$B$1</f>
        <v>405818.77</v>
      </c>
      <c r="F4" s="2">
        <f>$M$1*Referencias!$B$1</f>
        <v>405818.77</v>
      </c>
      <c r="G4" s="2">
        <f>$M$1*Referencias!$B$1</f>
        <v>405818.77</v>
      </c>
      <c r="H4" s="2">
        <f>$M$1*Referencias!$B$1</f>
        <v>405818.77</v>
      </c>
      <c r="I4" s="2">
        <f>$M$1*Referencias!$B$1</f>
        <v>405818.77</v>
      </c>
      <c r="J4" s="2">
        <f>$M$1*Referencias!$B$1</f>
        <v>405818.77</v>
      </c>
      <c r="K4" s="2">
        <f>$M$1*Referencias!$B$1</f>
        <v>405818.77</v>
      </c>
      <c r="L4" s="2">
        <f>$M$1*Referencias!$B$1</f>
        <v>405818.77</v>
      </c>
      <c r="M4" s="2">
        <f>$M$1*Referencias!$B$1</f>
        <v>405818.77</v>
      </c>
    </row>
    <row r="5" spans="1:13" x14ac:dyDescent="0.25">
      <c r="A5" t="s">
        <v>72</v>
      </c>
      <c r="B5" t="s">
        <v>5</v>
      </c>
      <c r="C5" s="2">
        <f>C4*15%</f>
        <v>60872.815499999997</v>
      </c>
      <c r="D5" s="2">
        <f t="shared" ref="D5:M5" si="0">D4*15%</f>
        <v>60872.815499999997</v>
      </c>
      <c r="E5" s="2">
        <f t="shared" si="0"/>
        <v>60872.815499999997</v>
      </c>
      <c r="F5" s="2">
        <f t="shared" si="0"/>
        <v>60872.815499999997</v>
      </c>
      <c r="G5" s="2">
        <f t="shared" si="0"/>
        <v>60872.815499999997</v>
      </c>
      <c r="H5" s="2">
        <f t="shared" si="0"/>
        <v>60872.815499999997</v>
      </c>
      <c r="I5" s="2">
        <f t="shared" si="0"/>
        <v>60872.815499999997</v>
      </c>
      <c r="J5" s="2">
        <f t="shared" si="0"/>
        <v>60872.815499999997</v>
      </c>
      <c r="K5" s="2">
        <f t="shared" si="0"/>
        <v>60872.815499999997</v>
      </c>
      <c r="L5" s="2">
        <f t="shared" si="0"/>
        <v>60872.815499999997</v>
      </c>
      <c r="M5" s="2">
        <f t="shared" si="0"/>
        <v>60872.815499999997</v>
      </c>
    </row>
    <row r="6" spans="1:13" x14ac:dyDescent="0.25">
      <c r="A6" t="s">
        <v>6</v>
      </c>
      <c r="B6" t="s">
        <v>7</v>
      </c>
      <c r="C6" s="2">
        <f>C4*0.1+C8*0.1+C5*0.1</f>
        <v>96463.200550000009</v>
      </c>
      <c r="D6" s="2">
        <f t="shared" ref="D6:M6" si="1">D4*0.1+D8*0.1+D5*0.1</f>
        <v>96463.200550000009</v>
      </c>
      <c r="E6" s="2">
        <f t="shared" si="1"/>
        <v>96463.200550000009</v>
      </c>
      <c r="F6" s="2">
        <f t="shared" si="1"/>
        <v>96463.200550000009</v>
      </c>
      <c r="G6" s="2">
        <f t="shared" si="1"/>
        <v>96463.200550000009</v>
      </c>
      <c r="H6" s="2">
        <f t="shared" si="1"/>
        <v>96463.200550000009</v>
      </c>
      <c r="I6" s="2">
        <f t="shared" si="1"/>
        <v>96463.200550000009</v>
      </c>
      <c r="J6" s="2">
        <f t="shared" si="1"/>
        <v>96463.200550000009</v>
      </c>
      <c r="K6" s="2">
        <f t="shared" si="1"/>
        <v>96463.200550000009</v>
      </c>
      <c r="L6" s="2">
        <f t="shared" si="1"/>
        <v>96463.200550000009</v>
      </c>
      <c r="M6" s="2">
        <f t="shared" si="1"/>
        <v>96463.200550000009</v>
      </c>
    </row>
    <row r="7" spans="1:13" x14ac:dyDescent="0.25">
      <c r="A7" t="s">
        <v>8</v>
      </c>
      <c r="B7" t="s">
        <v>7</v>
      </c>
      <c r="C7" s="2">
        <f>C4*C3</f>
        <v>0</v>
      </c>
      <c r="D7" s="2">
        <f>(D4+D5)*D3</f>
        <v>140007.47565000001</v>
      </c>
      <c r="E7" s="2">
        <f t="shared" ref="E7:M7" si="2">(E4+E5)*E3</f>
        <v>186676.63420000003</v>
      </c>
      <c r="F7" s="2">
        <f t="shared" si="2"/>
        <v>233345.79275000002</v>
      </c>
      <c r="G7" s="2">
        <f t="shared" si="2"/>
        <v>280014.95130000002</v>
      </c>
      <c r="H7" s="2">
        <f t="shared" si="2"/>
        <v>326684.10985000001</v>
      </c>
      <c r="I7" s="2">
        <f t="shared" si="2"/>
        <v>373353.26840000006</v>
      </c>
      <c r="J7" s="2">
        <f t="shared" si="2"/>
        <v>420022.42695000005</v>
      </c>
      <c r="K7" s="2">
        <f t="shared" si="2"/>
        <v>466691.58550000004</v>
      </c>
      <c r="L7" s="2">
        <f t="shared" si="2"/>
        <v>513360.7440500001</v>
      </c>
      <c r="M7" s="2">
        <f t="shared" si="2"/>
        <v>560029.90260000003</v>
      </c>
    </row>
    <row r="8" spans="1:13" x14ac:dyDescent="0.25">
      <c r="A8" t="s">
        <v>9</v>
      </c>
      <c r="B8" t="s">
        <v>5</v>
      </c>
      <c r="C8" s="2">
        <f>'Maestrx JS'!C7*2</f>
        <v>497940.42</v>
      </c>
      <c r="D8" s="2">
        <f>'Maestrx JS'!D7*2</f>
        <v>497940.42</v>
      </c>
      <c r="E8" s="2">
        <f>'Maestrx JS'!E7*2</f>
        <v>497940.42</v>
      </c>
      <c r="F8" s="2">
        <f>'Maestrx JS'!F7*2</f>
        <v>497940.42</v>
      </c>
      <c r="G8" s="2">
        <f>'Maestrx JS'!G7*2</f>
        <v>497940.42</v>
      </c>
      <c r="H8" s="2">
        <f>'Maestrx JS'!H7*2</f>
        <v>497940.42</v>
      </c>
      <c r="I8" s="2">
        <f>'Maestrx JS'!I7*2</f>
        <v>497940.42</v>
      </c>
      <c r="J8" s="2">
        <f>'Maestrx JS'!J7*2</f>
        <v>497940.42</v>
      </c>
      <c r="K8" s="2">
        <f>'Maestrx JS'!K7*2</f>
        <v>497940.42</v>
      </c>
      <c r="L8" s="2">
        <f>'Maestrx JS'!L7*2</f>
        <v>497940.42</v>
      </c>
      <c r="M8" s="2">
        <f>'Maestrx JS'!M7*2</f>
        <v>497940.42</v>
      </c>
    </row>
    <row r="9" spans="1:13" x14ac:dyDescent="0.25">
      <c r="A9" t="s">
        <v>10</v>
      </c>
      <c r="B9" t="s">
        <v>7</v>
      </c>
      <c r="C9" s="2">
        <f>C8*C3</f>
        <v>0</v>
      </c>
      <c r="D9" s="2">
        <f t="shared" ref="D9:M9" si="3">D8*D3</f>
        <v>149382.12599999999</v>
      </c>
      <c r="E9" s="2">
        <f t="shared" si="3"/>
        <v>199176.16800000001</v>
      </c>
      <c r="F9" s="2">
        <f t="shared" si="3"/>
        <v>248970.21</v>
      </c>
      <c r="G9" s="2">
        <f t="shared" si="3"/>
        <v>298764.25199999998</v>
      </c>
      <c r="H9" s="2">
        <f t="shared" si="3"/>
        <v>348558.29399999999</v>
      </c>
      <c r="I9" s="2">
        <f t="shared" si="3"/>
        <v>398352.33600000001</v>
      </c>
      <c r="J9" s="2">
        <f t="shared" si="3"/>
        <v>448146.37799999997</v>
      </c>
      <c r="K9" s="2">
        <f t="shared" si="3"/>
        <v>497940.42</v>
      </c>
      <c r="L9" s="2">
        <f t="shared" si="3"/>
        <v>547734.46200000006</v>
      </c>
      <c r="M9" s="2">
        <f t="shared" si="3"/>
        <v>597528.50399999996</v>
      </c>
    </row>
    <row r="10" spans="1:13" x14ac:dyDescent="0.25">
      <c r="A10" t="s">
        <v>11</v>
      </c>
      <c r="B10" t="s">
        <v>12</v>
      </c>
      <c r="C10" s="2">
        <f>'Maestrx JS'!C9*2</f>
        <v>300671.28000000003</v>
      </c>
      <c r="D10" s="2">
        <f>'Maestrx JS'!D9*2</f>
        <v>300671.28000000003</v>
      </c>
      <c r="E10" s="2">
        <f>'Maestrx JS'!E9*2</f>
        <v>300671.28000000003</v>
      </c>
      <c r="F10" s="2">
        <f>'Maestrx JS'!F9*2</f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25">
      <c r="A11" t="s">
        <v>13</v>
      </c>
      <c r="B11" t="s">
        <v>7</v>
      </c>
      <c r="C11" s="3">
        <v>0</v>
      </c>
      <c r="D11" s="3">
        <v>0</v>
      </c>
      <c r="E11" s="3">
        <v>0</v>
      </c>
      <c r="F11" s="2">
        <f>'Maestrx JS'!F10*2</f>
        <v>372572.92</v>
      </c>
      <c r="G11" s="2">
        <f>'Maestrx JS'!G10*2</f>
        <v>372572.92</v>
      </c>
      <c r="H11" s="2">
        <f>'Maestrx JS'!H10*2</f>
        <v>372572.92</v>
      </c>
      <c r="I11" s="2">
        <f>'Maestrx JS'!I10*2</f>
        <v>372572.92</v>
      </c>
      <c r="J11" s="2">
        <f>'Maestrx JS'!J10*2</f>
        <v>372572.92</v>
      </c>
      <c r="K11" s="2">
        <f>'Maestrx JS'!K10*2</f>
        <v>372572.92</v>
      </c>
      <c r="L11" s="2">
        <f>'Maestrx JS'!L10*2</f>
        <v>372572.92</v>
      </c>
      <c r="M11" s="2">
        <f>'Maestrx JS'!M10*2</f>
        <v>372572.92</v>
      </c>
    </row>
    <row r="12" spans="1:13" x14ac:dyDescent="0.25">
      <c r="A12" t="s">
        <v>14</v>
      </c>
      <c r="B12" t="s">
        <v>12</v>
      </c>
      <c r="C12" s="2">
        <f>IF(Referencias!H10&lt;0,0,Referencias!H10)</f>
        <v>231017.04703700007</v>
      </c>
      <c r="D12" s="2">
        <f>IF(Referencias!I10&lt;0,0,Referencias!I10)</f>
        <v>0</v>
      </c>
      <c r="E12" s="2">
        <f>IF(Referencias!J10&lt;0,0,Referencias!J10)</f>
        <v>0</v>
      </c>
      <c r="F12" s="2">
        <f>IF(Referencias!K10&lt;0,0,Referencias!K10)</f>
        <v>0</v>
      </c>
      <c r="G12" s="2">
        <f>IF(Referencias!L10&lt;0,0,Referencias!L10)</f>
        <v>0</v>
      </c>
      <c r="H12" s="2">
        <f>IF(Referencias!M10&lt;0,0,Referencias!M10)</f>
        <v>0</v>
      </c>
      <c r="I12" s="2">
        <f>IF(Referencias!N10&lt;0,0,Referencias!N10)</f>
        <v>0</v>
      </c>
      <c r="J12" s="2">
        <f>IF(Referencias!O10&lt;0,0,Referencias!O10)</f>
        <v>0</v>
      </c>
      <c r="K12" s="2">
        <f>IF(Referencias!P10&lt;0,0,Referencias!P10)</f>
        <v>0</v>
      </c>
      <c r="L12" s="2">
        <f>IF(Referencias!Q10&lt;0,0,Referencias!Q10)</f>
        <v>0</v>
      </c>
      <c r="M12" s="2">
        <f>IF(Referencias!R10&lt;0,0,Referencias!R10)</f>
        <v>0</v>
      </c>
    </row>
    <row r="13" spans="1:13" x14ac:dyDescent="0.25">
      <c r="A13" t="s">
        <v>15</v>
      </c>
      <c r="B13" t="s">
        <v>12</v>
      </c>
      <c r="C13" s="2">
        <f>Referencias!C22</f>
        <v>68000</v>
      </c>
      <c r="D13" s="2">
        <f>C13</f>
        <v>68000</v>
      </c>
      <c r="E13" s="2">
        <f t="shared" ref="E13:M16" si="4">D13</f>
        <v>68000</v>
      </c>
      <c r="F13" s="2">
        <f t="shared" si="4"/>
        <v>68000</v>
      </c>
      <c r="G13" s="2">
        <f t="shared" si="4"/>
        <v>68000</v>
      </c>
      <c r="H13" s="2">
        <f t="shared" si="4"/>
        <v>68000</v>
      </c>
      <c r="I13" s="2">
        <f t="shared" si="4"/>
        <v>68000</v>
      </c>
      <c r="J13" s="2">
        <f t="shared" si="4"/>
        <v>68000</v>
      </c>
      <c r="K13" s="2">
        <f t="shared" si="4"/>
        <v>68000</v>
      </c>
      <c r="L13" s="2">
        <f t="shared" si="4"/>
        <v>68000</v>
      </c>
      <c r="M13" s="2">
        <f t="shared" si="4"/>
        <v>68000</v>
      </c>
    </row>
    <row r="14" spans="1:13" hidden="1" x14ac:dyDescent="0.25">
      <c r="A14" t="s">
        <v>16</v>
      </c>
      <c r="B14" t="s">
        <v>12</v>
      </c>
      <c r="C14" s="2">
        <f>Referencias!C23</f>
        <v>0</v>
      </c>
      <c r="D14" s="2">
        <f>C14</f>
        <v>0</v>
      </c>
      <c r="E14" s="2">
        <f t="shared" si="4"/>
        <v>0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 t="shared" si="4"/>
        <v>0</v>
      </c>
      <c r="J14" s="2">
        <f t="shared" si="4"/>
        <v>0</v>
      </c>
      <c r="K14" s="2">
        <f t="shared" si="4"/>
        <v>0</v>
      </c>
      <c r="L14" s="2">
        <f t="shared" si="4"/>
        <v>0</v>
      </c>
      <c r="M14" s="2">
        <f t="shared" si="4"/>
        <v>0</v>
      </c>
    </row>
    <row r="15" spans="1:13" hidden="1" x14ac:dyDescent="0.25">
      <c r="A15" t="s">
        <v>17</v>
      </c>
      <c r="B15" t="s">
        <v>12</v>
      </c>
      <c r="C15" s="2">
        <f>Referencias!C26</f>
        <v>0</v>
      </c>
      <c r="D15" s="2">
        <f>C15</f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</row>
    <row r="16" spans="1:13" x14ac:dyDescent="0.25">
      <c r="A16" t="s">
        <v>18</v>
      </c>
      <c r="B16" t="s">
        <v>12</v>
      </c>
      <c r="C16" s="2">
        <f>Referencias!C25</f>
        <v>60000</v>
      </c>
      <c r="D16" s="2">
        <f>C16</f>
        <v>60000</v>
      </c>
      <c r="E16" s="2">
        <f t="shared" si="4"/>
        <v>60000</v>
      </c>
      <c r="F16" s="2">
        <f t="shared" si="4"/>
        <v>60000</v>
      </c>
      <c r="G16" s="2">
        <f t="shared" si="4"/>
        <v>60000</v>
      </c>
      <c r="H16" s="2">
        <f t="shared" si="4"/>
        <v>60000</v>
      </c>
      <c r="I16" s="2">
        <f t="shared" si="4"/>
        <v>60000</v>
      </c>
      <c r="J16" s="2">
        <f t="shared" si="4"/>
        <v>60000</v>
      </c>
      <c r="K16" s="2">
        <f t="shared" si="4"/>
        <v>60000</v>
      </c>
      <c r="L16" s="2">
        <f t="shared" si="4"/>
        <v>60000</v>
      </c>
      <c r="M16" s="2">
        <f t="shared" si="4"/>
        <v>60000</v>
      </c>
    </row>
    <row r="17" spans="1:13" ht="15.75" thickBot="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thickBot="1" x14ac:dyDescent="0.3">
      <c r="A18" s="8" t="s">
        <v>21</v>
      </c>
      <c r="B18" s="5"/>
      <c r="C18" s="9">
        <f>SUM(C4:C16)</f>
        <v>1720783.533087</v>
      </c>
      <c r="D18" s="9">
        <f t="shared" ref="D18:L18" si="5">SUM(D4:D16)</f>
        <v>1779156.0877</v>
      </c>
      <c r="E18" s="9">
        <f t="shared" si="5"/>
        <v>1875619.28825</v>
      </c>
      <c r="F18" s="9">
        <f t="shared" si="5"/>
        <v>2043984.1287999998</v>
      </c>
      <c r="G18" s="9">
        <f t="shared" si="5"/>
        <v>2140447.3293499998</v>
      </c>
      <c r="H18" s="9">
        <f t="shared" si="5"/>
        <v>2236910.5299</v>
      </c>
      <c r="I18" s="9">
        <f t="shared" si="5"/>
        <v>2333373.7304500001</v>
      </c>
      <c r="J18" s="9">
        <f t="shared" si="5"/>
        <v>2429836.9309999999</v>
      </c>
      <c r="K18" s="9">
        <f t="shared" si="5"/>
        <v>2526300.13155</v>
      </c>
      <c r="L18" s="9">
        <f t="shared" si="5"/>
        <v>2622763.3321000002</v>
      </c>
      <c r="M18" s="9">
        <f>SUM(M4:M16)</f>
        <v>2719226.5326499995</v>
      </c>
    </row>
    <row r="19" spans="1:13" ht="15.75" thickBot="1" x14ac:dyDescent="0.3">
      <c r="A19" s="11" t="s">
        <v>22</v>
      </c>
      <c r="B19" s="12"/>
      <c r="C19" s="13">
        <f>SUM(C4:C9,C11)*0.807+SUM(C10,C12:C16)</f>
        <v>1515992.1583193501</v>
      </c>
      <c r="D19" s="13">
        <f>SUM(D4:D9,D11)*0.807+SUM(D10,D12:D16)</f>
        <v>1518512.5198139001</v>
      </c>
      <c r="E19" s="13">
        <f t="shared" ref="E19:M19" si="6">SUM(E4:E9,E11)*0.807+SUM(E10,E12:E16)</f>
        <v>1596358.32265775</v>
      </c>
      <c r="F19" s="13">
        <f t="shared" si="6"/>
        <v>1674199.1919416001</v>
      </c>
      <c r="G19" s="13">
        <f t="shared" si="6"/>
        <v>1752044.9947854499</v>
      </c>
      <c r="H19" s="13">
        <f t="shared" si="6"/>
        <v>1829890.7976293</v>
      </c>
      <c r="I19" s="13">
        <f t="shared" si="6"/>
        <v>1907736.6004731501</v>
      </c>
      <c r="J19" s="13">
        <f t="shared" si="6"/>
        <v>1985582.403317</v>
      </c>
      <c r="K19" s="13">
        <f t="shared" si="6"/>
        <v>2063428.2061608501</v>
      </c>
      <c r="L19" s="13">
        <f t="shared" si="6"/>
        <v>2141274.0090047</v>
      </c>
      <c r="M19" s="13">
        <f t="shared" si="6"/>
        <v>2219119.8118485496</v>
      </c>
    </row>
  </sheetData>
  <mergeCells count="2">
    <mergeCell ref="A1:K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Maestrx JS</vt:lpstr>
      <vt:lpstr>Maestrx JC</vt:lpstr>
      <vt:lpstr>Hora cátedra (Media)</vt:lpstr>
      <vt:lpstr>Preceptoría</vt:lpstr>
      <vt:lpstr>Maestrx Celadorx</vt:lpstr>
      <vt:lpstr>Hora cátedra (Superior)</vt:lpstr>
      <vt:lpstr>Directorx</vt:lpstr>
      <vt:lpstr>Vicedirectorx</vt:lpstr>
      <vt:lpstr>Secretarix y Maestrx E.</vt:lpstr>
      <vt:lpstr>Supervisorx</vt:lpstr>
      <vt:lpstr>Maestrx JS (Especial)</vt:lpstr>
      <vt:lpstr>Maestrx JC (Especial)</vt:lpstr>
      <vt:lpstr>Maestrx de ciclo</vt:lpstr>
      <vt:lpstr>Referencias</vt:lpstr>
      <vt:lpstr>Hoja1</vt:lpstr>
      <vt:lpstr>Inicial</vt:lpstr>
      <vt:lpstr>Primaria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03052022</dc:creator>
  <cp:keywords/>
  <dc:description/>
  <cp:lastModifiedBy>BRECHAROLI</cp:lastModifiedBy>
  <cp:revision/>
  <dcterms:created xsi:type="dcterms:W3CDTF">2023-11-30T19:46:25Z</dcterms:created>
  <dcterms:modified xsi:type="dcterms:W3CDTF">2025-04-24T19:23:22Z</dcterms:modified>
  <cp:category/>
  <cp:contentStatus/>
</cp:coreProperties>
</file>