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0.29" sheetId="1" state="visible" r:id="rId2"/>
    <sheet name="DataAmplitudes" sheetId="2" state="visible" r:id="rId3"/>
    <sheet name="MIS-Wedge" sheetId="3" state="visible" r:id="rId4"/>
    <sheet name="Corrida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<sst xmlns="http://schemas.openxmlformats.org/spreadsheetml/2006/main" count="158" uniqueCount="73">
  <si>
    <t xml:space="preserve">L [m]</t>
  </si>
  <si>
    <t xml:space="preserve">h [m]</t>
  </si>
  <si>
    <t xml:space="preserve">s [m]</t>
  </si>
  <si>
    <t xml:space="preserve">E [Pa]</t>
  </si>
  <si>
    <t xml:space="preserve">rho [kg/m3]</t>
  </si>
  <si>
    <t xml:space="preserve">I [m^3]</t>
  </si>
  <si>
    <t xml:space="preserve">B [N*m=kg*m2/s2]</t>
  </si>
  <si>
    <t xml:space="preserve">fn [Hz]</t>
  </si>
  <si>
    <t xml:space="preserve">w_n [rad/s]</t>
  </si>
  <si>
    <t xml:space="preserve">dR [mm]</t>
  </si>
  <si>
    <t xml:space="preserve">wn*L [m/s]</t>
  </si>
  <si>
    <t xml:space="preserve">nu [m2/s]</t>
  </si>
  <si>
    <t xml:space="preserve">Area_ref [m2]</t>
  </si>
  <si>
    <t xml:space="preserve">ff [Hz]</t>
  </si>
  <si>
    <t xml:space="preserve">f+</t>
  </si>
  <si>
    <t xml:space="preserve">U [m/s]</t>
  </si>
  <si>
    <t xml:space="preserve">UR</t>
  </si>
  <si>
    <t xml:space="preserve">d [mm]</t>
  </si>
  <si>
    <t xml:space="preserve">d+</t>
  </si>
  <si>
    <t xml:space="preserve">Re paper</t>
  </si>
  <si>
    <t xml:space="preserve">Re_Manuel</t>
  </si>
  <si>
    <t xml:space="preserve">St1</t>
  </si>
  <si>
    <t xml:space="preserve">St2</t>
  </si>
  <si>
    <t xml:space="preserve">CD (script)</t>
  </si>
  <si>
    <t xml:space="preserve">CD (planilla)</t>
  </si>
  <si>
    <t xml:space="preserve">D+ 10.78°</t>
  </si>
  <si>
    <t xml:space="preserve">St</t>
  </si>
  <si>
    <t xml:space="preserve">Re</t>
  </si>
  <si>
    <t xml:space="preserve">s/L=Kappa</t>
  </si>
  <si>
    <t xml:space="preserve">Omega(Kappa)</t>
  </si>
  <si>
    <t xml:space="preserve">ff</t>
  </si>
  <si>
    <t xml:space="preserve">f*</t>
  </si>
  <si>
    <t xml:space="preserve">Aeff/L</t>
  </si>
  <si>
    <t xml:space="preserve">w*</t>
  </si>
  <si>
    <t xml:space="preserve">E=6,8E+9 / 1623</t>
  </si>
  <si>
    <t xml:space="preserve">E=8E+9 / 1623</t>
  </si>
  <si>
    <t xml:space="preserve">E=7,7E+9 / r=1390</t>
  </si>
  <si>
    <t xml:space="preserve">E=7,5E+9 / 1325</t>
  </si>
  <si>
    <t xml:space="preserve">E=5,8E+9 / 1000</t>
  </si>
  <si>
    <t xml:space="preserve">Experimental</t>
  </si>
  <si>
    <t xml:space="preserve">UR=0.29</t>
  </si>
  <si>
    <t xml:space="preserve">Ff=12 Hz</t>
  </si>
  <si>
    <t xml:space="preserve">Ff=10 Hz</t>
  </si>
  <si>
    <t xml:space="preserve">Ff=14 Hz</t>
  </si>
  <si>
    <t xml:space="preserve">Ff=16 Hz</t>
  </si>
  <si>
    <t xml:space="preserve">Ff=8 Hz</t>
  </si>
  <si>
    <t xml:space="preserve">Ff=20 Hz</t>
  </si>
  <si>
    <t xml:space="preserve">t [s]</t>
  </si>
  <si>
    <t xml:space="preserve">New E=6,8E+9</t>
  </si>
  <si>
    <t xml:space="preserve">New E=7.9E+9 Pa / rho = 1390 kg/m3</t>
  </si>
  <si>
    <t xml:space="preserve">Ff=16Hz</t>
  </si>
  <si>
    <t xml:space="preserve">d+ 10°</t>
  </si>
  <si>
    <t xml:space="preserve">d+ 10,78°</t>
  </si>
  <si>
    <t xml:space="preserve">←el primero siempre overshootea con respecto al valor periódico que después agarra</t>
  </si>
  <si>
    <t xml:space="preserve">New E=8,5E+9</t>
  </si>
  <si>
    <t xml:space="preserve">Target</t>
  </si>
  <si>
    <t xml:space="preserve">New E=7.7E+9 Pa / rho = 1390 kg/m3</t>
  </si>
  <si>
    <t xml:space="preserve">Ff=12Hz</t>
  </si>
  <si>
    <t xml:space="preserve">New E=8,1E+9</t>
  </si>
  <si>
    <t xml:space="preserve">Ff=14Hz</t>
  </si>
  <si>
    <t xml:space="preserve">New E=7.9E+9</t>
  </si>
  <si>
    <t xml:space="preserve">E</t>
  </si>
  <si>
    <t xml:space="preserve">rho</t>
  </si>
  <si>
    <t xml:space="preserve">n</t>
  </si>
  <si>
    <t xml:space="preserve">Cd</t>
  </si>
  <si>
    <t xml:space="preserve">% Dif</t>
  </si>
  <si>
    <t xml:space="preserve">Cm</t>
  </si>
  <si>
    <t xml:space="preserve">Cl (f)</t>
  </si>
  <si>
    <t xml:space="preserve">Cl (r)</t>
  </si>
  <si>
    <t xml:space="preserve">r</t>
  </si>
  <si>
    <t xml:space="preserve">p</t>
  </si>
  <si>
    <t xml:space="preserve">f [Hz]</t>
  </si>
  <si>
    <t xml:space="preserve">dt [s]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</si>
</sst>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E+00"/>
    <numFmt numFmtId="166" formatCode="0.000E+00"/>
    <numFmt numFmtId="167" formatCode="0.00"/>
    <numFmt numFmtId="168" formatCode="0.000"/>
    <numFmt numFmtId="169" formatCode="0.0000E+00"/>
    <numFmt numFmtId="170" formatCode="0.0000"/>
    <numFmt numFmtId="171" formatCode="0"/>
    <numFmt numFmtId="172" formatCode="General"/>
  </numFmts>
  <fonts count="2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000000"/>
      <name val="Ubuntu"/>
      <family val="0"/>
      <charset val="1"/>
    </font>
    <font>
      <sz val="10"/>
      <color rgb="FF000000"/>
      <name val="Ubuntu"/>
      <family val="0"/>
      <charset val="1"/>
    </font>
    <font>
      <sz val="11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2"/>
    </font>
    <font>
      <b val="true"/>
      <sz val="14"/>
      <color rgb="FF000000"/>
      <name val="Calibri"/>
      <family val="2"/>
    </font>
    <font>
      <sz val="10"/>
      <name val="Arial"/>
      <family val="2"/>
    </font>
    <font>
      <sz val="10.5"/>
      <name val="Arial"/>
      <family val="2"/>
    </font>
    <font>
      <sz val="9"/>
      <name val="Arial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9D9D9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 style="hair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83CAFF"/>
      <rgbColor rgb="FFFF99CC"/>
      <rgbColor rgb="FFCC99FF"/>
      <rgbColor rgb="FFFFCC99"/>
      <rgbColor rgb="FF4472C4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diamond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1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'UR0.29'!$E$15:$E$21</c:f>
              <c:numCache>
                <c:formatCode>General</c:formatCode>
                <c:ptCount val="7"/>
                <c:pt idx="0">
                  <c:v>0.604229607250755</c:v>
                </c:pt>
                <c:pt idx="1">
                  <c:v>0.814995925020375</c:v>
                </c:pt>
                <c:pt idx="2">
                  <c:v>0.97799511002445</c:v>
                </c:pt>
                <c:pt idx="3">
                  <c:v>1.14099429502853</c:v>
                </c:pt>
                <c:pt idx="4">
                  <c:v>1.3039934800326</c:v>
                </c:pt>
                <c:pt idx="5">
                  <c:v>1.46699266503668</c:v>
                </c:pt>
                <c:pt idx="6">
                  <c:v>1.62999185004075</c:v>
                </c:pt>
              </c:numCache>
            </c:numRef>
          </c:xVal>
          <c:yVal>
            <c:numRef>
              <c:f>'UR0.29'!$I$15:$I$21</c:f>
              <c:numCache>
                <c:formatCode>General</c:formatCode>
                <c:ptCount val="7"/>
                <c:pt idx="0">
                  <c:v>1.64395346755135</c:v>
                </c:pt>
                <c:pt idx="1">
                  <c:v>2.03463942621445</c:v>
                </c:pt>
                <c:pt idx="2">
                  <c:v>2.06458174200081</c:v>
                </c:pt>
                <c:pt idx="3">
                  <c:v>1.74370839810978</c:v>
                </c:pt>
                <c:pt idx="4">
                  <c:v>1.33153468429749</c:v>
                </c:pt>
                <c:pt idx="5">
                  <c:v>0.999985813952964</c:v>
                </c:pt>
                <c:pt idx="6">
                  <c:v>0.791564941081362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'UR0.29'!$W$29</c:f>
              <c:strCache>
                <c:ptCount val="1"/>
                <c:pt idx="0">
                  <c:v>E=5,8E+9 / 1000</c:v>
                </c:pt>
              </c:strCache>
            </c:strRef>
          </c:tx>
          <c:spPr>
            <a:solidFill>
              <a:srgbClr val="314004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'UR0.29'!$R$30:$R$32</c:f>
              <c:numCache>
                <c:formatCode>General</c:formatCode>
                <c:ptCount val="3"/>
                <c:pt idx="0">
                  <c:v>0.97799511002445</c:v>
                </c:pt>
                <c:pt idx="1">
                  <c:v>1.14099429502853</c:v>
                </c:pt>
                <c:pt idx="2">
                  <c:v>1.3039934800326</c:v>
                </c:pt>
              </c:numCache>
            </c:numRef>
          </c:xVal>
          <c:yVal>
            <c:numRef>
              <c:f>'UR0.29'!$W$30:$W$32</c:f>
              <c:numCache>
                <c:formatCode>General</c:formatCode>
                <c:ptCount val="3"/>
                <c:pt idx="0">
                  <c:v>1.66256139642377</c:v>
                </c:pt>
                <c:pt idx="1">
                  <c:v>1.6722461904307</c:v>
                </c:pt>
                <c:pt idx="2">
                  <c:v>1.52323173374673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'UR0.29'!$V$29</c:f>
              <c:strCache>
                <c:ptCount val="1"/>
                <c:pt idx="0">
                  <c:v>E=7,5E+9 / 1325</c:v>
                </c:pt>
              </c:strCache>
            </c:strRef>
          </c:tx>
          <c:spPr>
            <a:solidFill>
              <a:srgbClr val="83caff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'UR0.29'!$R$30:$R$32</c:f>
              <c:numCache>
                <c:formatCode>General</c:formatCode>
                <c:ptCount val="3"/>
                <c:pt idx="0">
                  <c:v>0.97799511002445</c:v>
                </c:pt>
                <c:pt idx="1">
                  <c:v>1.14099429502853</c:v>
                </c:pt>
                <c:pt idx="2">
                  <c:v>1.3039934800326</c:v>
                </c:pt>
              </c:numCache>
            </c:numRef>
          </c:xVal>
          <c:yVal>
            <c:numRef>
              <c:f>'UR0.29'!$V$30:$V$32</c:f>
              <c:numCache>
                <c:formatCode>General</c:formatCode>
                <c:ptCount val="3"/>
                <c:pt idx="0">
                  <c:v>1.79643763408429</c:v>
                </c:pt>
                <c:pt idx="1">
                  <c:v>1.8822717942183</c:v>
                </c:pt>
                <c:pt idx="2">
                  <c:v>1.75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'UR0.29'!$T$29</c:f>
              <c:strCache>
                <c:ptCount val="1"/>
                <c:pt idx="0">
                  <c:v>E=8E+9 / 1623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'UR0.29'!$R$30:$R$32</c:f>
              <c:numCache>
                <c:formatCode>General</c:formatCode>
                <c:ptCount val="3"/>
                <c:pt idx="0">
                  <c:v>0.97799511002445</c:v>
                </c:pt>
                <c:pt idx="1">
                  <c:v>1.14099429502853</c:v>
                </c:pt>
                <c:pt idx="2">
                  <c:v>1.3039934800326</c:v>
                </c:pt>
              </c:numCache>
            </c:numRef>
          </c:xVal>
          <c:yVal>
            <c:numRef>
              <c:f>'UR0.29'!$T$30:$T$32</c:f>
              <c:numCache>
                <c:formatCode>General</c:formatCode>
                <c:ptCount val="3"/>
                <c:pt idx="0">
                  <c:v>1.95834478184374</c:v>
                </c:pt>
                <c:pt idx="2">
                  <c:v>1.77042311642844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'UR0.29'!$U$29</c:f>
              <c:strCache>
                <c:ptCount val="1"/>
                <c:pt idx="0">
                  <c:v>E=7,7E+9 / r=1390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'UR0.29'!$R$30:$R$32</c:f>
              <c:numCache>
                <c:formatCode>General</c:formatCode>
                <c:ptCount val="3"/>
                <c:pt idx="0">
                  <c:v>0.97799511002445</c:v>
                </c:pt>
                <c:pt idx="1">
                  <c:v>1.14099429502853</c:v>
                </c:pt>
                <c:pt idx="2">
                  <c:v>1.3039934800326</c:v>
                </c:pt>
              </c:numCache>
            </c:numRef>
          </c:xVal>
          <c:yVal>
            <c:numRef>
              <c:f>'UR0.29'!$U$30:$U$32</c:f>
              <c:numCache>
                <c:formatCode>General</c:formatCode>
                <c:ptCount val="3"/>
                <c:pt idx="0">
                  <c:v>1.8259044600139</c:v>
                </c:pt>
                <c:pt idx="1">
                  <c:v>1.91099011083192</c:v>
                </c:pt>
                <c:pt idx="2">
                  <c:v>1.75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'UR0.29'!$S$29</c:f>
              <c:strCache>
                <c:ptCount val="1"/>
                <c:pt idx="0">
                  <c:v>E=6,8E+9 / 1623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'UR0.29'!$R$32</c:f>
              <c:numCache>
                <c:formatCode>General</c:formatCode>
                <c:ptCount val="1"/>
                <c:pt idx="0">
                  <c:v>1.3039934800326</c:v>
                </c:pt>
              </c:numCache>
            </c:numRef>
          </c:xVal>
          <c:yVal>
            <c:numRef>
              <c:f>'UR0.29'!$S$32</c:f>
              <c:numCache>
                <c:formatCode>General</c:formatCode>
                <c:ptCount val="1"/>
                <c:pt idx="0">
                  <c:v>1.49008346403845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experimental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'UR0.29'!$S$45:$S$53</c:f>
              <c:numCache>
                <c:formatCode>General</c:formatCode>
                <c:ptCount val="9"/>
                <c:pt idx="0">
                  <c:v>0.488838194557601</c:v>
                </c:pt>
                <c:pt idx="1">
                  <c:v>0.651784259410135</c:v>
                </c:pt>
                <c:pt idx="2">
                  <c:v>0.814730324262669</c:v>
                </c:pt>
                <c:pt idx="3">
                  <c:v>0.977676389115203</c:v>
                </c:pt>
                <c:pt idx="4">
                  <c:v>1.14062245396774</c:v>
                </c:pt>
                <c:pt idx="5">
                  <c:v>1.30356851882027</c:v>
                </c:pt>
                <c:pt idx="6">
                  <c:v>1.4665145836728</c:v>
                </c:pt>
                <c:pt idx="7">
                  <c:v>1.62946064852534</c:v>
                </c:pt>
                <c:pt idx="8">
                  <c:v>1.79240671337787</c:v>
                </c:pt>
              </c:numCache>
            </c:numRef>
          </c:xVal>
          <c:yVal>
            <c:numRef>
              <c:f>'UR0.29'!$T$45:$T$53</c:f>
              <c:numCache>
                <c:formatCode>General</c:formatCode>
                <c:ptCount val="9"/>
                <c:pt idx="0">
                  <c:v>0.984673710116129</c:v>
                </c:pt>
                <c:pt idx="1">
                  <c:v>1.07883213620503</c:v>
                </c:pt>
                <c:pt idx="2">
                  <c:v>1.20171686177868</c:v>
                </c:pt>
                <c:pt idx="3">
                  <c:v>1.51770615611092</c:v>
                </c:pt>
                <c:pt idx="4">
                  <c:v>1.71879025250417</c:v>
                </c:pt>
                <c:pt idx="5">
                  <c:v>1.7203861580311</c:v>
                </c:pt>
                <c:pt idx="6">
                  <c:v>1.64059088168457</c:v>
                </c:pt>
                <c:pt idx="7">
                  <c:v>1.48100032899152</c:v>
                </c:pt>
                <c:pt idx="8">
                  <c:v>1.28647452979585</c:v>
                </c:pt>
              </c:numCache>
            </c:numRef>
          </c:yVal>
          <c:smooth val="1"/>
        </c:ser>
        <c:axId val="12553713"/>
        <c:axId val="71486624"/>
      </c:scatterChart>
      <c:valAx>
        <c:axId val="12553713"/>
        <c:scaling>
          <c:orientation val="minMax"/>
          <c:max val="1.8"/>
          <c:min val="0.5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f+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1486624"/>
        <c:crosses val="autoZero"/>
        <c:crossBetween val="midCat"/>
        <c:majorUnit val="0.1"/>
      </c:valAx>
      <c:valAx>
        <c:axId val="714866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d+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2553713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solidFill>
          <a:srgbClr val="d9d9d9"/>
        </a:solidFill>
        <a:ln>
          <a:solidFill>
            <a:srgbClr val="000000"/>
          </a:solidFill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cdplanilla</c:f>
              <c:strCache>
                <c:ptCount val="1"/>
                <c:pt idx="0">
                  <c:v>cdplanilla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'UR0.29'!$E$15:$E$21</c:f>
              <c:strCache>
                <c:ptCount val="7"/>
                <c:pt idx="0">
                  <c:v>0.60</c:v>
                </c:pt>
                <c:pt idx="1">
                  <c:v>0.81</c:v>
                </c:pt>
                <c:pt idx="2">
                  <c:v>0.98</c:v>
                </c:pt>
                <c:pt idx="3">
                  <c:v>1.14</c:v>
                </c:pt>
                <c:pt idx="4">
                  <c:v>1.30</c:v>
                </c:pt>
                <c:pt idx="5">
                  <c:v>1.47</c:v>
                </c:pt>
                <c:pt idx="6">
                  <c:v>1.63</c:v>
                </c:pt>
              </c:strCache>
            </c:strRef>
          </c:cat>
          <c:val>
            <c:numRef>
              <c:f>'UR0.29'!$O$15:$O$21</c:f>
              <c:numCache>
                <c:formatCode>General</c:formatCode>
                <c:ptCount val="7"/>
                <c:pt idx="0">
                  <c:v>0.297202351395596</c:v>
                </c:pt>
                <c:pt idx="1">
                  <c:v>0.1268</c:v>
                </c:pt>
                <c:pt idx="2">
                  <c:v>-0.1184</c:v>
                </c:pt>
                <c:pt idx="3">
                  <c:v>-0.1812</c:v>
                </c:pt>
                <c:pt idx="4">
                  <c:v>-0.093</c:v>
                </c:pt>
                <c:pt idx="5">
                  <c:v>-0.012637550314478</c:v>
                </c:pt>
                <c:pt idx="6">
                  <c:v>0.0624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cdscript</c:f>
              <c:strCache>
                <c:ptCount val="1"/>
                <c:pt idx="0">
                  <c:v>cdscript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'UR0.29'!$E$15:$E$21</c:f>
              <c:strCache>
                <c:ptCount val="7"/>
                <c:pt idx="0">
                  <c:v>0.60</c:v>
                </c:pt>
                <c:pt idx="1">
                  <c:v>0.81</c:v>
                </c:pt>
                <c:pt idx="2">
                  <c:v>0.98</c:v>
                </c:pt>
                <c:pt idx="3">
                  <c:v>1.14</c:v>
                </c:pt>
                <c:pt idx="4">
                  <c:v>1.30</c:v>
                </c:pt>
                <c:pt idx="5">
                  <c:v>1.47</c:v>
                </c:pt>
                <c:pt idx="6">
                  <c:v>1.63</c:v>
                </c:pt>
              </c:strCache>
            </c:strRef>
          </c:cat>
          <c:val>
            <c:numRef>
              <c:f>'UR0.29'!$N$15:$N$21</c:f>
              <c:numCache>
                <c:formatCode>General</c:formatCode>
                <c:ptCount val="7"/>
                <c:pt idx="0">
                  <c:v>0.3</c:v>
                </c:pt>
                <c:pt idx="1">
                  <c:v>0.135</c:v>
                </c:pt>
                <c:pt idx="2">
                  <c:v>-0.121</c:v>
                </c:pt>
                <c:pt idx="3">
                  <c:v>-0.185</c:v>
                </c:pt>
                <c:pt idx="4">
                  <c:v>-0.106</c:v>
                </c:pt>
                <c:pt idx="5">
                  <c:v>-0.011</c:v>
                </c:pt>
                <c:pt idx="6">
                  <c:v>0.061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1427991"/>
        <c:axId val="53415537"/>
      </c:lineChart>
      <c:catAx>
        <c:axId val="314279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f+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50" spc="-1" strike="noStrike">
                <a:latin typeface="Arial"/>
              </a:defRPr>
            </a:pPr>
          </a:p>
        </c:txPr>
        <c:crossAx val="53415537"/>
        <c:crosses val="autoZero"/>
        <c:auto val="1"/>
        <c:lblAlgn val="ctr"/>
        <c:lblOffset val="100"/>
        <c:noMultiLvlLbl val="0"/>
      </c:catAx>
      <c:valAx>
        <c:axId val="534155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C_D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4279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7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'MIS-Wedge'!$B$2:$B$5</c:f>
              <c:numCache>
                <c:formatCode>General</c:formatCode>
                <c:ptCount val="4"/>
                <c:pt idx="0">
                  <c:v>0.04030959074389</c:v>
                </c:pt>
                <c:pt idx="1">
                  <c:v>0.03806880863113</c:v>
                </c:pt>
                <c:pt idx="2">
                  <c:v>0.03774558302765</c:v>
                </c:pt>
                <c:pt idx="3">
                  <c:v>0.03765554075726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5402866"/>
        <c:axId val="43610706"/>
      </c:lineChart>
      <c:catAx>
        <c:axId val="8540286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3610706"/>
        <c:crosses val="autoZero"/>
        <c:auto val="1"/>
        <c:lblAlgn val="ctr"/>
        <c:lblOffset val="100"/>
        <c:noMultiLvlLbl val="0"/>
      </c:catAx>
      <c:valAx>
        <c:axId val="4361070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402866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7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'MIS-Wedge'!$D$2:$D$5</c:f>
              <c:numCache>
                <c:formatCode>General</c:formatCode>
                <c:ptCount val="4"/>
                <c:pt idx="0">
                  <c:v>0.3109552614872</c:v>
                </c:pt>
                <c:pt idx="1">
                  <c:v>0.293720957096</c:v>
                </c:pt>
                <c:pt idx="2">
                  <c:v>0.2911846767037</c:v>
                </c:pt>
                <c:pt idx="3">
                  <c:v>0.2904633585645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0148059"/>
        <c:axId val="32978049"/>
      </c:lineChart>
      <c:catAx>
        <c:axId val="601480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2978049"/>
        <c:crosses val="autoZero"/>
        <c:auto val="1"/>
        <c:lblAlgn val="ctr"/>
        <c:lblOffset val="100"/>
        <c:noMultiLvlLbl val="0"/>
      </c:catAx>
      <c:valAx>
        <c:axId val="3297804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148059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469440</xdr:colOff>
      <xdr:row>39</xdr:row>
      <xdr:rowOff>18000</xdr:rowOff>
    </xdr:from>
    <xdr:to>
      <xdr:col>15</xdr:col>
      <xdr:colOff>675720</xdr:colOff>
      <xdr:row>77</xdr:row>
      <xdr:rowOff>131400</xdr:rowOff>
    </xdr:to>
    <xdr:graphicFrame>
      <xdr:nvGraphicFramePr>
        <xdr:cNvPr id="0" name="Chart 3"/>
        <xdr:cNvGraphicFramePr/>
      </xdr:nvGraphicFramePr>
      <xdr:xfrm>
        <a:off x="4403160" y="6852960"/>
        <a:ext cx="9271440" cy="677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348120</xdr:colOff>
      <xdr:row>78</xdr:row>
      <xdr:rowOff>123480</xdr:rowOff>
    </xdr:from>
    <xdr:to>
      <xdr:col>13</xdr:col>
      <xdr:colOff>153000</xdr:colOff>
      <xdr:row>104</xdr:row>
      <xdr:rowOff>47160</xdr:rowOff>
    </xdr:to>
    <xdr:graphicFrame>
      <xdr:nvGraphicFramePr>
        <xdr:cNvPr id="1" name=""/>
        <xdr:cNvGraphicFramePr/>
      </xdr:nvGraphicFramePr>
      <xdr:xfrm>
        <a:off x="3460680" y="13793760"/>
        <a:ext cx="7971120" cy="448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30600</xdr:colOff>
      <xdr:row>7</xdr:row>
      <xdr:rowOff>119880</xdr:rowOff>
    </xdr:from>
    <xdr:to>
      <xdr:col>8</xdr:col>
      <xdr:colOff>815040</xdr:colOff>
      <xdr:row>25</xdr:row>
      <xdr:rowOff>93960</xdr:rowOff>
    </xdr:to>
    <xdr:graphicFrame>
      <xdr:nvGraphicFramePr>
        <xdr:cNvPr id="2" name="Chart 1"/>
        <xdr:cNvGraphicFramePr/>
      </xdr:nvGraphicFramePr>
      <xdr:xfrm>
        <a:off x="851400" y="1386360"/>
        <a:ext cx="6531840" cy="323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162720</xdr:colOff>
      <xdr:row>7</xdr:row>
      <xdr:rowOff>72360</xdr:rowOff>
    </xdr:from>
    <xdr:to>
      <xdr:col>18</xdr:col>
      <xdr:colOff>81720</xdr:colOff>
      <xdr:row>25</xdr:row>
      <xdr:rowOff>46440</xdr:rowOff>
    </xdr:to>
    <xdr:graphicFrame>
      <xdr:nvGraphicFramePr>
        <xdr:cNvPr id="3" name="Chart 2"/>
        <xdr:cNvGraphicFramePr/>
      </xdr:nvGraphicFramePr>
      <xdr:xfrm>
        <a:off x="7552080" y="1338840"/>
        <a:ext cx="6530400" cy="323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"/>
  <sheetViews>
    <sheetView showFormulas="false" showGridLines="true" showRowColHeaders="true" showZeros="true" rightToLeft="false" tabSelected="true" showOutlineSymbols="true" defaultGridColor="true" view="normal" topLeftCell="C32" colorId="64" zoomScale="90" zoomScaleNormal="90" zoomScalePageLayoutView="100" workbookViewId="0">
      <selection pane="topLeft" activeCell="W32" activeCellId="0" sqref="W32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10" min="2" style="0" width="10.61"/>
    <col collapsed="false" customWidth="true" hidden="false" outlineLevel="0" max="11" min="11" style="0" width="10.75"/>
    <col collapsed="false" customWidth="true" hidden="false" outlineLevel="0" max="12" min="12" style="0" width="10"/>
    <col collapsed="false" customWidth="true" hidden="false" outlineLevel="0" max="13" min="13" style="0" width="10.5"/>
    <col collapsed="false" customWidth="true" hidden="false" outlineLevel="0" max="14" min="14" style="0" width="10.61"/>
    <col collapsed="false" customWidth="true" hidden="false" outlineLevel="0" max="15" min="15" style="0" width="11.62"/>
    <col collapsed="false" customWidth="true" hidden="false" outlineLevel="0" max="18" min="16" style="0" width="10.61"/>
    <col collapsed="false" customWidth="true" hidden="false" outlineLevel="0" max="19" min="19" style="0" width="17.81"/>
    <col collapsed="false" customWidth="true" hidden="false" outlineLevel="0" max="20" min="20" style="0" width="17.67"/>
    <col collapsed="false" customWidth="true" hidden="false" outlineLevel="0" max="21" min="21" style="0" width="19.36"/>
    <col collapsed="false" customWidth="true" hidden="false" outlineLevel="0" max="22" min="22" style="0" width="15.41"/>
    <col collapsed="false" customWidth="true" hidden="false" outlineLevel="0" max="23" min="23" style="0" width="22.23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2" t="n">
        <v>0.035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3.8" hidden="false" customHeight="false" outlineLevel="0" collapsed="false">
      <c r="A2" s="4" t="s">
        <v>1</v>
      </c>
      <c r="B2" s="5" t="n">
        <v>5E-005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3.8" hidden="false" customHeight="false" outlineLevel="0" collapsed="false">
      <c r="A3" s="4" t="s">
        <v>2</v>
      </c>
      <c r="B3" s="6" t="n">
        <v>0.16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3.8" hidden="false" customHeight="false" outlineLevel="0" collapsed="false">
      <c r="A4" s="4" t="s">
        <v>3</v>
      </c>
      <c r="B4" s="5" t="n">
        <v>5600000000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3.8" hidden="false" customHeight="false" outlineLevel="0" collapsed="false">
      <c r="A5" s="4" t="s">
        <v>4</v>
      </c>
      <c r="B5" s="6" t="n">
        <v>1623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3.8" hidden="false" customHeight="false" outlineLevel="0" collapsed="false">
      <c r="A6" s="4" t="s">
        <v>5</v>
      </c>
      <c r="B6" s="7" t="n">
        <f aca="false">B2^3/12</f>
        <v>1.04166666666667E-014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3.8" hidden="false" customHeight="false" outlineLevel="0" collapsed="false">
      <c r="A7" s="4" t="s">
        <v>6</v>
      </c>
      <c r="B7" s="7" t="n">
        <f aca="false">B6*B4</f>
        <v>5.83333333333333E-005</v>
      </c>
      <c r="C7" s="3"/>
      <c r="D7" s="8" t="n">
        <f aca="false">(4805000000)*(B2)^3/(12*(1-0.38^2))</f>
        <v>5.84993961352657E-005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3.8" hidden="false" customHeight="false" outlineLevel="0" collapsed="false">
      <c r="A8" s="4" t="s">
        <v>7</v>
      </c>
      <c r="B8" s="9" t="n">
        <f aca="false">(1/(2*PI()))*1.875^2*SQRT(B7/(B5*B2*B1^4))</f>
        <v>12.246182350683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3.8" hidden="false" customHeight="false" outlineLevel="0" collapsed="false">
      <c r="A9" s="4" t="s">
        <v>8</v>
      </c>
      <c r="B9" s="9" t="n">
        <f aca="false">2*PI()*B8</f>
        <v>76.9450330148531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3.8" hidden="false" customHeight="false" outlineLevel="0" collapsed="false">
      <c r="A10" s="10" t="s">
        <v>9</v>
      </c>
      <c r="B10" s="11" t="n">
        <f aca="false">0.035*SIN(RADIANS(10))*1000</f>
        <v>6.07768621834256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13.8" hidden="false" customHeight="false" outlineLevel="0" collapsed="false">
      <c r="A11" s="12" t="s">
        <v>10</v>
      </c>
      <c r="B11" s="13" t="n">
        <f aca="false">B9*B1</f>
        <v>2.69307615551986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13.8" hidden="false" customHeight="false" outlineLevel="0" collapsed="false">
      <c r="A12" s="12" t="s">
        <v>11</v>
      </c>
      <c r="B12" s="14" t="n">
        <v>1.51E-005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customFormat="false" ht="13.8" hidden="false" customHeight="false" outlineLevel="0" collapsed="false">
      <c r="A13" s="15" t="s">
        <v>12</v>
      </c>
      <c r="B13" s="16" t="n">
        <f aca="false">2*(B10/1000)*B3</f>
        <v>0.00194485958986962</v>
      </c>
      <c r="C13" s="3"/>
      <c r="D13" s="3"/>
      <c r="E13" s="3"/>
      <c r="F13" s="3"/>
      <c r="G13" s="3"/>
      <c r="H13" s="3"/>
      <c r="I13" s="3"/>
      <c r="J13" s="1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customFormat="false" ht="13.8" hidden="false" customHeight="false" outlineLevel="0" collapsed="false">
      <c r="A14" s="3"/>
      <c r="B14" s="3"/>
      <c r="C14" s="3"/>
      <c r="D14" s="18" t="s">
        <v>13</v>
      </c>
      <c r="E14" s="18" t="s">
        <v>14</v>
      </c>
      <c r="F14" s="18" t="s">
        <v>15</v>
      </c>
      <c r="G14" s="18" t="s">
        <v>16</v>
      </c>
      <c r="H14" s="18" t="s">
        <v>17</v>
      </c>
      <c r="I14" s="18" t="s">
        <v>18</v>
      </c>
      <c r="J14" s="18" t="s">
        <v>19</v>
      </c>
      <c r="K14" s="18" t="s">
        <v>20</v>
      </c>
      <c r="L14" s="18" t="s">
        <v>21</v>
      </c>
      <c r="M14" s="19" t="s">
        <v>22</v>
      </c>
      <c r="N14" s="18" t="s">
        <v>23</v>
      </c>
      <c r="O14" s="20" t="s">
        <v>24</v>
      </c>
      <c r="P14" s="20" t="s">
        <v>25</v>
      </c>
      <c r="Q14" s="21" t="s">
        <v>26</v>
      </c>
      <c r="R14" s="22" t="s">
        <v>27</v>
      </c>
      <c r="S14" s="23" t="s">
        <v>28</v>
      </c>
      <c r="T14" s="23" t="s">
        <v>29</v>
      </c>
      <c r="U14" s="22" t="s">
        <v>30</v>
      </c>
      <c r="V14" s="22" t="s">
        <v>31</v>
      </c>
      <c r="W14" s="22" t="s">
        <v>32</v>
      </c>
      <c r="Y14" s="0" t="s">
        <v>33</v>
      </c>
    </row>
    <row r="15" customFormat="false" ht="13.8" hidden="false" customHeight="false" outlineLevel="0" collapsed="false">
      <c r="A15" s="3"/>
      <c r="B15" s="3"/>
      <c r="C15" s="3"/>
      <c r="D15" s="24" t="n">
        <v>8</v>
      </c>
      <c r="E15" s="25" t="n">
        <f aca="false">D15/13.24</f>
        <v>0.604229607250755</v>
      </c>
      <c r="F15" s="26" t="n">
        <v>0.83</v>
      </c>
      <c r="G15" s="27" t="n">
        <f aca="false">F15/$B$11</f>
        <v>0.308197745651861</v>
      </c>
      <c r="H15" s="28" t="n">
        <f aca="false">AVERAGE(DataAmplitudes!J4:J9)</f>
        <v>9.99143333333334</v>
      </c>
      <c r="I15" s="29" t="n">
        <f aca="false">H15/$B$10</f>
        <v>1.64395346755135</v>
      </c>
      <c r="J15" s="30" t="n">
        <f aca="false">$F$15*$B$1/$B$12</f>
        <v>1923.84105960265</v>
      </c>
      <c r="K15" s="30" t="n">
        <f aca="false">$F$15*2*(H15/1000)/$B$12</f>
        <v>1098.39598233996</v>
      </c>
      <c r="L15" s="31" t="n">
        <f aca="false">D15*2*(H15/1000)/$F$15</f>
        <v>0.1926059437751</v>
      </c>
      <c r="M15" s="32" t="n">
        <f aca="false">2*D15*($B$10/1000)/$F$15</f>
        <v>0.117160216257206</v>
      </c>
      <c r="N15" s="33" t="n">
        <v>0.3</v>
      </c>
      <c r="O15" s="34" t="n">
        <v>0.297202351395596</v>
      </c>
      <c r="P15" s="34" t="n">
        <f aca="false">H15/(1000*SIN(RADIANS(10.78))*0.035)</f>
        <v>1.52626141431146</v>
      </c>
      <c r="Q15" s="35" t="n">
        <f aca="false">2*D15*$B$1*SIN(RADIANS(10))/$F$15</f>
        <v>0.117160216257206</v>
      </c>
      <c r="R15" s="36" t="n">
        <f aca="false">J15</f>
        <v>1923.84105960265</v>
      </c>
      <c r="S15" s="3"/>
      <c r="T15" s="3"/>
      <c r="U15" s="17"/>
      <c r="V15" s="37" t="n">
        <f aca="false">$U$16/D15</f>
        <v>1.82735102881922</v>
      </c>
      <c r="W15" s="38" t="n">
        <f aca="false">(2*H15)/(1000*$B$1)</f>
        <v>0.570939047619048</v>
      </c>
    </row>
    <row r="16" customFormat="false" ht="13.8" hidden="false" customHeight="false" outlineLevel="0" collapsed="false">
      <c r="A16" s="3"/>
      <c r="B16" s="3"/>
      <c r="C16" s="3"/>
      <c r="D16" s="24" t="n">
        <v>10</v>
      </c>
      <c r="E16" s="25" t="n">
        <f aca="false">D16/12.27</f>
        <v>0.814995925020375</v>
      </c>
      <c r="F16" s="26"/>
      <c r="G16" s="27"/>
      <c r="H16" s="29" t="n">
        <f aca="false">AVERAGE(DataAmplitudes!D4:D7)</f>
        <v>12.3659</v>
      </c>
      <c r="I16" s="29" t="n">
        <f aca="false">H16/$B$10</f>
        <v>2.03463942621445</v>
      </c>
      <c r="J16" s="30" t="n">
        <f aca="false">$F$15*$B$1/$B$12</f>
        <v>1923.84105960265</v>
      </c>
      <c r="K16" s="30" t="n">
        <f aca="false">$F$15*2*(H16/1000)/$B$12</f>
        <v>1359.43006622517</v>
      </c>
      <c r="L16" s="31" t="n">
        <f aca="false">D16*2*(H16/1000)/$F$15</f>
        <v>0.297973493975904</v>
      </c>
      <c r="M16" s="32" t="n">
        <f aca="false">2*D16*($B$10/1000)/$F$15</f>
        <v>0.146450270321508</v>
      </c>
      <c r="N16" s="33" t="n">
        <v>0.135</v>
      </c>
      <c r="O16" s="39" t="n">
        <v>0.1268</v>
      </c>
      <c r="P16" s="34" t="n">
        <f aca="false">H16/(1000*SIN(RADIANS(10.78))*0.035)</f>
        <v>1.88897782666158</v>
      </c>
      <c r="Q16" s="35" t="n">
        <f aca="false">2*D16*$B$1*SIN(RADIANS(10))/$F$15</f>
        <v>0.146450270321508</v>
      </c>
      <c r="R16" s="36" t="n">
        <f aca="false">J16</f>
        <v>1923.84105960265</v>
      </c>
      <c r="S16" s="40" t="n">
        <f aca="false">B3/B1</f>
        <v>4.57142857142857</v>
      </c>
      <c r="T16" s="41" t="n">
        <f aca="false">(1+0.74273*$S$16+0.14862*$S$16^2)/(1+0.74273*$S$16+0.35004*$S$16^2+0.058364*$S$16^4)</f>
        <v>0.201647874132701</v>
      </c>
      <c r="U16" s="42" t="n">
        <f aca="false">17.15*(1/SQRT(1+(PI()*1.205*0.16)/(4*1623*0.00005)*T16))</f>
        <v>14.6188082305538</v>
      </c>
      <c r="V16" s="37" t="n">
        <f aca="false">$U$16/D16</f>
        <v>1.46188082305538</v>
      </c>
      <c r="W16" s="38" t="n">
        <f aca="false">(2*H16)/(1000*$B$1)</f>
        <v>0.706622857142857</v>
      </c>
    </row>
    <row r="17" customFormat="false" ht="13.8" hidden="false" customHeight="false" outlineLevel="0" collapsed="false">
      <c r="A17" s="3"/>
      <c r="B17" s="3"/>
      <c r="C17" s="3"/>
      <c r="D17" s="33" t="n">
        <v>12</v>
      </c>
      <c r="E17" s="25" t="n">
        <f aca="false">D17/12.27</f>
        <v>0.97799511002445</v>
      </c>
      <c r="F17" s="26"/>
      <c r="G17" s="27"/>
      <c r="H17" s="29" t="n">
        <f aca="false">AVERAGE(DataAmplitudes!B4:B8)</f>
        <v>12.54788</v>
      </c>
      <c r="I17" s="29" t="n">
        <f aca="false">H17/$B$10</f>
        <v>2.06458174200081</v>
      </c>
      <c r="J17" s="30" t="n">
        <f aca="false">$F$15*$B$1/$B$12</f>
        <v>1923.84105960265</v>
      </c>
      <c r="K17" s="30" t="n">
        <f aca="false">$F$15*2*(H17/1000)/$B$12</f>
        <v>1379.43581456954</v>
      </c>
      <c r="L17" s="31" t="n">
        <f aca="false">D17*2*(H17/1000)/$F$15</f>
        <v>0.362830265060241</v>
      </c>
      <c r="M17" s="32" t="n">
        <f aca="false">2*D17*($B$10/1000)/$F$15</f>
        <v>0.175740324385809</v>
      </c>
      <c r="N17" s="33" t="n">
        <v>-0.121</v>
      </c>
      <c r="O17" s="39" t="n">
        <v>-0.1184</v>
      </c>
      <c r="P17" s="34" t="n">
        <f aca="false">H17/(1000*SIN(RADIANS(10.78))*0.035)</f>
        <v>1.91677654611556</v>
      </c>
      <c r="Q17" s="35" t="n">
        <f aca="false">2*D17*$B$1*SIN(RADIANS(10))/$F$15</f>
        <v>0.175740324385809</v>
      </c>
      <c r="R17" s="36" t="n">
        <f aca="false">J17</f>
        <v>1923.84105960265</v>
      </c>
      <c r="S17" s="40"/>
      <c r="T17" s="41"/>
      <c r="U17" s="42"/>
      <c r="V17" s="37" t="n">
        <f aca="false">$U$16/D17</f>
        <v>1.21823401921281</v>
      </c>
      <c r="W17" s="38" t="n">
        <f aca="false">(2*H17)/(1000*$B$1)</f>
        <v>0.717021714285714</v>
      </c>
    </row>
    <row r="18" customFormat="false" ht="13.8" hidden="false" customHeight="false" outlineLevel="0" collapsed="false">
      <c r="A18" s="3"/>
      <c r="B18" s="3"/>
      <c r="C18" s="3"/>
      <c r="D18" s="33" t="n">
        <v>14</v>
      </c>
      <c r="E18" s="25" t="n">
        <f aca="false">D18/12.27</f>
        <v>1.14099429502853</v>
      </c>
      <c r="F18" s="26"/>
      <c r="G18" s="27"/>
      <c r="H18" s="29" t="n">
        <f aca="false">AVERAGE(DataAmplitudes!F4:F11)</f>
        <v>10.5977125</v>
      </c>
      <c r="I18" s="29" t="n">
        <f aca="false">H18/$B$10</f>
        <v>1.74370839810978</v>
      </c>
      <c r="J18" s="30" t="n">
        <f aca="false">$F$15*$B$1/$B$12</f>
        <v>1923.84105960265</v>
      </c>
      <c r="K18" s="30" t="n">
        <f aca="false">$F$15*2*(H18/1000)/$B$12</f>
        <v>1165.0465397351</v>
      </c>
      <c r="L18" s="31" t="n">
        <f aca="false">D18*2*(H18/1000)/$F$15</f>
        <v>0.357513192771084</v>
      </c>
      <c r="M18" s="32" t="n">
        <f aca="false">2*D18*($B$10/1000)/$F$15</f>
        <v>0.20503037845011</v>
      </c>
      <c r="N18" s="33" t="n">
        <v>-0.185</v>
      </c>
      <c r="O18" s="39" t="n">
        <v>-0.1812</v>
      </c>
      <c r="P18" s="34" t="n">
        <f aca="false">H18/(1000*SIN(RADIANS(10.78))*0.035)</f>
        <v>1.61887480295282</v>
      </c>
      <c r="Q18" s="35" t="n">
        <f aca="false">2*D18*$B$1*SIN(RADIANS(10))/$F$15</f>
        <v>0.20503037845011</v>
      </c>
      <c r="R18" s="36" t="n">
        <f aca="false">J18</f>
        <v>1923.84105960265</v>
      </c>
      <c r="S18" s="40"/>
      <c r="T18" s="41"/>
      <c r="U18" s="42"/>
      <c r="V18" s="37" t="n">
        <f aca="false">$U$16/D18</f>
        <v>1.0442005878967</v>
      </c>
      <c r="W18" s="38" t="n">
        <f aca="false">(2*H18)/(1000*$B$1)</f>
        <v>0.605583571428571</v>
      </c>
    </row>
    <row r="19" customFormat="false" ht="13.8" hidden="false" customHeight="false" outlineLevel="0" collapsed="false">
      <c r="A19" s="3"/>
      <c r="B19" s="3"/>
      <c r="C19" s="3"/>
      <c r="D19" s="33" t="n">
        <v>16</v>
      </c>
      <c r="E19" s="25" t="n">
        <f aca="false">D19/12.27</f>
        <v>1.3039934800326</v>
      </c>
      <c r="F19" s="26"/>
      <c r="G19" s="27"/>
      <c r="H19" s="28" t="n">
        <f aca="false">AVERAGE(DataAmplitudes!H4:H7)</f>
        <v>8.09265</v>
      </c>
      <c r="I19" s="29" t="n">
        <f aca="false">H19/$B$10</f>
        <v>1.33153468429749</v>
      </c>
      <c r="J19" s="30" t="n">
        <f aca="false">$F$15*$B$1/$B$12</f>
        <v>1923.84105960265</v>
      </c>
      <c r="K19" s="30" t="n">
        <f aca="false">$F$15*2*(H19/1000)/$B$12</f>
        <v>889.655562913907</v>
      </c>
      <c r="L19" s="31" t="n">
        <f aca="false">D19*2*(H19/1000)/$F$15</f>
        <v>0.31200578313253</v>
      </c>
      <c r="M19" s="32" t="n">
        <f aca="false">2*D19*($B$10/1000)/$F$15</f>
        <v>0.234320432514412</v>
      </c>
      <c r="N19" s="33" t="n">
        <v>-0.106</v>
      </c>
      <c r="O19" s="34" t="n">
        <v>-0.093</v>
      </c>
      <c r="P19" s="34" t="n">
        <f aca="false">H19/(1000*SIN(RADIANS(10.78))*0.035)</f>
        <v>1.23620896246394</v>
      </c>
      <c r="Q19" s="35" t="n">
        <f aca="false">2*D19*$B$1*SIN(RADIANS(10))/$F$15</f>
        <v>0.234320432514412</v>
      </c>
      <c r="R19" s="36" t="n">
        <f aca="false">J19</f>
        <v>1923.84105960265</v>
      </c>
      <c r="S19" s="40"/>
      <c r="T19" s="41"/>
      <c r="U19" s="42"/>
      <c r="V19" s="37" t="n">
        <f aca="false">$U$16/D19</f>
        <v>0.913675514409611</v>
      </c>
      <c r="W19" s="38" t="n">
        <f aca="false">(2*H19)/(1000*$B$1)</f>
        <v>0.462437142857143</v>
      </c>
    </row>
    <row r="20" customFormat="false" ht="13.8" hidden="false" customHeight="false" outlineLevel="0" collapsed="false">
      <c r="A20" s="3"/>
      <c r="B20" s="3"/>
      <c r="C20" s="3"/>
      <c r="D20" s="33" t="n">
        <v>18</v>
      </c>
      <c r="E20" s="25" t="n">
        <f aca="false">D20/12.27</f>
        <v>1.46699266503668</v>
      </c>
      <c r="F20" s="26"/>
      <c r="G20" s="27"/>
      <c r="H20" s="28" t="n">
        <f aca="false">1000*(0.03-0.0239224)</f>
        <v>6.0776</v>
      </c>
      <c r="I20" s="29" t="n">
        <f aca="false">H20/$B$10</f>
        <v>0.999985813952964</v>
      </c>
      <c r="J20" s="30" t="n">
        <f aca="false">$F$15*$B$1/$B$12</f>
        <v>1923.84105960265</v>
      </c>
      <c r="K20" s="30" t="n">
        <f aca="false">$F$15*2*(H20/1000)/$B$12</f>
        <v>668.133509933775</v>
      </c>
      <c r="L20" s="31" t="n">
        <f aca="false">D20*2*(H20/1000)/$F$15</f>
        <v>0.263606746987952</v>
      </c>
      <c r="M20" s="32" t="n">
        <f aca="false">2*D20*($B$10/1000)/$F$15</f>
        <v>0.263610486578714</v>
      </c>
      <c r="N20" s="33" t="n">
        <v>-0.011</v>
      </c>
      <c r="O20" s="34" t="n">
        <v>-0.012637550314478</v>
      </c>
      <c r="P20" s="34" t="n">
        <f aca="false">H20/(1000*SIN(RADIANS(10.78))*0.035)</f>
        <v>0.928395963036935</v>
      </c>
      <c r="Q20" s="35" t="n">
        <f aca="false">2*D20*$B$1*SIN(RADIANS(10))/$F$15</f>
        <v>0.263610486578714</v>
      </c>
      <c r="R20" s="36" t="n">
        <f aca="false">J20</f>
        <v>1923.84105960265</v>
      </c>
      <c r="S20" s="40"/>
      <c r="T20" s="41"/>
      <c r="U20" s="42"/>
      <c r="V20" s="37" t="n">
        <f aca="false">$U$16/D20</f>
        <v>0.812156012808543</v>
      </c>
      <c r="W20" s="38" t="n">
        <f aca="false">(2*H20)/(1000*$B$1)</f>
        <v>0.347291428571428</v>
      </c>
    </row>
    <row r="21" customFormat="false" ht="13.8" hidden="false" customHeight="false" outlineLevel="0" collapsed="false">
      <c r="A21" s="3"/>
      <c r="B21" s="3"/>
      <c r="C21" s="3"/>
      <c r="D21" s="43" t="n">
        <v>20</v>
      </c>
      <c r="E21" s="44" t="n">
        <f aca="false">D21/12.27</f>
        <v>1.62999185004075</v>
      </c>
      <c r="F21" s="26"/>
      <c r="G21" s="27"/>
      <c r="H21" s="45" t="n">
        <f aca="false">AVERAGE(DataAmplitudes!L4:L9)</f>
        <v>4.81088333333333</v>
      </c>
      <c r="I21" s="46" t="n">
        <f aca="false">H21/$B$10</f>
        <v>0.791564941081362</v>
      </c>
      <c r="J21" s="47" t="n">
        <f aca="false">$F$15*$B$1/$B$12</f>
        <v>1923.84105960265</v>
      </c>
      <c r="K21" s="47" t="n">
        <f aca="false">$F$15*2*(H21/1000)/$B$12</f>
        <v>528.878565121413</v>
      </c>
      <c r="L21" s="48" t="n">
        <f aca="false">D21*2*(H21/1000)/$F$15</f>
        <v>0.231849799196787</v>
      </c>
      <c r="M21" s="49" t="n">
        <f aca="false">2*D21*($B$10/1000)/$F$15</f>
        <v>0.292900540643015</v>
      </c>
      <c r="N21" s="43" t="n">
        <v>0.061</v>
      </c>
      <c r="O21" s="50" t="n">
        <v>0.0624</v>
      </c>
      <c r="P21" s="51" t="n">
        <f aca="false">H21/(1000*SIN(RADIANS(10.78))*0.035)</f>
        <v>0.734896121052445</v>
      </c>
      <c r="Q21" s="35" t="n">
        <f aca="false">2*D21*$B$1*SIN(RADIANS(10))/$F$15</f>
        <v>0.292900540643015</v>
      </c>
      <c r="R21" s="36" t="n">
        <f aca="false">J21</f>
        <v>1923.84105960265</v>
      </c>
      <c r="S21" s="40"/>
      <c r="T21" s="41"/>
      <c r="U21" s="42"/>
      <c r="V21" s="37" t="n">
        <f aca="false">$U$16/D21</f>
        <v>0.730940411527689</v>
      </c>
      <c r="W21" s="38" t="n">
        <f aca="false">(2*H21)/(1000*$B$1)</f>
        <v>0.274907619047619</v>
      </c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52" t="n">
        <v>13.24</v>
      </c>
      <c r="V22" s="3"/>
      <c r="W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 t="n">
        <f aca="false">U16/13.24</f>
        <v>1.1041395944527</v>
      </c>
      <c r="V23" s="3"/>
      <c r="W23" s="3"/>
    </row>
    <row r="28" customFormat="false" ht="13.8" hidden="false" customHeight="false" outlineLevel="0" collapsed="false">
      <c r="R28" s="53" t="s">
        <v>14</v>
      </c>
      <c r="S28" s="54" t="s">
        <v>18</v>
      </c>
      <c r="T28" s="54"/>
      <c r="U28" s="54"/>
    </row>
    <row r="29" customFormat="false" ht="13.8" hidden="false" customHeight="false" outlineLevel="0" collapsed="false">
      <c r="S29" s="55" t="s">
        <v>34</v>
      </c>
      <c r="T29" s="55" t="s">
        <v>35</v>
      </c>
      <c r="U29" s="55" t="s">
        <v>36</v>
      </c>
      <c r="V29" s="56" t="s">
        <v>37</v>
      </c>
      <c r="W29" s="55" t="s">
        <v>38</v>
      </c>
      <c r="X29" s="57"/>
      <c r="Y29" s="57"/>
    </row>
    <row r="30" customFormat="false" ht="13.8" hidden="false" customHeight="false" outlineLevel="0" collapsed="false">
      <c r="R30" s="58" t="n">
        <f aca="false">E17</f>
        <v>0.97799511002445</v>
      </c>
      <c r="S30" s="58"/>
      <c r="T30" s="58" t="n">
        <f aca="false">DataAmplitudes!D51</f>
        <v>1.95834478184374</v>
      </c>
      <c r="U30" s="58" t="n">
        <f aca="false">DataAmplitudes!Q34</f>
        <v>1.8259044600139</v>
      </c>
      <c r="V30" s="58" t="n">
        <f aca="false">DataAmplitudes!D66</f>
        <v>1.79643763408429</v>
      </c>
      <c r="W30" s="58" t="n">
        <f aca="false">DataAmplitudes!D76</f>
        <v>1.66256139642377</v>
      </c>
    </row>
    <row r="31" customFormat="false" ht="13.8" hidden="false" customHeight="false" outlineLevel="0" collapsed="false">
      <c r="R31" s="58" t="n">
        <f aca="false">E18</f>
        <v>1.14099429502853</v>
      </c>
      <c r="S31" s="58"/>
      <c r="U31" s="58" t="n">
        <f aca="false">DataAmplitudes!Q44</f>
        <v>1.91099011083192</v>
      </c>
      <c r="V31" s="58" t="n">
        <f aca="false">DataAmplitudes!N67</f>
        <v>1.8822717942183</v>
      </c>
      <c r="W31" s="58" t="n">
        <f aca="false">DataAmplitudes!I76</f>
        <v>1.6722461904307</v>
      </c>
    </row>
    <row r="32" customFormat="false" ht="13.8" hidden="false" customHeight="false" outlineLevel="0" collapsed="false">
      <c r="R32" s="58" t="n">
        <f aca="false">E19</f>
        <v>1.3039934800326</v>
      </c>
      <c r="S32" s="58" t="n">
        <f aca="false">DataAmplitudes!D24</f>
        <v>1.49008346403845</v>
      </c>
      <c r="T32" s="58" t="n">
        <f aca="false">DataAmplitudes!D42</f>
        <v>1.77042311642844</v>
      </c>
      <c r="U32" s="0" t="n">
        <v>1.75</v>
      </c>
      <c r="V32" s="58" t="n">
        <v>1.75</v>
      </c>
      <c r="W32" s="58" t="n">
        <f aca="false">DataAmplitudes!N76</f>
        <v>1.52323173374673</v>
      </c>
    </row>
    <row r="43" customFormat="false" ht="13.8" hidden="false" customHeight="false" outlineLevel="0" collapsed="false">
      <c r="S43" s="54" t="s">
        <v>39</v>
      </c>
      <c r="T43" s="54"/>
    </row>
    <row r="44" customFormat="false" ht="13.8" hidden="false" customHeight="false" outlineLevel="0" collapsed="false">
      <c r="S44" s="53" t="s">
        <v>14</v>
      </c>
      <c r="T44" s="53" t="s">
        <v>18</v>
      </c>
    </row>
    <row r="45" customFormat="false" ht="13.8" hidden="false" customHeight="false" outlineLevel="0" collapsed="false">
      <c r="S45" s="0" t="n">
        <v>0.488838194557601</v>
      </c>
      <c r="T45" s="0" t="n">
        <v>0.984673710116129</v>
      </c>
    </row>
    <row r="46" customFormat="false" ht="13.8" hidden="false" customHeight="false" outlineLevel="0" collapsed="false">
      <c r="S46" s="0" t="n">
        <v>0.651784259410135</v>
      </c>
      <c r="T46" s="0" t="n">
        <v>1.07883213620503</v>
      </c>
    </row>
    <row r="47" customFormat="false" ht="13.8" hidden="false" customHeight="false" outlineLevel="0" collapsed="false">
      <c r="S47" s="0" t="n">
        <v>0.814730324262669</v>
      </c>
      <c r="T47" s="0" t="n">
        <v>1.20171686177868</v>
      </c>
    </row>
    <row r="48" customFormat="false" ht="13.8" hidden="false" customHeight="false" outlineLevel="0" collapsed="false">
      <c r="S48" s="0" t="n">
        <v>0.977676389115203</v>
      </c>
      <c r="T48" s="0" t="n">
        <v>1.51770615611092</v>
      </c>
    </row>
    <row r="49" customFormat="false" ht="13.8" hidden="false" customHeight="false" outlineLevel="0" collapsed="false">
      <c r="S49" s="0" t="n">
        <v>1.14062245396774</v>
      </c>
      <c r="T49" s="0" t="n">
        <v>1.71879025250417</v>
      </c>
    </row>
    <row r="50" customFormat="false" ht="13.8" hidden="false" customHeight="false" outlineLevel="0" collapsed="false">
      <c r="S50" s="0" t="n">
        <v>1.30356851882027</v>
      </c>
      <c r="T50" s="0" t="n">
        <v>1.7203861580311</v>
      </c>
    </row>
    <row r="51" customFormat="false" ht="13.8" hidden="false" customHeight="false" outlineLevel="0" collapsed="false">
      <c r="S51" s="0" t="n">
        <v>1.4665145836728</v>
      </c>
      <c r="T51" s="0" t="n">
        <v>1.64059088168457</v>
      </c>
    </row>
    <row r="52" customFormat="false" ht="13.8" hidden="false" customHeight="false" outlineLevel="0" collapsed="false">
      <c r="S52" s="0" t="n">
        <v>1.62946064852534</v>
      </c>
      <c r="T52" s="0" t="n">
        <v>1.48100032899152</v>
      </c>
    </row>
    <row r="53" customFormat="false" ht="13.8" hidden="false" customHeight="false" outlineLevel="0" collapsed="false">
      <c r="S53" s="0" t="n">
        <v>1.79240671337787</v>
      </c>
      <c r="T53" s="0" t="n">
        <v>1.28647452979585</v>
      </c>
    </row>
  </sheetData>
  <mergeCells count="7">
    <mergeCell ref="F15:F21"/>
    <mergeCell ref="G15:G21"/>
    <mergeCell ref="S16:S21"/>
    <mergeCell ref="T16:T21"/>
    <mergeCell ref="U16:U21"/>
    <mergeCell ref="S28:U28"/>
    <mergeCell ref="S43:T43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7"/>
  <sheetViews>
    <sheetView showFormulas="false" showGridLines="true" showRowColHeaders="true" showZeros="true" rightToLeft="false" tabSelected="false" showOutlineSymbols="true" defaultGridColor="true" view="normal" topLeftCell="A46" colorId="64" zoomScale="90" zoomScaleNormal="90" zoomScalePageLayoutView="100" workbookViewId="0">
      <selection pane="topLeft" activeCell="F77" activeCellId="0" sqref="F77"/>
    </sheetView>
  </sheetViews>
  <sheetFormatPr defaultColWidth="8.59375" defaultRowHeight="14.25" zeroHeight="false" outlineLevelRow="0" outlineLevelCol="0"/>
  <cols>
    <col collapsed="false" customWidth="true" hidden="false" outlineLevel="0" max="12" min="1" style="0" width="10.61"/>
  </cols>
  <sheetData>
    <row r="1" customFormat="false" ht="15" hidden="false" customHeight="false" outlineLevel="0" collapsed="false">
      <c r="A1" s="54" t="s">
        <v>40</v>
      </c>
      <c r="B1" s="53"/>
      <c r="C1" s="54"/>
      <c r="D1" s="53"/>
      <c r="E1" s="54"/>
      <c r="F1" s="59"/>
      <c r="G1" s="54"/>
    </row>
    <row r="2" customFormat="false" ht="15" hidden="false" customHeight="false" outlineLevel="0" collapsed="false">
      <c r="A2" s="60" t="s">
        <v>41</v>
      </c>
      <c r="B2" s="60"/>
      <c r="C2" s="60" t="s">
        <v>42</v>
      </c>
      <c r="D2" s="60"/>
      <c r="E2" s="60" t="s">
        <v>43</v>
      </c>
      <c r="F2" s="60"/>
      <c r="G2" s="60" t="s">
        <v>44</v>
      </c>
      <c r="H2" s="60"/>
      <c r="I2" s="60" t="s">
        <v>45</v>
      </c>
      <c r="J2" s="60"/>
      <c r="K2" s="60" t="s">
        <v>46</v>
      </c>
      <c r="L2" s="60"/>
    </row>
    <row r="3" customFormat="false" ht="14.25" hidden="false" customHeight="false" outlineLevel="0" collapsed="false">
      <c r="A3" s="55" t="s">
        <v>47</v>
      </c>
      <c r="B3" s="55" t="s">
        <v>17</v>
      </c>
      <c r="C3" s="55" t="s">
        <v>47</v>
      </c>
      <c r="D3" s="55" t="s">
        <v>17</v>
      </c>
      <c r="E3" s="55" t="s">
        <v>47</v>
      </c>
      <c r="F3" s="55" t="s">
        <v>17</v>
      </c>
      <c r="G3" s="55" t="s">
        <v>47</v>
      </c>
      <c r="H3" s="55" t="s">
        <v>17</v>
      </c>
      <c r="I3" s="55" t="s">
        <v>47</v>
      </c>
      <c r="J3" s="55" t="s">
        <v>17</v>
      </c>
      <c r="K3" s="55" t="s">
        <v>47</v>
      </c>
      <c r="L3" s="55" t="s">
        <v>17</v>
      </c>
    </row>
    <row r="4" customFormat="false" ht="14.25" hidden="false" customHeight="false" outlineLevel="0" collapsed="false">
      <c r="A4" s="0" t="n">
        <v>1.206</v>
      </c>
      <c r="B4" s="0" t="n">
        <v>12.5516</v>
      </c>
      <c r="C4" s="0" t="n">
        <v>1.238</v>
      </c>
      <c r="D4" s="0" t="n">
        <v>12.3632</v>
      </c>
      <c r="E4" s="0" t="n">
        <v>1.219</v>
      </c>
      <c r="F4" s="0" t="n">
        <f aca="false">1000*(0.03-0.0193999)</f>
        <v>10.6001</v>
      </c>
      <c r="G4" s="0" t="n">
        <v>1.507</v>
      </c>
      <c r="H4" s="0" t="n">
        <f aca="false">1000*(0.03-0.0218963)</f>
        <v>8.1037</v>
      </c>
      <c r="I4" s="0" t="n">
        <v>1.164</v>
      </c>
      <c r="J4" s="0" t="n">
        <v>9.9947</v>
      </c>
      <c r="K4" s="0" t="n">
        <v>1.209</v>
      </c>
      <c r="L4" s="61" t="n">
        <f aca="false">1000*(0.03-0.0251846)</f>
        <v>4.8154</v>
      </c>
    </row>
    <row r="5" customFormat="false" ht="14.25" hidden="false" customHeight="false" outlineLevel="0" collapsed="false">
      <c r="A5" s="0" t="n">
        <v>1.248</v>
      </c>
      <c r="B5" s="0" t="n">
        <f aca="false">1000*(0.03-0.0174532)</f>
        <v>12.5468</v>
      </c>
      <c r="C5" s="0" t="n">
        <v>1.288</v>
      </c>
      <c r="D5" s="0" t="n">
        <f aca="false">1000*(0.03-0.0176342)</f>
        <v>12.3658</v>
      </c>
      <c r="E5" s="0" t="n">
        <v>1.254</v>
      </c>
      <c r="F5" s="0" t="n">
        <v>10.5994</v>
      </c>
      <c r="G5" s="0" t="n">
        <v>1.539</v>
      </c>
      <c r="H5" s="0" t="n">
        <v>8.0851</v>
      </c>
      <c r="I5" s="0" t="n">
        <v>1.227</v>
      </c>
      <c r="J5" s="0" t="n">
        <f aca="false">1000*(0.03-0.020023)</f>
        <v>9.977</v>
      </c>
      <c r="K5" s="0" t="n">
        <v>1.234</v>
      </c>
      <c r="L5" s="61" t="n">
        <v>4.821</v>
      </c>
    </row>
    <row r="6" customFormat="false" ht="14.25" hidden="false" customHeight="false" outlineLevel="0" collapsed="false">
      <c r="A6" s="0" t="n">
        <v>1.289</v>
      </c>
      <c r="B6" s="0" t="n">
        <v>12.5458</v>
      </c>
      <c r="C6" s="0" t="n">
        <v>1.338</v>
      </c>
      <c r="D6" s="0" t="n">
        <v>12.3663</v>
      </c>
      <c r="E6" s="0" t="n">
        <v>1.29</v>
      </c>
      <c r="F6" s="0" t="n">
        <f aca="false">1000*(0.03-0.0193887)</f>
        <v>10.6113</v>
      </c>
      <c r="G6" s="0" t="n">
        <v>1.57</v>
      </c>
      <c r="H6" s="0" t="n">
        <f aca="false">1000*(0.03-0.0219162)</f>
        <v>8.0838</v>
      </c>
      <c r="I6" s="0" t="n">
        <v>1.289</v>
      </c>
      <c r="J6" s="0" t="n">
        <v>9.9965</v>
      </c>
      <c r="K6" s="0" t="n">
        <v>1.259</v>
      </c>
      <c r="L6" s="61" t="n">
        <f aca="false">1000*(0.03-0.025197)</f>
        <v>4.803</v>
      </c>
    </row>
    <row r="7" customFormat="false" ht="14.25" hidden="false" customHeight="false" outlineLevel="0" collapsed="false">
      <c r="A7" s="0" t="n">
        <v>1.331</v>
      </c>
      <c r="B7" s="0" t="n">
        <f aca="false">1000*(0.03-0.0174498)</f>
        <v>12.5502</v>
      </c>
      <c r="C7" s="0" t="n">
        <v>1.388</v>
      </c>
      <c r="D7" s="0" t="n">
        <f aca="false">1000*(0.03-0.0176317)</f>
        <v>12.3683</v>
      </c>
      <c r="E7" s="0" t="n">
        <v>1.326</v>
      </c>
      <c r="F7" s="0" t="n">
        <v>10.6079</v>
      </c>
      <c r="G7" s="0" t="n">
        <v>1.601</v>
      </c>
      <c r="H7" s="0" t="n">
        <v>8.098</v>
      </c>
      <c r="I7" s="0" t="n">
        <v>1.351</v>
      </c>
      <c r="J7" s="0" t="n">
        <f aca="false">1000*(0.03-0.0200038)</f>
        <v>9.9962</v>
      </c>
      <c r="K7" s="0" t="n">
        <v>1.334</v>
      </c>
      <c r="L7" s="61" t="n">
        <v>4.8051</v>
      </c>
    </row>
    <row r="8" customFormat="false" ht="14.25" hidden="false" customHeight="false" outlineLevel="0" collapsed="false">
      <c r="A8" s="0" t="n">
        <v>1.373</v>
      </c>
      <c r="B8" s="0" t="n">
        <v>12.545</v>
      </c>
      <c r="E8" s="0" t="n">
        <v>1.362</v>
      </c>
      <c r="F8" s="0" t="n">
        <f aca="false">1000*(0.03-0.0194056)</f>
        <v>10.5944</v>
      </c>
      <c r="I8" s="0" t="n">
        <v>1.414</v>
      </c>
      <c r="J8" s="0" t="n">
        <v>9.9933</v>
      </c>
      <c r="K8" s="0" t="n">
        <v>1.359</v>
      </c>
      <c r="L8" s="61" t="n">
        <f aca="false">1000*(0.03-0.0251891)</f>
        <v>4.8109</v>
      </c>
    </row>
    <row r="9" customFormat="false" ht="14.25" hidden="false" customHeight="false" outlineLevel="0" collapsed="false">
      <c r="E9" s="0" t="n">
        <v>1.397</v>
      </c>
      <c r="F9" s="0" t="n">
        <v>10.5928</v>
      </c>
      <c r="I9" s="0" t="n">
        <v>1.477</v>
      </c>
      <c r="J9" s="0" t="n">
        <f aca="false">1000*(0.03-0.0200091)</f>
        <v>9.9909</v>
      </c>
      <c r="K9" s="0" t="n">
        <v>1.434</v>
      </c>
      <c r="L9" s="61" t="n">
        <v>4.8099</v>
      </c>
    </row>
    <row r="10" customFormat="false" ht="14.25" hidden="false" customHeight="false" outlineLevel="0" collapsed="false">
      <c r="E10" s="0" t="n">
        <v>1.433</v>
      </c>
      <c r="F10" s="0" t="n">
        <f aca="false">1000*(0.03-0.0194097)</f>
        <v>10.5903</v>
      </c>
    </row>
    <row r="11" customFormat="false" ht="14.25" hidden="false" customHeight="false" outlineLevel="0" collapsed="false">
      <c r="E11" s="0" t="n">
        <v>1.469</v>
      </c>
      <c r="F11" s="0" t="n">
        <v>10.5855</v>
      </c>
    </row>
    <row r="17" customFormat="false" ht="13.8" hidden="false" customHeight="false" outlineLevel="0" collapsed="false">
      <c r="A17" s="60" t="s">
        <v>48</v>
      </c>
      <c r="B17" s="60"/>
      <c r="C17" s="60"/>
      <c r="D17" s="60"/>
      <c r="N17" s="60" t="s">
        <v>49</v>
      </c>
      <c r="O17" s="60"/>
      <c r="P17" s="60"/>
      <c r="Q17" s="60"/>
    </row>
    <row r="18" customFormat="false" ht="13.8" hidden="false" customHeight="false" outlineLevel="0" collapsed="false">
      <c r="A18" s="60" t="s">
        <v>50</v>
      </c>
      <c r="B18" s="60"/>
      <c r="C18" s="60"/>
      <c r="D18" s="60"/>
      <c r="N18" s="60" t="s">
        <v>50</v>
      </c>
      <c r="O18" s="60"/>
      <c r="P18" s="60"/>
      <c r="Q18" s="60"/>
    </row>
    <row r="19" customFormat="false" ht="13.8" hidden="false" customHeight="false" outlineLevel="0" collapsed="false">
      <c r="A19" s="53" t="s">
        <v>47</v>
      </c>
      <c r="B19" s="53" t="s">
        <v>17</v>
      </c>
      <c r="C19" s="53" t="s">
        <v>51</v>
      </c>
      <c r="D19" s="53" t="s">
        <v>52</v>
      </c>
      <c r="N19" s="53" t="s">
        <v>47</v>
      </c>
      <c r="O19" s="53" t="s">
        <v>17</v>
      </c>
      <c r="P19" s="53" t="s">
        <v>51</v>
      </c>
      <c r="Q19" s="53" t="s">
        <v>52</v>
      </c>
    </row>
    <row r="20" customFormat="false" ht="13.8" hidden="false" customHeight="false" outlineLevel="0" collapsed="false">
      <c r="A20" s="0" t="n">
        <v>1.037</v>
      </c>
      <c r="B20" s="0" t="n">
        <v>10.3671</v>
      </c>
      <c r="C20" s="58" t="n">
        <f aca="false">B20/(1000*0.035*SIN(RADIANS(10)))</f>
        <v>1.7057642707371</v>
      </c>
      <c r="D20" s="58" t="n">
        <f aca="false">B20/(1000*0.035*SIN(RADIANS(10.78)))</f>
        <v>1.58364712853762</v>
      </c>
      <c r="E20" s="0" t="s">
        <v>53</v>
      </c>
      <c r="N20" s="0" t="n">
        <v>1.031</v>
      </c>
      <c r="O20" s="58" t="n">
        <v>11.92</v>
      </c>
      <c r="P20" s="58" t="n">
        <f aca="false">O20/(1000*0.035*SIN(RADIANS(10)))</f>
        <v>1.9612726902592</v>
      </c>
      <c r="Q20" s="58" t="n">
        <f aca="false">O20/(1000*0.035*SIN(RADIANS(10.78)))</f>
        <v>1.82086347890619</v>
      </c>
    </row>
    <row r="21" customFormat="false" ht="13.8" hidden="false" customHeight="false" outlineLevel="0" collapsed="false">
      <c r="A21" s="0" t="n">
        <v>1.068</v>
      </c>
      <c r="B21" s="0" t="n">
        <f aca="false">1000*(0.03-0.0199501)</f>
        <v>10.0499</v>
      </c>
      <c r="C21" s="58" t="n">
        <f aca="false">B21/(1000*0.035*SIN(RADIANS(10)))</f>
        <v>1.65357335652986</v>
      </c>
      <c r="D21" s="58" t="n">
        <f aca="false">B21/(1000*0.035*SIN(RADIANS(10.78)))</f>
        <v>1.53519260710229</v>
      </c>
      <c r="N21" s="0" t="n">
        <v>1.063</v>
      </c>
      <c r="O21" s="58" t="n">
        <f aca="false">1000*(0.03-0.0182312)</f>
        <v>11.7688</v>
      </c>
      <c r="P21" s="58" t="n">
        <f aca="false">O21/(1000*0.035*SIN(RADIANS(10)))</f>
        <v>1.93639480177202</v>
      </c>
      <c r="Q21" s="58" t="n">
        <f aca="false">O21/(1000*0.035*SIN(RADIANS(10.78)))</f>
        <v>1.79776662001268</v>
      </c>
    </row>
    <row r="22" customFormat="false" ht="13.8" hidden="false" customHeight="false" outlineLevel="0" collapsed="false">
      <c r="A22" s="0" t="n">
        <f aca="false">1.068+(A21-A20)</f>
        <v>1.099</v>
      </c>
      <c r="B22" s="0" t="n">
        <v>9.8834</v>
      </c>
      <c r="C22" s="58" t="n">
        <f aca="false">B22/(1000*0.035*SIN(RADIANS(10)))</f>
        <v>1.62617806266005</v>
      </c>
      <c r="D22" s="58" t="n">
        <f aca="false">B22/(1000*0.035*SIN(RADIANS(10.78)))</f>
        <v>1.50975856605885</v>
      </c>
      <c r="G22" s="61"/>
      <c r="N22" s="0" t="n">
        <v>1.095</v>
      </c>
      <c r="O22" s="58" t="n">
        <v>11.6725</v>
      </c>
      <c r="P22" s="58" t="n">
        <f aca="false">O22/(1000*0.035*SIN(RADIANS(10)))</f>
        <v>1.9205499561284</v>
      </c>
      <c r="Q22" s="58" t="n">
        <f aca="false">O22/(1000*0.035*SIN(RADIANS(10.78)))</f>
        <v>1.78305612059837</v>
      </c>
    </row>
    <row r="23" customFormat="false" ht="13.8" hidden="false" customHeight="false" outlineLevel="0" collapsed="false">
      <c r="A23" s="0" t="n">
        <v>1.131</v>
      </c>
      <c r="B23" s="62" t="n">
        <f aca="false">1000*(0.03-0.0202027)</f>
        <v>9.7973</v>
      </c>
      <c r="C23" s="58" t="n">
        <f aca="false">B23/(1000*0.035*SIN(RADIANS(10)))</f>
        <v>1.61201148727152</v>
      </c>
      <c r="D23" s="58" t="n">
        <f aca="false">B23/(1000*0.035*SIN(RADIANS(10.78)))</f>
        <v>1.49660618807782</v>
      </c>
      <c r="G23" s="61"/>
      <c r="N23" s="0" t="n">
        <v>1.126</v>
      </c>
      <c r="O23" s="63" t="n">
        <f aca="false">1000*(0.03-0.018351)</f>
        <v>11.649</v>
      </c>
      <c r="P23" s="58" t="n">
        <f aca="false">O23/(1000*0.035*SIN(RADIANS(10)))</f>
        <v>1.91668335308972</v>
      </c>
      <c r="Q23" s="58" t="n">
        <f aca="false">O23/(1000*0.035*SIN(RADIANS(10.78)))</f>
        <v>1.77946633102166</v>
      </c>
    </row>
    <row r="24" customFormat="false" ht="13.8" hidden="false" customHeight="false" outlineLevel="0" collapsed="false">
      <c r="A24" s="0" t="n">
        <f aca="false">A23+(A23-A22)</f>
        <v>1.163</v>
      </c>
      <c r="B24" s="0" t="n">
        <v>9.7546</v>
      </c>
      <c r="C24" s="58" t="n">
        <f aca="false">B24/(1000*0.035*SIN(RADIANS(10)))</f>
        <v>1.60498578728208</v>
      </c>
      <c r="D24" s="58" t="n">
        <f aca="false">B24/(1000*0.035*SIN(RADIANS(10.78)))</f>
        <v>1.49008346403845</v>
      </c>
      <c r="N24" s="0" t="n">
        <v>1.157</v>
      </c>
      <c r="O24" s="58" t="n">
        <v>11.6353</v>
      </c>
      <c r="P24" s="58" t="n">
        <f aca="false">O24/(1000*0.035*SIN(RADIANS(10)))</f>
        <v>1.91442920578632</v>
      </c>
      <c r="Q24" s="58" t="n">
        <f aca="false">O24/(1000*0.035*SIN(RADIANS(10.78)))</f>
        <v>1.77737356007695</v>
      </c>
    </row>
    <row r="25" customFormat="false" ht="13.8" hidden="false" customHeight="false" outlineLevel="0" collapsed="false">
      <c r="N25" s="0" t="n">
        <v>1.188</v>
      </c>
      <c r="O25" s="63" t="n">
        <f aca="false">1000*(0.03-0.0183805)</f>
        <v>11.6195</v>
      </c>
      <c r="P25" s="58" t="n">
        <f aca="false">O25/(1000*0.035*SIN(RADIANS(10)))</f>
        <v>1.91182953225393</v>
      </c>
      <c r="Q25" s="58" t="n">
        <f aca="false">O25/(1000*0.035*SIN(RADIANS(10.78)))</f>
        <v>1.77495999942538</v>
      </c>
    </row>
    <row r="26" customFormat="false" ht="13.8" hidden="false" customHeight="false" outlineLevel="0" collapsed="false">
      <c r="A26" s="60" t="s">
        <v>54</v>
      </c>
      <c r="B26" s="60"/>
      <c r="C26" s="60"/>
      <c r="D26" s="60"/>
      <c r="O26" s="58"/>
      <c r="P26" s="58"/>
      <c r="Q26" s="58"/>
    </row>
    <row r="27" customFormat="false" ht="13.8" hidden="false" customHeight="false" outlineLevel="0" collapsed="false">
      <c r="A27" s="60" t="s">
        <v>50</v>
      </c>
      <c r="B27" s="60"/>
      <c r="C27" s="60"/>
      <c r="D27" s="60"/>
      <c r="N27" s="64" t="s">
        <v>55</v>
      </c>
      <c r="O27" s="64"/>
      <c r="P27" s="64"/>
      <c r="Q27" s="65" t="n">
        <v>1.72</v>
      </c>
    </row>
    <row r="28" customFormat="false" ht="13.8" hidden="false" customHeight="false" outlineLevel="0" collapsed="false">
      <c r="A28" s="53" t="s">
        <v>47</v>
      </c>
      <c r="B28" s="53" t="s">
        <v>17</v>
      </c>
      <c r="C28" s="53" t="s">
        <v>51</v>
      </c>
      <c r="D28" s="53" t="s">
        <v>52</v>
      </c>
    </row>
    <row r="29" customFormat="false" ht="13.8" hidden="false" customHeight="false" outlineLevel="0" collapsed="false">
      <c r="A29" s="0" t="n">
        <v>1.033</v>
      </c>
      <c r="B29" s="0" t="n">
        <v>12.3826</v>
      </c>
      <c r="C29" s="58" t="n">
        <f aca="false">B29/(1000*0.035*SIN(RADIANS(10)))</f>
        <v>2.03738718241641</v>
      </c>
      <c r="D29" s="58" t="n">
        <f aca="false">B29/(1000*0.035*SIN(RADIANS(10.78)))</f>
        <v>1.89152886861609</v>
      </c>
      <c r="E29" s="0" t="s">
        <v>53</v>
      </c>
      <c r="N29" s="60" t="s">
        <v>56</v>
      </c>
      <c r="O29" s="60"/>
      <c r="P29" s="60"/>
      <c r="Q29" s="60"/>
    </row>
    <row r="30" customFormat="false" ht="13.8" hidden="false" customHeight="false" outlineLevel="0" collapsed="false">
      <c r="A30" s="0" t="n">
        <v>1.064</v>
      </c>
      <c r="B30" s="0" t="n">
        <f aca="false">(0.03-0.0178154)*1000</f>
        <v>12.1846</v>
      </c>
      <c r="C30" s="58" t="n">
        <f aca="false">B30/(1000*0.035*SIN(RADIANS(10)))</f>
        <v>2.00480899511177</v>
      </c>
      <c r="D30" s="58" t="n">
        <f aca="false">B30/(1000*0.035*SIN(RADIANS(10.78)))</f>
        <v>1.86128298196983</v>
      </c>
      <c r="N30" s="60" t="s">
        <v>57</v>
      </c>
      <c r="O30" s="60"/>
      <c r="P30" s="60"/>
      <c r="Q30" s="60"/>
    </row>
    <row r="31" customFormat="false" ht="13.8" hidden="false" customHeight="false" outlineLevel="0" collapsed="false">
      <c r="C31" s="58" t="n">
        <f aca="false">B31/(1000*0.035*SIN(RADIANS(10)))</f>
        <v>0</v>
      </c>
      <c r="D31" s="58" t="n">
        <f aca="false">B31/(1000*0.035*SIN(RADIANS(10.78)))</f>
        <v>0</v>
      </c>
      <c r="N31" s="53" t="s">
        <v>47</v>
      </c>
      <c r="O31" s="53" t="s">
        <v>17</v>
      </c>
      <c r="P31" s="53" t="s">
        <v>51</v>
      </c>
      <c r="Q31" s="53" t="s">
        <v>52</v>
      </c>
    </row>
    <row r="32" customFormat="false" ht="13.8" hidden="false" customHeight="false" outlineLevel="0" collapsed="false">
      <c r="B32" s="62"/>
      <c r="C32" s="58" t="n">
        <f aca="false">B32/(1000*0.035*SIN(RADIANS(10)))</f>
        <v>0</v>
      </c>
      <c r="D32" s="58" t="n">
        <f aca="false">B32/(1000*0.035*SIN(RADIANS(10.78)))</f>
        <v>0</v>
      </c>
      <c r="N32" s="0" t="n">
        <v>1.031</v>
      </c>
      <c r="O32" s="58" t="n">
        <v>11.8117</v>
      </c>
      <c r="P32" s="58" t="n">
        <f aca="false">O32/(1000*0.035*SIN(RADIANS(10)))</f>
        <v>1.94345340902136</v>
      </c>
      <c r="Q32" s="58" t="n">
        <f aca="false">O32/(1000*0.035*SIN(RADIANS(10.78)))</f>
        <v>1.80431989545271</v>
      </c>
    </row>
    <row r="33" customFormat="false" ht="13.8" hidden="false" customHeight="false" outlineLevel="0" collapsed="false">
      <c r="C33" s="58" t="n">
        <f aca="false">B33/(1000*0.035*SIN(RADIANS(10)))</f>
        <v>0</v>
      </c>
      <c r="D33" s="58" t="n">
        <f aca="false">B33/(1000*0.035*SIN(RADIANS(10.78)))</f>
        <v>0</v>
      </c>
      <c r="N33" s="0" t="n">
        <v>1.073</v>
      </c>
      <c r="O33" s="58" t="n">
        <f aca="false">1000*(0.03-0.0180445)</f>
        <v>11.9555</v>
      </c>
      <c r="P33" s="58" t="n">
        <f aca="false">O33/(1000*0.035*SIN(RADIANS(10)))</f>
        <v>1.96711372889211</v>
      </c>
      <c r="Q33" s="58" t="n">
        <f aca="false">O33/(1000*0.035*SIN(RADIANS(10.78)))</f>
        <v>1.82628635252206</v>
      </c>
    </row>
    <row r="34" customFormat="false" ht="13.8" hidden="false" customHeight="false" outlineLevel="0" collapsed="false">
      <c r="N34" s="0" t="n">
        <v>1.114</v>
      </c>
      <c r="O34" s="58" t="n">
        <v>11.953</v>
      </c>
      <c r="P34" s="58" t="n">
        <f aca="false">O34/(1000*0.035*SIN(RADIANS(10)))</f>
        <v>1.96670238814331</v>
      </c>
      <c r="Q34" s="58" t="n">
        <f aca="false">O34/(1000*0.035*SIN(RADIANS(10.78)))</f>
        <v>1.8259044600139</v>
      </c>
    </row>
    <row r="35" customFormat="false" ht="13.8" hidden="false" customHeight="false" outlineLevel="0" collapsed="false">
      <c r="A35" s="60" t="s">
        <v>58</v>
      </c>
      <c r="B35" s="60"/>
      <c r="C35" s="60"/>
      <c r="D35" s="60"/>
      <c r="O35" s="63"/>
      <c r="P35" s="58" t="n">
        <f aca="false">O35/(1000*0.035*SIN(RADIANS(10)))</f>
        <v>0</v>
      </c>
      <c r="Q35" s="58" t="n">
        <f aca="false">O35/(1000*0.035*SIN(RADIANS(10.78)))</f>
        <v>0</v>
      </c>
    </row>
    <row r="36" customFormat="false" ht="13.8" hidden="false" customHeight="false" outlineLevel="0" collapsed="false">
      <c r="A36" s="60" t="s">
        <v>50</v>
      </c>
      <c r="B36" s="60"/>
      <c r="C36" s="60"/>
      <c r="D36" s="60"/>
      <c r="O36" s="58"/>
      <c r="P36" s="58" t="n">
        <f aca="false">O36/(1000*0.035*SIN(RADIANS(10)))</f>
        <v>0</v>
      </c>
      <c r="Q36" s="58" t="n">
        <f aca="false">O36/(1000*0.035*SIN(RADIANS(10.78)))</f>
        <v>0</v>
      </c>
    </row>
    <row r="37" customFormat="false" ht="13.8" hidden="false" customHeight="false" outlineLevel="0" collapsed="false">
      <c r="A37" s="53" t="s">
        <v>47</v>
      </c>
      <c r="B37" s="53" t="s">
        <v>17</v>
      </c>
      <c r="C37" s="53" t="s">
        <v>51</v>
      </c>
      <c r="D37" s="53" t="s">
        <v>52</v>
      </c>
      <c r="O37" s="63"/>
      <c r="P37" s="58" t="n">
        <f aca="false">O37/(1000*0.035*SIN(RADIANS(10)))</f>
        <v>0</v>
      </c>
      <c r="Q37" s="58" t="n">
        <f aca="false">O37/(1000*0.035*SIN(RADIANS(10.78)))</f>
        <v>0</v>
      </c>
    </row>
    <row r="38" customFormat="false" ht="13.8" hidden="false" customHeight="false" outlineLevel="0" collapsed="false">
      <c r="A38" s="0" t="n">
        <v>1.033</v>
      </c>
      <c r="B38" s="58" t="n">
        <v>12.0366</v>
      </c>
      <c r="C38" s="58" t="n">
        <f aca="false">B38/(1000*0.035*SIN(RADIANS(10)))</f>
        <v>1.98045762278305</v>
      </c>
      <c r="D38" s="58" t="n">
        <f aca="false">B38/(1000*0.035*SIN(RADIANS(10.78)))</f>
        <v>1.83867494548677</v>
      </c>
      <c r="E38" s="0" t="s">
        <v>53</v>
      </c>
    </row>
    <row r="39" customFormat="false" ht="13.8" hidden="false" customHeight="false" outlineLevel="0" collapsed="false">
      <c r="A39" s="0" t="n">
        <v>1.065</v>
      </c>
      <c r="B39" s="58" t="n">
        <f aca="false">(0.03-0.0182043)*1000</f>
        <v>11.7957</v>
      </c>
      <c r="C39" s="58" t="n">
        <f aca="false">B39/(1000*0.035*SIN(RADIANS(10)))</f>
        <v>1.94082082822907</v>
      </c>
      <c r="D39" s="58" t="n">
        <f aca="false">B39/(1000*0.035*SIN(RADIANS(10.78)))</f>
        <v>1.80187578340048</v>
      </c>
      <c r="G39" s="58" t="n">
        <f aca="false">D21/D20*D38</f>
        <v>1.78241739103968</v>
      </c>
      <c r="N39" s="60" t="s">
        <v>56</v>
      </c>
      <c r="O39" s="60"/>
      <c r="P39" s="60"/>
      <c r="Q39" s="60"/>
    </row>
    <row r="40" customFormat="false" ht="13.8" hidden="false" customHeight="false" outlineLevel="0" collapsed="false">
      <c r="A40" s="0" t="n">
        <v>1.096</v>
      </c>
      <c r="B40" s="58" t="n">
        <v>11.6751</v>
      </c>
      <c r="C40" s="58" t="n">
        <f aca="false">B40/(1000*0.035*SIN(RADIANS(10)))</f>
        <v>1.92097775050715</v>
      </c>
      <c r="D40" s="58" t="n">
        <f aca="false">B40/(1000*0.035*SIN(RADIANS(10.78)))</f>
        <v>1.78345328880685</v>
      </c>
      <c r="G40" s="58" t="n">
        <f aca="false">D22/D20*D38</f>
        <v>1.75288749565683</v>
      </c>
      <c r="N40" s="60" t="s">
        <v>59</v>
      </c>
      <c r="O40" s="60"/>
      <c r="P40" s="60"/>
      <c r="Q40" s="60"/>
    </row>
    <row r="41" customFormat="false" ht="13.8" hidden="false" customHeight="false" outlineLevel="0" collapsed="false">
      <c r="A41" s="0" t="n">
        <v>1.128</v>
      </c>
      <c r="B41" s="63" t="n">
        <f aca="false">(0.03-0.0183851)*1000</f>
        <v>11.6149</v>
      </c>
      <c r="C41" s="58" t="n">
        <f aca="false">B41/(1000*0.035*SIN(RADIANS(10)))</f>
        <v>1.91107266527614</v>
      </c>
      <c r="D41" s="58" t="n">
        <f aca="false">B41/(1000*0.035*SIN(RADIANS(10.78)))</f>
        <v>1.77425731721036</v>
      </c>
      <c r="G41" s="58" t="n">
        <f aca="false">D23/$D$20*D38</f>
        <v>1.73761708128768</v>
      </c>
      <c r="N41" s="53" t="s">
        <v>47</v>
      </c>
      <c r="O41" s="53" t="s">
        <v>17</v>
      </c>
      <c r="P41" s="53" t="s">
        <v>51</v>
      </c>
      <c r="Q41" s="53" t="s">
        <v>52</v>
      </c>
    </row>
    <row r="42" customFormat="false" ht="13.8" hidden="false" customHeight="false" outlineLevel="0" collapsed="false">
      <c r="A42" s="0" t="n">
        <v>1.159</v>
      </c>
      <c r="B42" s="58" t="n">
        <v>11.5898</v>
      </c>
      <c r="C42" s="58" t="n">
        <f aca="false">B42/(1000*0.035*SIN(RADIANS(10)))</f>
        <v>1.90694280415823</v>
      </c>
      <c r="D42" s="58" t="n">
        <f aca="false">B42/(1000*0.035*SIN(RADIANS(10.78)))</f>
        <v>1.77042311642844</v>
      </c>
      <c r="G42" s="58" t="n">
        <f aca="false">D24/D20*D38</f>
        <v>1.73004394895826</v>
      </c>
      <c r="N42" s="0" t="n">
        <v>1.031</v>
      </c>
      <c r="O42" s="58" t="n">
        <v>11.8117</v>
      </c>
      <c r="P42" s="58" t="n">
        <f aca="false">O42/(1000*0.035*SIN(RADIANS(10)))</f>
        <v>1.94345340902136</v>
      </c>
      <c r="Q42" s="58" t="n">
        <f aca="false">O42/(1000*0.035*SIN(RADIANS(10.78)))</f>
        <v>1.80431989545271</v>
      </c>
    </row>
    <row r="43" customFormat="false" ht="13.8" hidden="false" customHeight="false" outlineLevel="0" collapsed="false">
      <c r="B43" s="58"/>
      <c r="C43" s="58" t="n">
        <f aca="false">B43/(1000*0.035*SIN(RADIANS(10)))</f>
        <v>0</v>
      </c>
      <c r="D43" s="58" t="n">
        <f aca="false">B43/(1000*0.035*SIN(RADIANS(10.78)))</f>
        <v>0</v>
      </c>
      <c r="N43" s="0" t="n">
        <v>1.073</v>
      </c>
      <c r="O43" s="58" t="n">
        <f aca="false">1000*(0.03-0.0174737)</f>
        <v>12.5263</v>
      </c>
      <c r="P43" s="58" t="n">
        <f aca="false">O43/(1000*0.035*SIN(RADIANS(10)))</f>
        <v>2.0610310486572</v>
      </c>
      <c r="Q43" s="58" t="n">
        <f aca="false">O43/(1000*0.035*SIN(RADIANS(10.78)))</f>
        <v>1.91348004998512</v>
      </c>
    </row>
    <row r="44" customFormat="false" ht="13.8" hidden="false" customHeight="false" outlineLevel="0" collapsed="false">
      <c r="B44" s="58"/>
      <c r="C44" s="58" t="n">
        <f aca="false">B44/(1000*0.035*SIN(RADIANS(10)))</f>
        <v>0</v>
      </c>
      <c r="D44" s="58" t="n">
        <f aca="false">B44/(1000*0.035*SIN(RADIANS(10.78)))</f>
        <v>0</v>
      </c>
      <c r="N44" s="0" t="n">
        <v>1.103</v>
      </c>
      <c r="O44" s="58" t="n">
        <v>12.51</v>
      </c>
      <c r="P44" s="58" t="n">
        <f aca="false">O44/(1000*0.035*SIN(RADIANS(10)))</f>
        <v>2.05834910697505</v>
      </c>
      <c r="Q44" s="58" t="n">
        <f aca="false">O44/(1000*0.035*SIN(RADIANS(10.78)))</f>
        <v>1.91099011083192</v>
      </c>
    </row>
    <row r="45" customFormat="false" ht="13.8" hidden="false" customHeight="false" outlineLevel="0" collapsed="false">
      <c r="O45" s="63"/>
      <c r="P45" s="58" t="n">
        <f aca="false">O45/(1000*0.035*SIN(RADIANS(10)))</f>
        <v>0</v>
      </c>
      <c r="Q45" s="58" t="n">
        <f aca="false">O45/(1000*0.035*SIN(RADIANS(10.78)))</f>
        <v>0</v>
      </c>
    </row>
    <row r="46" customFormat="false" ht="13.8" hidden="false" customHeight="false" outlineLevel="0" collapsed="false">
      <c r="A46" s="60" t="s">
        <v>60</v>
      </c>
      <c r="B46" s="60"/>
      <c r="C46" s="60"/>
      <c r="D46" s="60"/>
      <c r="O46" s="58"/>
      <c r="P46" s="58" t="n">
        <f aca="false">O46/(1000*0.035*SIN(RADIANS(10)))</f>
        <v>0</v>
      </c>
      <c r="Q46" s="58" t="n">
        <f aca="false">O46/(1000*0.035*SIN(RADIANS(10.78)))</f>
        <v>0</v>
      </c>
    </row>
    <row r="47" customFormat="false" ht="13.8" hidden="false" customHeight="false" outlineLevel="0" collapsed="false">
      <c r="A47" s="60" t="s">
        <v>57</v>
      </c>
      <c r="B47" s="60"/>
      <c r="C47" s="60"/>
      <c r="D47" s="60"/>
      <c r="O47" s="63"/>
      <c r="P47" s="58" t="n">
        <f aca="false">O47/(1000*0.035*SIN(RADIANS(10)))</f>
        <v>0</v>
      </c>
      <c r="Q47" s="58" t="n">
        <f aca="false">O47/(1000*0.035*SIN(RADIANS(10.78)))</f>
        <v>0</v>
      </c>
    </row>
    <row r="48" customFormat="false" ht="13.8" hidden="false" customHeight="false" outlineLevel="0" collapsed="false">
      <c r="A48" s="53" t="s">
        <v>47</v>
      </c>
      <c r="B48" s="53" t="s">
        <v>17</v>
      </c>
      <c r="C48" s="53" t="s">
        <v>51</v>
      </c>
      <c r="D48" s="53" t="s">
        <v>52</v>
      </c>
    </row>
    <row r="49" customFormat="false" ht="13.8" hidden="false" customHeight="false" outlineLevel="0" collapsed="false">
      <c r="A49" s="0" t="n">
        <v>1.032</v>
      </c>
      <c r="B49" s="58" t="n">
        <v>12.6366</v>
      </c>
      <c r="C49" s="58" t="n">
        <f aca="false">B49/(1000*0.035*SIN(RADIANS(10)))</f>
        <v>2.07917940249408</v>
      </c>
      <c r="D49" s="58" t="n">
        <f aca="false">B49/(1000*0.035*SIN(RADIANS(10.78)))</f>
        <v>1.93032914744513</v>
      </c>
    </row>
    <row r="50" customFormat="false" ht="13.8" hidden="false" customHeight="false" outlineLevel="0" collapsed="false">
      <c r="A50" s="0" t="n">
        <v>1.074</v>
      </c>
      <c r="B50" s="58" t="n">
        <f aca="false">(0.03-0.0171832)*1000</f>
        <v>12.8168</v>
      </c>
      <c r="C50" s="58" t="n">
        <f aca="false">B50/(1000*0.035*SIN(RADIANS(10)))</f>
        <v>2.10882884366729</v>
      </c>
      <c r="D50" s="58" t="n">
        <f aca="false">B50/(1000*0.035*SIN(RADIANS(10.78)))</f>
        <v>1.9578559594333</v>
      </c>
    </row>
    <row r="51" customFormat="false" ht="13.8" hidden="false" customHeight="false" outlineLevel="0" collapsed="false">
      <c r="A51" s="0" t="n">
        <v>1.116</v>
      </c>
      <c r="B51" s="0" t="n">
        <v>12.82</v>
      </c>
      <c r="C51" s="58" t="n">
        <f aca="false">B51/(1000*0.035*SIN(RADIANS(10)))</f>
        <v>2.10935535982575</v>
      </c>
      <c r="D51" s="58" t="n">
        <f aca="false">B51/(1000*0.035*SIN(RADIANS(10.78)))</f>
        <v>1.95834478184374</v>
      </c>
    </row>
    <row r="52" customFormat="false" ht="13.8" hidden="false" customHeight="false" outlineLevel="0" collapsed="false">
      <c r="B52" s="63"/>
      <c r="C52" s="58" t="n">
        <f aca="false">B52/(1000*0.035*SIN(RADIANS(10)))</f>
        <v>0</v>
      </c>
      <c r="D52" s="58" t="n">
        <f aca="false">B52/(1000*0.035*SIN(RADIANS(10.78)))</f>
        <v>0</v>
      </c>
    </row>
    <row r="53" customFormat="false" ht="13.8" hidden="false" customHeight="false" outlineLevel="0" collapsed="false">
      <c r="B53" s="58"/>
      <c r="C53" s="58" t="n">
        <f aca="false">B53/(1000*0.035*SIN(RADIANS(10)))</f>
        <v>0</v>
      </c>
      <c r="D53" s="58" t="n">
        <f aca="false">B53/(1000*0.035*SIN(RADIANS(10.78)))</f>
        <v>0</v>
      </c>
    </row>
    <row r="54" customFormat="false" ht="13.8" hidden="false" customHeight="false" outlineLevel="0" collapsed="false">
      <c r="B54" s="58"/>
      <c r="C54" s="58" t="n">
        <f aca="false">B54/(1000*0.035*SIN(RADIANS(10)))</f>
        <v>0</v>
      </c>
      <c r="D54" s="58" t="n">
        <f aca="false">B54/(1000*0.035*SIN(RADIANS(10.78)))</f>
        <v>0</v>
      </c>
    </row>
    <row r="55" customFormat="false" ht="13.8" hidden="false" customHeight="false" outlineLevel="0" collapsed="false">
      <c r="B55" s="58"/>
      <c r="C55" s="58" t="n">
        <f aca="false">B55/(1000*0.035*SIN(RADIANS(10)))</f>
        <v>0</v>
      </c>
      <c r="D55" s="58" t="n">
        <f aca="false">B55/(1000*0.035*SIN(RADIANS(10.78)))</f>
        <v>0</v>
      </c>
    </row>
    <row r="58" customFormat="false" ht="14.25" hidden="false" customHeight="false" outlineLevel="0" collapsed="false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</row>
    <row r="61" customFormat="false" ht="13.8" hidden="false" customHeight="false" outlineLevel="0" collapsed="false">
      <c r="A61" s="59" t="s">
        <v>61</v>
      </c>
      <c r="B61" s="67" t="n">
        <v>7500000000</v>
      </c>
    </row>
    <row r="62" customFormat="false" ht="13.8" hidden="false" customHeight="false" outlineLevel="0" collapsed="false">
      <c r="A62" s="59" t="s">
        <v>62</v>
      </c>
      <c r="B62" s="59" t="n">
        <v>1325</v>
      </c>
    </row>
    <row r="63" customFormat="false" ht="13.8" hidden="false" customHeight="false" outlineLevel="0" collapsed="false">
      <c r="A63" s="56" t="s">
        <v>37</v>
      </c>
      <c r="B63" s="56"/>
      <c r="C63" s="56"/>
      <c r="D63" s="56"/>
    </row>
    <row r="64" customFormat="false" ht="13.8" hidden="false" customHeight="false" outlineLevel="0" collapsed="false">
      <c r="A64" s="54" t="s">
        <v>41</v>
      </c>
      <c r="B64" s="54"/>
      <c r="C64" s="54"/>
      <c r="D64" s="54"/>
      <c r="F64" s="54" t="s">
        <v>44</v>
      </c>
      <c r="G64" s="54"/>
      <c r="H64" s="54"/>
      <c r="I64" s="54"/>
      <c r="K64" s="54" t="s">
        <v>43</v>
      </c>
      <c r="L64" s="54"/>
      <c r="M64" s="54"/>
    </row>
    <row r="65" customFormat="false" ht="13.8" hidden="false" customHeight="false" outlineLevel="0" collapsed="false">
      <c r="A65" s="53" t="s">
        <v>47</v>
      </c>
      <c r="B65" s="53" t="s">
        <v>17</v>
      </c>
      <c r="C65" s="53" t="s">
        <v>51</v>
      </c>
      <c r="D65" s="53" t="s">
        <v>52</v>
      </c>
      <c r="F65" s="53" t="s">
        <v>47</v>
      </c>
      <c r="G65" s="53" t="s">
        <v>17</v>
      </c>
      <c r="H65" s="53" t="s">
        <v>51</v>
      </c>
      <c r="I65" s="53" t="s">
        <v>52</v>
      </c>
      <c r="K65" s="53" t="s">
        <v>47</v>
      </c>
      <c r="L65" s="53" t="s">
        <v>17</v>
      </c>
      <c r="M65" s="53" t="s">
        <v>51</v>
      </c>
      <c r="N65" s="53" t="s">
        <v>52</v>
      </c>
    </row>
    <row r="66" customFormat="false" ht="13.8" hidden="false" customHeight="false" outlineLevel="0" collapsed="false">
      <c r="A66" s="0" t="n">
        <v>1.07</v>
      </c>
      <c r="B66" s="0" t="n">
        <f aca="false">1000*(0.03-0.0182399)</f>
        <v>11.7601</v>
      </c>
      <c r="C66" s="58" t="n">
        <f aca="false">B66/(1000*0.035*SIN(RADIANS(10)))</f>
        <v>1.93496333596621</v>
      </c>
      <c r="D66" s="58" t="n">
        <f aca="false">B66/(1000*0.035*SIN(RADIANS(10.78)))</f>
        <v>1.79643763408429</v>
      </c>
      <c r="F66" s="0" t="n">
        <v>1.032</v>
      </c>
      <c r="G66" s="0" t="n">
        <v>11.6128</v>
      </c>
      <c r="H66" s="58" t="n">
        <f aca="false">G66/(1000*0.035*SIN(RADIANS(10)))</f>
        <v>1.91072713904715</v>
      </c>
      <c r="I66" s="58" t="n">
        <f aca="false">G66/(1000*0.035*SIN(RADIANS(10.78)))</f>
        <v>1.77393652750351</v>
      </c>
      <c r="K66" s="0" t="n">
        <v>1.031</v>
      </c>
      <c r="L66" s="58" t="n">
        <v>12.3236</v>
      </c>
      <c r="M66" s="58" t="n">
        <f aca="false">L66/(1000*0.035*SIN(RADIANS(10)))</f>
        <v>2.02767954074483</v>
      </c>
      <c r="N66" s="58" t="n">
        <f aca="false">L66/(1000*0.035*SIN(RADIANS(10.78)))</f>
        <v>1.88251620542352</v>
      </c>
    </row>
    <row r="67" customFormat="false" ht="13.8" hidden="false" customHeight="false" outlineLevel="0" collapsed="false">
      <c r="A67" s="0" t="n">
        <v>1.114</v>
      </c>
      <c r="B67" s="0" t="n">
        <v>11.757</v>
      </c>
      <c r="C67" s="58" t="n">
        <f aca="false">B67/(1000*0.035*SIN(RADIANS(10)))</f>
        <v>1.93445327343771</v>
      </c>
      <c r="D67" s="58" t="n">
        <f aca="false">B67/(1000*0.035*SIN(RADIANS(10.78)))</f>
        <v>1.79596408737417</v>
      </c>
      <c r="F67" s="0" t="n">
        <v>1.063</v>
      </c>
      <c r="G67" s="0" t="n">
        <f aca="false">1000*(0.03-0.0185551)</f>
        <v>11.4449</v>
      </c>
      <c r="H67" s="58" t="n">
        <f aca="false">G67/(1000*0.035*SIN(RADIANS(10)))</f>
        <v>1.88310149435802</v>
      </c>
      <c r="I67" s="58" t="n">
        <f aca="false">G67/(1000*0.035*SIN(RADIANS(10.78)))</f>
        <v>1.74828862665549</v>
      </c>
      <c r="K67" s="0" t="n">
        <v>1.065</v>
      </c>
      <c r="L67" s="58" t="n">
        <f aca="false">1000*(0.03-0.017678)</f>
        <v>12.322</v>
      </c>
      <c r="M67" s="58" t="n">
        <f aca="false">L67/(1000*0.035*SIN(RADIANS(10)))</f>
        <v>2.0274162826656</v>
      </c>
      <c r="N67" s="58" t="n">
        <f aca="false">L67/(1000*0.035*SIN(RADIANS(10.78)))</f>
        <v>1.8822717942183</v>
      </c>
    </row>
    <row r="68" customFormat="false" ht="13.8" hidden="false" customHeight="false" outlineLevel="0" collapsed="false"/>
    <row r="69" customFormat="false" ht="13.8" hidden="false" customHeight="false" outlineLevel="0" collapsed="false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</row>
    <row r="71" customFormat="false" ht="13.8" hidden="false" customHeight="false" outlineLevel="0" collapsed="false">
      <c r="A71" s="59" t="s">
        <v>61</v>
      </c>
      <c r="B71" s="67" t="n">
        <v>5800000000</v>
      </c>
    </row>
    <row r="72" customFormat="false" ht="13.8" hidden="false" customHeight="false" outlineLevel="0" collapsed="false">
      <c r="A72" s="59" t="s">
        <v>62</v>
      </c>
      <c r="B72" s="59" t="n">
        <v>1000</v>
      </c>
    </row>
    <row r="74" customFormat="false" ht="13.8" hidden="false" customHeight="false" outlineLevel="0" collapsed="false">
      <c r="A74" s="54" t="s">
        <v>41</v>
      </c>
      <c r="B74" s="54"/>
      <c r="C74" s="54"/>
      <c r="D74" s="54"/>
      <c r="F74" s="54" t="s">
        <v>43</v>
      </c>
      <c r="G74" s="54"/>
      <c r="H74" s="54"/>
      <c r="I74" s="54"/>
      <c r="K74" s="54" t="s">
        <v>44</v>
      </c>
      <c r="L74" s="54"/>
      <c r="M74" s="54"/>
    </row>
    <row r="75" customFormat="false" ht="13.8" hidden="false" customHeight="false" outlineLevel="0" collapsed="false">
      <c r="A75" s="53" t="s">
        <v>47</v>
      </c>
      <c r="B75" s="53" t="s">
        <v>17</v>
      </c>
      <c r="C75" s="53" t="s">
        <v>51</v>
      </c>
      <c r="D75" s="53" t="s">
        <v>52</v>
      </c>
      <c r="F75" s="53" t="s">
        <v>47</v>
      </c>
      <c r="G75" s="53" t="s">
        <v>17</v>
      </c>
      <c r="H75" s="53" t="s">
        <v>51</v>
      </c>
      <c r="I75" s="53" t="s">
        <v>52</v>
      </c>
      <c r="K75" s="53" t="s">
        <v>47</v>
      </c>
      <c r="L75" s="53" t="s">
        <v>17</v>
      </c>
      <c r="M75" s="53" t="s">
        <v>51</v>
      </c>
      <c r="N75" s="53" t="s">
        <v>52</v>
      </c>
    </row>
    <row r="76" customFormat="false" ht="13.8" hidden="false" customHeight="false" outlineLevel="0" collapsed="false">
      <c r="A76" s="0" t="n">
        <v>1.074</v>
      </c>
      <c r="B76" s="0" t="n">
        <f aca="false">1000*(0.03-0.0191163)</f>
        <v>10.8837</v>
      </c>
      <c r="C76" s="58" t="n">
        <f aca="false">B76/(1000*0.035*SIN(RADIANS(10)))</f>
        <v>1.7907637230683</v>
      </c>
      <c r="D76" s="58" t="n">
        <f aca="false">B76/(1000*0.035*SIN(RADIANS(10.78)))</f>
        <v>1.66256139642377</v>
      </c>
      <c r="F76" s="0" t="n">
        <v>1.068</v>
      </c>
      <c r="G76" s="0" t="n">
        <f aca="false">1000*(0.03-0.0190529)</f>
        <v>10.9471</v>
      </c>
      <c r="H76" s="58" t="n">
        <f aca="false">G76/(1000*0.035*SIN(RADIANS(10)))</f>
        <v>1.80119532445776</v>
      </c>
      <c r="I76" s="58" t="n">
        <f aca="false">G76/(1000*0.035*SIN(RADIANS(10.78)))</f>
        <v>1.6722461904307</v>
      </c>
      <c r="K76" s="0" t="n">
        <v>1.064</v>
      </c>
      <c r="L76" s="58" t="n">
        <f aca="false">1000*(0.03-0.0200284)</f>
        <v>9.9716</v>
      </c>
      <c r="M76" s="58" t="n">
        <f aca="false">L76/(1000*0.035*SIN(RADIANS(10)))</f>
        <v>1.64069016427757</v>
      </c>
      <c r="N76" s="58" t="n">
        <f aca="false">L76/(1000*0.035*SIN(RADIANS(10.78)))</f>
        <v>1.52323173374673</v>
      </c>
    </row>
    <row r="77" customFormat="false" ht="13.8" hidden="false" customHeight="false" outlineLevel="0" collapsed="false">
      <c r="C77" s="58" t="n">
        <f aca="false">B77/(1000*0.035*SIN(RADIANS(10)))</f>
        <v>0</v>
      </c>
      <c r="D77" s="58" t="n">
        <f aca="false">B77/(1000*0.035*SIN(RADIANS(10.78)))</f>
        <v>0</v>
      </c>
      <c r="H77" s="58" t="n">
        <f aca="false">G77/(1000*0.035*SIN(RADIANS(10)))</f>
        <v>0</v>
      </c>
      <c r="I77" s="58" t="n">
        <f aca="false">G77/(1000*0.035*SIN(RADIANS(10.78)))</f>
        <v>0</v>
      </c>
      <c r="L77" s="58"/>
      <c r="M77" s="58" t="n">
        <f aca="false">L77/(1000*0.035*SIN(RADIANS(10)))</f>
        <v>0</v>
      </c>
      <c r="N77" s="58" t="n">
        <f aca="false">L77/(1000*0.035*SIN(RADIANS(10.78)))</f>
        <v>0</v>
      </c>
    </row>
  </sheetData>
  <mergeCells count="28">
    <mergeCell ref="A2:B2"/>
    <mergeCell ref="C2:D2"/>
    <mergeCell ref="E2:F2"/>
    <mergeCell ref="G2:H2"/>
    <mergeCell ref="I2:J2"/>
    <mergeCell ref="K2:L2"/>
    <mergeCell ref="A17:D17"/>
    <mergeCell ref="N17:Q17"/>
    <mergeCell ref="A18:D18"/>
    <mergeCell ref="N18:Q18"/>
    <mergeCell ref="A26:D26"/>
    <mergeCell ref="A27:D27"/>
    <mergeCell ref="N27:P27"/>
    <mergeCell ref="N29:Q29"/>
    <mergeCell ref="N30:Q30"/>
    <mergeCell ref="A35:D35"/>
    <mergeCell ref="A36:D36"/>
    <mergeCell ref="N39:Q39"/>
    <mergeCell ref="N40:Q40"/>
    <mergeCell ref="A46:D46"/>
    <mergeCell ref="A47:D47"/>
    <mergeCell ref="A63:D63"/>
    <mergeCell ref="A64:D64"/>
    <mergeCell ref="F64:I64"/>
    <mergeCell ref="K64:M64"/>
    <mergeCell ref="A74:D74"/>
    <mergeCell ref="F74:I74"/>
    <mergeCell ref="K74:M74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9375" defaultRowHeight="14.25" zeroHeight="false" outlineLevelRow="0" outlineLevelCol="0"/>
  <cols>
    <col collapsed="false" customWidth="true" hidden="false" outlineLevel="0" max="13" min="1" style="0" width="10.61"/>
  </cols>
  <sheetData>
    <row r="1" customFormat="false" ht="14.25" hidden="false" customHeight="false" outlineLevel="0" collapsed="false">
      <c r="A1" s="68" t="s">
        <v>63</v>
      </c>
      <c r="B1" s="68" t="s">
        <v>64</v>
      </c>
      <c r="C1" s="68" t="s">
        <v>65</v>
      </c>
      <c r="D1" s="68" t="s">
        <v>66</v>
      </c>
      <c r="E1" s="68" t="s">
        <v>65</v>
      </c>
      <c r="F1" s="68" t="s">
        <v>67</v>
      </c>
      <c r="G1" s="68" t="s">
        <v>65</v>
      </c>
      <c r="H1" s="68" t="s">
        <v>68</v>
      </c>
      <c r="I1" s="68" t="s">
        <v>65</v>
      </c>
    </row>
    <row r="2" customFormat="false" ht="14.25" hidden="false" customHeight="false" outlineLevel="0" collapsed="false">
      <c r="A2" s="69" t="n">
        <v>0</v>
      </c>
      <c r="B2" s="70" t="n">
        <v>0.04030959074389</v>
      </c>
      <c r="C2" s="71" t="n">
        <f aca="false">(B2-$B$5)/$B$5*100</f>
        <v>7.04823230062975</v>
      </c>
      <c r="D2" s="70" t="n">
        <v>0.3109552614872</v>
      </c>
      <c r="E2" s="71" t="n">
        <f aca="false">(D2-$D$5)/$D$5*100</f>
        <v>7.054901184085</v>
      </c>
      <c r="F2" s="70" t="n">
        <v>0.3109555611867</v>
      </c>
      <c r="G2" s="72" t="n">
        <f aca="false">(F2-$F$5)/$F$5*100</f>
        <v>7.05446483961023</v>
      </c>
      <c r="H2" s="70" t="n">
        <v>-0.3109549617878</v>
      </c>
      <c r="I2" s="72" t="n">
        <f aca="false">(H2-$H$5)/$H$5*100</f>
        <v>7.05533753299236</v>
      </c>
    </row>
    <row r="3" customFormat="false" ht="14.25" hidden="false" customHeight="false" outlineLevel="0" collapsed="false">
      <c r="A3" s="69" t="n">
        <v>1</v>
      </c>
      <c r="B3" s="70" t="n">
        <v>0.03806880863113</v>
      </c>
      <c r="C3" s="72" t="n">
        <f aca="false">(B3-$B$5)/$B$5*100</f>
        <v>1.09749552272814</v>
      </c>
      <c r="D3" s="70" t="n">
        <v>0.293720957096</v>
      </c>
      <c r="E3" s="72" t="n">
        <f aca="false">(D3-$D$5)/$D$5*100</f>
        <v>1.12151789044903</v>
      </c>
      <c r="F3" s="70" t="n">
        <v>0.2937177425854</v>
      </c>
      <c r="G3" s="72" t="n">
        <f aca="false">(F3-$F$5)/$F$5*100</f>
        <v>1.11990159101643</v>
      </c>
      <c r="H3" s="70" t="n">
        <v>-0.2937241716065</v>
      </c>
      <c r="I3" s="72" t="n">
        <f aca="false">(H3-$H$5)/$H$5*100</f>
        <v>1.12313420613868</v>
      </c>
    </row>
    <row r="4" customFormat="false" ht="14.25" hidden="false" customHeight="false" outlineLevel="0" collapsed="false">
      <c r="A4" s="69" t="n">
        <v>2</v>
      </c>
      <c r="B4" s="73" t="n">
        <v>0.03774558302765</v>
      </c>
      <c r="C4" s="74" t="n">
        <f aca="false">(B4-$B$5)/$B$5*100</f>
        <v>0.239120906456881</v>
      </c>
      <c r="D4" s="70" t="n">
        <v>0.2911846767037</v>
      </c>
      <c r="E4" s="72" t="n">
        <f aca="false">(D4-$D$5)/$D$5*100</f>
        <v>0.248333608330097</v>
      </c>
      <c r="F4" s="70" t="n">
        <v>0.2911843657898</v>
      </c>
      <c r="G4" s="72" t="n">
        <f aca="false">(F4-$F$5)/$F$5*100</f>
        <v>0.247721347463204</v>
      </c>
      <c r="H4" s="70" t="n">
        <v>-0.2911849876176</v>
      </c>
      <c r="I4" s="72" t="n">
        <f aca="false">(H4-$H$5)/$H$5*100</f>
        <v>0.248945875368266</v>
      </c>
    </row>
    <row r="5" customFormat="false" ht="14.25" hidden="false" customHeight="false" outlineLevel="0" collapsed="false">
      <c r="A5" s="69" t="n">
        <v>3</v>
      </c>
      <c r="B5" s="73" t="n">
        <v>0.03765554075726</v>
      </c>
      <c r="C5" s="69" t="n">
        <f aca="false">(B5-$B$5)/$B$5*100</f>
        <v>0</v>
      </c>
      <c r="D5" s="70" t="n">
        <v>0.2904633585645</v>
      </c>
      <c r="E5" s="69" t="n">
        <f aca="false">(D5-$D$5)/$D$5*100</f>
        <v>0</v>
      </c>
      <c r="F5" s="70" t="n">
        <v>0.2904648224178</v>
      </c>
      <c r="G5" s="72" t="n">
        <f aca="false">(F5-$F$5)/$F$5*100</f>
        <v>0</v>
      </c>
      <c r="H5" s="70" t="n">
        <v>-0.2904618947112</v>
      </c>
      <c r="I5" s="72" t="n">
        <f aca="false">(H5-$H$5)/$H$5*100</f>
        <v>-0</v>
      </c>
    </row>
    <row r="8" customFormat="false" ht="14.25" hidden="false" customHeight="false" outlineLevel="0" collapsed="false">
      <c r="L8" s="0" t="s">
        <v>69</v>
      </c>
      <c r="M8" s="0" t="n">
        <v>2</v>
      </c>
    </row>
    <row r="9" customFormat="false" ht="14.25" hidden="false" customHeight="false" outlineLevel="0" collapsed="false">
      <c r="L9" s="0" t="s">
        <v>70</v>
      </c>
      <c r="M9" s="75" t="n">
        <f aca="false">LN((F4-F3)/(F3-F2))/LN(M8)</f>
        <v>-2.76644364303513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ColWidth="10.2890625" defaultRowHeight="12.8" zeroHeight="false" outlineLevelRow="0" outlineLevelCol="0"/>
  <sheetData>
    <row r="1" customFormat="false" ht="13.8" hidden="false" customHeight="false" outlineLevel="0" collapsed="false">
      <c r="A1" s="55" t="s">
        <v>16</v>
      </c>
      <c r="B1" s="55" t="s">
        <v>71</v>
      </c>
      <c r="C1" s="55" t="s">
        <v>72</v>
      </c>
    </row>
    <row r="2" customFormat="false" ht="13.8" hidden="false" customHeight="false" outlineLevel="0" collapsed="false">
      <c r="A2" s="76" t="n">
        <v>0.3082</v>
      </c>
      <c r="B2" s="0" t="n">
        <v>8</v>
      </c>
      <c r="C2" s="77" t="n">
        <v>2E-005</v>
      </c>
    </row>
    <row r="3" customFormat="false" ht="13.8" hidden="false" customHeight="false" outlineLevel="0" collapsed="false">
      <c r="A3" s="76"/>
      <c r="B3" s="0" t="n">
        <v>10</v>
      </c>
      <c r="C3" s="77" t="n">
        <v>2.5E-005</v>
      </c>
    </row>
    <row r="4" customFormat="false" ht="13.8" hidden="false" customHeight="false" outlineLevel="0" collapsed="false">
      <c r="A4" s="76"/>
      <c r="B4" s="0" t="n">
        <v>12</v>
      </c>
      <c r="C4" s="77" t="n">
        <v>2.5E-005</v>
      </c>
    </row>
    <row r="5" customFormat="false" ht="13.8" hidden="false" customHeight="false" outlineLevel="0" collapsed="false">
      <c r="A5" s="76"/>
      <c r="B5" s="0" t="n">
        <v>14</v>
      </c>
      <c r="C5" s="77" t="n">
        <v>2.5E-005</v>
      </c>
    </row>
    <row r="6" customFormat="false" ht="13.8" hidden="false" customHeight="false" outlineLevel="0" collapsed="false">
      <c r="A6" s="76"/>
      <c r="B6" s="0" t="n">
        <v>16</v>
      </c>
      <c r="C6" s="77" t="n">
        <v>2E-005</v>
      </c>
    </row>
    <row r="7" customFormat="false" ht="13.8" hidden="false" customHeight="false" outlineLevel="0" collapsed="false">
      <c r="A7" s="76"/>
      <c r="B7" s="0" t="n">
        <v>18</v>
      </c>
      <c r="C7" s="77" t="n">
        <v>2E-005</v>
      </c>
    </row>
    <row r="8" customFormat="false" ht="13.8" hidden="false" customHeight="false" outlineLevel="0" collapsed="false">
      <c r="A8" s="76"/>
      <c r="B8" s="0" t="n">
        <v>20</v>
      </c>
    </row>
    <row r="9" customFormat="false" ht="13.8" hidden="false" customHeight="false" outlineLevel="0" collapsed="false">
      <c r="A9" s="78" t="n">
        <v>0.54</v>
      </c>
      <c r="B9" s="0" t="n">
        <v>8</v>
      </c>
    </row>
    <row r="10" customFormat="false" ht="13.8" hidden="false" customHeight="false" outlineLevel="0" collapsed="false">
      <c r="A10" s="78"/>
      <c r="B10" s="0" t="n">
        <v>10</v>
      </c>
      <c r="C10" s="77" t="n">
        <v>1E-005</v>
      </c>
    </row>
    <row r="11" customFormat="false" ht="13.8" hidden="false" customHeight="false" outlineLevel="0" collapsed="false">
      <c r="A11" s="78"/>
      <c r="B11" s="0" t="n">
        <v>12</v>
      </c>
      <c r="C11" s="77" t="n">
        <v>1E-005</v>
      </c>
    </row>
    <row r="12" customFormat="false" ht="13.8" hidden="false" customHeight="false" outlineLevel="0" collapsed="false">
      <c r="A12" s="78"/>
      <c r="B12" s="0" t="n">
        <v>14</v>
      </c>
    </row>
    <row r="13" customFormat="false" ht="13.8" hidden="false" customHeight="false" outlineLevel="0" collapsed="false">
      <c r="A13" s="78"/>
      <c r="B13" s="0" t="n">
        <v>16</v>
      </c>
    </row>
    <row r="14" customFormat="false" ht="13.8" hidden="false" customHeight="false" outlineLevel="0" collapsed="false">
      <c r="A14" s="78"/>
      <c r="B14" s="0" t="n">
        <v>18</v>
      </c>
    </row>
    <row r="15" customFormat="false" ht="13.8" hidden="false" customHeight="false" outlineLevel="0" collapsed="false">
      <c r="A15" s="78"/>
      <c r="B15" s="0" t="n">
        <v>20</v>
      </c>
    </row>
  </sheetData>
  <mergeCells count="2">
    <mergeCell ref="A2:A8"/>
    <mergeCell ref="A9:A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2022-03-25T12:16:18Z</dcterms:created>
  <dc:creator>Andrés Pedemonte Fehrmann</dc:creator>
  <dc:description/>
  <dc:language>en-US</dc:language>
  <cp:lastModifiedBy/>
  <dcterms:modified xsi:type="dcterms:W3CDTF">2022-04-19T23:23:50Z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