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R0.29" sheetId="1" state="visible" r:id="rId2"/>
    <sheet name="DataAmplitudes" sheetId="2" state="visible" r:id="rId3"/>
    <sheet name="MIS-Wedge" sheetId="3" state="visible" r:id="rId4"/>
    <sheet name="Corridas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<sst xmlns="http://schemas.openxmlformats.org/spreadsheetml/2006/main" count="427" uniqueCount="110">
  <si>
    <t xml:space="preserve">L [m]</t>
  </si>
  <si>
    <t xml:space="preserve">h [m]</t>
  </si>
  <si>
    <t xml:space="preserve">s [m]</t>
  </si>
  <si>
    <t xml:space="preserve">E [Pa]</t>
  </si>
  <si>
    <t xml:space="preserve">rho [kg/m3]</t>
  </si>
  <si>
    <t xml:space="preserve">I [m^3]</t>
  </si>
  <si>
    <t xml:space="preserve">B [N*m=kg*m2/s2]</t>
  </si>
  <si>
    <t xml:space="preserve">fn [Hz]</t>
  </si>
  <si>
    <t xml:space="preserve">w_n [rad/s]</t>
  </si>
  <si>
    <t xml:space="preserve">dR [mm]</t>
  </si>
  <si>
    <t xml:space="preserve">wn*L [m/s]</t>
  </si>
  <si>
    <t xml:space="preserve">nu [m2/s]</t>
  </si>
  <si>
    <t xml:space="preserve">Area_ref [m2]</t>
  </si>
  <si>
    <t xml:space="preserve">UR029</t>
  </si>
  <si>
    <t xml:space="preserve">GD – Stabilizing effect…</t>
  </si>
  <si>
    <t xml:space="preserve">ff [Hz]</t>
  </si>
  <si>
    <t xml:space="preserve">f+</t>
  </si>
  <si>
    <t xml:space="preserve">U [m/s]</t>
  </si>
  <si>
    <t xml:space="preserve">UR</t>
  </si>
  <si>
    <t xml:space="preserve">d [mm]</t>
  </si>
  <si>
    <t xml:space="preserve">d+</t>
  </si>
  <si>
    <t xml:space="preserve">Re paper</t>
  </si>
  <si>
    <t xml:space="preserve">Re_Manuel</t>
  </si>
  <si>
    <t xml:space="preserve">St1</t>
  </si>
  <si>
    <t xml:space="preserve">St2</t>
  </si>
  <si>
    <t xml:space="preserve">CD (script)</t>
  </si>
  <si>
    <t xml:space="preserve">CD (planilla)</t>
  </si>
  <si>
    <t xml:space="preserve">D+ 10.78°</t>
  </si>
  <si>
    <t xml:space="preserve">A_D</t>
  </si>
  <si>
    <t xml:space="preserve">St_D</t>
  </si>
  <si>
    <t xml:space="preserve">St</t>
  </si>
  <si>
    <t xml:space="preserve">Re</t>
  </si>
  <si>
    <t xml:space="preserve">s/L=Kappa</t>
  </si>
  <si>
    <t xml:space="preserve">Omega(Kappa)</t>
  </si>
  <si>
    <t xml:space="preserve">ff</t>
  </si>
  <si>
    <t xml:space="preserve">f*</t>
  </si>
  <si>
    <t xml:space="preserve">Aeff/L</t>
  </si>
  <si>
    <t xml:space="preserve">w*</t>
  </si>
  <si>
    <t xml:space="preserve">UR054</t>
  </si>
  <si>
    <t xml:space="preserve">E=6,8E+9 / 1623</t>
  </si>
  <si>
    <t xml:space="preserve">E=8E+9 / 1623</t>
  </si>
  <si>
    <t xml:space="preserve">E=7,7E+9 / 1390</t>
  </si>
  <si>
    <t xml:space="preserve">E=7,5E+9 / 1325</t>
  </si>
  <si>
    <t xml:space="preserve">E=5,8E+9 / 1000</t>
  </si>
  <si>
    <t xml:space="preserve">E=7E+9 / 1000</t>
  </si>
  <si>
    <t xml:space="preserve">E=7.4E+9 / 1000</t>
  </si>
  <si>
    <t xml:space="preserve">Experimental</t>
  </si>
  <si>
    <t xml:space="preserve">E=5.6E+9 / 1623</t>
  </si>
  <si>
    <t xml:space="preserve">UR=0.29</t>
  </si>
  <si>
    <t xml:space="preserve">Ff=12 Hz</t>
  </si>
  <si>
    <t xml:space="preserve">Ff=10 Hz</t>
  </si>
  <si>
    <t xml:space="preserve">Ff=14 Hz</t>
  </si>
  <si>
    <t xml:space="preserve">Ff=16 Hz</t>
  </si>
  <si>
    <t xml:space="preserve">Ff=8 Hz</t>
  </si>
  <si>
    <t xml:space="preserve">Ff=20 Hz</t>
  </si>
  <si>
    <t xml:space="preserve">t [s]</t>
  </si>
  <si>
    <t xml:space="preserve">Ff=18 Hz</t>
  </si>
  <si>
    <t xml:space="preserve">New E=6,8E+9</t>
  </si>
  <si>
    <t xml:space="preserve">New E=7.9E+9 Pa / rho = 1390 kg/m3</t>
  </si>
  <si>
    <t xml:space="preserve">Ff=16Hz</t>
  </si>
  <si>
    <t xml:space="preserve">d+ 10°</t>
  </si>
  <si>
    <t xml:space="preserve">d+ 10,78°</t>
  </si>
  <si>
    <t xml:space="preserve">←el primero siempre overshootea con respecto al valor periódico que después agarra</t>
  </si>
  <si>
    <t xml:space="preserve">New E=8,5E+9</t>
  </si>
  <si>
    <t xml:space="preserve">Target</t>
  </si>
  <si>
    <t xml:space="preserve">New E=7.7E+9 Pa / rho = 1390 kg/m3</t>
  </si>
  <si>
    <t xml:space="preserve">Ff=12Hz</t>
  </si>
  <si>
    <t xml:space="preserve">New E=8,1E+9</t>
  </si>
  <si>
    <t xml:space="preserve">Ff=14Hz</t>
  </si>
  <si>
    <t xml:space="preserve">New E=7.9E+9</t>
  </si>
  <si>
    <t xml:space="preserve">E</t>
  </si>
  <si>
    <t xml:space="preserve">rho</t>
  </si>
  <si>
    <t xml:space="preserve">Original dimensions</t>
  </si>
  <si>
    <t xml:space="preserve">n</t>
  </si>
  <si>
    <t xml:space="preserve">Cd</t>
  </si>
  <si>
    <t xml:space="preserve">% Dif</t>
  </si>
  <si>
    <t xml:space="preserve">Cd_mod</t>
  </si>
  <si>
    <t xml:space="preserve">max U</t>
  </si>
  <si>
    <t xml:space="preserve">max p</t>
  </si>
  <si>
    <t xml:space="preserve">-</t>
  </si>
  <si>
    <t xml:space="preserve">Extended outlet</t>
  </si>
  <si>
    <t xml:space="preserve">Geometry</t>
  </si>
  <si>
    <t xml:space="preserve">x_outlet [m]</t>
  </si>
  <si>
    <t xml:space="preserve">Baseline</t>
  </si>
  <si>
    <t xml:space="preserve">Extended 1</t>
  </si>
  <si>
    <t xml:space="preserve">Extended 2</t>
  </si>
  <si>
    <t xml:space="preserve">Extended vertical</t>
  </si>
  <si>
    <t xml:space="preserve">Altura [m]</t>
  </si>
  <si>
    <t xml:space="preserve">Extended inlet</t>
  </si>
  <si>
    <t xml:space="preserve">x_inlet [m]</t>
  </si>
  <si>
    <t xml:space="preserve">Extended all</t>
  </si>
  <si>
    <t xml:space="preserve">Grading (mesh density) near foil and cylinder</t>
  </si>
  <si>
    <t xml:space="preserve">Mesh</t>
  </si>
  <si>
    <t xml:space="preserve">More grading 1</t>
  </si>
  <si>
    <t xml:space="preserve">More grading 2</t>
  </si>
  <si>
    <t xml:space="preserve">U=1,83 m/s</t>
  </si>
  <si>
    <t xml:space="preserve">f [Hz]</t>
  </si>
  <si>
    <t xml:space="preserve">dt [s]</t>
  </si>
  <si>
    <t xml:space="preserve">V=1,45 m/s</t>
  </si>
  <si>
    <t xml:space="preserve">Elementos</t>
  </si>
  <si>
    <t xml:space="preserve">f1 [Hz]</t>
  </si>
  <si>
    <t xml:space="preserve">f2 [Hz]</t>
  </si>
  <si>
    <t xml:space="preserve">f3 [Hz]</t>
  </si>
  <si>
    <t xml:space="preserve">f4 [Hz]</t>
  </si>
  <si>
    <t xml:space="preserve">f5 [Hz]</t>
  </si>
  <si>
    <t xml:space="preserve">Muy Gruesa</t>
  </si>
  <si>
    <t xml:space="preserve">N° de celdas</t>
  </si>
  <si>
    <t xml:space="preserve">Gruesa</t>
  </si>
  <si>
    <t xml:space="preserve">Base</t>
  </si>
  <si>
    <t xml:space="preserve">Fina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</si>
</sst>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0.00E+00"/>
    <numFmt numFmtId="166" formatCode="0.000E+00"/>
    <numFmt numFmtId="167" formatCode="0.00"/>
    <numFmt numFmtId="168" formatCode="0.000"/>
    <numFmt numFmtId="169" formatCode="0.0000E+00"/>
    <numFmt numFmtId="170" formatCode="0.0000"/>
    <numFmt numFmtId="171" formatCode="0"/>
    <numFmt numFmtId="172" formatCode="General"/>
    <numFmt numFmtId="173" formatCode="#,##0.00"/>
    <numFmt numFmtId="174" formatCode="0.000000E+00"/>
    <numFmt numFmtId="175" formatCode="#,##0.000000"/>
    <numFmt numFmtId="176" formatCode="0.00000E+00"/>
    <numFmt numFmtId="177" formatCode="#,##0.0000"/>
    <numFmt numFmtId="178" formatCode="0.00000"/>
    <numFmt numFmtId="179" formatCode="#,##0.0"/>
    <numFmt numFmtId="180" formatCode="#,##0.000"/>
  </numFmts>
  <fonts count="2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000000"/>
      <name val="Ubuntu"/>
      <family val="0"/>
      <charset val="1"/>
    </font>
    <font>
      <sz val="10"/>
      <color rgb="FF000000"/>
      <name val="Ubuntu"/>
      <family val="0"/>
      <charset val="1"/>
    </font>
    <font>
      <sz val="11"/>
      <color rgb="FF000000"/>
      <name val="Ubuntu"/>
      <family val="0"/>
      <charset val="1"/>
    </font>
    <font>
      <b val="true"/>
      <sz val="11"/>
      <color rgb="FF000000"/>
      <name val="Ubuntu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libri"/>
      <family val="2"/>
    </font>
    <font>
      <b val="true"/>
      <sz val="14"/>
      <color rgb="FF000000"/>
      <name val="Calibri"/>
      <family val="2"/>
    </font>
    <font>
      <sz val="10"/>
      <name val="Arial"/>
      <family val="2"/>
    </font>
    <font>
      <sz val="10.5"/>
      <name val="Arial"/>
      <family val="2"/>
    </font>
    <font>
      <sz val="9"/>
      <name val="Arial"/>
      <family val="2"/>
    </font>
    <font>
      <b val="true"/>
      <sz val="14"/>
      <color rgb="FF000000"/>
      <name val="Ubuntu"/>
      <family val="0"/>
      <charset val="1"/>
    </font>
    <font>
      <sz val="11"/>
      <color rgb="FF00000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9D9D9"/>
      </patternFill>
    </fill>
    <fill>
      <patternFill patternType="solid">
        <fgColor rgb="FFCC0000"/>
        <bgColor rgb="FF800000"/>
      </patternFill>
    </fill>
    <fill>
      <patternFill patternType="solid">
        <fgColor rgb="FF158466"/>
        <bgColor rgb="FF008080"/>
      </patternFill>
    </fill>
    <fill>
      <patternFill patternType="solid">
        <fgColor rgb="FF8D1D75"/>
        <bgColor rgb="FF993366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4" fillId="8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1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1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9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Result 12" xfId="28"/>
    <cellStyle name="Status 13" xfId="29"/>
    <cellStyle name="Text 14" xfId="30"/>
    <cellStyle name="Warning 15" xfId="31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158466"/>
      <rgbColor rgb="FFBFBFBF"/>
      <rgbColor rgb="FF808080"/>
      <rgbColor rgb="FF9999FF"/>
      <rgbColor rgb="FF8D1D75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83CAFF"/>
      <rgbColor rgb="FFFF99CC"/>
      <rgbColor rgb="FFCC99FF"/>
      <rgbColor rgb="FFFFCC99"/>
      <rgbColor rgb="FF4472C4"/>
      <rgbColor rgb="FF33CCCC"/>
      <rgbColor rgb="FFAECF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'UR0.29'!$D$13</c:f>
              <c:strCache>
                <c:ptCount val="1"/>
                <c:pt idx="0">
                  <c:v>UR029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diamond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'UR0.29'!$E$15:$E$21</c:f>
              <c:numCache>
                <c:formatCode>General</c:formatCode>
                <c:ptCount val="7"/>
                <c:pt idx="0">
                  <c:v>0.6519967400163</c:v>
                </c:pt>
                <c:pt idx="1">
                  <c:v>0.814995925020375</c:v>
                </c:pt>
                <c:pt idx="2">
                  <c:v>0.97799511002445</c:v>
                </c:pt>
                <c:pt idx="3">
                  <c:v>1.14099429502853</c:v>
                </c:pt>
                <c:pt idx="4">
                  <c:v>1.3039934800326</c:v>
                </c:pt>
                <c:pt idx="5">
                  <c:v>1.46699266503668</c:v>
                </c:pt>
                <c:pt idx="6">
                  <c:v>1.62999185004075</c:v>
                </c:pt>
              </c:numCache>
            </c:numRef>
          </c:xVal>
          <c:yVal>
            <c:numRef>
              <c:f>'UR0.29'!$P$15:$P$21</c:f>
              <c:numCache>
                <c:formatCode>General</c:formatCode>
                <c:ptCount val="7"/>
                <c:pt idx="0">
                  <c:v>1.52626141431146</c:v>
                </c:pt>
                <c:pt idx="1">
                  <c:v>1.88897782666158</c:v>
                </c:pt>
                <c:pt idx="2">
                  <c:v>1.91677654611556</c:v>
                </c:pt>
                <c:pt idx="3">
                  <c:v>1.61887480295282</c:v>
                </c:pt>
                <c:pt idx="4">
                  <c:v>1.23620896246394</c:v>
                </c:pt>
                <c:pt idx="5">
                  <c:v>0.928395963036935</c:v>
                </c:pt>
                <c:pt idx="6">
                  <c:v>0.734896121052445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'UR0.29'!$D$23</c:f>
              <c:strCache>
                <c:ptCount val="1"/>
                <c:pt idx="0">
                  <c:v>UR054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'UR0.29'!$E$25:$E$31</c:f>
              <c:numCache>
                <c:formatCode>General</c:formatCode>
                <c:ptCount val="7"/>
                <c:pt idx="0">
                  <c:v>0.6519967400163</c:v>
                </c:pt>
                <c:pt idx="1">
                  <c:v>0.814995925020375</c:v>
                </c:pt>
                <c:pt idx="2">
                  <c:v>0.97799511002445</c:v>
                </c:pt>
                <c:pt idx="3">
                  <c:v>1.14099429502853</c:v>
                </c:pt>
                <c:pt idx="4">
                  <c:v>1.3039934800326</c:v>
                </c:pt>
                <c:pt idx="5">
                  <c:v>1.46699266503668</c:v>
                </c:pt>
                <c:pt idx="6">
                  <c:v>1.62999185004075</c:v>
                </c:pt>
              </c:numCache>
            </c:numRef>
          </c:xVal>
          <c:yVal>
            <c:numRef>
              <c:f>'UR0.29'!$P$25:$P$31</c:f>
              <c:numCache>
                <c:formatCode>General</c:formatCode>
                <c:ptCount val="7"/>
                <c:pt idx="0">
                  <c:v>1.36277577751828</c:v>
                </c:pt>
                <c:pt idx="1">
                  <c:v>1.70453223172055</c:v>
                </c:pt>
                <c:pt idx="2">
                  <c:v>1.7233861799834</c:v>
                </c:pt>
                <c:pt idx="3">
                  <c:v>1.51412506624445</c:v>
                </c:pt>
                <c:pt idx="4">
                  <c:v>1.21678238433732</c:v>
                </c:pt>
                <c:pt idx="5">
                  <c:v>0.978362778804571</c:v>
                </c:pt>
                <c:pt idx="6">
                  <c:v>0.788944094757282</c:v>
                </c:pt>
              </c:numCache>
            </c:numRef>
          </c:yVal>
          <c:smooth val="1"/>
        </c:ser>
        <c:axId val="19918206"/>
        <c:axId val="35527374"/>
      </c:scatterChart>
      <c:valAx>
        <c:axId val="19918206"/>
        <c:scaling>
          <c:orientation val="minMax"/>
          <c:max val="1.8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f+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527374"/>
        <c:crosses val="autoZero"/>
        <c:crossBetween val="midCat"/>
        <c:majorUnit val="0.1"/>
      </c:valAx>
      <c:valAx>
        <c:axId val="355273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d+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918206"/>
        <c:crossesAt val="0"/>
        <c:crossBetween val="midCat"/>
        <c:majorUnit val="0.25"/>
        <c:minorUnit val="0.0416666666666667"/>
      </c:valAx>
      <c:spPr>
        <a:noFill/>
        <a:ln>
          <a:noFill/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cdplanilla</c:f>
              <c:strCache>
                <c:ptCount val="1"/>
                <c:pt idx="0">
                  <c:v>cdplanilla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'UR0.29'!$E$15:$E$21</c:f>
              <c:strCache>
                <c:ptCount val="7"/>
                <c:pt idx="0">
                  <c:v>0.65</c:v>
                </c:pt>
                <c:pt idx="1">
                  <c:v>0.81</c:v>
                </c:pt>
                <c:pt idx="2">
                  <c:v>0.98</c:v>
                </c:pt>
                <c:pt idx="3">
                  <c:v>1.14</c:v>
                </c:pt>
                <c:pt idx="4">
                  <c:v>1.30</c:v>
                </c:pt>
                <c:pt idx="5">
                  <c:v>1.47</c:v>
                </c:pt>
                <c:pt idx="6">
                  <c:v>1.63</c:v>
                </c:pt>
              </c:strCache>
            </c:strRef>
          </c:cat>
          <c:val>
            <c:numRef>
              <c:f>'UR0.29'!$O$15:$O$21</c:f>
              <c:numCache>
                <c:formatCode>General</c:formatCode>
                <c:ptCount val="7"/>
                <c:pt idx="0">
                  <c:v>0.297202351395596</c:v>
                </c:pt>
                <c:pt idx="1">
                  <c:v>0.1268</c:v>
                </c:pt>
                <c:pt idx="2">
                  <c:v>-0.1184</c:v>
                </c:pt>
                <c:pt idx="3">
                  <c:v>-0.1812</c:v>
                </c:pt>
                <c:pt idx="4">
                  <c:v>-0.093</c:v>
                </c:pt>
                <c:pt idx="5">
                  <c:v>-0.012637550314478</c:v>
                </c:pt>
                <c:pt idx="6">
                  <c:v>0.0624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cdscript</c:f>
              <c:strCache>
                <c:ptCount val="1"/>
                <c:pt idx="0">
                  <c:v>cdscript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'UR0.29'!$E$15:$E$21</c:f>
              <c:strCache>
                <c:ptCount val="7"/>
                <c:pt idx="0">
                  <c:v>0.65</c:v>
                </c:pt>
                <c:pt idx="1">
                  <c:v>0.81</c:v>
                </c:pt>
                <c:pt idx="2">
                  <c:v>0.98</c:v>
                </c:pt>
                <c:pt idx="3">
                  <c:v>1.14</c:v>
                </c:pt>
                <c:pt idx="4">
                  <c:v>1.30</c:v>
                </c:pt>
                <c:pt idx="5">
                  <c:v>1.47</c:v>
                </c:pt>
                <c:pt idx="6">
                  <c:v>1.63</c:v>
                </c:pt>
              </c:strCache>
            </c:strRef>
          </c:cat>
          <c:val>
            <c:numRef>
              <c:f>'UR0.29'!$N$15:$N$21</c:f>
              <c:numCache>
                <c:formatCode>General</c:formatCode>
                <c:ptCount val="7"/>
                <c:pt idx="0">
                  <c:v>0.3</c:v>
                </c:pt>
                <c:pt idx="1">
                  <c:v>0.135</c:v>
                </c:pt>
                <c:pt idx="2">
                  <c:v>-0.121</c:v>
                </c:pt>
                <c:pt idx="3">
                  <c:v>-0.185</c:v>
                </c:pt>
                <c:pt idx="4">
                  <c:v>-0.106</c:v>
                </c:pt>
                <c:pt idx="5">
                  <c:v>-0.011</c:v>
                </c:pt>
                <c:pt idx="6">
                  <c:v>0.061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3602018"/>
        <c:axId val="43336868"/>
      </c:lineChart>
      <c:catAx>
        <c:axId val="636020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50" spc="-1" strike="noStrike">
                <a:latin typeface="Arial"/>
              </a:defRPr>
            </a:pPr>
          </a:p>
        </c:txPr>
        <c:crossAx val="43336868"/>
        <c:crosses val="autoZero"/>
        <c:auto val="1"/>
        <c:lblAlgn val="ctr"/>
        <c:lblOffset val="100"/>
        <c:noMultiLvlLbl val="0"/>
      </c:catAx>
      <c:valAx>
        <c:axId val="433368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C_D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6020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'UR0.29'!$Z$29:$Z$29</c:f>
              <c:strCache>
                <c:ptCount val="1"/>
                <c:pt idx="0">
                  <c:v>E=7E+9 / 1000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'UR0.29'!$T$30:$T$32</c:f>
              <c:numCache>
                <c:formatCode>General</c:formatCode>
                <c:ptCount val="3"/>
                <c:pt idx="0">
                  <c:v>0.97799511002445</c:v>
                </c:pt>
                <c:pt idx="1">
                  <c:v>1.14099429502853</c:v>
                </c:pt>
                <c:pt idx="2">
                  <c:v>1.3039934800326</c:v>
                </c:pt>
              </c:numCache>
            </c:numRef>
          </c:xVal>
          <c:yVal>
            <c:numRef>
              <c:f>'UR0.29'!$Z$30:$Z$32</c:f>
              <c:numCache>
                <c:formatCode>General</c:formatCode>
                <c:ptCount val="3"/>
                <c:pt idx="0">
                  <c:v>1.61290009466266</c:v>
                </c:pt>
                <c:pt idx="1">
                  <c:v>1.72030354365754</c:v>
                </c:pt>
                <c:pt idx="2">
                  <c:v>1.66086579368754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'UR0.29'!$V$73:$V$73</c:f>
              <c:strCache>
                <c:ptCount val="1"/>
                <c:pt idx="0">
                  <c:v>E=5.6E+9 / 1623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'UR0.29'!$E$16:$E$21</c:f>
              <c:numCache>
                <c:formatCode>General</c:formatCode>
                <c:ptCount val="6"/>
                <c:pt idx="0">
                  <c:v>0.814995925020375</c:v>
                </c:pt>
                <c:pt idx="1">
                  <c:v>0.97799511002445</c:v>
                </c:pt>
                <c:pt idx="2">
                  <c:v>1.14099429502853</c:v>
                </c:pt>
                <c:pt idx="3">
                  <c:v>1.3039934800326</c:v>
                </c:pt>
                <c:pt idx="4">
                  <c:v>1.46699266503668</c:v>
                </c:pt>
                <c:pt idx="5">
                  <c:v>1.62999185004075</c:v>
                </c:pt>
              </c:numCache>
            </c:numRef>
          </c:xVal>
          <c:yVal>
            <c:numRef>
              <c:f>'UR0.29'!$P$16:$P$21</c:f>
              <c:numCache>
                <c:formatCode>General</c:formatCode>
                <c:ptCount val="6"/>
                <c:pt idx="0">
                  <c:v>1.88897782666158</c:v>
                </c:pt>
                <c:pt idx="1">
                  <c:v>1.91677654611556</c:v>
                </c:pt>
                <c:pt idx="2">
                  <c:v>1.61887480295282</c:v>
                </c:pt>
                <c:pt idx="3">
                  <c:v>1.23620896246394</c:v>
                </c:pt>
                <c:pt idx="4">
                  <c:v>0.928395963036935</c:v>
                </c:pt>
                <c:pt idx="5">
                  <c:v>0.734896121052445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'UR0.29'!$V$29:$V$29</c:f>
              <c:strCache>
                <c:ptCount val="1"/>
                <c:pt idx="0">
                  <c:v>E=8E+9 / 1623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'UR0.29'!$T$30:$T$32</c:f>
              <c:numCache>
                <c:formatCode>General</c:formatCode>
                <c:ptCount val="3"/>
                <c:pt idx="0">
                  <c:v>0.97799511002445</c:v>
                </c:pt>
                <c:pt idx="1">
                  <c:v>1.14099429502853</c:v>
                </c:pt>
                <c:pt idx="2">
                  <c:v>1.3039934800326</c:v>
                </c:pt>
              </c:numCache>
            </c:numRef>
          </c:xVal>
          <c:yVal>
            <c:numRef>
              <c:f>'UR0.29'!$V$30:$V$32</c:f>
              <c:numCache>
                <c:formatCode>General</c:formatCode>
                <c:ptCount val="3"/>
                <c:pt idx="0">
                  <c:v>1.95834478184374</c:v>
                </c:pt>
                <c:pt idx="2">
                  <c:v>1.77042311642844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'UR0.29'!$X$29:$X$29</c:f>
              <c:strCache>
                <c:ptCount val="1"/>
                <c:pt idx="0">
                  <c:v>E=7,5E+9 / 1325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'UR0.29'!$T$30:$T$32</c:f>
              <c:numCache>
                <c:formatCode>General</c:formatCode>
                <c:ptCount val="3"/>
                <c:pt idx="0">
                  <c:v>0.97799511002445</c:v>
                </c:pt>
                <c:pt idx="1">
                  <c:v>1.14099429502853</c:v>
                </c:pt>
                <c:pt idx="2">
                  <c:v>1.3039934800326</c:v>
                </c:pt>
              </c:numCache>
            </c:numRef>
          </c:xVal>
          <c:yVal>
            <c:numRef>
              <c:f>'UR0.29'!$X$30:$X$32</c:f>
              <c:numCache>
                <c:formatCode>General</c:formatCode>
                <c:ptCount val="3"/>
                <c:pt idx="0">
                  <c:v>1.79643763408429</c:v>
                </c:pt>
                <c:pt idx="1">
                  <c:v>1.8822717942183</c:v>
                </c:pt>
                <c:pt idx="2">
                  <c:v>1.75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'UR0.29'!$AA$29:$AA$29</c:f>
              <c:strCache>
                <c:ptCount val="1"/>
                <c:pt idx="0">
                  <c:v>E=7.4E+9 / 1000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'UR0.29'!$T$30:$T$32</c:f>
              <c:numCache>
                <c:formatCode>General</c:formatCode>
                <c:ptCount val="3"/>
                <c:pt idx="0">
                  <c:v>0.97799511002445</c:v>
                </c:pt>
                <c:pt idx="1">
                  <c:v>1.14099429502853</c:v>
                </c:pt>
                <c:pt idx="2">
                  <c:v>1.3039934800326</c:v>
                </c:pt>
              </c:numCache>
            </c:numRef>
          </c:xVal>
          <c:yVal>
            <c:numRef>
              <c:f>'UR0.29'!$AA$30:$AA$32</c:f>
              <c:numCache>
                <c:formatCode>General</c:formatCode>
                <c:ptCount val="3"/>
                <c:pt idx="0">
                  <c:v>1.5894824460623</c:v>
                </c:pt>
                <c:pt idx="2">
                  <c:v>1.69242539056187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experimental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'UR0.29'!$U$45:$U$53</c:f>
              <c:numCache>
                <c:formatCode>General</c:formatCode>
                <c:ptCount val="9"/>
                <c:pt idx="0">
                  <c:v>0.488838194557601</c:v>
                </c:pt>
                <c:pt idx="1">
                  <c:v>0.651784259410135</c:v>
                </c:pt>
                <c:pt idx="2">
                  <c:v>0.814730324262669</c:v>
                </c:pt>
                <c:pt idx="3">
                  <c:v>0.977676389115203</c:v>
                </c:pt>
                <c:pt idx="4">
                  <c:v>1.14062245396774</c:v>
                </c:pt>
                <c:pt idx="5">
                  <c:v>1.30356851882027</c:v>
                </c:pt>
                <c:pt idx="6">
                  <c:v>1.4665145836728</c:v>
                </c:pt>
                <c:pt idx="7">
                  <c:v>1.62946064852534</c:v>
                </c:pt>
                <c:pt idx="8">
                  <c:v>1.79240671337787</c:v>
                </c:pt>
              </c:numCache>
            </c:numRef>
          </c:xVal>
          <c:yVal>
            <c:numRef>
              <c:f>'UR0.29'!$V$45:$V$53</c:f>
              <c:numCache>
                <c:formatCode>General</c:formatCode>
                <c:ptCount val="9"/>
                <c:pt idx="0">
                  <c:v>0.984673710116129</c:v>
                </c:pt>
                <c:pt idx="1">
                  <c:v>1.07883213620503</c:v>
                </c:pt>
                <c:pt idx="2">
                  <c:v>1.20171686177868</c:v>
                </c:pt>
                <c:pt idx="3">
                  <c:v>1.51770615611092</c:v>
                </c:pt>
                <c:pt idx="4">
                  <c:v>1.71879025250417</c:v>
                </c:pt>
                <c:pt idx="5">
                  <c:v>1.7203861580311</c:v>
                </c:pt>
                <c:pt idx="6">
                  <c:v>1.64059088168457</c:v>
                </c:pt>
                <c:pt idx="7">
                  <c:v>1.48100032899152</c:v>
                </c:pt>
                <c:pt idx="8">
                  <c:v>1.28647452979585</c:v>
                </c:pt>
              </c:numCache>
            </c:numRef>
          </c:yVal>
          <c:smooth val="1"/>
        </c:ser>
        <c:axId val="84058268"/>
        <c:axId val="40674510"/>
      </c:scatterChart>
      <c:valAx>
        <c:axId val="84058268"/>
        <c:scaling>
          <c:orientation val="minMax"/>
          <c:max val="1.8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f+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674510"/>
        <c:crosses val="autoZero"/>
        <c:crossBetween val="midCat"/>
        <c:majorUnit val="0.1"/>
      </c:valAx>
      <c:valAx>
        <c:axId val="406745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d+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05826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314280</xdr:colOff>
      <xdr:row>33</xdr:row>
      <xdr:rowOff>173160</xdr:rowOff>
    </xdr:from>
    <xdr:to>
      <xdr:col>14</xdr:col>
      <xdr:colOff>479880</xdr:colOff>
      <xdr:row>70</xdr:row>
      <xdr:rowOff>144360</xdr:rowOff>
    </xdr:to>
    <xdr:graphicFrame>
      <xdr:nvGraphicFramePr>
        <xdr:cNvPr id="0" name="Chart 3"/>
        <xdr:cNvGraphicFramePr/>
      </xdr:nvGraphicFramePr>
      <xdr:xfrm>
        <a:off x="3426840" y="5956560"/>
        <a:ext cx="9152640" cy="645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381960</xdr:colOff>
      <xdr:row>78</xdr:row>
      <xdr:rowOff>112320</xdr:rowOff>
    </xdr:from>
    <xdr:to>
      <xdr:col>13</xdr:col>
      <xdr:colOff>181080</xdr:colOff>
      <xdr:row>104</xdr:row>
      <xdr:rowOff>30240</xdr:rowOff>
    </xdr:to>
    <xdr:graphicFrame>
      <xdr:nvGraphicFramePr>
        <xdr:cNvPr id="1" name=""/>
        <xdr:cNvGraphicFramePr/>
      </xdr:nvGraphicFramePr>
      <xdr:xfrm>
        <a:off x="3494520" y="13782600"/>
        <a:ext cx="7965360" cy="447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2160</xdr:colOff>
      <xdr:row>75</xdr:row>
      <xdr:rowOff>1080</xdr:rowOff>
    </xdr:from>
    <xdr:to>
      <xdr:col>26</xdr:col>
      <xdr:colOff>1037160</xdr:colOff>
      <xdr:row>113</xdr:row>
      <xdr:rowOff>108720</xdr:rowOff>
    </xdr:to>
    <xdr:graphicFrame>
      <xdr:nvGraphicFramePr>
        <xdr:cNvPr id="2" name="Chart 3_0"/>
        <xdr:cNvGraphicFramePr/>
      </xdr:nvGraphicFramePr>
      <xdr:xfrm>
        <a:off x="17106480" y="13145400"/>
        <a:ext cx="9265680" cy="676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7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9" activeCellId="0" sqref="G9"/>
    </sheetView>
  </sheetViews>
  <sheetFormatPr defaultColWidth="8.59375" defaultRowHeight="13.8" zeroHeight="false" outlineLevelRow="0" outlineLevelCol="0"/>
  <cols>
    <col collapsed="false" customWidth="true" hidden="false" outlineLevel="0" max="1" min="1" style="0" width="19"/>
    <col collapsed="false" customWidth="true" hidden="false" outlineLevel="0" max="10" min="2" style="0" width="10.61"/>
    <col collapsed="false" customWidth="true" hidden="false" outlineLevel="0" max="11" min="11" style="0" width="10.75"/>
    <col collapsed="false" customWidth="true" hidden="false" outlineLevel="0" max="12" min="12" style="0" width="10"/>
    <col collapsed="false" customWidth="true" hidden="false" outlineLevel="0" max="13" min="13" style="0" width="10.5"/>
    <col collapsed="false" customWidth="true" hidden="false" outlineLevel="0" max="14" min="14" style="0" width="10.61"/>
    <col collapsed="false" customWidth="true" hidden="false" outlineLevel="0" max="15" min="15" style="0" width="11.62"/>
    <col collapsed="false" customWidth="true" hidden="false" outlineLevel="0" max="20" min="16" style="0" width="10.61"/>
    <col collapsed="false" customWidth="true" hidden="false" outlineLevel="0" max="21" min="21" style="0" width="17.81"/>
    <col collapsed="false" customWidth="true" hidden="false" outlineLevel="0" max="22" min="22" style="0" width="17.67"/>
    <col collapsed="false" customWidth="true" hidden="false" outlineLevel="0" max="23" min="23" style="0" width="19.36"/>
    <col collapsed="false" customWidth="true" hidden="false" outlineLevel="0" max="24" min="24" style="0" width="15.41"/>
    <col collapsed="false" customWidth="true" hidden="false" outlineLevel="0" max="25" min="25" style="0" width="22.22"/>
    <col collapsed="false" customWidth="true" hidden="false" outlineLevel="0" max="26" min="26" style="0" width="13.87"/>
    <col collapsed="false" customWidth="true" hidden="false" outlineLevel="0" max="27" min="27" style="0" width="15.41"/>
  </cols>
  <sheetData>
    <row r="1" customFormat="false" ht="13.8" hidden="false" customHeight="false" outlineLevel="0" collapsed="false">
      <c r="A1" s="1" t="s">
        <v>0</v>
      </c>
      <c r="B1" s="2" t="n">
        <v>0.035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3.8" hidden="false" customHeight="false" outlineLevel="0" collapsed="false">
      <c r="A2" s="4" t="s">
        <v>1</v>
      </c>
      <c r="B2" s="5" t="n">
        <v>5E-005</v>
      </c>
      <c r="C2" s="3" t="n">
        <f aca="false">B2*1.5</f>
        <v>7.5E-005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3.8" hidden="false" customHeight="false" outlineLevel="0" collapsed="false">
      <c r="A3" s="4" t="s">
        <v>2</v>
      </c>
      <c r="B3" s="6" t="n">
        <v>0.16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13.8" hidden="false" customHeight="false" outlineLevel="0" collapsed="false">
      <c r="A4" s="4" t="s">
        <v>3</v>
      </c>
      <c r="B4" s="5" t="n">
        <v>5600000000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3.8" hidden="false" customHeight="false" outlineLevel="0" collapsed="false">
      <c r="A5" s="4" t="s">
        <v>4</v>
      </c>
      <c r="B5" s="6" t="n">
        <v>1623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13.8" hidden="false" customHeight="false" outlineLevel="0" collapsed="false">
      <c r="A6" s="4" t="s">
        <v>5</v>
      </c>
      <c r="B6" s="7" t="n">
        <f aca="false">B2^3/12</f>
        <v>1.04166666666667E-014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13.8" hidden="false" customHeight="false" outlineLevel="0" collapsed="false">
      <c r="A7" s="4" t="s">
        <v>6</v>
      </c>
      <c r="B7" s="7" t="n">
        <f aca="false">B6*B4</f>
        <v>5.83333333333333E-005</v>
      </c>
      <c r="C7" s="3"/>
      <c r="D7" s="8" t="n">
        <f aca="false">(4805000000)*(B2)^3/(12*(1-0.38^2))</f>
        <v>5.84993961352657E-005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customFormat="false" ht="13.8" hidden="false" customHeight="false" outlineLevel="0" collapsed="false">
      <c r="A8" s="4" t="s">
        <v>7</v>
      </c>
      <c r="B8" s="9" t="n">
        <f aca="false">(1/(2*PI()))*1.875^2*SQRT(B7/(B5*B2*B1^4))</f>
        <v>12.246182350683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customFormat="false" ht="13.8" hidden="false" customHeight="false" outlineLevel="0" collapsed="false">
      <c r="A9" s="4" t="s">
        <v>8</v>
      </c>
      <c r="B9" s="9" t="n">
        <f aca="false">2*PI()*B8</f>
        <v>76.9450330148531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customFormat="false" ht="13.8" hidden="false" customHeight="false" outlineLevel="0" collapsed="false">
      <c r="A10" s="10" t="s">
        <v>9</v>
      </c>
      <c r="B10" s="11" t="n">
        <f aca="false">0.035*SIN(RADIANS(10))*1000</f>
        <v>6.07768621834256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customFormat="false" ht="13.8" hidden="false" customHeight="false" outlineLevel="0" collapsed="false">
      <c r="A11" s="12" t="s">
        <v>10</v>
      </c>
      <c r="B11" s="13" t="n">
        <f aca="false">B9*B1</f>
        <v>2.69307615551986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3.8" hidden="false" customHeight="false" outlineLevel="0" collapsed="false">
      <c r="A12" s="12" t="s">
        <v>11</v>
      </c>
      <c r="B12" s="14" t="n">
        <v>1.51E-005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3.8" hidden="false" customHeight="false" outlineLevel="0" collapsed="false">
      <c r="A13" s="15" t="s">
        <v>12</v>
      </c>
      <c r="B13" s="16" t="n">
        <f aca="false">2*(B10/1000)*B3</f>
        <v>0.00194485958986962</v>
      </c>
      <c r="C13" s="3"/>
      <c r="D13" s="3" t="s">
        <v>13</v>
      </c>
      <c r="E13" s="3"/>
      <c r="F13" s="3"/>
      <c r="G13" s="3"/>
      <c r="H13" s="3"/>
      <c r="I13" s="3"/>
      <c r="J13" s="17"/>
      <c r="K13" s="3"/>
      <c r="L13" s="3"/>
      <c r="M13" s="3"/>
      <c r="N13" s="3"/>
      <c r="O13" s="3"/>
      <c r="P13" s="3"/>
      <c r="Q13" s="18" t="s">
        <v>14</v>
      </c>
      <c r="R13" s="18"/>
      <c r="S13" s="3"/>
      <c r="T13" s="3"/>
      <c r="U13" s="3"/>
      <c r="V13" s="3"/>
      <c r="W13" s="3"/>
      <c r="X13" s="3"/>
      <c r="Y13" s="3"/>
    </row>
    <row r="14" customFormat="false" ht="13.8" hidden="false" customHeight="false" outlineLevel="0" collapsed="false">
      <c r="A14" s="3"/>
      <c r="B14" s="3"/>
      <c r="C14" s="3"/>
      <c r="D14" s="19" t="s">
        <v>15</v>
      </c>
      <c r="E14" s="19" t="s">
        <v>16</v>
      </c>
      <c r="F14" s="19" t="s">
        <v>17</v>
      </c>
      <c r="G14" s="19" t="s">
        <v>18</v>
      </c>
      <c r="H14" s="19" t="s">
        <v>19</v>
      </c>
      <c r="I14" s="19" t="s">
        <v>20</v>
      </c>
      <c r="J14" s="19" t="s">
        <v>21</v>
      </c>
      <c r="K14" s="19" t="s">
        <v>22</v>
      </c>
      <c r="L14" s="19" t="s">
        <v>23</v>
      </c>
      <c r="M14" s="20" t="s">
        <v>24</v>
      </c>
      <c r="N14" s="19" t="s">
        <v>25</v>
      </c>
      <c r="O14" s="21" t="s">
        <v>26</v>
      </c>
      <c r="P14" s="21" t="s">
        <v>27</v>
      </c>
      <c r="Q14" s="21" t="s">
        <v>28</v>
      </c>
      <c r="R14" s="21" t="s">
        <v>29</v>
      </c>
      <c r="S14" s="22" t="s">
        <v>30</v>
      </c>
      <c r="T14" s="23" t="s">
        <v>31</v>
      </c>
      <c r="U14" s="24" t="s">
        <v>32</v>
      </c>
      <c r="V14" s="24" t="s">
        <v>33</v>
      </c>
      <c r="W14" s="23" t="s">
        <v>34</v>
      </c>
      <c r="X14" s="23" t="s">
        <v>35</v>
      </c>
      <c r="Y14" s="23" t="s">
        <v>36</v>
      </c>
      <c r="AA14" s="0" t="s">
        <v>37</v>
      </c>
    </row>
    <row r="15" customFormat="false" ht="13.8" hidden="false" customHeight="false" outlineLevel="0" collapsed="false">
      <c r="A15" s="3"/>
      <c r="B15" s="3"/>
      <c r="C15" s="3"/>
      <c r="D15" s="25" t="n">
        <v>8</v>
      </c>
      <c r="E15" s="26" t="n">
        <f aca="false">D15/12.27</f>
        <v>0.6519967400163</v>
      </c>
      <c r="F15" s="27" t="n">
        <v>0.83</v>
      </c>
      <c r="G15" s="28" t="n">
        <f aca="false">F15/$B$11</f>
        <v>0.308197745651861</v>
      </c>
      <c r="H15" s="29" t="n">
        <f aca="false">AVERAGE(DataAmplitudes!J4:J9)</f>
        <v>9.99143333333334</v>
      </c>
      <c r="I15" s="30" t="n">
        <f aca="false">H15/$B$10</f>
        <v>1.64395346755135</v>
      </c>
      <c r="J15" s="31" t="n">
        <f aca="false">$F$15*$B$1/$B$12</f>
        <v>1923.84105960265</v>
      </c>
      <c r="K15" s="31" t="n">
        <f aca="false">$F$15*2*(H15/1000)/$B$12</f>
        <v>1098.39598233996</v>
      </c>
      <c r="L15" s="32" t="n">
        <f aca="false">D15*2*(H15/1000)/$F$15</f>
        <v>0.1926059437751</v>
      </c>
      <c r="M15" s="33" t="n">
        <f aca="false">2*D15*($B$10/1000)/$F$15</f>
        <v>0.117160216257206</v>
      </c>
      <c r="N15" s="34" t="n">
        <v>0.3</v>
      </c>
      <c r="O15" s="35" t="n">
        <v>0.297202351395596</v>
      </c>
      <c r="P15" s="35" t="n">
        <f aca="false">H15/(1000*SIN(RADIANS(10.78))*0.035)</f>
        <v>1.52626141431146</v>
      </c>
      <c r="Q15" s="36" t="n">
        <f aca="false">2*H15/2</f>
        <v>9.99143333333334</v>
      </c>
      <c r="R15" s="37" t="n">
        <f aca="false">E15*0.002/$F$15</f>
        <v>0.00157107648196699</v>
      </c>
      <c r="S15" s="38" t="n">
        <f aca="false">2*D15*$B$1*SIN(RADIANS(10))/$F$15</f>
        <v>0.117160216257206</v>
      </c>
      <c r="T15" s="39" t="n">
        <f aca="false">J15</f>
        <v>1923.84105960265</v>
      </c>
      <c r="U15" s="3"/>
      <c r="V15" s="3"/>
      <c r="W15" s="17"/>
      <c r="X15" s="40" t="n">
        <f aca="false">$W$16/D15</f>
        <v>1.82301212061301</v>
      </c>
      <c r="Y15" s="41" t="n">
        <f aca="false">(2*H15)/(1000*$B$1)</f>
        <v>0.570939047619048</v>
      </c>
    </row>
    <row r="16" customFormat="false" ht="13.8" hidden="false" customHeight="false" outlineLevel="0" collapsed="false">
      <c r="A16" s="3"/>
      <c r="B16" s="3"/>
      <c r="C16" s="3"/>
      <c r="D16" s="25" t="n">
        <v>10</v>
      </c>
      <c r="E16" s="26" t="n">
        <f aca="false">D16/12.27</f>
        <v>0.814995925020375</v>
      </c>
      <c r="F16" s="27"/>
      <c r="G16" s="28"/>
      <c r="H16" s="30" t="n">
        <f aca="false">AVERAGE(DataAmplitudes!D4:D7)</f>
        <v>12.3659</v>
      </c>
      <c r="I16" s="30" t="n">
        <f aca="false">H16/$B$10</f>
        <v>2.03463942621445</v>
      </c>
      <c r="J16" s="31" t="n">
        <f aca="false">$F$15*$B$1/$B$12</f>
        <v>1923.84105960265</v>
      </c>
      <c r="K16" s="31" t="n">
        <f aca="false">$F$15*2*(H16/1000)/$B$12</f>
        <v>1359.43006622517</v>
      </c>
      <c r="L16" s="32" t="n">
        <f aca="false">D16*2*(H16/1000)/$F$15</f>
        <v>0.297973493975904</v>
      </c>
      <c r="M16" s="33" t="n">
        <f aca="false">2*D16*($B$10/1000)/$F$15</f>
        <v>0.146450270321508</v>
      </c>
      <c r="N16" s="34" t="n">
        <v>0.135</v>
      </c>
      <c r="O16" s="42" t="n">
        <v>0.1268</v>
      </c>
      <c r="P16" s="35" t="n">
        <f aca="false">H16/(1000*SIN(RADIANS(10.78))*0.035)</f>
        <v>1.88897782666158</v>
      </c>
      <c r="Q16" s="35" t="n">
        <f aca="false">2*H16/2</f>
        <v>12.3659</v>
      </c>
      <c r="R16" s="43" t="n">
        <f aca="false">E16*0.002/$F$15</f>
        <v>0.00196384560245873</v>
      </c>
      <c r="S16" s="38" t="n">
        <f aca="false">2*D16*$B$1*SIN(RADIANS(10))/$F$15</f>
        <v>0.146450270321508</v>
      </c>
      <c r="T16" s="39" t="n">
        <f aca="false">J16</f>
        <v>1923.84105960265</v>
      </c>
      <c r="U16" s="44" t="n">
        <f aca="false">B3/B1</f>
        <v>4.57142857142857</v>
      </c>
      <c r="V16" s="45" t="n">
        <f aca="false">(1+0.74273*$U$16+0.14862*$U$16^2)/(1+0.74273*$U$16+0.35004*$U$16^2+0.058364*$U$16^4)</f>
        <v>0.201647874132701</v>
      </c>
      <c r="W16" s="46" t="n">
        <f aca="false">17.3*(1/SQRT(1+(PI()*1.205*0.16)/(4*1000*C2)*V16))</f>
        <v>14.5840969649041</v>
      </c>
      <c r="X16" s="40" t="n">
        <f aca="false">$W$16/D16</f>
        <v>1.45840969649041</v>
      </c>
      <c r="Y16" s="41" t="n">
        <f aca="false">(2*H16)/(1000*$B$1)</f>
        <v>0.706622857142857</v>
      </c>
    </row>
    <row r="17" customFormat="false" ht="13.8" hidden="false" customHeight="false" outlineLevel="0" collapsed="false">
      <c r="A17" s="3"/>
      <c r="B17" s="3"/>
      <c r="C17" s="3"/>
      <c r="D17" s="47" t="n">
        <v>12</v>
      </c>
      <c r="E17" s="26" t="n">
        <f aca="false">D17/12.27</f>
        <v>0.97799511002445</v>
      </c>
      <c r="F17" s="27"/>
      <c r="G17" s="28"/>
      <c r="H17" s="30" t="n">
        <f aca="false">AVERAGE(DataAmplitudes!B4:B8)</f>
        <v>12.54788</v>
      </c>
      <c r="I17" s="30" t="n">
        <f aca="false">H17/$B$10</f>
        <v>2.06458174200081</v>
      </c>
      <c r="J17" s="31" t="n">
        <f aca="false">$F$15*$B$1/$B$12</f>
        <v>1923.84105960265</v>
      </c>
      <c r="K17" s="31" t="n">
        <f aca="false">$F$15*2*(H17/1000)/$B$12</f>
        <v>1379.43581456954</v>
      </c>
      <c r="L17" s="32" t="n">
        <f aca="false">D17*2*(H17/1000)/$F$15</f>
        <v>0.362830265060241</v>
      </c>
      <c r="M17" s="33" t="n">
        <f aca="false">2*D17*($B$10/1000)/$F$15</f>
        <v>0.175740324385809</v>
      </c>
      <c r="N17" s="34" t="n">
        <v>-0.121</v>
      </c>
      <c r="O17" s="42" t="n">
        <v>-0.1184</v>
      </c>
      <c r="P17" s="35" t="n">
        <f aca="false">H17/(1000*SIN(RADIANS(10.78))*0.035)</f>
        <v>1.91677654611556</v>
      </c>
      <c r="Q17" s="35" t="n">
        <f aca="false">2*H17/2</f>
        <v>12.54788</v>
      </c>
      <c r="R17" s="43" t="n">
        <f aca="false">E17*0.002/$F$15</f>
        <v>0.00235661472295048</v>
      </c>
      <c r="S17" s="38" t="n">
        <f aca="false">2*D17*$B$1*SIN(RADIANS(10))/$F$15</f>
        <v>0.175740324385809</v>
      </c>
      <c r="T17" s="39" t="n">
        <f aca="false">J17</f>
        <v>1923.84105960265</v>
      </c>
      <c r="U17" s="44"/>
      <c r="V17" s="45"/>
      <c r="W17" s="46"/>
      <c r="X17" s="40" t="n">
        <f aca="false">$W$16/D17</f>
        <v>1.215341413742</v>
      </c>
      <c r="Y17" s="41" t="n">
        <f aca="false">(2*H17)/(1000*$B$1)</f>
        <v>0.717021714285714</v>
      </c>
    </row>
    <row r="18" customFormat="false" ht="13.8" hidden="false" customHeight="false" outlineLevel="0" collapsed="false">
      <c r="A18" s="3"/>
      <c r="B18" s="3"/>
      <c r="C18" s="3"/>
      <c r="D18" s="47" t="n">
        <v>14</v>
      </c>
      <c r="E18" s="26" t="n">
        <f aca="false">D18/12.27</f>
        <v>1.14099429502853</v>
      </c>
      <c r="F18" s="27"/>
      <c r="G18" s="28"/>
      <c r="H18" s="30" t="n">
        <f aca="false">AVERAGE(DataAmplitudes!F4:F11)</f>
        <v>10.5977125</v>
      </c>
      <c r="I18" s="30" t="n">
        <f aca="false">H18/$B$10</f>
        <v>1.74370839810978</v>
      </c>
      <c r="J18" s="31" t="n">
        <f aca="false">$F$15*$B$1/$B$12</f>
        <v>1923.84105960265</v>
      </c>
      <c r="K18" s="31" t="n">
        <f aca="false">$F$15*2*(H18/1000)/$B$12</f>
        <v>1165.0465397351</v>
      </c>
      <c r="L18" s="32" t="n">
        <f aca="false">D18*2*(H18/1000)/$F$15</f>
        <v>0.357513192771084</v>
      </c>
      <c r="M18" s="33" t="n">
        <f aca="false">2*D18*($B$10/1000)/$F$15</f>
        <v>0.20503037845011</v>
      </c>
      <c r="N18" s="34" t="n">
        <v>-0.185</v>
      </c>
      <c r="O18" s="42" t="n">
        <v>-0.1812</v>
      </c>
      <c r="P18" s="35" t="n">
        <f aca="false">H18/(1000*SIN(RADIANS(10.78))*0.035)</f>
        <v>1.61887480295282</v>
      </c>
      <c r="Q18" s="35" t="n">
        <f aca="false">2*H18/2</f>
        <v>10.5977125</v>
      </c>
      <c r="R18" s="43" t="n">
        <f aca="false">E18*0.002/$F$15</f>
        <v>0.00274938384344223</v>
      </c>
      <c r="S18" s="38" t="n">
        <f aca="false">2*D18*$B$1*SIN(RADIANS(10))/$F$15</f>
        <v>0.20503037845011</v>
      </c>
      <c r="T18" s="39" t="n">
        <f aca="false">J18</f>
        <v>1923.84105960265</v>
      </c>
      <c r="U18" s="44"/>
      <c r="V18" s="45"/>
      <c r="W18" s="46"/>
      <c r="X18" s="40" t="n">
        <f aca="false">$W$16/D18</f>
        <v>1.04172121177886</v>
      </c>
      <c r="Y18" s="41" t="n">
        <f aca="false">(2*H18)/(1000*$B$1)</f>
        <v>0.605583571428571</v>
      </c>
    </row>
    <row r="19" customFormat="false" ht="13.8" hidden="false" customHeight="false" outlineLevel="0" collapsed="false">
      <c r="A19" s="3"/>
      <c r="B19" s="3"/>
      <c r="C19" s="3"/>
      <c r="D19" s="47" t="n">
        <v>16</v>
      </c>
      <c r="E19" s="26" t="n">
        <f aca="false">D19/12.27</f>
        <v>1.3039934800326</v>
      </c>
      <c r="F19" s="27"/>
      <c r="G19" s="28"/>
      <c r="H19" s="29" t="n">
        <f aca="false">AVERAGE(DataAmplitudes!H4:H7)</f>
        <v>8.09265</v>
      </c>
      <c r="I19" s="30" t="n">
        <f aca="false">H19/$B$10</f>
        <v>1.33153468429749</v>
      </c>
      <c r="J19" s="31" t="n">
        <f aca="false">$F$15*$B$1/$B$12</f>
        <v>1923.84105960265</v>
      </c>
      <c r="K19" s="31" t="n">
        <f aca="false">$F$15*2*(H19/1000)/$B$12</f>
        <v>889.655562913907</v>
      </c>
      <c r="L19" s="32" t="n">
        <f aca="false">D19*2*(H19/1000)/$F$15</f>
        <v>0.31200578313253</v>
      </c>
      <c r="M19" s="33" t="n">
        <f aca="false">2*D19*($B$10/1000)/$F$15</f>
        <v>0.234320432514412</v>
      </c>
      <c r="N19" s="34" t="n">
        <v>-0.106</v>
      </c>
      <c r="O19" s="35" t="n">
        <v>-0.093</v>
      </c>
      <c r="P19" s="35" t="n">
        <f aca="false">H19/(1000*SIN(RADIANS(10.78))*0.035)</f>
        <v>1.23620896246394</v>
      </c>
      <c r="Q19" s="35" t="n">
        <f aca="false">2*H19/2</f>
        <v>8.09265</v>
      </c>
      <c r="R19" s="43" t="n">
        <f aca="false">E19*0.002/$F$15</f>
        <v>0.00314215296393398</v>
      </c>
      <c r="S19" s="38" t="n">
        <f aca="false">2*D19*$B$1*SIN(RADIANS(10))/$F$15</f>
        <v>0.234320432514412</v>
      </c>
      <c r="T19" s="39" t="n">
        <f aca="false">J19</f>
        <v>1923.84105960265</v>
      </c>
      <c r="U19" s="44"/>
      <c r="V19" s="45"/>
      <c r="W19" s="46"/>
      <c r="X19" s="40" t="n">
        <f aca="false">$W$16/D19</f>
        <v>0.911506060306503</v>
      </c>
      <c r="Y19" s="41" t="n">
        <f aca="false">(2*H19)/(1000*$B$1)</f>
        <v>0.462437142857143</v>
      </c>
    </row>
    <row r="20" customFormat="false" ht="13.8" hidden="false" customHeight="false" outlineLevel="0" collapsed="false">
      <c r="A20" s="3"/>
      <c r="B20" s="3"/>
      <c r="C20" s="3"/>
      <c r="D20" s="47" t="n">
        <v>18</v>
      </c>
      <c r="E20" s="26" t="n">
        <f aca="false">D20/12.27</f>
        <v>1.46699266503668</v>
      </c>
      <c r="F20" s="27"/>
      <c r="G20" s="28"/>
      <c r="H20" s="29" t="n">
        <f aca="false">1000*(0.03-0.0239224)</f>
        <v>6.0776</v>
      </c>
      <c r="I20" s="30" t="n">
        <f aca="false">H20/$B$10</f>
        <v>0.999985813952964</v>
      </c>
      <c r="J20" s="31" t="n">
        <f aca="false">$F$15*$B$1/$B$12</f>
        <v>1923.84105960265</v>
      </c>
      <c r="K20" s="31" t="n">
        <f aca="false">$F$15*2*(H20/1000)/$B$12</f>
        <v>668.133509933775</v>
      </c>
      <c r="L20" s="32" t="n">
        <f aca="false">D20*2*(H20/1000)/$F$15</f>
        <v>0.263606746987952</v>
      </c>
      <c r="M20" s="33" t="n">
        <f aca="false">2*D20*($B$10/1000)/$F$15</f>
        <v>0.263610486578714</v>
      </c>
      <c r="N20" s="34" t="n">
        <v>-0.011</v>
      </c>
      <c r="O20" s="35" t="n">
        <v>-0.012637550314478</v>
      </c>
      <c r="P20" s="35" t="n">
        <f aca="false">H20/(1000*SIN(RADIANS(10.78))*0.035)</f>
        <v>0.928395963036935</v>
      </c>
      <c r="Q20" s="35" t="n">
        <f aca="false">2*H20/2</f>
        <v>6.0776</v>
      </c>
      <c r="R20" s="43" t="n">
        <f aca="false">E20*0.002/$F$15</f>
        <v>0.00353492208442572</v>
      </c>
      <c r="S20" s="38" t="n">
        <f aca="false">2*D20*$B$1*SIN(RADIANS(10))/$F$15</f>
        <v>0.263610486578714</v>
      </c>
      <c r="T20" s="39" t="n">
        <f aca="false">J20</f>
        <v>1923.84105960265</v>
      </c>
      <c r="U20" s="44"/>
      <c r="V20" s="45"/>
      <c r="W20" s="46"/>
      <c r="X20" s="40" t="n">
        <f aca="false">$W$16/D20</f>
        <v>0.810227609161336</v>
      </c>
      <c r="Y20" s="41" t="n">
        <f aca="false">(2*H20)/(1000*$B$1)</f>
        <v>0.347291428571428</v>
      </c>
    </row>
    <row r="21" customFormat="false" ht="13.8" hidden="false" customHeight="false" outlineLevel="0" collapsed="false">
      <c r="A21" s="3"/>
      <c r="B21" s="3"/>
      <c r="C21" s="3"/>
      <c r="D21" s="48" t="n">
        <v>20</v>
      </c>
      <c r="E21" s="49" t="n">
        <f aca="false">D21/12.27</f>
        <v>1.62999185004075</v>
      </c>
      <c r="F21" s="27"/>
      <c r="G21" s="28"/>
      <c r="H21" s="50" t="n">
        <f aca="false">AVERAGE(DataAmplitudes!L4:L9)</f>
        <v>4.81088333333333</v>
      </c>
      <c r="I21" s="51" t="n">
        <f aca="false">H21/$B$10</f>
        <v>0.791564941081362</v>
      </c>
      <c r="J21" s="52" t="n">
        <f aca="false">$F$15*$B$1/$B$12</f>
        <v>1923.84105960265</v>
      </c>
      <c r="K21" s="52" t="n">
        <f aca="false">$F$15*2*(H21/1000)/$B$12</f>
        <v>528.878565121413</v>
      </c>
      <c r="L21" s="53" t="n">
        <f aca="false">D21*2*(H21/1000)/$F$15</f>
        <v>0.231849799196787</v>
      </c>
      <c r="M21" s="54" t="n">
        <f aca="false">2*D21*($B$10/1000)/$F$15</f>
        <v>0.292900540643015</v>
      </c>
      <c r="N21" s="55" t="n">
        <v>0.061</v>
      </c>
      <c r="O21" s="56" t="n">
        <v>0.0624</v>
      </c>
      <c r="P21" s="57" t="n">
        <f aca="false">H21/(1000*SIN(RADIANS(10.78))*0.035)</f>
        <v>0.734896121052445</v>
      </c>
      <c r="Q21" s="57" t="n">
        <f aca="false">2*H21/2</f>
        <v>4.81088333333333</v>
      </c>
      <c r="R21" s="58" t="n">
        <f aca="false">E21*0.002/$F$15</f>
        <v>0.00392769120491747</v>
      </c>
      <c r="S21" s="38" t="n">
        <f aca="false">2*D21*$B$1*SIN(RADIANS(10))/$F$15</f>
        <v>0.292900540643015</v>
      </c>
      <c r="T21" s="39" t="n">
        <f aca="false">J21</f>
        <v>1923.84105960265</v>
      </c>
      <c r="U21" s="44"/>
      <c r="V21" s="45"/>
      <c r="W21" s="46"/>
      <c r="X21" s="40" t="n">
        <f aca="false">$W$16/D21</f>
        <v>0.729204848245202</v>
      </c>
      <c r="Y21" s="41" t="n">
        <f aca="false">(2*H21)/(1000*$B$1)</f>
        <v>0.274907619047619</v>
      </c>
    </row>
    <row r="22" customFormat="false" ht="13.8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9" t="n">
        <v>13.24</v>
      </c>
      <c r="X22" s="3"/>
      <c r="Y22" s="3"/>
    </row>
    <row r="23" customFormat="false" ht="13.8" hidden="false" customHeight="false" outlineLevel="0" collapsed="false">
      <c r="A23" s="3"/>
      <c r="B23" s="3"/>
      <c r="C23" s="3"/>
      <c r="D23" s="3" t="s">
        <v>38</v>
      </c>
      <c r="E23" s="3"/>
      <c r="F23" s="3"/>
      <c r="G23" s="3"/>
      <c r="H23" s="3"/>
      <c r="I23" s="3"/>
      <c r="J23" s="1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 t="n">
        <f aca="false">W16/13.24</f>
        <v>1.10151789765136</v>
      </c>
      <c r="X23" s="3"/>
      <c r="Y23" s="3"/>
    </row>
    <row r="24" customFormat="false" ht="13.8" hidden="false" customHeight="false" outlineLevel="0" collapsed="false">
      <c r="D24" s="19" t="s">
        <v>15</v>
      </c>
      <c r="E24" s="19" t="s">
        <v>16</v>
      </c>
      <c r="F24" s="19" t="s">
        <v>17</v>
      </c>
      <c r="G24" s="19" t="s">
        <v>18</v>
      </c>
      <c r="H24" s="19" t="s">
        <v>19</v>
      </c>
      <c r="I24" s="19" t="s">
        <v>20</v>
      </c>
      <c r="J24" s="19" t="s">
        <v>21</v>
      </c>
      <c r="K24" s="19" t="s">
        <v>22</v>
      </c>
      <c r="L24" s="19" t="s">
        <v>23</v>
      </c>
      <c r="M24" s="20" t="s">
        <v>24</v>
      </c>
      <c r="N24" s="19" t="s">
        <v>25</v>
      </c>
      <c r="O24" s="21" t="s">
        <v>26</v>
      </c>
      <c r="P24" s="21" t="s">
        <v>27</v>
      </c>
      <c r="Q24" s="21"/>
      <c r="R24" s="21"/>
    </row>
    <row r="25" customFormat="false" ht="13.8" hidden="false" customHeight="false" outlineLevel="0" collapsed="false">
      <c r="D25" s="25" t="n">
        <v>8</v>
      </c>
      <c r="E25" s="26" t="n">
        <f aca="false">D25/12.27</f>
        <v>0.6519967400163</v>
      </c>
      <c r="F25" s="27" t="n">
        <v>1.45</v>
      </c>
      <c r="G25" s="28" t="n">
        <f aca="false">F25/$B$11</f>
        <v>0.538417748427949</v>
      </c>
      <c r="H25" s="29" t="n">
        <v>8.9212</v>
      </c>
      <c r="I25" s="30" t="n">
        <f aca="false">H25/$B$10</f>
        <v>1.46786123526346</v>
      </c>
      <c r="J25" s="31" t="n">
        <f aca="false">$F$15*$B$1/$B$12</f>
        <v>1923.84105960265</v>
      </c>
      <c r="K25" s="31" t="n">
        <f aca="false">$F$15*2*(H25/1000)/$B$12</f>
        <v>980.74119205298</v>
      </c>
      <c r="L25" s="32" t="n">
        <f aca="false">D25*2*(H25/1000)/$F$15</f>
        <v>0.171974939759036</v>
      </c>
      <c r="M25" s="33" t="n">
        <f aca="false">2*D25*($B$10/1000)/$F$15</f>
        <v>0.117160216257206</v>
      </c>
      <c r="N25" s="34" t="n">
        <v>0.3</v>
      </c>
      <c r="O25" s="35" t="n">
        <v>0.297202351395596</v>
      </c>
      <c r="P25" s="35" t="n">
        <f aca="false">H25/(1000*SIN(RADIANS(10.78))*0.035)</f>
        <v>1.36277577751828</v>
      </c>
      <c r="Q25" s="35"/>
      <c r="R25" s="35"/>
    </row>
    <row r="26" customFormat="false" ht="13.8" hidden="false" customHeight="false" outlineLevel="0" collapsed="false">
      <c r="D26" s="25" t="n">
        <v>10</v>
      </c>
      <c r="E26" s="26" t="n">
        <f aca="false">D26/12.27</f>
        <v>0.814995925020375</v>
      </c>
      <c r="F26" s="27"/>
      <c r="G26" s="28"/>
      <c r="H26" s="30" t="n">
        <f aca="false">AVERAGE(DataAmplitudes!D18:D26)</f>
        <v>11.1584555555556</v>
      </c>
      <c r="I26" s="30" t="n">
        <f aca="false">H26/$B$10</f>
        <v>1.83597098545153</v>
      </c>
      <c r="J26" s="31" t="n">
        <f aca="false">$F$15*$B$1/$B$12</f>
        <v>1923.84105960265</v>
      </c>
      <c r="K26" s="31" t="n">
        <f aca="false">$F$15*2*(H26/1000)/$B$12</f>
        <v>1226.69114054452</v>
      </c>
      <c r="L26" s="32" t="n">
        <f aca="false">D26*2*(H26/1000)/$F$15</f>
        <v>0.268878447121821</v>
      </c>
      <c r="M26" s="33" t="n">
        <f aca="false">2*D26*($B$10/1000)/$F$15</f>
        <v>0.146450270321508</v>
      </c>
      <c r="N26" s="34" t="n">
        <v>0.135</v>
      </c>
      <c r="O26" s="42" t="n">
        <v>0.1268</v>
      </c>
      <c r="P26" s="35" t="n">
        <f aca="false">H26/(1000*SIN(RADIANS(10.78))*0.035)</f>
        <v>1.70453223172055</v>
      </c>
      <c r="Q26" s="35"/>
      <c r="R26" s="35"/>
    </row>
    <row r="27" customFormat="false" ht="13.8" hidden="false" customHeight="false" outlineLevel="0" collapsed="false">
      <c r="D27" s="47" t="n">
        <v>12</v>
      </c>
      <c r="E27" s="26" t="n">
        <f aca="false">D27/12.27</f>
        <v>0.97799511002445</v>
      </c>
      <c r="F27" s="27"/>
      <c r="G27" s="28"/>
      <c r="H27" s="30" t="n">
        <f aca="false">AVERAGE(DataAmplitudes!B19:B28)</f>
        <v>11.28188</v>
      </c>
      <c r="I27" s="30" t="n">
        <f aca="false">H27/$B$10</f>
        <v>1.85627878681053</v>
      </c>
      <c r="J27" s="31" t="n">
        <f aca="false">$F$15*$B$1/$B$12</f>
        <v>1923.84105960265</v>
      </c>
      <c r="K27" s="31" t="n">
        <f aca="false">$F$15*2*(H27/1000)/$B$12</f>
        <v>1240.25965562914</v>
      </c>
      <c r="L27" s="32" t="n">
        <f aca="false">D27*2*(H27/1000)/$F$15</f>
        <v>0.326223036144578</v>
      </c>
      <c r="M27" s="33" t="n">
        <f aca="false">2*D27*($B$10/1000)/$F$15</f>
        <v>0.175740324385809</v>
      </c>
      <c r="N27" s="34" t="n">
        <v>-0.121</v>
      </c>
      <c r="O27" s="42" t="n">
        <v>-0.1184</v>
      </c>
      <c r="P27" s="35" t="n">
        <f aca="false">H27/(1000*SIN(RADIANS(10.78))*0.035)</f>
        <v>1.7233861799834</v>
      </c>
      <c r="Q27" s="35"/>
      <c r="R27" s="35"/>
    </row>
    <row r="28" customFormat="false" ht="13.8" hidden="false" customHeight="false" outlineLevel="0" collapsed="false">
      <c r="D28" s="47" t="n">
        <v>14</v>
      </c>
      <c r="E28" s="26" t="n">
        <f aca="false">D28/12.27</f>
        <v>1.14099429502853</v>
      </c>
      <c r="F28" s="27"/>
      <c r="G28" s="28"/>
      <c r="H28" s="30" t="n">
        <f aca="false">AVERAGE(DataAmplitudes!F17:F29)</f>
        <v>9.91198461538462</v>
      </c>
      <c r="I28" s="30" t="n">
        <f aca="false">H28/$B$10</f>
        <v>1.63088126949859</v>
      </c>
      <c r="J28" s="31" t="n">
        <f aca="false">$F$15*$B$1/$B$12</f>
        <v>1923.84105960265</v>
      </c>
      <c r="K28" s="31" t="n">
        <f aca="false">$F$15*2*(H28/1000)/$B$12</f>
        <v>1089.6618848701</v>
      </c>
      <c r="L28" s="32" t="n">
        <f aca="false">D28*2*(H28/1000)/$F$15</f>
        <v>0.334380203892493</v>
      </c>
      <c r="M28" s="33" t="n">
        <f aca="false">2*D28*($B$10/1000)/$F$15</f>
        <v>0.20503037845011</v>
      </c>
      <c r="N28" s="34" t="n">
        <v>-0.185</v>
      </c>
      <c r="O28" s="42" t="n">
        <v>-0.1812</v>
      </c>
      <c r="P28" s="35" t="n">
        <f aca="false">H28/(1000*SIN(RADIANS(10.78))*0.035)</f>
        <v>1.51412506624445</v>
      </c>
      <c r="Q28" s="35"/>
      <c r="R28" s="35"/>
      <c r="T28" s="60" t="s">
        <v>16</v>
      </c>
      <c r="U28" s="61" t="s">
        <v>20</v>
      </c>
      <c r="V28" s="61"/>
      <c r="W28" s="61"/>
    </row>
    <row r="29" customFormat="false" ht="13.8" hidden="false" customHeight="false" outlineLevel="0" collapsed="false">
      <c r="D29" s="47" t="n">
        <v>16</v>
      </c>
      <c r="E29" s="26" t="n">
        <f aca="false">D29/12.27</f>
        <v>1.3039934800326</v>
      </c>
      <c r="F29" s="27"/>
      <c r="G29" s="28"/>
      <c r="H29" s="29" t="n">
        <f aca="false">AVERAGE(DataAmplitudes!H19:H31)</f>
        <v>7.96547692307692</v>
      </c>
      <c r="I29" s="30" t="n">
        <f aca="false">H29/$B$10</f>
        <v>1.3106100968222</v>
      </c>
      <c r="J29" s="31" t="n">
        <f aca="false">$F$15*$B$1/$B$12</f>
        <v>1923.84105960265</v>
      </c>
      <c r="K29" s="31" t="n">
        <f aca="false">$F$15*2*(H29/1000)/$B$12</f>
        <v>875.674946510443</v>
      </c>
      <c r="L29" s="32" t="n">
        <f aca="false">D29*2*(H29/1000)/$F$15</f>
        <v>0.307102724745134</v>
      </c>
      <c r="M29" s="33" t="n">
        <f aca="false">2*D29*($B$10/1000)/$F$15</f>
        <v>0.234320432514412</v>
      </c>
      <c r="N29" s="34" t="n">
        <v>-0.106</v>
      </c>
      <c r="O29" s="35" t="n">
        <v>-0.093</v>
      </c>
      <c r="P29" s="35" t="n">
        <f aca="false">H29/(1000*SIN(RADIANS(10.78))*0.035)</f>
        <v>1.21678238433732</v>
      </c>
      <c r="Q29" s="35"/>
      <c r="R29" s="35"/>
      <c r="U29" s="62" t="s">
        <v>39</v>
      </c>
      <c r="V29" s="62" t="s">
        <v>40</v>
      </c>
      <c r="W29" s="62" t="s">
        <v>41</v>
      </c>
      <c r="X29" s="63" t="s">
        <v>42</v>
      </c>
      <c r="Y29" s="62" t="s">
        <v>43</v>
      </c>
      <c r="Z29" s="62" t="s">
        <v>44</v>
      </c>
      <c r="AA29" s="62" t="s">
        <v>45</v>
      </c>
    </row>
    <row r="30" customFormat="false" ht="13.8" hidden="false" customHeight="false" outlineLevel="0" collapsed="false">
      <c r="D30" s="47" t="n">
        <v>18</v>
      </c>
      <c r="E30" s="26" t="n">
        <f aca="false">D30/12.27</f>
        <v>1.46699266503668</v>
      </c>
      <c r="F30" s="27"/>
      <c r="G30" s="28"/>
      <c r="H30" s="29" t="n">
        <f aca="false">1000*(0.03-0.0235953)</f>
        <v>6.4047</v>
      </c>
      <c r="I30" s="30" t="n">
        <f aca="false">H30/$B$10</f>
        <v>1.05380563752543</v>
      </c>
      <c r="J30" s="31" t="n">
        <f aca="false">$F$15*$B$1/$B$12</f>
        <v>1923.84105960265</v>
      </c>
      <c r="K30" s="31" t="n">
        <f aca="false">$F$15*2*(H30/1000)/$B$12</f>
        <v>704.092847682119</v>
      </c>
      <c r="L30" s="32" t="n">
        <f aca="false">D30*2*(H30/1000)/$F$15</f>
        <v>0.27779421686747</v>
      </c>
      <c r="M30" s="33" t="n">
        <f aca="false">2*D30*($B$10/1000)/$F$15</f>
        <v>0.263610486578714</v>
      </c>
      <c r="N30" s="34" t="n">
        <v>-0.011</v>
      </c>
      <c r="O30" s="35" t="n">
        <v>-0.012637550314478</v>
      </c>
      <c r="P30" s="35" t="n">
        <f aca="false">H30/(1000*SIN(RADIANS(10.78))*0.035)</f>
        <v>0.978362778804571</v>
      </c>
      <c r="Q30" s="35"/>
      <c r="R30" s="35"/>
      <c r="T30" s="64" t="n">
        <f aca="false">E17</f>
        <v>0.97799511002445</v>
      </c>
      <c r="U30" s="64"/>
      <c r="V30" s="64" t="n">
        <f aca="false">DataAmplitudes!D71</f>
        <v>1.95834478184374</v>
      </c>
      <c r="W30" s="64" t="n">
        <f aca="false">DataAmplitudes!Q54</f>
        <v>1.8259044600139</v>
      </c>
      <c r="X30" s="64" t="n">
        <f aca="false">DataAmplitudes!D86</f>
        <v>1.79643763408429</v>
      </c>
      <c r="Y30" s="64" t="n">
        <f aca="false">DataAmplitudes!D96</f>
        <v>1.66256139642377</v>
      </c>
      <c r="Z30" s="64" t="n">
        <f aca="false">DataAmplitudes!D107</f>
        <v>1.61290009466266</v>
      </c>
      <c r="AA30" s="64" t="n">
        <f aca="false">DataAmplitudes!D116</f>
        <v>1.5894824460623</v>
      </c>
    </row>
    <row r="31" customFormat="false" ht="13.8" hidden="false" customHeight="false" outlineLevel="0" collapsed="false">
      <c r="D31" s="65" t="n">
        <v>20</v>
      </c>
      <c r="E31" s="49" t="n">
        <f aca="false">D31/12.27</f>
        <v>1.62999185004075</v>
      </c>
      <c r="F31" s="27"/>
      <c r="G31" s="28"/>
      <c r="H31" s="50" t="n">
        <v>5.1647</v>
      </c>
      <c r="I31" s="51" t="n">
        <f aca="false">H31/$B$10</f>
        <v>0.849780626122626</v>
      </c>
      <c r="J31" s="52" t="n">
        <f aca="false">$F$15*$B$1/$B$12</f>
        <v>1923.84105960265</v>
      </c>
      <c r="K31" s="52" t="n">
        <f aca="false">$F$15*2*(H31/1000)/$B$12</f>
        <v>567.774966887417</v>
      </c>
      <c r="L31" s="53" t="n">
        <f aca="false">D31*2*(H31/1000)/$F$15</f>
        <v>0.248901204819277</v>
      </c>
      <c r="M31" s="54" t="n">
        <f aca="false">2*D31*($B$10/1000)/$F$15</f>
        <v>0.292900540643015</v>
      </c>
      <c r="N31" s="55" t="n">
        <v>0.061</v>
      </c>
      <c r="O31" s="56" t="n">
        <v>0.0624</v>
      </c>
      <c r="P31" s="57" t="n">
        <f aca="false">H31/(1000*SIN(RADIANS(10.78))*0.035)</f>
        <v>0.788944094757282</v>
      </c>
      <c r="Q31" s="57"/>
      <c r="R31" s="57"/>
      <c r="T31" s="64" t="n">
        <f aca="false">E18</f>
        <v>1.14099429502853</v>
      </c>
      <c r="U31" s="64"/>
      <c r="W31" s="64" t="n">
        <f aca="false">DataAmplitudes!Q64</f>
        <v>1.91099011083192</v>
      </c>
      <c r="X31" s="64" t="n">
        <f aca="false">DataAmplitudes!N87</f>
        <v>1.8822717942183</v>
      </c>
      <c r="Y31" s="64" t="n">
        <f aca="false">DataAmplitudes!I96</f>
        <v>1.6722461904307</v>
      </c>
      <c r="Z31" s="64" t="n">
        <f aca="false">DataAmplitudes!I107</f>
        <v>1.72030354365754</v>
      </c>
    </row>
    <row r="32" customFormat="false" ht="13.8" hidden="false" customHeight="false" outlineLevel="0" collapsed="false">
      <c r="T32" s="64" t="n">
        <f aca="false">E19</f>
        <v>1.3039934800326</v>
      </c>
      <c r="U32" s="64" t="n">
        <f aca="false">DataAmplitudes!D44</f>
        <v>1.49008346403845</v>
      </c>
      <c r="V32" s="64" t="n">
        <f aca="false">DataAmplitudes!D62</f>
        <v>1.77042311642844</v>
      </c>
      <c r="W32" s="0" t="n">
        <v>1.75</v>
      </c>
      <c r="X32" s="64" t="n">
        <v>1.75</v>
      </c>
      <c r="Y32" s="64" t="n">
        <f aca="false">DataAmplitudes!N96</f>
        <v>1.52323173374673</v>
      </c>
      <c r="Z32" s="64" t="n">
        <f aca="false">DataAmplitudes!N107</f>
        <v>1.66086579368754</v>
      </c>
      <c r="AA32" s="64" t="n">
        <f aca="false">DataAmplitudes!N116</f>
        <v>1.69242539056187</v>
      </c>
    </row>
    <row r="43" customFormat="false" ht="13.8" hidden="false" customHeight="false" outlineLevel="0" collapsed="false">
      <c r="U43" s="61" t="s">
        <v>46</v>
      </c>
      <c r="V43" s="61"/>
    </row>
    <row r="44" customFormat="false" ht="13.8" hidden="false" customHeight="false" outlineLevel="0" collapsed="false">
      <c r="U44" s="60" t="s">
        <v>16</v>
      </c>
      <c r="V44" s="60" t="s">
        <v>20</v>
      </c>
    </row>
    <row r="45" customFormat="false" ht="13.8" hidden="false" customHeight="false" outlineLevel="0" collapsed="false">
      <c r="U45" s="0" t="n">
        <v>0.488838194557601</v>
      </c>
      <c r="V45" s="0" t="n">
        <v>0.984673710116129</v>
      </c>
    </row>
    <row r="46" customFormat="false" ht="13.8" hidden="false" customHeight="false" outlineLevel="0" collapsed="false">
      <c r="U46" s="0" t="n">
        <v>0.651784259410135</v>
      </c>
      <c r="V46" s="0" t="n">
        <v>1.07883213620503</v>
      </c>
    </row>
    <row r="47" customFormat="false" ht="13.8" hidden="false" customHeight="false" outlineLevel="0" collapsed="false">
      <c r="U47" s="0" t="n">
        <v>0.814730324262669</v>
      </c>
      <c r="V47" s="0" t="n">
        <v>1.20171686177868</v>
      </c>
    </row>
    <row r="48" customFormat="false" ht="13.8" hidden="false" customHeight="false" outlineLevel="0" collapsed="false">
      <c r="U48" s="0" t="n">
        <v>0.977676389115203</v>
      </c>
      <c r="V48" s="0" t="n">
        <v>1.51770615611092</v>
      </c>
    </row>
    <row r="49" customFormat="false" ht="13.8" hidden="false" customHeight="false" outlineLevel="0" collapsed="false">
      <c r="U49" s="0" t="n">
        <v>1.14062245396774</v>
      </c>
      <c r="V49" s="0" t="n">
        <v>1.71879025250417</v>
      </c>
    </row>
    <row r="50" customFormat="false" ht="13.8" hidden="false" customHeight="false" outlineLevel="0" collapsed="false">
      <c r="U50" s="0" t="n">
        <v>1.30356851882027</v>
      </c>
      <c r="V50" s="0" t="n">
        <v>1.7203861580311</v>
      </c>
    </row>
    <row r="51" customFormat="false" ht="13.8" hidden="false" customHeight="false" outlineLevel="0" collapsed="false">
      <c r="U51" s="0" t="n">
        <v>1.4665145836728</v>
      </c>
      <c r="V51" s="0" t="n">
        <v>1.64059088168457</v>
      </c>
    </row>
    <row r="52" customFormat="false" ht="13.8" hidden="false" customHeight="false" outlineLevel="0" collapsed="false">
      <c r="U52" s="0" t="n">
        <v>1.62946064852534</v>
      </c>
      <c r="V52" s="0" t="n">
        <v>1.48100032899152</v>
      </c>
    </row>
    <row r="53" customFormat="false" ht="13.8" hidden="false" customHeight="false" outlineLevel="0" collapsed="false">
      <c r="U53" s="0" t="n">
        <v>1.79240671337787</v>
      </c>
      <c r="V53" s="0" t="n">
        <v>1.28647452979585</v>
      </c>
    </row>
    <row r="73" customFormat="false" ht="13.8" hidden="false" customHeight="false" outlineLevel="0" collapsed="false">
      <c r="V73" s="0" t="s">
        <v>47</v>
      </c>
    </row>
  </sheetData>
  <mergeCells count="10">
    <mergeCell ref="Q13:R13"/>
    <mergeCell ref="F15:F21"/>
    <mergeCell ref="G15:G21"/>
    <mergeCell ref="U16:U21"/>
    <mergeCell ref="V16:V21"/>
    <mergeCell ref="W16:W21"/>
    <mergeCell ref="F25:F31"/>
    <mergeCell ref="G25:G31"/>
    <mergeCell ref="U28:W28"/>
    <mergeCell ref="U43:V4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17"/>
  <sheetViews>
    <sheetView showFormulas="false" showGridLines="true" showRowColHeaders="true" showZeros="true" rightToLeft="false" tabSelected="false" showOutlineSymbols="true" defaultGridColor="true" view="normal" topLeftCell="A88" colorId="64" zoomScale="85" zoomScaleNormal="85" zoomScalePageLayoutView="100" workbookViewId="0">
      <selection pane="topLeft" activeCell="B117" activeCellId="0" sqref="B117"/>
    </sheetView>
  </sheetViews>
  <sheetFormatPr defaultColWidth="8.59375" defaultRowHeight="14.25" zeroHeight="false" outlineLevelRow="0" outlineLevelCol="0"/>
  <cols>
    <col collapsed="false" customWidth="true" hidden="false" outlineLevel="0" max="12" min="1" style="0" width="10.61"/>
  </cols>
  <sheetData>
    <row r="1" customFormat="false" ht="15" hidden="false" customHeight="false" outlineLevel="0" collapsed="false">
      <c r="A1" s="66" t="s">
        <v>48</v>
      </c>
      <c r="B1" s="60"/>
      <c r="C1" s="66"/>
      <c r="D1" s="60"/>
      <c r="E1" s="66"/>
      <c r="F1" s="67"/>
      <c r="G1" s="66"/>
    </row>
    <row r="2" customFormat="false" ht="15" hidden="false" customHeight="false" outlineLevel="0" collapsed="false">
      <c r="A2" s="61" t="s">
        <v>49</v>
      </c>
      <c r="B2" s="61"/>
      <c r="C2" s="61" t="s">
        <v>50</v>
      </c>
      <c r="D2" s="61"/>
      <c r="E2" s="61" t="s">
        <v>51</v>
      </c>
      <c r="F2" s="61"/>
      <c r="G2" s="61" t="s">
        <v>52</v>
      </c>
      <c r="H2" s="61"/>
      <c r="I2" s="61" t="s">
        <v>53</v>
      </c>
      <c r="J2" s="61"/>
      <c r="K2" s="61" t="s">
        <v>54</v>
      </c>
      <c r="L2" s="61"/>
    </row>
    <row r="3" customFormat="false" ht="14.25" hidden="false" customHeight="false" outlineLevel="0" collapsed="false">
      <c r="A3" s="62" t="s">
        <v>55</v>
      </c>
      <c r="B3" s="62" t="s">
        <v>19</v>
      </c>
      <c r="C3" s="62" t="s">
        <v>55</v>
      </c>
      <c r="D3" s="62" t="s">
        <v>19</v>
      </c>
      <c r="E3" s="62" t="s">
        <v>55</v>
      </c>
      <c r="F3" s="62" t="s">
        <v>19</v>
      </c>
      <c r="G3" s="62" t="s">
        <v>55</v>
      </c>
      <c r="H3" s="62" t="s">
        <v>19</v>
      </c>
      <c r="I3" s="62" t="s">
        <v>55</v>
      </c>
      <c r="J3" s="62" t="s">
        <v>19</v>
      </c>
      <c r="K3" s="62" t="s">
        <v>55</v>
      </c>
      <c r="L3" s="62" t="s">
        <v>19</v>
      </c>
    </row>
    <row r="4" customFormat="false" ht="14.25" hidden="false" customHeight="false" outlineLevel="0" collapsed="false">
      <c r="A4" s="0" t="n">
        <v>1.206</v>
      </c>
      <c r="B4" s="0" t="n">
        <v>12.5516</v>
      </c>
      <c r="C4" s="0" t="n">
        <v>1.238</v>
      </c>
      <c r="D4" s="0" t="n">
        <v>12.3632</v>
      </c>
      <c r="E4" s="0" t="n">
        <v>1.219</v>
      </c>
      <c r="F4" s="0" t="n">
        <f aca="false">1000*(0.03-0.0193999)</f>
        <v>10.6001</v>
      </c>
      <c r="G4" s="0" t="n">
        <v>1.507</v>
      </c>
      <c r="H4" s="0" t="n">
        <f aca="false">1000*(0.03-0.0218963)</f>
        <v>8.1037</v>
      </c>
      <c r="I4" s="0" t="n">
        <v>1.164</v>
      </c>
      <c r="J4" s="0" t="n">
        <v>9.9947</v>
      </c>
      <c r="K4" s="0" t="n">
        <v>1.209</v>
      </c>
      <c r="L4" s="68" t="n">
        <f aca="false">1000*(0.03-0.0251846)</f>
        <v>4.8154</v>
      </c>
    </row>
    <row r="5" customFormat="false" ht="14.25" hidden="false" customHeight="false" outlineLevel="0" collapsed="false">
      <c r="A5" s="0" t="n">
        <v>1.248</v>
      </c>
      <c r="B5" s="0" t="n">
        <f aca="false">1000*(0.03-0.0174532)</f>
        <v>12.5468</v>
      </c>
      <c r="C5" s="0" t="n">
        <v>1.288</v>
      </c>
      <c r="D5" s="0" t="n">
        <f aca="false">1000*(0.03-0.0176342)</f>
        <v>12.3658</v>
      </c>
      <c r="E5" s="0" t="n">
        <v>1.254</v>
      </c>
      <c r="F5" s="0" t="n">
        <v>10.5994</v>
      </c>
      <c r="G5" s="0" t="n">
        <v>1.539</v>
      </c>
      <c r="H5" s="0" t="n">
        <v>8.0851</v>
      </c>
      <c r="I5" s="0" t="n">
        <v>1.227</v>
      </c>
      <c r="J5" s="0" t="n">
        <f aca="false">1000*(0.03-0.020023)</f>
        <v>9.977</v>
      </c>
      <c r="K5" s="0" t="n">
        <v>1.234</v>
      </c>
      <c r="L5" s="68" t="n">
        <v>4.821</v>
      </c>
    </row>
    <row r="6" customFormat="false" ht="14.25" hidden="false" customHeight="false" outlineLevel="0" collapsed="false">
      <c r="A6" s="0" t="n">
        <v>1.289</v>
      </c>
      <c r="B6" s="0" t="n">
        <v>12.5458</v>
      </c>
      <c r="C6" s="0" t="n">
        <v>1.338</v>
      </c>
      <c r="D6" s="0" t="n">
        <v>12.3663</v>
      </c>
      <c r="E6" s="0" t="n">
        <v>1.29</v>
      </c>
      <c r="F6" s="0" t="n">
        <f aca="false">1000*(0.03-0.0193887)</f>
        <v>10.6113</v>
      </c>
      <c r="G6" s="0" t="n">
        <v>1.57</v>
      </c>
      <c r="H6" s="0" t="n">
        <f aca="false">1000*(0.03-0.0219162)</f>
        <v>8.0838</v>
      </c>
      <c r="I6" s="0" t="n">
        <v>1.289</v>
      </c>
      <c r="J6" s="0" t="n">
        <v>9.9965</v>
      </c>
      <c r="K6" s="0" t="n">
        <v>1.259</v>
      </c>
      <c r="L6" s="68" t="n">
        <f aca="false">1000*(0.03-0.025197)</f>
        <v>4.803</v>
      </c>
    </row>
    <row r="7" customFormat="false" ht="14.25" hidden="false" customHeight="false" outlineLevel="0" collapsed="false">
      <c r="A7" s="0" t="n">
        <v>1.331</v>
      </c>
      <c r="B7" s="0" t="n">
        <f aca="false">1000*(0.03-0.0174498)</f>
        <v>12.5502</v>
      </c>
      <c r="C7" s="0" t="n">
        <v>1.388</v>
      </c>
      <c r="D7" s="0" t="n">
        <f aca="false">1000*(0.03-0.0176317)</f>
        <v>12.3683</v>
      </c>
      <c r="E7" s="0" t="n">
        <v>1.326</v>
      </c>
      <c r="F7" s="0" t="n">
        <v>10.6079</v>
      </c>
      <c r="G7" s="0" t="n">
        <v>1.601</v>
      </c>
      <c r="H7" s="0" t="n">
        <v>8.098</v>
      </c>
      <c r="I7" s="0" t="n">
        <v>1.351</v>
      </c>
      <c r="J7" s="0" t="n">
        <f aca="false">1000*(0.03-0.0200038)</f>
        <v>9.9962</v>
      </c>
      <c r="K7" s="0" t="n">
        <v>1.334</v>
      </c>
      <c r="L7" s="68" t="n">
        <v>4.8051</v>
      </c>
    </row>
    <row r="8" customFormat="false" ht="14.25" hidden="false" customHeight="false" outlineLevel="0" collapsed="false">
      <c r="A8" s="0" t="n">
        <v>1.373</v>
      </c>
      <c r="B8" s="0" t="n">
        <v>12.545</v>
      </c>
      <c r="E8" s="0" t="n">
        <v>1.362</v>
      </c>
      <c r="F8" s="0" t="n">
        <f aca="false">1000*(0.03-0.0194056)</f>
        <v>10.5944</v>
      </c>
      <c r="I8" s="0" t="n">
        <v>1.414</v>
      </c>
      <c r="J8" s="0" t="n">
        <v>9.9933</v>
      </c>
      <c r="K8" s="0" t="n">
        <v>1.359</v>
      </c>
      <c r="L8" s="68" t="n">
        <f aca="false">1000*(0.03-0.0251891)</f>
        <v>4.8109</v>
      </c>
    </row>
    <row r="9" customFormat="false" ht="14.25" hidden="false" customHeight="false" outlineLevel="0" collapsed="false">
      <c r="E9" s="0" t="n">
        <v>1.397</v>
      </c>
      <c r="F9" s="0" t="n">
        <v>10.5928</v>
      </c>
      <c r="I9" s="0" t="n">
        <v>1.477</v>
      </c>
      <c r="J9" s="0" t="n">
        <f aca="false">1000*(0.03-0.0200091)</f>
        <v>9.9909</v>
      </c>
      <c r="K9" s="0" t="n">
        <v>1.434</v>
      </c>
      <c r="L9" s="68" t="n">
        <v>4.8099</v>
      </c>
    </row>
    <row r="10" customFormat="false" ht="14.25" hidden="false" customHeight="false" outlineLevel="0" collapsed="false">
      <c r="E10" s="0" t="n">
        <v>1.433</v>
      </c>
      <c r="F10" s="0" t="n">
        <f aca="false">1000*(0.03-0.0194097)</f>
        <v>10.5903</v>
      </c>
    </row>
    <row r="11" customFormat="false" ht="14.25" hidden="false" customHeight="false" outlineLevel="0" collapsed="false">
      <c r="E11" s="0" t="n">
        <v>1.469</v>
      </c>
      <c r="F11" s="0" t="n">
        <v>10.5855</v>
      </c>
    </row>
    <row r="14" customFormat="false" ht="13.8" hidden="false" customHeight="false" outlineLevel="0" collapsed="false">
      <c r="A14" s="66" t="s">
        <v>48</v>
      </c>
      <c r="B14" s="60"/>
      <c r="C14" s="66"/>
      <c r="D14" s="60"/>
      <c r="E14" s="66"/>
      <c r="F14" s="67"/>
      <c r="G14" s="66"/>
    </row>
    <row r="15" customFormat="false" ht="13.8" hidden="false" customHeight="false" outlineLevel="0" collapsed="false">
      <c r="A15" s="61" t="s">
        <v>49</v>
      </c>
      <c r="B15" s="61"/>
      <c r="C15" s="61" t="s">
        <v>50</v>
      </c>
      <c r="D15" s="61"/>
      <c r="E15" s="61" t="s">
        <v>51</v>
      </c>
      <c r="F15" s="61"/>
      <c r="G15" s="61" t="s">
        <v>52</v>
      </c>
      <c r="H15" s="61"/>
      <c r="I15" s="61" t="s">
        <v>53</v>
      </c>
      <c r="J15" s="61"/>
      <c r="K15" s="61" t="s">
        <v>54</v>
      </c>
      <c r="L15" s="61"/>
      <c r="M15" s="61" t="s">
        <v>56</v>
      </c>
      <c r="N15" s="61"/>
    </row>
    <row r="16" customFormat="false" ht="13.8" hidden="false" customHeight="false" outlineLevel="0" collapsed="false">
      <c r="A16" s="62" t="s">
        <v>55</v>
      </c>
      <c r="B16" s="62" t="s">
        <v>19</v>
      </c>
      <c r="C16" s="62" t="s">
        <v>55</v>
      </c>
      <c r="D16" s="62" t="s">
        <v>19</v>
      </c>
      <c r="E16" s="62" t="s">
        <v>55</v>
      </c>
      <c r="F16" s="62" t="s">
        <v>19</v>
      </c>
      <c r="G16" s="62" t="s">
        <v>55</v>
      </c>
      <c r="H16" s="62" t="s">
        <v>19</v>
      </c>
      <c r="I16" s="62" t="s">
        <v>55</v>
      </c>
      <c r="J16" s="62" t="s">
        <v>19</v>
      </c>
      <c r="K16" s="62" t="s">
        <v>55</v>
      </c>
      <c r="L16" s="62" t="s">
        <v>19</v>
      </c>
      <c r="M16" s="62" t="s">
        <v>55</v>
      </c>
      <c r="N16" s="62" t="s">
        <v>19</v>
      </c>
    </row>
    <row r="17" customFormat="false" ht="13.8" hidden="false" customHeight="false" outlineLevel="0" collapsed="false">
      <c r="A17" s="0" t="n">
        <v>1.037</v>
      </c>
      <c r="B17" s="0" t="n">
        <v>11.2246</v>
      </c>
      <c r="C17" s="0" t="n">
        <v>1.037</v>
      </c>
      <c r="D17" s="0" t="n">
        <v>10.823</v>
      </c>
      <c r="E17" s="0" t="n">
        <v>1.037</v>
      </c>
      <c r="F17" s="0" t="n">
        <v>10.1493</v>
      </c>
      <c r="G17" s="0" t="n">
        <v>1.036</v>
      </c>
      <c r="H17" s="0" t="n">
        <v>8.2258</v>
      </c>
      <c r="L17" s="68"/>
      <c r="M17" s="0" t="n">
        <v>1.034</v>
      </c>
      <c r="N17" s="0" t="n">
        <v>6.4371</v>
      </c>
    </row>
    <row r="18" customFormat="false" ht="13.8" hidden="false" customHeight="false" outlineLevel="0" collapsed="false">
      <c r="A18" s="0" t="n">
        <v>1.079</v>
      </c>
      <c r="B18" s="0" t="n">
        <f aca="false">1000*(0.03-0.0184594)</f>
        <v>11.5406</v>
      </c>
      <c r="C18" s="0" t="n">
        <v>1.087</v>
      </c>
      <c r="D18" s="0" t="n">
        <f aca="false">1000*(0.03-0.0188499)</f>
        <v>11.1501</v>
      </c>
      <c r="F18" s="0" t="n">
        <f aca="false">1000*(0.03-0.0199989)</f>
        <v>10.0011</v>
      </c>
      <c r="G18" s="0" t="n">
        <v>1.067</v>
      </c>
      <c r="H18" s="0" t="n">
        <f aca="false">1000*(0.03-0.0219693)</f>
        <v>8.0307</v>
      </c>
      <c r="L18" s="68"/>
      <c r="M18" s="0" t="n">
        <v>1.062</v>
      </c>
      <c r="N18" s="0" t="n">
        <f aca="false">1000*(0.03-0.0236393)</f>
        <v>6.3607</v>
      </c>
    </row>
    <row r="19" customFormat="false" ht="13.8" hidden="false" customHeight="false" outlineLevel="0" collapsed="false">
      <c r="A19" s="0" t="n">
        <v>1.121</v>
      </c>
      <c r="B19" s="0" t="n">
        <v>11.3365</v>
      </c>
      <c r="C19" s="0" t="n">
        <v>1.137</v>
      </c>
      <c r="D19" s="0" t="n">
        <v>11.1705</v>
      </c>
      <c r="F19" s="0" t="n">
        <v>10.0136</v>
      </c>
      <c r="G19" s="0" t="n">
        <v>1.099</v>
      </c>
      <c r="H19" s="0" t="n">
        <v>7.9623</v>
      </c>
      <c r="L19" s="68"/>
      <c r="M19" s="0" t="n">
        <v>1.09</v>
      </c>
      <c r="N19" s="0" t="n">
        <v>6.4446</v>
      </c>
    </row>
    <row r="20" customFormat="false" ht="13.8" hidden="false" customHeight="false" outlineLevel="0" collapsed="false">
      <c r="A20" s="0" t="n">
        <v>1.162</v>
      </c>
      <c r="B20" s="0" t="n">
        <f aca="false">1000*(0.03-0.018667)</f>
        <v>11.333</v>
      </c>
      <c r="C20" s="0" t="n">
        <v>1.187</v>
      </c>
      <c r="D20" s="69" t="n">
        <f aca="false">1000*(0.03-0.0188516)</f>
        <v>11.1484</v>
      </c>
      <c r="E20" s="0" t="n">
        <v>1.144</v>
      </c>
      <c r="F20" s="0" t="n">
        <f aca="false">1000*(0.03-0.0200268)</f>
        <v>9.9732</v>
      </c>
      <c r="G20" s="0" t="n">
        <v>1.13</v>
      </c>
      <c r="H20" s="0" t="n">
        <f aca="false">1000*(0.03-0.0220684)</f>
        <v>7.9316</v>
      </c>
      <c r="L20" s="68"/>
      <c r="M20" s="0" t="n">
        <v>1.117</v>
      </c>
      <c r="N20" s="0" t="n">
        <f aca="false">1000*(0.03-0.0235943)</f>
        <v>6.4057</v>
      </c>
    </row>
    <row r="21" customFormat="false" ht="13.8" hidden="false" customHeight="false" outlineLevel="0" collapsed="false">
      <c r="A21" s="0" t="n">
        <v>1.204</v>
      </c>
      <c r="B21" s="0" t="n">
        <v>11.3021</v>
      </c>
      <c r="C21" s="0" t="n">
        <v>1.236</v>
      </c>
      <c r="D21" s="0" t="n">
        <v>11.1513</v>
      </c>
      <c r="E21" s="0" t="n">
        <v>1.18</v>
      </c>
      <c r="F21" s="0" t="n">
        <v>9.8949</v>
      </c>
      <c r="G21" s="0" t="n">
        <v>1.161</v>
      </c>
      <c r="H21" s="0" t="n">
        <v>7.9697</v>
      </c>
      <c r="L21" s="68"/>
      <c r="M21" s="0" t="n">
        <v>1.145</v>
      </c>
      <c r="N21" s="0" t="n">
        <v>6.4519</v>
      </c>
    </row>
    <row r="22" customFormat="false" ht="13.8" hidden="false" customHeight="false" outlineLevel="0" collapsed="false">
      <c r="A22" s="0" t="n">
        <v>1.246</v>
      </c>
      <c r="B22" s="0" t="n">
        <f aca="false">1000*(0.03-0.0187463)</f>
        <v>11.2537</v>
      </c>
      <c r="C22" s="0" t="n">
        <v>1.286</v>
      </c>
      <c r="D22" s="0" t="n">
        <f aca="false">1000*(0.03-0.0188444)</f>
        <v>11.1556</v>
      </c>
      <c r="E22" s="0" t="n">
        <v>1.216</v>
      </c>
      <c r="F22" s="0" t="n">
        <f aca="false">1000*(0.03-0.020181)</f>
        <v>9.819</v>
      </c>
      <c r="G22" s="0" t="n">
        <v>1.192</v>
      </c>
      <c r="H22" s="0" t="n">
        <f aca="false">1000*(0.03-0.0220122)</f>
        <v>7.9878</v>
      </c>
      <c r="L22" s="68"/>
      <c r="M22" s="0" t="n">
        <v>1.173</v>
      </c>
      <c r="N22" s="0" t="n">
        <f aca="false">1000*(0.03-0.0235911)</f>
        <v>6.4089</v>
      </c>
    </row>
    <row r="23" customFormat="false" ht="13.8" hidden="false" customHeight="false" outlineLevel="0" collapsed="false">
      <c r="A23" s="0" t="n">
        <v>1.288</v>
      </c>
      <c r="B23" s="0" t="n">
        <v>11.2983</v>
      </c>
      <c r="C23" s="0" t="n">
        <v>1.336</v>
      </c>
      <c r="D23" s="0" t="n">
        <v>11.1635</v>
      </c>
      <c r="F23" s="0" t="n">
        <v>9.7784</v>
      </c>
      <c r="G23" s="0" t="n">
        <v>1.224</v>
      </c>
      <c r="H23" s="0" t="n">
        <v>7.9645</v>
      </c>
      <c r="M23" s="0" t="n">
        <v>1.201</v>
      </c>
      <c r="N23" s="0" t="n">
        <v>6.4467</v>
      </c>
    </row>
    <row r="24" customFormat="false" ht="13.8" hidden="false" customHeight="false" outlineLevel="0" collapsed="false">
      <c r="A24" s="0" t="n">
        <v>1.329</v>
      </c>
      <c r="B24" s="0" t="n">
        <f aca="false">1000*(0.03-0.0187389)</f>
        <v>11.2611</v>
      </c>
      <c r="C24" s="0" t="n">
        <v>1.386</v>
      </c>
      <c r="D24" s="0" t="n">
        <f aca="false">1000*(0.03-0.0188335)</f>
        <v>11.1665</v>
      </c>
      <c r="E24" s="0" t="n">
        <v>1.288</v>
      </c>
      <c r="F24" s="0" t="n">
        <f aca="false">1000*(0.03-0.0202178)</f>
        <v>9.7822</v>
      </c>
      <c r="G24" s="0" t="n">
        <v>1.255</v>
      </c>
      <c r="H24" s="0" t="n">
        <f aca="false">1000*(0.03-0.0220415)</f>
        <v>7.9585</v>
      </c>
      <c r="M24" s="0" t="n">
        <v>1.229</v>
      </c>
      <c r="N24" s="0" t="n">
        <f aca="false">1000*(0.03-0.0235953)</f>
        <v>6.4047</v>
      </c>
    </row>
    <row r="25" customFormat="false" ht="13.8" hidden="false" customHeight="false" outlineLevel="0" collapsed="false">
      <c r="A25" s="0" t="n">
        <v>1.371</v>
      </c>
      <c r="B25" s="0" t="n">
        <v>11.2533</v>
      </c>
      <c r="C25" s="0" t="n">
        <v>1.436</v>
      </c>
      <c r="D25" s="0" t="n">
        <v>11.1639</v>
      </c>
      <c r="F25" s="0" t="n">
        <v>9.8065</v>
      </c>
      <c r="G25" s="0" t="n">
        <v>1.286</v>
      </c>
      <c r="H25" s="0" t="n">
        <v>7.968</v>
      </c>
      <c r="M25" s="0" t="n">
        <v>1.256</v>
      </c>
      <c r="N25" s="0" t="n">
        <v>6.4429</v>
      </c>
    </row>
    <row r="26" customFormat="false" ht="13.8" hidden="false" customHeight="false" outlineLevel="0" collapsed="false">
      <c r="A26" s="0" t="n">
        <v>1.413</v>
      </c>
      <c r="B26" s="0" t="n">
        <f aca="false">1000*(0.03-0.0187309)</f>
        <v>11.2691</v>
      </c>
      <c r="C26" s="0" t="n">
        <v>1.487</v>
      </c>
      <c r="D26" s="69" t="n">
        <f aca="false">1000*(0.03-0.0188437)</f>
        <v>11.1563</v>
      </c>
      <c r="E26" s="0" t="n">
        <v>1.359</v>
      </c>
      <c r="F26" s="0" t="n">
        <f aca="false">1000*(0.03-0.0201416)</f>
        <v>9.8584</v>
      </c>
      <c r="G26" s="0" t="n">
        <v>1.317</v>
      </c>
      <c r="H26" s="0" t="n">
        <f aca="false">1000*(0.03-0.0220158)</f>
        <v>7.9842</v>
      </c>
      <c r="M26" s="0" t="n">
        <v>1.284</v>
      </c>
      <c r="N26" s="0" t="n">
        <f aca="false">1000*(0.03-0.0235828)</f>
        <v>6.4172</v>
      </c>
    </row>
    <row r="27" customFormat="false" ht="13.8" hidden="false" customHeight="false" outlineLevel="0" collapsed="false">
      <c r="A27" s="0" t="n">
        <v>1.454</v>
      </c>
      <c r="B27" s="0" t="n">
        <v>11.2382</v>
      </c>
      <c r="E27" s="0" t="n">
        <v>1.395</v>
      </c>
      <c r="F27" s="0" t="n">
        <v>9.9112</v>
      </c>
      <c r="G27" s="0" t="n">
        <v>1.349</v>
      </c>
      <c r="H27" s="0" t="n">
        <v>7.9632</v>
      </c>
      <c r="M27" s="0" t="n">
        <v>1.312</v>
      </c>
      <c r="N27" s="0" t="n">
        <v>6.4418</v>
      </c>
    </row>
    <row r="28" customFormat="false" ht="13.8" hidden="false" customHeight="false" outlineLevel="0" collapsed="false">
      <c r="A28" s="0" t="n">
        <v>1.496</v>
      </c>
      <c r="B28" s="0" t="n">
        <f aca="false">1000*(0.03-0.0187265)</f>
        <v>11.2735</v>
      </c>
      <c r="E28" s="0" t="n">
        <v>1.431</v>
      </c>
      <c r="F28" s="0" t="n">
        <f aca="false">1000*(0.03-0.0200982)</f>
        <v>9.9018</v>
      </c>
      <c r="G28" s="0" t="n">
        <v>1.38</v>
      </c>
      <c r="H28" s="0" t="n">
        <f aca="false">1000*(0.03-0.0220409)</f>
        <v>7.9591</v>
      </c>
      <c r="M28" s="0" t="n">
        <v>1.34</v>
      </c>
      <c r="N28" s="0" t="n">
        <f aca="false">1000*(0.03-0.0235831)</f>
        <v>6.4169</v>
      </c>
    </row>
    <row r="29" customFormat="false" ht="13.8" hidden="false" customHeight="false" outlineLevel="0" collapsed="false">
      <c r="E29" s="0" t="n">
        <v>1.466</v>
      </c>
      <c r="F29" s="0" t="n">
        <v>9.9662</v>
      </c>
      <c r="G29" s="0" t="n">
        <v>1.411</v>
      </c>
      <c r="H29" s="0" t="n">
        <v>7.9627</v>
      </c>
      <c r="M29" s="0" t="n">
        <v>1.367</v>
      </c>
      <c r="N29" s="0" t="n">
        <v>6.4336</v>
      </c>
    </row>
    <row r="30" customFormat="false" ht="13.8" hidden="false" customHeight="false" outlineLevel="0" collapsed="false">
      <c r="G30" s="0" t="n">
        <v>1.442</v>
      </c>
      <c r="H30" s="0" t="n">
        <f aca="false">1000*(0.03-0.0220253)</f>
        <v>7.9747</v>
      </c>
      <c r="M30" s="0" t="n">
        <v>1.395</v>
      </c>
      <c r="N30" s="0" t="n">
        <f aca="false">1000*(0.03-0.0235771)</f>
        <v>6.4229</v>
      </c>
    </row>
    <row r="31" customFormat="false" ht="13.8" hidden="false" customHeight="false" outlineLevel="0" collapsed="false">
      <c r="G31" s="0" t="n">
        <v>1.474</v>
      </c>
      <c r="H31" s="0" t="n">
        <v>7.9649</v>
      </c>
      <c r="M31" s="0" t="n">
        <v>1.423</v>
      </c>
      <c r="N31" s="0" t="n">
        <v>6.4367</v>
      </c>
    </row>
    <row r="32" customFormat="false" ht="13.8" hidden="false" customHeight="false" outlineLevel="0" collapsed="false">
      <c r="M32" s="0" t="n">
        <v>1.451</v>
      </c>
      <c r="N32" s="0" t="n">
        <f aca="false">1000*(0.03-0.0235745)</f>
        <v>6.4255</v>
      </c>
    </row>
    <row r="33" customFormat="false" ht="13.8" hidden="false" customHeight="false" outlineLevel="0" collapsed="false">
      <c r="M33" s="0" t="n">
        <v>1.479</v>
      </c>
      <c r="N33" s="0" t="n">
        <v>6.4241</v>
      </c>
    </row>
    <row r="34" customFormat="false" ht="13.8" hidden="false" customHeight="false" outlineLevel="0" collapsed="false"/>
    <row r="35" customFormat="false" ht="13.8" hidden="false" customHeight="false" outlineLevel="0" collapsed="false"/>
    <row r="37" customFormat="false" ht="13.8" hidden="false" customHeight="false" outlineLevel="0" collapsed="false">
      <c r="A37" s="61" t="s">
        <v>57</v>
      </c>
      <c r="B37" s="61"/>
      <c r="C37" s="61"/>
      <c r="D37" s="61"/>
      <c r="N37" s="61" t="s">
        <v>58</v>
      </c>
      <c r="O37" s="61"/>
      <c r="P37" s="61"/>
      <c r="Q37" s="61"/>
    </row>
    <row r="38" customFormat="false" ht="13.8" hidden="false" customHeight="false" outlineLevel="0" collapsed="false">
      <c r="A38" s="61" t="s">
        <v>59</v>
      </c>
      <c r="B38" s="61"/>
      <c r="C38" s="61"/>
      <c r="D38" s="61"/>
      <c r="N38" s="61" t="s">
        <v>59</v>
      </c>
      <c r="O38" s="61"/>
      <c r="P38" s="61"/>
      <c r="Q38" s="61"/>
    </row>
    <row r="39" customFormat="false" ht="13.8" hidden="false" customHeight="false" outlineLevel="0" collapsed="false">
      <c r="A39" s="60" t="s">
        <v>55</v>
      </c>
      <c r="B39" s="60" t="s">
        <v>19</v>
      </c>
      <c r="C39" s="60" t="s">
        <v>60</v>
      </c>
      <c r="D39" s="60" t="s">
        <v>61</v>
      </c>
      <c r="N39" s="60" t="s">
        <v>55</v>
      </c>
      <c r="O39" s="60" t="s">
        <v>19</v>
      </c>
      <c r="P39" s="60" t="s">
        <v>60</v>
      </c>
      <c r="Q39" s="60" t="s">
        <v>61</v>
      </c>
    </row>
    <row r="40" customFormat="false" ht="13.8" hidden="false" customHeight="false" outlineLevel="0" collapsed="false">
      <c r="A40" s="0" t="n">
        <v>1.037</v>
      </c>
      <c r="B40" s="0" t="n">
        <v>10.3671</v>
      </c>
      <c r="C40" s="64" t="n">
        <f aca="false">B40/(1000*0.035*SIN(RADIANS(10)))</f>
        <v>1.7057642707371</v>
      </c>
      <c r="D40" s="64" t="n">
        <f aca="false">B40/(1000*0.035*SIN(RADIANS(10.78)))</f>
        <v>1.58364712853762</v>
      </c>
      <c r="E40" s="0" t="s">
        <v>62</v>
      </c>
      <c r="N40" s="0" t="n">
        <v>1.031</v>
      </c>
      <c r="O40" s="64" t="n">
        <v>11.92</v>
      </c>
      <c r="P40" s="64" t="n">
        <f aca="false">O40/(1000*0.035*SIN(RADIANS(10)))</f>
        <v>1.9612726902592</v>
      </c>
      <c r="Q40" s="64" t="n">
        <f aca="false">O40/(1000*0.035*SIN(RADIANS(10.78)))</f>
        <v>1.82086347890619</v>
      </c>
    </row>
    <row r="41" customFormat="false" ht="13.8" hidden="false" customHeight="false" outlineLevel="0" collapsed="false">
      <c r="A41" s="0" t="n">
        <v>1.068</v>
      </c>
      <c r="B41" s="0" t="n">
        <f aca="false">1000*(0.03-0.0199501)</f>
        <v>10.0499</v>
      </c>
      <c r="C41" s="64" t="n">
        <f aca="false">B41/(1000*0.035*SIN(RADIANS(10)))</f>
        <v>1.65357335652986</v>
      </c>
      <c r="D41" s="64" t="n">
        <f aca="false">B41/(1000*0.035*SIN(RADIANS(10.78)))</f>
        <v>1.53519260710229</v>
      </c>
      <c r="N41" s="0" t="n">
        <v>1.063</v>
      </c>
      <c r="O41" s="64" t="n">
        <f aca="false">1000*(0.03-0.0182312)</f>
        <v>11.7688</v>
      </c>
      <c r="P41" s="64" t="n">
        <f aca="false">O41/(1000*0.035*SIN(RADIANS(10)))</f>
        <v>1.93639480177202</v>
      </c>
      <c r="Q41" s="64" t="n">
        <f aca="false">O41/(1000*0.035*SIN(RADIANS(10.78)))</f>
        <v>1.79776662001268</v>
      </c>
    </row>
    <row r="42" customFormat="false" ht="13.8" hidden="false" customHeight="false" outlineLevel="0" collapsed="false">
      <c r="A42" s="0" t="n">
        <f aca="false">1.068+(A41-A40)</f>
        <v>1.099</v>
      </c>
      <c r="B42" s="0" t="n">
        <v>9.8834</v>
      </c>
      <c r="C42" s="64" t="n">
        <f aca="false">B42/(1000*0.035*SIN(RADIANS(10)))</f>
        <v>1.62617806266005</v>
      </c>
      <c r="D42" s="64" t="n">
        <f aca="false">B42/(1000*0.035*SIN(RADIANS(10.78)))</f>
        <v>1.50975856605885</v>
      </c>
      <c r="G42" s="68"/>
      <c r="N42" s="0" t="n">
        <v>1.095</v>
      </c>
      <c r="O42" s="64" t="n">
        <v>11.6725</v>
      </c>
      <c r="P42" s="64" t="n">
        <f aca="false">O42/(1000*0.035*SIN(RADIANS(10)))</f>
        <v>1.9205499561284</v>
      </c>
      <c r="Q42" s="64" t="n">
        <f aca="false">O42/(1000*0.035*SIN(RADIANS(10.78)))</f>
        <v>1.78305612059837</v>
      </c>
    </row>
    <row r="43" customFormat="false" ht="13.8" hidden="false" customHeight="false" outlineLevel="0" collapsed="false">
      <c r="A43" s="0" t="n">
        <v>1.131</v>
      </c>
      <c r="B43" s="69" t="n">
        <f aca="false">1000*(0.03-0.0202027)</f>
        <v>9.7973</v>
      </c>
      <c r="C43" s="64" t="n">
        <f aca="false">B43/(1000*0.035*SIN(RADIANS(10)))</f>
        <v>1.61201148727152</v>
      </c>
      <c r="D43" s="64" t="n">
        <f aca="false">B43/(1000*0.035*SIN(RADIANS(10.78)))</f>
        <v>1.49660618807782</v>
      </c>
      <c r="G43" s="68"/>
      <c r="N43" s="0" t="n">
        <v>1.126</v>
      </c>
      <c r="O43" s="70" t="n">
        <f aca="false">1000*(0.03-0.018351)</f>
        <v>11.649</v>
      </c>
      <c r="P43" s="64" t="n">
        <f aca="false">O43/(1000*0.035*SIN(RADIANS(10)))</f>
        <v>1.91668335308972</v>
      </c>
      <c r="Q43" s="64" t="n">
        <f aca="false">O43/(1000*0.035*SIN(RADIANS(10.78)))</f>
        <v>1.77946633102166</v>
      </c>
    </row>
    <row r="44" customFormat="false" ht="13.8" hidden="false" customHeight="false" outlineLevel="0" collapsed="false">
      <c r="A44" s="0" t="n">
        <f aca="false">A43+(A43-A42)</f>
        <v>1.163</v>
      </c>
      <c r="B44" s="0" t="n">
        <v>9.7546</v>
      </c>
      <c r="C44" s="64" t="n">
        <f aca="false">B44/(1000*0.035*SIN(RADIANS(10)))</f>
        <v>1.60498578728208</v>
      </c>
      <c r="D44" s="64" t="n">
        <f aca="false">B44/(1000*0.035*SIN(RADIANS(10.78)))</f>
        <v>1.49008346403845</v>
      </c>
      <c r="N44" s="0" t="n">
        <v>1.157</v>
      </c>
      <c r="O44" s="64" t="n">
        <v>11.6353</v>
      </c>
      <c r="P44" s="64" t="n">
        <f aca="false">O44/(1000*0.035*SIN(RADIANS(10)))</f>
        <v>1.91442920578632</v>
      </c>
      <c r="Q44" s="64" t="n">
        <f aca="false">O44/(1000*0.035*SIN(RADIANS(10.78)))</f>
        <v>1.77737356007695</v>
      </c>
    </row>
    <row r="45" customFormat="false" ht="13.8" hidden="false" customHeight="false" outlineLevel="0" collapsed="false">
      <c r="N45" s="0" t="n">
        <v>1.188</v>
      </c>
      <c r="O45" s="70" t="n">
        <f aca="false">1000*(0.03-0.0183805)</f>
        <v>11.6195</v>
      </c>
      <c r="P45" s="64" t="n">
        <f aca="false">O45/(1000*0.035*SIN(RADIANS(10)))</f>
        <v>1.91182953225393</v>
      </c>
      <c r="Q45" s="64" t="n">
        <f aca="false">O45/(1000*0.035*SIN(RADIANS(10.78)))</f>
        <v>1.77495999942538</v>
      </c>
    </row>
    <row r="46" customFormat="false" ht="13.8" hidden="false" customHeight="false" outlineLevel="0" collapsed="false">
      <c r="A46" s="61" t="s">
        <v>63</v>
      </c>
      <c r="B46" s="61"/>
      <c r="C46" s="61"/>
      <c r="D46" s="61"/>
      <c r="O46" s="64"/>
      <c r="P46" s="64"/>
      <c r="Q46" s="64"/>
    </row>
    <row r="47" customFormat="false" ht="13.8" hidden="false" customHeight="false" outlineLevel="0" collapsed="false">
      <c r="A47" s="61" t="s">
        <v>59</v>
      </c>
      <c r="B47" s="61"/>
      <c r="C47" s="61"/>
      <c r="D47" s="61"/>
      <c r="N47" s="71" t="s">
        <v>64</v>
      </c>
      <c r="O47" s="71"/>
      <c r="P47" s="71"/>
      <c r="Q47" s="72" t="n">
        <v>1.72</v>
      </c>
    </row>
    <row r="48" customFormat="false" ht="13.8" hidden="false" customHeight="false" outlineLevel="0" collapsed="false">
      <c r="A48" s="60" t="s">
        <v>55</v>
      </c>
      <c r="B48" s="60" t="s">
        <v>19</v>
      </c>
      <c r="C48" s="60" t="s">
        <v>60</v>
      </c>
      <c r="D48" s="60" t="s">
        <v>61</v>
      </c>
    </row>
    <row r="49" customFormat="false" ht="13.8" hidden="false" customHeight="false" outlineLevel="0" collapsed="false">
      <c r="A49" s="0" t="n">
        <v>1.033</v>
      </c>
      <c r="B49" s="0" t="n">
        <v>12.3826</v>
      </c>
      <c r="C49" s="64" t="n">
        <f aca="false">B49/(1000*0.035*SIN(RADIANS(10)))</f>
        <v>2.03738718241641</v>
      </c>
      <c r="D49" s="64" t="n">
        <f aca="false">B49/(1000*0.035*SIN(RADIANS(10.78)))</f>
        <v>1.89152886861609</v>
      </c>
      <c r="E49" s="0" t="s">
        <v>62</v>
      </c>
      <c r="N49" s="61" t="s">
        <v>65</v>
      </c>
      <c r="O49" s="61"/>
      <c r="P49" s="61"/>
      <c r="Q49" s="61"/>
    </row>
    <row r="50" customFormat="false" ht="13.8" hidden="false" customHeight="false" outlineLevel="0" collapsed="false">
      <c r="A50" s="0" t="n">
        <v>1.064</v>
      </c>
      <c r="B50" s="0" t="n">
        <f aca="false">(0.03-0.0178154)*1000</f>
        <v>12.1846</v>
      </c>
      <c r="C50" s="64" t="n">
        <f aca="false">B50/(1000*0.035*SIN(RADIANS(10)))</f>
        <v>2.00480899511177</v>
      </c>
      <c r="D50" s="64" t="n">
        <f aca="false">B50/(1000*0.035*SIN(RADIANS(10.78)))</f>
        <v>1.86128298196983</v>
      </c>
      <c r="N50" s="61" t="s">
        <v>66</v>
      </c>
      <c r="O50" s="61"/>
      <c r="P50" s="61"/>
      <c r="Q50" s="61"/>
    </row>
    <row r="51" customFormat="false" ht="13.8" hidden="false" customHeight="false" outlineLevel="0" collapsed="false">
      <c r="C51" s="64" t="n">
        <f aca="false">B51/(1000*0.035*SIN(RADIANS(10)))</f>
        <v>0</v>
      </c>
      <c r="D51" s="64" t="n">
        <f aca="false">B51/(1000*0.035*SIN(RADIANS(10.78)))</f>
        <v>0</v>
      </c>
      <c r="N51" s="60" t="s">
        <v>55</v>
      </c>
      <c r="O51" s="60" t="s">
        <v>19</v>
      </c>
      <c r="P51" s="60" t="s">
        <v>60</v>
      </c>
      <c r="Q51" s="60" t="s">
        <v>61</v>
      </c>
    </row>
    <row r="52" customFormat="false" ht="13.8" hidden="false" customHeight="false" outlineLevel="0" collapsed="false">
      <c r="B52" s="69"/>
      <c r="C52" s="64" t="n">
        <f aca="false">B52/(1000*0.035*SIN(RADIANS(10)))</f>
        <v>0</v>
      </c>
      <c r="D52" s="64" t="n">
        <f aca="false">B52/(1000*0.035*SIN(RADIANS(10.78)))</f>
        <v>0</v>
      </c>
      <c r="N52" s="0" t="n">
        <v>1.031</v>
      </c>
      <c r="O52" s="64" t="n">
        <v>11.8117</v>
      </c>
      <c r="P52" s="64" t="n">
        <f aca="false">O52/(1000*0.035*SIN(RADIANS(10)))</f>
        <v>1.94345340902136</v>
      </c>
      <c r="Q52" s="64" t="n">
        <f aca="false">O52/(1000*0.035*SIN(RADIANS(10.78)))</f>
        <v>1.80431989545271</v>
      </c>
    </row>
    <row r="53" customFormat="false" ht="13.8" hidden="false" customHeight="false" outlineLevel="0" collapsed="false">
      <c r="C53" s="64" t="n">
        <f aca="false">B53/(1000*0.035*SIN(RADIANS(10)))</f>
        <v>0</v>
      </c>
      <c r="D53" s="64" t="n">
        <f aca="false">B53/(1000*0.035*SIN(RADIANS(10.78)))</f>
        <v>0</v>
      </c>
      <c r="N53" s="0" t="n">
        <v>1.073</v>
      </c>
      <c r="O53" s="64" t="n">
        <f aca="false">1000*(0.03-0.0180445)</f>
        <v>11.9555</v>
      </c>
      <c r="P53" s="64" t="n">
        <f aca="false">O53/(1000*0.035*SIN(RADIANS(10)))</f>
        <v>1.96711372889211</v>
      </c>
      <c r="Q53" s="64" t="n">
        <f aca="false">O53/(1000*0.035*SIN(RADIANS(10.78)))</f>
        <v>1.82628635252206</v>
      </c>
    </row>
    <row r="54" customFormat="false" ht="13.8" hidden="false" customHeight="false" outlineLevel="0" collapsed="false">
      <c r="N54" s="0" t="n">
        <v>1.114</v>
      </c>
      <c r="O54" s="64" t="n">
        <v>11.953</v>
      </c>
      <c r="P54" s="64" t="n">
        <f aca="false">O54/(1000*0.035*SIN(RADIANS(10)))</f>
        <v>1.96670238814331</v>
      </c>
      <c r="Q54" s="64" t="n">
        <f aca="false">O54/(1000*0.035*SIN(RADIANS(10.78)))</f>
        <v>1.8259044600139</v>
      </c>
    </row>
    <row r="55" customFormat="false" ht="13.8" hidden="false" customHeight="false" outlineLevel="0" collapsed="false">
      <c r="A55" s="61" t="s">
        <v>67</v>
      </c>
      <c r="B55" s="61"/>
      <c r="C55" s="61"/>
      <c r="D55" s="61"/>
      <c r="O55" s="70"/>
      <c r="P55" s="64" t="n">
        <f aca="false">O55/(1000*0.035*SIN(RADIANS(10)))</f>
        <v>0</v>
      </c>
      <c r="Q55" s="64" t="n">
        <f aca="false">O55/(1000*0.035*SIN(RADIANS(10.78)))</f>
        <v>0</v>
      </c>
    </row>
    <row r="56" customFormat="false" ht="13.8" hidden="false" customHeight="false" outlineLevel="0" collapsed="false">
      <c r="A56" s="61" t="s">
        <v>59</v>
      </c>
      <c r="B56" s="61"/>
      <c r="C56" s="61"/>
      <c r="D56" s="61"/>
      <c r="O56" s="64"/>
      <c r="P56" s="64" t="n">
        <f aca="false">O56/(1000*0.035*SIN(RADIANS(10)))</f>
        <v>0</v>
      </c>
      <c r="Q56" s="64" t="n">
        <f aca="false">O56/(1000*0.035*SIN(RADIANS(10.78)))</f>
        <v>0</v>
      </c>
    </row>
    <row r="57" customFormat="false" ht="13.8" hidden="false" customHeight="false" outlineLevel="0" collapsed="false">
      <c r="A57" s="60" t="s">
        <v>55</v>
      </c>
      <c r="B57" s="60" t="s">
        <v>19</v>
      </c>
      <c r="C57" s="60" t="s">
        <v>60</v>
      </c>
      <c r="D57" s="60" t="s">
        <v>61</v>
      </c>
      <c r="O57" s="70"/>
      <c r="P57" s="64" t="n">
        <f aca="false">O57/(1000*0.035*SIN(RADIANS(10)))</f>
        <v>0</v>
      </c>
      <c r="Q57" s="64" t="n">
        <f aca="false">O57/(1000*0.035*SIN(RADIANS(10.78)))</f>
        <v>0</v>
      </c>
    </row>
    <row r="58" customFormat="false" ht="13.8" hidden="false" customHeight="false" outlineLevel="0" collapsed="false">
      <c r="A58" s="0" t="n">
        <v>1.033</v>
      </c>
      <c r="B58" s="64" t="n">
        <v>12.0366</v>
      </c>
      <c r="C58" s="64" t="n">
        <f aca="false">B58/(1000*0.035*SIN(RADIANS(10)))</f>
        <v>1.98045762278305</v>
      </c>
      <c r="D58" s="64" t="n">
        <f aca="false">B58/(1000*0.035*SIN(RADIANS(10.78)))</f>
        <v>1.83867494548677</v>
      </c>
      <c r="E58" s="0" t="s">
        <v>62</v>
      </c>
    </row>
    <row r="59" customFormat="false" ht="13.8" hidden="false" customHeight="false" outlineLevel="0" collapsed="false">
      <c r="A59" s="0" t="n">
        <v>1.065</v>
      </c>
      <c r="B59" s="64" t="n">
        <f aca="false">(0.03-0.0182043)*1000</f>
        <v>11.7957</v>
      </c>
      <c r="C59" s="64" t="n">
        <f aca="false">B59/(1000*0.035*SIN(RADIANS(10)))</f>
        <v>1.94082082822907</v>
      </c>
      <c r="D59" s="64" t="n">
        <f aca="false">B59/(1000*0.035*SIN(RADIANS(10.78)))</f>
        <v>1.80187578340048</v>
      </c>
      <c r="G59" s="64" t="n">
        <f aca="false">D41/D40*D58</f>
        <v>1.78241739103968</v>
      </c>
      <c r="N59" s="61" t="s">
        <v>65</v>
      </c>
      <c r="O59" s="61"/>
      <c r="P59" s="61"/>
      <c r="Q59" s="61"/>
    </row>
    <row r="60" customFormat="false" ht="13.8" hidden="false" customHeight="false" outlineLevel="0" collapsed="false">
      <c r="A60" s="0" t="n">
        <v>1.096</v>
      </c>
      <c r="B60" s="64" t="n">
        <v>11.6751</v>
      </c>
      <c r="C60" s="64" t="n">
        <f aca="false">B60/(1000*0.035*SIN(RADIANS(10)))</f>
        <v>1.92097775050715</v>
      </c>
      <c r="D60" s="64" t="n">
        <f aca="false">B60/(1000*0.035*SIN(RADIANS(10.78)))</f>
        <v>1.78345328880685</v>
      </c>
      <c r="G60" s="64" t="n">
        <f aca="false">D42/D40*D58</f>
        <v>1.75288749565683</v>
      </c>
      <c r="N60" s="61" t="s">
        <v>68</v>
      </c>
      <c r="O60" s="61"/>
      <c r="P60" s="61"/>
      <c r="Q60" s="61"/>
    </row>
    <row r="61" customFormat="false" ht="13.8" hidden="false" customHeight="false" outlineLevel="0" collapsed="false">
      <c r="A61" s="0" t="n">
        <v>1.128</v>
      </c>
      <c r="B61" s="70" t="n">
        <f aca="false">(0.03-0.0183851)*1000</f>
        <v>11.6149</v>
      </c>
      <c r="C61" s="64" t="n">
        <f aca="false">B61/(1000*0.035*SIN(RADIANS(10)))</f>
        <v>1.91107266527614</v>
      </c>
      <c r="D61" s="64" t="n">
        <f aca="false">B61/(1000*0.035*SIN(RADIANS(10.78)))</f>
        <v>1.77425731721036</v>
      </c>
      <c r="G61" s="64" t="n">
        <f aca="false">D43/$D$40*D58</f>
        <v>1.73761708128768</v>
      </c>
      <c r="N61" s="60" t="s">
        <v>55</v>
      </c>
      <c r="O61" s="60" t="s">
        <v>19</v>
      </c>
      <c r="P61" s="60" t="s">
        <v>60</v>
      </c>
      <c r="Q61" s="60" t="s">
        <v>61</v>
      </c>
    </row>
    <row r="62" customFormat="false" ht="13.8" hidden="false" customHeight="false" outlineLevel="0" collapsed="false">
      <c r="A62" s="0" t="n">
        <v>1.159</v>
      </c>
      <c r="B62" s="64" t="n">
        <v>11.5898</v>
      </c>
      <c r="C62" s="64" t="n">
        <f aca="false">B62/(1000*0.035*SIN(RADIANS(10)))</f>
        <v>1.90694280415823</v>
      </c>
      <c r="D62" s="64" t="n">
        <f aca="false">B62/(1000*0.035*SIN(RADIANS(10.78)))</f>
        <v>1.77042311642844</v>
      </c>
      <c r="G62" s="64" t="n">
        <f aca="false">D44/D40*D58</f>
        <v>1.73004394895826</v>
      </c>
      <c r="N62" s="0" t="n">
        <v>1.031</v>
      </c>
      <c r="O62" s="64" t="n">
        <v>11.8117</v>
      </c>
      <c r="P62" s="64" t="n">
        <f aca="false">O62/(1000*0.035*SIN(RADIANS(10)))</f>
        <v>1.94345340902136</v>
      </c>
      <c r="Q62" s="64" t="n">
        <f aca="false">O62/(1000*0.035*SIN(RADIANS(10.78)))</f>
        <v>1.80431989545271</v>
      </c>
    </row>
    <row r="63" customFormat="false" ht="13.8" hidden="false" customHeight="false" outlineLevel="0" collapsed="false">
      <c r="B63" s="64"/>
      <c r="C63" s="64" t="n">
        <f aca="false">B63/(1000*0.035*SIN(RADIANS(10)))</f>
        <v>0</v>
      </c>
      <c r="D63" s="64" t="n">
        <f aca="false">B63/(1000*0.035*SIN(RADIANS(10.78)))</f>
        <v>0</v>
      </c>
      <c r="N63" s="0" t="n">
        <v>1.073</v>
      </c>
      <c r="O63" s="64" t="n">
        <f aca="false">1000*(0.03-0.0174737)</f>
        <v>12.5263</v>
      </c>
      <c r="P63" s="64" t="n">
        <f aca="false">O63/(1000*0.035*SIN(RADIANS(10)))</f>
        <v>2.0610310486572</v>
      </c>
      <c r="Q63" s="64" t="n">
        <f aca="false">O63/(1000*0.035*SIN(RADIANS(10.78)))</f>
        <v>1.91348004998512</v>
      </c>
    </row>
    <row r="64" customFormat="false" ht="13.8" hidden="false" customHeight="false" outlineLevel="0" collapsed="false">
      <c r="B64" s="64"/>
      <c r="C64" s="64" t="n">
        <f aca="false">B64/(1000*0.035*SIN(RADIANS(10)))</f>
        <v>0</v>
      </c>
      <c r="D64" s="64" t="n">
        <f aca="false">B64/(1000*0.035*SIN(RADIANS(10.78)))</f>
        <v>0</v>
      </c>
      <c r="N64" s="0" t="n">
        <v>1.103</v>
      </c>
      <c r="O64" s="64" t="n">
        <v>12.51</v>
      </c>
      <c r="P64" s="64" t="n">
        <f aca="false">O64/(1000*0.035*SIN(RADIANS(10)))</f>
        <v>2.05834910697505</v>
      </c>
      <c r="Q64" s="64" t="n">
        <f aca="false">O64/(1000*0.035*SIN(RADIANS(10.78)))</f>
        <v>1.91099011083192</v>
      </c>
    </row>
    <row r="65" customFormat="false" ht="13.8" hidden="false" customHeight="false" outlineLevel="0" collapsed="false">
      <c r="O65" s="70"/>
      <c r="P65" s="64" t="n">
        <f aca="false">O65/(1000*0.035*SIN(RADIANS(10)))</f>
        <v>0</v>
      </c>
      <c r="Q65" s="64" t="n">
        <f aca="false">O65/(1000*0.035*SIN(RADIANS(10.78)))</f>
        <v>0</v>
      </c>
    </row>
    <row r="66" customFormat="false" ht="13.8" hidden="false" customHeight="false" outlineLevel="0" collapsed="false">
      <c r="A66" s="61" t="s">
        <v>69</v>
      </c>
      <c r="B66" s="61"/>
      <c r="C66" s="61"/>
      <c r="D66" s="61"/>
      <c r="O66" s="64"/>
      <c r="P66" s="64" t="n">
        <f aca="false">O66/(1000*0.035*SIN(RADIANS(10)))</f>
        <v>0</v>
      </c>
      <c r="Q66" s="64" t="n">
        <f aca="false">O66/(1000*0.035*SIN(RADIANS(10.78)))</f>
        <v>0</v>
      </c>
    </row>
    <row r="67" customFormat="false" ht="13.8" hidden="false" customHeight="false" outlineLevel="0" collapsed="false">
      <c r="A67" s="61" t="s">
        <v>66</v>
      </c>
      <c r="B67" s="61"/>
      <c r="C67" s="61"/>
      <c r="D67" s="61"/>
      <c r="O67" s="70"/>
      <c r="P67" s="64" t="n">
        <f aca="false">O67/(1000*0.035*SIN(RADIANS(10)))</f>
        <v>0</v>
      </c>
      <c r="Q67" s="64" t="n">
        <f aca="false">O67/(1000*0.035*SIN(RADIANS(10.78)))</f>
        <v>0</v>
      </c>
    </row>
    <row r="68" customFormat="false" ht="13.8" hidden="false" customHeight="false" outlineLevel="0" collapsed="false">
      <c r="A68" s="60" t="s">
        <v>55</v>
      </c>
      <c r="B68" s="60" t="s">
        <v>19</v>
      </c>
      <c r="C68" s="60" t="s">
        <v>60</v>
      </c>
      <c r="D68" s="60" t="s">
        <v>61</v>
      </c>
    </row>
    <row r="69" customFormat="false" ht="13.8" hidden="false" customHeight="false" outlineLevel="0" collapsed="false">
      <c r="A69" s="0" t="n">
        <v>1.032</v>
      </c>
      <c r="B69" s="64" t="n">
        <v>12.6366</v>
      </c>
      <c r="C69" s="64" t="n">
        <f aca="false">B69/(1000*0.035*SIN(RADIANS(10)))</f>
        <v>2.07917940249408</v>
      </c>
      <c r="D69" s="64" t="n">
        <f aca="false">B69/(1000*0.035*SIN(RADIANS(10.78)))</f>
        <v>1.93032914744513</v>
      </c>
    </row>
    <row r="70" customFormat="false" ht="13.8" hidden="false" customHeight="false" outlineLevel="0" collapsed="false">
      <c r="A70" s="0" t="n">
        <v>1.074</v>
      </c>
      <c r="B70" s="64" t="n">
        <f aca="false">(0.03-0.0171832)*1000</f>
        <v>12.8168</v>
      </c>
      <c r="C70" s="64" t="n">
        <f aca="false">B70/(1000*0.035*SIN(RADIANS(10)))</f>
        <v>2.10882884366729</v>
      </c>
      <c r="D70" s="64" t="n">
        <f aca="false">B70/(1000*0.035*SIN(RADIANS(10.78)))</f>
        <v>1.9578559594333</v>
      </c>
    </row>
    <row r="71" customFormat="false" ht="13.8" hidden="false" customHeight="false" outlineLevel="0" collapsed="false">
      <c r="A71" s="0" t="n">
        <v>1.116</v>
      </c>
      <c r="B71" s="0" t="n">
        <v>12.82</v>
      </c>
      <c r="C71" s="64" t="n">
        <f aca="false">B71/(1000*0.035*SIN(RADIANS(10)))</f>
        <v>2.10935535982575</v>
      </c>
      <c r="D71" s="64" t="n">
        <f aca="false">B71/(1000*0.035*SIN(RADIANS(10.78)))</f>
        <v>1.95834478184374</v>
      </c>
    </row>
    <row r="72" customFormat="false" ht="13.8" hidden="false" customHeight="false" outlineLevel="0" collapsed="false">
      <c r="B72" s="70"/>
      <c r="C72" s="64" t="n">
        <f aca="false">B72/(1000*0.035*SIN(RADIANS(10)))</f>
        <v>0</v>
      </c>
      <c r="D72" s="64" t="n">
        <f aca="false">B72/(1000*0.035*SIN(RADIANS(10.78)))</f>
        <v>0</v>
      </c>
    </row>
    <row r="73" customFormat="false" ht="13.8" hidden="false" customHeight="false" outlineLevel="0" collapsed="false">
      <c r="B73" s="64"/>
      <c r="C73" s="64" t="n">
        <f aca="false">B73/(1000*0.035*SIN(RADIANS(10)))</f>
        <v>0</v>
      </c>
      <c r="D73" s="64" t="n">
        <f aca="false">B73/(1000*0.035*SIN(RADIANS(10.78)))</f>
        <v>0</v>
      </c>
    </row>
    <row r="74" customFormat="false" ht="13.8" hidden="false" customHeight="false" outlineLevel="0" collapsed="false">
      <c r="B74" s="64"/>
      <c r="C74" s="64" t="n">
        <f aca="false">B74/(1000*0.035*SIN(RADIANS(10)))</f>
        <v>0</v>
      </c>
      <c r="D74" s="64" t="n">
        <f aca="false">B74/(1000*0.035*SIN(RADIANS(10.78)))</f>
        <v>0</v>
      </c>
    </row>
    <row r="75" customFormat="false" ht="13.8" hidden="false" customHeight="false" outlineLevel="0" collapsed="false">
      <c r="B75" s="64"/>
      <c r="C75" s="64" t="n">
        <f aca="false">B75/(1000*0.035*SIN(RADIANS(10)))</f>
        <v>0</v>
      </c>
      <c r="D75" s="64" t="n">
        <f aca="false">B75/(1000*0.035*SIN(RADIANS(10.78)))</f>
        <v>0</v>
      </c>
    </row>
    <row r="78" customFormat="false" ht="14.25" hidden="false" customHeight="false" outlineLevel="0" collapsed="false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</row>
    <row r="81" customFormat="false" ht="13.8" hidden="false" customHeight="false" outlineLevel="0" collapsed="false">
      <c r="A81" s="67" t="s">
        <v>70</v>
      </c>
      <c r="B81" s="74" t="n">
        <v>7500000000</v>
      </c>
    </row>
    <row r="82" customFormat="false" ht="13.8" hidden="false" customHeight="false" outlineLevel="0" collapsed="false">
      <c r="A82" s="67" t="s">
        <v>71</v>
      </c>
      <c r="B82" s="67" t="n">
        <v>1325</v>
      </c>
    </row>
    <row r="83" customFormat="false" ht="13.8" hidden="false" customHeight="false" outlineLevel="0" collapsed="false">
      <c r="A83" s="71" t="s">
        <v>42</v>
      </c>
      <c r="B83" s="71"/>
      <c r="C83" s="71"/>
      <c r="D83" s="71"/>
    </row>
    <row r="84" customFormat="false" ht="13.8" hidden="false" customHeight="false" outlineLevel="0" collapsed="false">
      <c r="A84" s="61" t="s">
        <v>49</v>
      </c>
      <c r="B84" s="61"/>
      <c r="C84" s="61"/>
      <c r="D84" s="61"/>
      <c r="F84" s="61" t="s">
        <v>52</v>
      </c>
      <c r="G84" s="61"/>
      <c r="H84" s="61"/>
      <c r="I84" s="61"/>
      <c r="K84" s="61" t="s">
        <v>51</v>
      </c>
      <c r="L84" s="61"/>
      <c r="M84" s="61"/>
    </row>
    <row r="85" customFormat="false" ht="13.8" hidden="false" customHeight="false" outlineLevel="0" collapsed="false">
      <c r="A85" s="60" t="s">
        <v>55</v>
      </c>
      <c r="B85" s="60" t="s">
        <v>19</v>
      </c>
      <c r="C85" s="60" t="s">
        <v>60</v>
      </c>
      <c r="D85" s="60" t="s">
        <v>61</v>
      </c>
      <c r="F85" s="60" t="s">
        <v>55</v>
      </c>
      <c r="G85" s="60" t="s">
        <v>19</v>
      </c>
      <c r="H85" s="60" t="s">
        <v>60</v>
      </c>
      <c r="I85" s="60" t="s">
        <v>61</v>
      </c>
      <c r="K85" s="60" t="s">
        <v>55</v>
      </c>
      <c r="L85" s="60" t="s">
        <v>19</v>
      </c>
      <c r="M85" s="60" t="s">
        <v>60</v>
      </c>
      <c r="N85" s="60" t="s">
        <v>61</v>
      </c>
    </row>
    <row r="86" customFormat="false" ht="13.8" hidden="false" customHeight="false" outlineLevel="0" collapsed="false">
      <c r="A86" s="0" t="n">
        <v>1.07</v>
      </c>
      <c r="B86" s="0" t="n">
        <f aca="false">1000*(0.03-0.0182399)</f>
        <v>11.7601</v>
      </c>
      <c r="C86" s="64" t="n">
        <f aca="false">B86/(1000*0.035*SIN(RADIANS(10)))</f>
        <v>1.93496333596621</v>
      </c>
      <c r="D86" s="64" t="n">
        <f aca="false">B86/(1000*0.035*SIN(RADIANS(10.78)))</f>
        <v>1.79643763408429</v>
      </c>
      <c r="F86" s="0" t="n">
        <v>1.032</v>
      </c>
      <c r="G86" s="0" t="n">
        <v>11.6128</v>
      </c>
      <c r="H86" s="64" t="n">
        <f aca="false">G86/(1000*0.035*SIN(RADIANS(10)))</f>
        <v>1.91072713904715</v>
      </c>
      <c r="I86" s="64" t="n">
        <f aca="false">G86/(1000*0.035*SIN(RADIANS(10.78)))</f>
        <v>1.77393652750351</v>
      </c>
      <c r="K86" s="0" t="n">
        <v>1.031</v>
      </c>
      <c r="L86" s="64" t="n">
        <v>12.3236</v>
      </c>
      <c r="M86" s="64" t="n">
        <f aca="false">L86/(1000*0.035*SIN(RADIANS(10)))</f>
        <v>2.02767954074483</v>
      </c>
      <c r="N86" s="64" t="n">
        <f aca="false">L86/(1000*0.035*SIN(RADIANS(10.78)))</f>
        <v>1.88251620542352</v>
      </c>
    </row>
    <row r="87" customFormat="false" ht="13.8" hidden="false" customHeight="false" outlineLevel="0" collapsed="false">
      <c r="A87" s="0" t="n">
        <v>1.114</v>
      </c>
      <c r="B87" s="0" t="n">
        <v>11.757</v>
      </c>
      <c r="C87" s="64" t="n">
        <f aca="false">B87/(1000*0.035*SIN(RADIANS(10)))</f>
        <v>1.93445327343771</v>
      </c>
      <c r="D87" s="64" t="n">
        <f aca="false">B87/(1000*0.035*SIN(RADIANS(10.78)))</f>
        <v>1.79596408737417</v>
      </c>
      <c r="F87" s="0" t="n">
        <v>1.063</v>
      </c>
      <c r="G87" s="0" t="n">
        <f aca="false">1000*(0.03-0.0185551)</f>
        <v>11.4449</v>
      </c>
      <c r="H87" s="64" t="n">
        <f aca="false">G87/(1000*0.035*SIN(RADIANS(10)))</f>
        <v>1.88310149435802</v>
      </c>
      <c r="I87" s="64" t="n">
        <f aca="false">G87/(1000*0.035*SIN(RADIANS(10.78)))</f>
        <v>1.74828862665549</v>
      </c>
      <c r="K87" s="0" t="n">
        <v>1.065</v>
      </c>
      <c r="L87" s="64" t="n">
        <f aca="false">1000*(0.03-0.017678)</f>
        <v>12.322</v>
      </c>
      <c r="M87" s="64" t="n">
        <f aca="false">L87/(1000*0.035*SIN(RADIANS(10)))</f>
        <v>2.0274162826656</v>
      </c>
      <c r="N87" s="64" t="n">
        <f aca="false">L87/(1000*0.035*SIN(RADIANS(10.78)))</f>
        <v>1.8822717942183</v>
      </c>
    </row>
    <row r="88" customFormat="false" ht="13.8" hidden="false" customHeight="false" outlineLevel="0" collapsed="false"/>
    <row r="89" customFormat="false" ht="13.8" hidden="false" customHeight="false" outlineLevel="0" collapsed="false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</row>
    <row r="91" customFormat="false" ht="13.8" hidden="false" customHeight="false" outlineLevel="0" collapsed="false">
      <c r="A91" s="67" t="s">
        <v>70</v>
      </c>
      <c r="B91" s="74" t="n">
        <v>5800000000</v>
      </c>
    </row>
    <row r="92" customFormat="false" ht="13.8" hidden="false" customHeight="false" outlineLevel="0" collapsed="false">
      <c r="A92" s="67" t="s">
        <v>71</v>
      </c>
      <c r="B92" s="67" t="n">
        <v>1000</v>
      </c>
    </row>
    <row r="94" customFormat="false" ht="13.8" hidden="false" customHeight="false" outlineLevel="0" collapsed="false">
      <c r="A94" s="61" t="s">
        <v>49</v>
      </c>
      <c r="B94" s="61"/>
      <c r="C94" s="61"/>
      <c r="D94" s="61"/>
      <c r="F94" s="61" t="s">
        <v>51</v>
      </c>
      <c r="G94" s="61"/>
      <c r="H94" s="61"/>
      <c r="I94" s="61"/>
      <c r="K94" s="61" t="s">
        <v>52</v>
      </c>
      <c r="L94" s="61"/>
      <c r="M94" s="61"/>
    </row>
    <row r="95" customFormat="false" ht="13.8" hidden="false" customHeight="false" outlineLevel="0" collapsed="false">
      <c r="A95" s="60" t="s">
        <v>55</v>
      </c>
      <c r="B95" s="60" t="s">
        <v>19</v>
      </c>
      <c r="C95" s="60" t="s">
        <v>60</v>
      </c>
      <c r="D95" s="60" t="s">
        <v>61</v>
      </c>
      <c r="F95" s="60" t="s">
        <v>55</v>
      </c>
      <c r="G95" s="60" t="s">
        <v>19</v>
      </c>
      <c r="H95" s="60" t="s">
        <v>60</v>
      </c>
      <c r="I95" s="60" t="s">
        <v>61</v>
      </c>
      <c r="K95" s="60" t="s">
        <v>55</v>
      </c>
      <c r="L95" s="60" t="s">
        <v>19</v>
      </c>
      <c r="M95" s="60" t="s">
        <v>60</v>
      </c>
      <c r="N95" s="60" t="s">
        <v>61</v>
      </c>
    </row>
    <row r="96" customFormat="false" ht="13.8" hidden="false" customHeight="false" outlineLevel="0" collapsed="false">
      <c r="A96" s="0" t="n">
        <v>1.074</v>
      </c>
      <c r="B96" s="0" t="n">
        <f aca="false">1000*(0.03-0.0191163)</f>
        <v>10.8837</v>
      </c>
      <c r="C96" s="64" t="n">
        <f aca="false">B96/(1000*0.035*SIN(RADIANS(10)))</f>
        <v>1.7907637230683</v>
      </c>
      <c r="D96" s="64" t="n">
        <f aca="false">B96/(1000*0.035*SIN(RADIANS(10.78)))</f>
        <v>1.66256139642377</v>
      </c>
      <c r="F96" s="0" t="n">
        <v>1.068</v>
      </c>
      <c r="G96" s="0" t="n">
        <f aca="false">1000*(0.03-0.0190529)</f>
        <v>10.9471</v>
      </c>
      <c r="H96" s="64" t="n">
        <f aca="false">G96/(1000*0.035*SIN(RADIANS(10)))</f>
        <v>1.80119532445776</v>
      </c>
      <c r="I96" s="64" t="n">
        <f aca="false">G96/(1000*0.035*SIN(RADIANS(10.78)))</f>
        <v>1.6722461904307</v>
      </c>
      <c r="K96" s="0" t="n">
        <v>1.064</v>
      </c>
      <c r="L96" s="64" t="n">
        <f aca="false">1000*(0.03-0.0200284)</f>
        <v>9.9716</v>
      </c>
      <c r="M96" s="64" t="n">
        <f aca="false">L96/(1000*0.035*SIN(RADIANS(10)))</f>
        <v>1.64069016427757</v>
      </c>
      <c r="N96" s="64" t="n">
        <f aca="false">L96/(1000*0.035*SIN(RADIANS(10.78)))</f>
        <v>1.52323173374673</v>
      </c>
    </row>
    <row r="97" customFormat="false" ht="13.8" hidden="false" customHeight="false" outlineLevel="0" collapsed="false">
      <c r="C97" s="64" t="n">
        <f aca="false">B97/(1000*0.035*SIN(RADIANS(10)))</f>
        <v>0</v>
      </c>
      <c r="D97" s="64" t="n">
        <f aca="false">B97/(1000*0.035*SIN(RADIANS(10.78)))</f>
        <v>0</v>
      </c>
      <c r="H97" s="64" t="n">
        <f aca="false">G97/(1000*0.035*SIN(RADIANS(10)))</f>
        <v>0</v>
      </c>
      <c r="I97" s="64" t="n">
        <f aca="false">G97/(1000*0.035*SIN(RADIANS(10.78)))</f>
        <v>0</v>
      </c>
      <c r="L97" s="64"/>
      <c r="M97" s="64" t="n">
        <f aca="false">L97/(1000*0.035*SIN(RADIANS(10)))</f>
        <v>0</v>
      </c>
      <c r="N97" s="64" t="n">
        <f aca="false">L97/(1000*0.035*SIN(RADIANS(10.78)))</f>
        <v>0</v>
      </c>
    </row>
    <row r="99" customFormat="false" ht="14.25" hidden="false" customHeight="false" outlineLevel="0" collapsed="false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</row>
    <row r="101" customFormat="false" ht="13.8" hidden="false" customHeight="false" outlineLevel="0" collapsed="false">
      <c r="A101" s="67" t="s">
        <v>70</v>
      </c>
      <c r="B101" s="74" t="n">
        <v>7000000000</v>
      </c>
    </row>
    <row r="102" customFormat="false" ht="13.8" hidden="false" customHeight="false" outlineLevel="0" collapsed="false">
      <c r="A102" s="67" t="s">
        <v>71</v>
      </c>
      <c r="B102" s="67" t="n">
        <v>1000</v>
      </c>
    </row>
    <row r="103" customFormat="false" ht="13.8" hidden="false" customHeight="false" outlineLevel="0" collapsed="false"/>
    <row r="104" customFormat="false" ht="13.8" hidden="false" customHeight="false" outlineLevel="0" collapsed="false">
      <c r="A104" s="61" t="s">
        <v>49</v>
      </c>
      <c r="B104" s="61"/>
      <c r="C104" s="61"/>
      <c r="D104" s="61"/>
      <c r="F104" s="61" t="s">
        <v>51</v>
      </c>
      <c r="G104" s="61"/>
      <c r="H104" s="61"/>
      <c r="I104" s="61"/>
      <c r="K104" s="61" t="s">
        <v>52</v>
      </c>
      <c r="L104" s="61"/>
      <c r="M104" s="61"/>
    </row>
    <row r="105" customFormat="false" ht="13.8" hidden="false" customHeight="false" outlineLevel="0" collapsed="false">
      <c r="A105" s="60" t="s">
        <v>55</v>
      </c>
      <c r="B105" s="60" t="s">
        <v>19</v>
      </c>
      <c r="C105" s="60" t="s">
        <v>60</v>
      </c>
      <c r="D105" s="60" t="s">
        <v>61</v>
      </c>
      <c r="F105" s="60" t="s">
        <v>55</v>
      </c>
      <c r="G105" s="60" t="s">
        <v>19</v>
      </c>
      <c r="H105" s="60" t="s">
        <v>60</v>
      </c>
      <c r="I105" s="60" t="s">
        <v>61</v>
      </c>
      <c r="K105" s="60" t="s">
        <v>55</v>
      </c>
      <c r="L105" s="60" t="s">
        <v>19</v>
      </c>
      <c r="M105" s="60" t="s">
        <v>60</v>
      </c>
      <c r="N105" s="60" t="s">
        <v>61</v>
      </c>
    </row>
    <row r="106" customFormat="false" ht="13.8" hidden="false" customHeight="false" outlineLevel="0" collapsed="false">
      <c r="A106" s="0" t="n">
        <v>1.07</v>
      </c>
      <c r="B106" s="69" t="n">
        <f aca="false">1000*(0.03-0.0194274)</f>
        <v>10.5726</v>
      </c>
      <c r="C106" s="64" t="n">
        <f aca="false">B106/(1000*0.035*SIN(RADIANS(10)))</f>
        <v>1.73957648028813</v>
      </c>
      <c r="D106" s="64" t="n">
        <f aca="false">B106/(1000*0.035*SIN(RADIANS(10.78)))</f>
        <v>1.61503869270836</v>
      </c>
      <c r="F106" s="0" t="n">
        <v>1.029</v>
      </c>
      <c r="G106" s="0" t="n">
        <v>11.23</v>
      </c>
      <c r="H106" s="64" t="n">
        <f aca="false">G106/(1000*0.035*SIN(RADIANS(10)))</f>
        <v>1.84774264359151</v>
      </c>
      <c r="I106" s="64" t="n">
        <f aca="false">G106/(1000*0.035*SIN(RADIANS(10.78)))</f>
        <v>1.71546114665407</v>
      </c>
      <c r="K106" s="0" t="n">
        <v>1.061</v>
      </c>
      <c r="L106" s="64" t="n">
        <f aca="false">1000*(0.03-0.0190729)</f>
        <v>10.9271</v>
      </c>
      <c r="M106" s="64" t="n">
        <f aca="false">L106/(1000*0.035*SIN(RADIANS(10)))</f>
        <v>1.79790459846739</v>
      </c>
      <c r="N106" s="64" t="n">
        <f aca="false">L106/(1000*0.035*SIN(RADIANS(10.78)))</f>
        <v>1.66919105036542</v>
      </c>
    </row>
    <row r="107" customFormat="false" ht="13.8" hidden="false" customHeight="false" outlineLevel="0" collapsed="false">
      <c r="A107" s="0" t="n">
        <v>1.113</v>
      </c>
      <c r="B107" s="0" t="n">
        <f aca="false">10.5586</f>
        <v>10.5586</v>
      </c>
      <c r="C107" s="64" t="n">
        <f aca="false">B107/(1000*0.035*SIN(RADIANS(10)))</f>
        <v>1.73727297209487</v>
      </c>
      <c r="D107" s="64" t="n">
        <f aca="false">B107/(1000*0.035*SIN(RADIANS(10.78)))</f>
        <v>1.61290009466266</v>
      </c>
      <c r="F107" s="0" t="n">
        <v>1.065</v>
      </c>
      <c r="G107" s="64" t="n">
        <f aca="false">1000*(0.03-0.0187383)</f>
        <v>11.2617</v>
      </c>
      <c r="H107" s="64" t="n">
        <f aca="false">G107/(1000*0.035*SIN(RADIANS(10)))</f>
        <v>1.85295844428625</v>
      </c>
      <c r="I107" s="64" t="n">
        <f aca="false">G107/(1000*0.035*SIN(RADIANS(10.78)))</f>
        <v>1.72030354365754</v>
      </c>
      <c r="K107" s="0" t="n">
        <v>1.093</v>
      </c>
      <c r="L107" s="64" t="n">
        <v>10.8726</v>
      </c>
      <c r="M107" s="64" t="n">
        <f aca="false">L107/(1000*0.035*SIN(RADIANS(10)))</f>
        <v>1.78893737014364</v>
      </c>
      <c r="N107" s="64" t="n">
        <f aca="false">L107/(1000*0.035*SIN(RADIANS(10.78)))</f>
        <v>1.66086579368754</v>
      </c>
    </row>
    <row r="109" customFormat="false" ht="14.25" hidden="false" customHeight="false" outlineLevel="0" collapsed="false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</row>
    <row r="110" customFormat="false" ht="13.8" hidden="false" customHeight="false" outlineLevel="0" collapsed="false"/>
    <row r="111" customFormat="false" ht="13.8" hidden="false" customHeight="false" outlineLevel="0" collapsed="false">
      <c r="A111" s="67" t="s">
        <v>70</v>
      </c>
      <c r="B111" s="74" t="n">
        <v>7400000000</v>
      </c>
    </row>
    <row r="112" customFormat="false" ht="13.8" hidden="false" customHeight="false" outlineLevel="0" collapsed="false">
      <c r="A112" s="67" t="s">
        <v>71</v>
      </c>
      <c r="B112" s="67" t="n">
        <v>1000</v>
      </c>
    </row>
    <row r="113" customFormat="false" ht="13.8" hidden="false" customHeight="false" outlineLevel="0" collapsed="false"/>
    <row r="114" customFormat="false" ht="13.8" hidden="false" customHeight="false" outlineLevel="0" collapsed="false">
      <c r="A114" s="61" t="s">
        <v>49</v>
      </c>
      <c r="B114" s="61"/>
      <c r="C114" s="61"/>
      <c r="D114" s="61"/>
      <c r="F114" s="61" t="s">
        <v>51</v>
      </c>
      <c r="G114" s="61"/>
      <c r="H114" s="61"/>
      <c r="I114" s="61"/>
      <c r="K114" s="61" t="s">
        <v>52</v>
      </c>
      <c r="L114" s="61"/>
      <c r="M114" s="61"/>
    </row>
    <row r="115" customFormat="false" ht="13.8" hidden="false" customHeight="false" outlineLevel="0" collapsed="false">
      <c r="A115" s="60" t="s">
        <v>55</v>
      </c>
      <c r="B115" s="60" t="s">
        <v>19</v>
      </c>
      <c r="C115" s="60" t="s">
        <v>60</v>
      </c>
      <c r="D115" s="60" t="s">
        <v>61</v>
      </c>
      <c r="F115" s="60" t="s">
        <v>55</v>
      </c>
      <c r="G115" s="60" t="s">
        <v>19</v>
      </c>
      <c r="H115" s="60" t="s">
        <v>60</v>
      </c>
      <c r="I115" s="60" t="s">
        <v>61</v>
      </c>
      <c r="K115" s="60" t="s">
        <v>55</v>
      </c>
      <c r="L115" s="60" t="s">
        <v>19</v>
      </c>
      <c r="M115" s="60" t="s">
        <v>60</v>
      </c>
      <c r="N115" s="60" t="s">
        <v>61</v>
      </c>
    </row>
    <row r="116" customFormat="false" ht="13.8" hidden="false" customHeight="false" outlineLevel="0" collapsed="false">
      <c r="B116" s="69" t="n">
        <v>10.4053</v>
      </c>
      <c r="C116" s="64" t="n">
        <f aca="false">B116/(1000*0.035*SIN(RADIANS(10)))</f>
        <v>1.7120495573787</v>
      </c>
      <c r="D116" s="64" t="n">
        <f aca="false">B116/(1000*0.035*SIN(RADIANS(10.78)))</f>
        <v>1.5894824460623</v>
      </c>
      <c r="H116" s="64" t="n">
        <f aca="false">G116/(1000*0.035*SIN(RADIANS(10)))</f>
        <v>0</v>
      </c>
      <c r="I116" s="64" t="n">
        <f aca="false">G116/(1000*0.035*SIN(RADIANS(10.78)))</f>
        <v>0</v>
      </c>
      <c r="K116" s="0" t="n">
        <v>1.284</v>
      </c>
      <c r="L116" s="64" t="n">
        <f aca="false">1000*(0.03-0.0189208)</f>
        <v>11.0792</v>
      </c>
      <c r="M116" s="64" t="n">
        <f aca="false">L116/(1000*0.035*SIN(RADIANS(10)))</f>
        <v>1.82293056962414</v>
      </c>
      <c r="N116" s="64" t="n">
        <f aca="false">L116/(1000*0.035*SIN(RADIANS(10.78)))</f>
        <v>1.69242539056187</v>
      </c>
    </row>
    <row r="117" customFormat="false" ht="13.8" hidden="false" customHeight="false" outlineLevel="0" collapsed="false">
      <c r="C117" s="64" t="n">
        <f aca="false">B117/(1000*0.035*SIN(RADIANS(10)))</f>
        <v>0</v>
      </c>
      <c r="D117" s="64" t="n">
        <f aca="false">B117/(1000*0.035*SIN(RADIANS(10.78)))</f>
        <v>0</v>
      </c>
      <c r="G117" s="64"/>
      <c r="H117" s="64" t="n">
        <f aca="false">G117/(1000*0.035*SIN(RADIANS(10)))</f>
        <v>0</v>
      </c>
      <c r="I117" s="64" t="n">
        <f aca="false">G117/(1000*0.035*SIN(RADIANS(10.78)))</f>
        <v>0</v>
      </c>
      <c r="K117" s="0" t="n">
        <v>1.217</v>
      </c>
      <c r="L117" s="64" t="n">
        <v>11.0762</v>
      </c>
      <c r="M117" s="64" t="n">
        <f aca="false">L117/(1000*0.035*SIN(RADIANS(10)))</f>
        <v>1.82243696072559</v>
      </c>
      <c r="N117" s="64" t="n">
        <f aca="false">L117/(1000*0.035*SIN(RADIANS(10.78)))</f>
        <v>1.69196711955208</v>
      </c>
    </row>
  </sheetData>
  <mergeCells count="41">
    <mergeCell ref="A2:B2"/>
    <mergeCell ref="C2:D2"/>
    <mergeCell ref="E2:F2"/>
    <mergeCell ref="G2:H2"/>
    <mergeCell ref="I2:J2"/>
    <mergeCell ref="K2:L2"/>
    <mergeCell ref="A15:B15"/>
    <mergeCell ref="C15:D15"/>
    <mergeCell ref="E15:F15"/>
    <mergeCell ref="G15:H15"/>
    <mergeCell ref="I15:J15"/>
    <mergeCell ref="K15:L15"/>
    <mergeCell ref="M15:N15"/>
    <mergeCell ref="A37:D37"/>
    <mergeCell ref="N37:Q37"/>
    <mergeCell ref="A38:D38"/>
    <mergeCell ref="N38:Q38"/>
    <mergeCell ref="A46:D46"/>
    <mergeCell ref="A47:D47"/>
    <mergeCell ref="N47:P47"/>
    <mergeCell ref="N49:Q49"/>
    <mergeCell ref="N50:Q50"/>
    <mergeCell ref="A55:D55"/>
    <mergeCell ref="A56:D56"/>
    <mergeCell ref="N59:Q59"/>
    <mergeCell ref="N60:Q60"/>
    <mergeCell ref="A66:D66"/>
    <mergeCell ref="A67:D67"/>
    <mergeCell ref="A83:D83"/>
    <mergeCell ref="A84:D84"/>
    <mergeCell ref="F84:I84"/>
    <mergeCell ref="K84:M84"/>
    <mergeCell ref="A94:D94"/>
    <mergeCell ref="F94:I94"/>
    <mergeCell ref="K94:M94"/>
    <mergeCell ref="A104:D104"/>
    <mergeCell ref="F104:I104"/>
    <mergeCell ref="K104:M104"/>
    <mergeCell ref="A114:D114"/>
    <mergeCell ref="F114:I114"/>
    <mergeCell ref="K114:M114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5"/>
  <sheetViews>
    <sheetView showFormulas="false" showGridLines="true" showRowColHeaders="true" showZeros="true" rightToLeft="false" tabSelected="false" showOutlineSymbols="true" defaultGridColor="true" view="normal" topLeftCell="A3" colorId="64" zoomScale="85" zoomScaleNormal="85" zoomScalePageLayoutView="100" workbookViewId="0">
      <selection pane="topLeft" activeCell="A1" activeCellId="0" sqref="A1"/>
    </sheetView>
  </sheetViews>
  <sheetFormatPr defaultColWidth="8.59375" defaultRowHeight="14.25" zeroHeight="false" outlineLevelRow="0" outlineLevelCol="0"/>
  <cols>
    <col collapsed="false" customWidth="true" hidden="false" outlineLevel="0" max="1" min="1" style="0" width="14.39"/>
    <col collapsed="false" customWidth="true" hidden="false" outlineLevel="0" max="2" min="2" style="0" width="13.13"/>
    <col collapsed="false" customWidth="true" hidden="false" outlineLevel="0" max="3" min="3" style="0" width="22.29"/>
    <col collapsed="false" customWidth="true" hidden="false" outlineLevel="0" max="4" min="4" style="0" width="9.79"/>
    <col collapsed="false" customWidth="true" hidden="false" outlineLevel="0" max="13" min="5" style="0" width="10.61"/>
  </cols>
  <sheetData>
    <row r="1" customFormat="false" ht="17.35" hidden="false" customHeight="false" outlineLevel="0" collapsed="false">
      <c r="A1" s="75" t="s">
        <v>13</v>
      </c>
      <c r="B1" s="75"/>
      <c r="C1" s="75"/>
      <c r="D1" s="75"/>
      <c r="E1" s="75"/>
      <c r="F1" s="75"/>
      <c r="G1" s="75"/>
      <c r="H1" s="75"/>
    </row>
    <row r="2" customFormat="false" ht="13.8" hidden="false" customHeight="false" outlineLevel="0" collapsed="false">
      <c r="A2" s="76" t="s">
        <v>72</v>
      </c>
      <c r="B2" s="76"/>
      <c r="C2" s="76"/>
      <c r="D2" s="76"/>
      <c r="E2" s="76"/>
      <c r="F2" s="76"/>
      <c r="G2" s="76"/>
      <c r="H2" s="77"/>
    </row>
    <row r="3" customFormat="false" ht="13.8" hidden="false" customHeight="false" outlineLevel="0" collapsed="false">
      <c r="A3" s="78" t="s">
        <v>73</v>
      </c>
      <c r="B3" s="23" t="s">
        <v>74</v>
      </c>
      <c r="C3" s="23" t="s">
        <v>75</v>
      </c>
      <c r="D3" s="60" t="s">
        <v>76</v>
      </c>
      <c r="E3" s="0" t="s">
        <v>75</v>
      </c>
      <c r="F3" s="23" t="s">
        <v>77</v>
      </c>
      <c r="G3" s="23" t="s">
        <v>75</v>
      </c>
      <c r="H3" s="23" t="s">
        <v>78</v>
      </c>
      <c r="I3" s="23" t="s">
        <v>75</v>
      </c>
    </row>
    <row r="4" customFormat="false" ht="13.8" hidden="false" customHeight="false" outlineLevel="0" collapsed="false">
      <c r="A4" s="79" t="n">
        <v>0</v>
      </c>
      <c r="B4" s="8" t="n">
        <v>0.2367957031455</v>
      </c>
      <c r="C4" s="80" t="n">
        <f aca="false">(B4-$B$7)/$B$7*100</f>
        <v>9.06708316529522</v>
      </c>
      <c r="D4" s="81" t="n">
        <f aca="false">B4*(0.001945)/(0.002)</f>
        <v>0.230283821308999</v>
      </c>
      <c r="E4" s="68" t="n">
        <f aca="false">(D4-$D$7)/$D$7*100</f>
        <v>9.06708316529523</v>
      </c>
      <c r="F4" s="82" t="n">
        <v>0.92</v>
      </c>
      <c r="G4" s="83" t="n">
        <f aca="false">(F4-$F$7)/$F$7*100</f>
        <v>-7.07070707070707</v>
      </c>
      <c r="H4" s="82" t="n">
        <v>0.31</v>
      </c>
      <c r="I4" s="40" t="n">
        <f aca="false">(H4-$H$7)/$H$7*100</f>
        <v>-16.2162162162162</v>
      </c>
    </row>
    <row r="5" customFormat="false" ht="13.8" hidden="false" customHeight="false" outlineLevel="0" collapsed="false">
      <c r="A5" s="79" t="n">
        <v>1</v>
      </c>
      <c r="B5" s="8" t="n">
        <v>0.2207122883919</v>
      </c>
      <c r="C5" s="80" t="n">
        <f aca="false">(B5-$B$7)/$B$7*100</f>
        <v>1.6591314532873</v>
      </c>
      <c r="D5" s="81" t="n">
        <f aca="false">B5*(0.001945)/(0.002)</f>
        <v>0.214642700461123</v>
      </c>
      <c r="E5" s="68" t="n">
        <f aca="false">(D5-$D$7)/$D$7*100</f>
        <v>1.65913145328731</v>
      </c>
      <c r="F5" s="82" t="n">
        <v>0.96</v>
      </c>
      <c r="G5" s="83" t="n">
        <f aca="false">(F5-$F$7)/$F$7*100</f>
        <v>-3.03030303030303</v>
      </c>
      <c r="H5" s="82" t="n">
        <v>0.36</v>
      </c>
      <c r="I5" s="40" t="n">
        <f aca="false">(H5-$H$7)/$H$7*100</f>
        <v>-2.70270270270271</v>
      </c>
    </row>
    <row r="6" customFormat="false" ht="13.8" hidden="false" customHeight="false" outlineLevel="0" collapsed="false">
      <c r="A6" s="84" t="n">
        <v>2</v>
      </c>
      <c r="B6" s="85" t="n">
        <v>0.217805722233</v>
      </c>
      <c r="C6" s="86" t="n">
        <f aca="false">(B6-$B$7)/$B$7*100</f>
        <v>0.320379572374185</v>
      </c>
      <c r="D6" s="81" t="n">
        <f aca="false">B6*(0.001945)/(0.002)</f>
        <v>0.211816064871592</v>
      </c>
      <c r="E6" s="87" t="n">
        <f aca="false">(D6-$D$7)/$D$7*100</f>
        <v>0.320379572374188</v>
      </c>
      <c r="F6" s="88" t="n">
        <v>0.98</v>
      </c>
      <c r="G6" s="89" t="n">
        <f aca="false">(F6-$F$7)/$F$7*100</f>
        <v>-1.01010101010101</v>
      </c>
      <c r="H6" s="88" t="n">
        <v>0.36</v>
      </c>
      <c r="I6" s="90" t="n">
        <f aca="false">(H6-$H$7)/$H$7*100</f>
        <v>-2.70270270270271</v>
      </c>
    </row>
    <row r="7" customFormat="false" ht="13.8" hidden="false" customHeight="false" outlineLevel="0" collapsed="false">
      <c r="A7" s="79" t="n">
        <v>3</v>
      </c>
      <c r="B7" s="8" t="n">
        <v>0.2171101456767</v>
      </c>
      <c r="C7" s="91" t="s">
        <v>79</v>
      </c>
      <c r="D7" s="81" t="n">
        <f aca="false">B7*(0.001945)/(0.002)</f>
        <v>0.211139616670591</v>
      </c>
      <c r="E7" s="0" t="n">
        <f aca="false">(D7-$D$7)/$D$7*100</f>
        <v>0</v>
      </c>
      <c r="F7" s="82" t="n">
        <v>0.99</v>
      </c>
      <c r="G7" s="83"/>
      <c r="H7" s="82" t="n">
        <v>0.37</v>
      </c>
      <c r="I7" s="40"/>
    </row>
    <row r="8" customFormat="false" ht="13.8" hidden="false" customHeight="false" outlineLevel="0" collapsed="false">
      <c r="A8" s="79"/>
      <c r="B8" s="3"/>
      <c r="C8" s="3"/>
      <c r="D8" s="3"/>
      <c r="E8" s="3"/>
      <c r="F8" s="3"/>
      <c r="G8" s="3"/>
      <c r="H8" s="77"/>
    </row>
    <row r="9" customFormat="false" ht="13.8" hidden="false" customHeight="false" outlineLevel="0" collapsed="false">
      <c r="A9" s="92" t="s">
        <v>80</v>
      </c>
      <c r="B9" s="92"/>
      <c r="C9" s="92"/>
      <c r="D9" s="92"/>
      <c r="E9" s="92"/>
      <c r="F9" s="92"/>
      <c r="G9" s="92"/>
      <c r="H9" s="92"/>
      <c r="M9" s="93"/>
    </row>
    <row r="10" customFormat="false" ht="13.8" hidden="false" customHeight="false" outlineLevel="0" collapsed="false">
      <c r="A10" s="78" t="s">
        <v>81</v>
      </c>
      <c r="B10" s="23" t="s">
        <v>82</v>
      </c>
      <c r="C10" s="23" t="s">
        <v>74</v>
      </c>
      <c r="D10" s="23" t="s">
        <v>75</v>
      </c>
      <c r="E10" s="23" t="s">
        <v>77</v>
      </c>
      <c r="F10" s="23" t="s">
        <v>75</v>
      </c>
      <c r="G10" s="23" t="s">
        <v>78</v>
      </c>
      <c r="H10" s="94" t="s">
        <v>75</v>
      </c>
    </row>
    <row r="11" customFormat="false" ht="13.8" hidden="false" customHeight="false" outlineLevel="0" collapsed="false">
      <c r="A11" s="84" t="s">
        <v>83</v>
      </c>
      <c r="B11" s="95" t="n">
        <v>0.25</v>
      </c>
      <c r="C11" s="96" t="n">
        <v>0.217805722233</v>
      </c>
      <c r="D11" s="97" t="n">
        <f aca="false">(C11-$C$13)/$C$13*100</f>
        <v>-0.00278887507066671</v>
      </c>
      <c r="E11" s="88" t="n">
        <f aca="false">F6</f>
        <v>0.98</v>
      </c>
      <c r="F11" s="98" t="n">
        <f aca="false">(E11-$E$13)/$E$13*100</f>
        <v>0</v>
      </c>
      <c r="G11" s="95" t="n">
        <v>0.36</v>
      </c>
      <c r="H11" s="99" t="n">
        <f aca="false">(G11-$G$13)/$G$13</f>
        <v>0</v>
      </c>
    </row>
    <row r="12" customFormat="false" ht="13.8" hidden="false" customHeight="false" outlineLevel="0" collapsed="false">
      <c r="A12" s="79" t="s">
        <v>84</v>
      </c>
      <c r="B12" s="3" t="n">
        <v>0.6</v>
      </c>
      <c r="C12" s="100" t="n">
        <v>0.2178114943495</v>
      </c>
      <c r="D12" s="101" t="n">
        <f aca="false">(C12-$C$13)/$C$13*100</f>
        <v>-0.000138827375075705</v>
      </c>
      <c r="E12" s="82" t="n">
        <v>0.98</v>
      </c>
      <c r="F12" s="39" t="n">
        <f aca="false">(E12-$E$13)/$E$13*100</f>
        <v>0</v>
      </c>
      <c r="G12" s="3" t="n">
        <v>0.36</v>
      </c>
      <c r="H12" s="77" t="n">
        <f aca="false">(G12-$G$13)/$G$13</f>
        <v>0</v>
      </c>
    </row>
    <row r="13" customFormat="false" ht="13.8" hidden="false" customHeight="false" outlineLevel="0" collapsed="false">
      <c r="A13" s="79" t="s">
        <v>85</v>
      </c>
      <c r="B13" s="3" t="n">
        <v>1</v>
      </c>
      <c r="C13" s="100" t="n">
        <v>0.2178117967319</v>
      </c>
      <c r="D13" s="102" t="s">
        <v>79</v>
      </c>
      <c r="E13" s="82" t="n">
        <v>0.98</v>
      </c>
      <c r="F13" s="103" t="s">
        <v>79</v>
      </c>
      <c r="G13" s="3" t="n">
        <v>0.36</v>
      </c>
      <c r="H13" s="104" t="s">
        <v>79</v>
      </c>
    </row>
    <row r="14" customFormat="false" ht="13.8" hidden="false" customHeight="false" outlineLevel="0" collapsed="false">
      <c r="A14" s="79"/>
      <c r="B14" s="3"/>
      <c r="C14" s="3"/>
      <c r="D14" s="3"/>
      <c r="E14" s="82"/>
      <c r="F14" s="83"/>
      <c r="G14" s="3"/>
      <c r="H14" s="77"/>
    </row>
    <row r="15" customFormat="false" ht="13.8" hidden="false" customHeight="false" outlineLevel="0" collapsed="false">
      <c r="A15" s="92" t="s">
        <v>86</v>
      </c>
      <c r="B15" s="92"/>
      <c r="C15" s="92"/>
      <c r="D15" s="92"/>
      <c r="E15" s="92"/>
      <c r="F15" s="92"/>
      <c r="G15" s="92"/>
      <c r="H15" s="92"/>
    </row>
    <row r="16" customFormat="false" ht="13.8" hidden="false" customHeight="false" outlineLevel="0" collapsed="false">
      <c r="A16" s="78" t="s">
        <v>81</v>
      </c>
      <c r="B16" s="23" t="s">
        <v>87</v>
      </c>
      <c r="C16" s="23" t="s">
        <v>74</v>
      </c>
      <c r="D16" s="23" t="s">
        <v>75</v>
      </c>
      <c r="E16" s="23" t="s">
        <v>77</v>
      </c>
      <c r="F16" s="23" t="s">
        <v>75</v>
      </c>
      <c r="G16" s="23" t="s">
        <v>78</v>
      </c>
      <c r="H16" s="94" t="s">
        <v>75</v>
      </c>
    </row>
    <row r="17" customFormat="false" ht="13.8" hidden="false" customHeight="false" outlineLevel="0" collapsed="false">
      <c r="A17" s="84" t="s">
        <v>83</v>
      </c>
      <c r="B17" s="95" t="n">
        <v>0.18</v>
      </c>
      <c r="C17" s="105" t="n">
        <v>0.217805722233</v>
      </c>
      <c r="D17" s="86" t="n">
        <f aca="false">(C17-$C$19)/$C$19*100</f>
        <v>0.277493970797718</v>
      </c>
      <c r="E17" s="88" t="n">
        <f aca="false">F6</f>
        <v>0.98</v>
      </c>
      <c r="F17" s="98" t="n">
        <f aca="false">(E17-$E$19)/$E$19*100</f>
        <v>0</v>
      </c>
      <c r="G17" s="95" t="n">
        <v>0.36</v>
      </c>
      <c r="H17" s="99" t="n">
        <f aca="false">(G17-$G$19)/$G$19</f>
        <v>0</v>
      </c>
    </row>
    <row r="18" customFormat="false" ht="13.8" hidden="false" customHeight="false" outlineLevel="0" collapsed="false">
      <c r="A18" s="79" t="s">
        <v>84</v>
      </c>
      <c r="B18" s="3" t="n">
        <v>0.36</v>
      </c>
      <c r="C18" s="106" t="n">
        <v>0.2172452950227</v>
      </c>
      <c r="D18" s="80" t="n">
        <f aca="false">(C18-$C$19)/$C$19*100</f>
        <v>0.0194739535742587</v>
      </c>
      <c r="E18" s="82" t="n">
        <v>0.98</v>
      </c>
      <c r="F18" s="39" t="n">
        <f aca="false">(E18-$E$19)/$E$19*100</f>
        <v>0</v>
      </c>
      <c r="G18" s="3" t="n">
        <v>0.36</v>
      </c>
      <c r="H18" s="77" t="n">
        <f aca="false">(G18-$G$19)/$G$19</f>
        <v>0</v>
      </c>
    </row>
    <row r="19" customFormat="false" ht="13.8" hidden="false" customHeight="false" outlineLevel="0" collapsed="false">
      <c r="A19" s="79" t="s">
        <v>85</v>
      </c>
      <c r="B19" s="3" t="n">
        <v>0.72</v>
      </c>
      <c r="C19" s="106" t="n">
        <v>0.2172029970119</v>
      </c>
      <c r="D19" s="91" t="s">
        <v>79</v>
      </c>
      <c r="E19" s="82" t="n">
        <v>0.98</v>
      </c>
      <c r="F19" s="103" t="s">
        <v>79</v>
      </c>
      <c r="G19" s="3" t="n">
        <v>0.36</v>
      </c>
      <c r="H19" s="104" t="s">
        <v>79</v>
      </c>
    </row>
    <row r="20" customFormat="false" ht="13.8" hidden="false" customHeight="false" outlineLevel="0" collapsed="false">
      <c r="A20" s="107"/>
      <c r="H20" s="108"/>
    </row>
    <row r="21" customFormat="false" ht="13.8" hidden="false" customHeight="false" outlineLevel="0" collapsed="false">
      <c r="A21" s="92" t="s">
        <v>88</v>
      </c>
      <c r="B21" s="92"/>
      <c r="C21" s="92"/>
      <c r="D21" s="92"/>
      <c r="E21" s="92"/>
      <c r="F21" s="92"/>
      <c r="G21" s="92"/>
      <c r="H21" s="92"/>
    </row>
    <row r="22" customFormat="false" ht="13.8" hidden="false" customHeight="false" outlineLevel="0" collapsed="false">
      <c r="A22" s="78" t="s">
        <v>81</v>
      </c>
      <c r="B22" s="23" t="s">
        <v>89</v>
      </c>
      <c r="C22" s="23" t="s">
        <v>74</v>
      </c>
      <c r="D22" s="23" t="s">
        <v>75</v>
      </c>
      <c r="E22" s="23" t="s">
        <v>77</v>
      </c>
      <c r="F22" s="23" t="s">
        <v>75</v>
      </c>
      <c r="G22" s="23" t="s">
        <v>78</v>
      </c>
      <c r="H22" s="94" t="s">
        <v>75</v>
      </c>
    </row>
    <row r="23" customFormat="false" ht="13.8" hidden="false" customHeight="false" outlineLevel="0" collapsed="false">
      <c r="A23" s="84" t="s">
        <v>83</v>
      </c>
      <c r="B23" s="95" t="n">
        <v>-0.05</v>
      </c>
      <c r="C23" s="96" t="n">
        <v>0.217805722233</v>
      </c>
      <c r="D23" s="109" t="n">
        <f aca="false">(C23-$C$25)/$C$25*100</f>
        <v>0.331021615696426</v>
      </c>
      <c r="E23" s="88" t="n">
        <v>0.98</v>
      </c>
      <c r="F23" s="89"/>
      <c r="G23" s="95" t="n">
        <v>0.36</v>
      </c>
      <c r="H23" s="77"/>
    </row>
    <row r="24" customFormat="false" ht="13.8" hidden="false" customHeight="false" outlineLevel="0" collapsed="false">
      <c r="A24" s="79" t="s">
        <v>84</v>
      </c>
      <c r="B24" s="3" t="n">
        <v>-0.25</v>
      </c>
      <c r="C24" s="100" t="n">
        <v>0.2170978774019</v>
      </c>
      <c r="D24" s="110" t="n">
        <f aca="false">(C24-$C$25)/$C$25*100</f>
        <v>0.00495674319652931</v>
      </c>
      <c r="E24" s="82" t="n">
        <v>0.98</v>
      </c>
      <c r="F24" s="83"/>
      <c r="G24" s="3"/>
      <c r="H24" s="77"/>
    </row>
    <row r="25" customFormat="false" ht="13.8" hidden="false" customHeight="false" outlineLevel="0" collapsed="false">
      <c r="A25" s="79" t="s">
        <v>85</v>
      </c>
      <c r="B25" s="3" t="n">
        <v>-1</v>
      </c>
      <c r="C25" s="100" t="n">
        <v>0.217087116951</v>
      </c>
      <c r="D25" s="110"/>
      <c r="E25" s="82" t="n">
        <v>0.98</v>
      </c>
      <c r="F25" s="83"/>
      <c r="G25" s="3"/>
      <c r="H25" s="77"/>
    </row>
    <row r="26" customFormat="false" ht="13.8" hidden="false" customHeight="false" outlineLevel="0" collapsed="false">
      <c r="A26" s="107"/>
      <c r="H26" s="108"/>
    </row>
    <row r="27" customFormat="false" ht="13.8" hidden="false" customHeight="false" outlineLevel="0" collapsed="false">
      <c r="A27" s="92" t="s">
        <v>90</v>
      </c>
      <c r="B27" s="92"/>
      <c r="C27" s="92"/>
      <c r="D27" s="92"/>
      <c r="E27" s="92"/>
      <c r="F27" s="92"/>
      <c r="G27" s="92"/>
      <c r="H27" s="92"/>
    </row>
    <row r="28" customFormat="false" ht="13.8" hidden="false" customHeight="false" outlineLevel="0" collapsed="false">
      <c r="A28" s="78" t="s">
        <v>81</v>
      </c>
      <c r="B28" s="23" t="s">
        <v>74</v>
      </c>
      <c r="C28" s="23" t="s">
        <v>75</v>
      </c>
      <c r="D28" s="23" t="s">
        <v>77</v>
      </c>
      <c r="E28" s="23" t="s">
        <v>75</v>
      </c>
      <c r="F28" s="23" t="s">
        <v>78</v>
      </c>
      <c r="G28" s="23" t="s">
        <v>75</v>
      </c>
      <c r="H28" s="108"/>
    </row>
    <row r="29" customFormat="false" ht="13.8" hidden="false" customHeight="false" outlineLevel="0" collapsed="false">
      <c r="A29" s="84" t="s">
        <v>83</v>
      </c>
      <c r="B29" s="96" t="n">
        <v>0.217805722233</v>
      </c>
      <c r="C29" s="109" t="n">
        <f aca="false">(B29-$B$31)/$B$31*100</f>
        <v>1.19671935537097</v>
      </c>
      <c r="D29" s="88" t="n">
        <v>0.98</v>
      </c>
      <c r="E29" s="89" t="n">
        <f aca="false">(D29-$D$30)/$D$30</f>
        <v>0</v>
      </c>
      <c r="F29" s="95" t="n">
        <v>0.36</v>
      </c>
      <c r="G29" s="3"/>
      <c r="H29" s="108"/>
    </row>
    <row r="30" customFormat="false" ht="13.8" hidden="false" customHeight="false" outlineLevel="0" collapsed="false">
      <c r="A30" s="79" t="s">
        <v>84</v>
      </c>
      <c r="B30" s="100" t="n">
        <v>0.2157534232895</v>
      </c>
      <c r="C30" s="110" t="n">
        <f aca="false">(B30-$B$31)/$B$31*100</f>
        <v>0.243181872106333</v>
      </c>
      <c r="D30" s="82" t="n">
        <v>0.98</v>
      </c>
      <c r="E30" s="111" t="s">
        <v>79</v>
      </c>
      <c r="F30" s="3" t="n">
        <v>0.36</v>
      </c>
      <c r="G30" s="3"/>
      <c r="H30" s="108"/>
    </row>
    <row r="31" customFormat="false" ht="13.8" hidden="false" customHeight="false" outlineLevel="0" collapsed="false">
      <c r="A31" s="79" t="s">
        <v>85</v>
      </c>
      <c r="B31" s="100" t="n">
        <v>0.2152300228905</v>
      </c>
      <c r="C31" s="112" t="s">
        <v>79</v>
      </c>
      <c r="D31" s="3" t="n">
        <v>0.98</v>
      </c>
      <c r="E31" s="112" t="s">
        <v>79</v>
      </c>
      <c r="F31" s="3" t="n">
        <v>0.36</v>
      </c>
      <c r="G31" s="112" t="s">
        <v>79</v>
      </c>
      <c r="H31" s="108"/>
    </row>
    <row r="32" customFormat="false" ht="13.8" hidden="false" customHeight="false" outlineLevel="0" collapsed="false">
      <c r="A32" s="107"/>
      <c r="H32" s="108"/>
    </row>
    <row r="33" customFormat="false" ht="13.8" hidden="false" customHeight="false" outlineLevel="0" collapsed="false">
      <c r="A33" s="113" t="s">
        <v>91</v>
      </c>
      <c r="B33" s="113"/>
      <c r="C33" s="113"/>
      <c r="D33" s="113"/>
      <c r="E33" s="113"/>
      <c r="F33" s="113"/>
      <c r="G33" s="113"/>
      <c r="H33" s="108"/>
    </row>
    <row r="34" customFormat="false" ht="13.8" hidden="false" customHeight="false" outlineLevel="0" collapsed="false">
      <c r="A34" s="60" t="s">
        <v>92</v>
      </c>
      <c r="B34" s="60" t="s">
        <v>74</v>
      </c>
      <c r="C34" s="60" t="s">
        <v>75</v>
      </c>
      <c r="H34" s="108"/>
    </row>
    <row r="35" customFormat="false" ht="13.8" hidden="false" customHeight="false" outlineLevel="0" collapsed="false">
      <c r="A35" s="107" t="s">
        <v>83</v>
      </c>
      <c r="B35" s="114" t="n">
        <f aca="false">C23</f>
        <v>0.217805722233</v>
      </c>
      <c r="C35" s="115" t="n">
        <f aca="false">(B35-$B$37)/$B$37*100</f>
        <v>0.0654995535925682</v>
      </c>
      <c r="H35" s="108"/>
    </row>
    <row r="36" customFormat="false" ht="13.8" hidden="false" customHeight="false" outlineLevel="0" collapsed="false">
      <c r="A36" s="107" t="s">
        <v>93</v>
      </c>
      <c r="B36" s="114" t="n">
        <v>0.2180523405262</v>
      </c>
      <c r="C36" s="115" t="n">
        <f aca="false">(B36-$B$37)/$B$37*100</f>
        <v>0.178802282534259</v>
      </c>
      <c r="H36" s="108"/>
    </row>
    <row r="37" customFormat="false" ht="13.8" hidden="false" customHeight="false" outlineLevel="0" collapsed="false">
      <c r="A37" s="116" t="s">
        <v>94</v>
      </c>
      <c r="B37" s="117" t="n">
        <v>0.2176631538389</v>
      </c>
      <c r="C37" s="118"/>
      <c r="D37" s="118"/>
      <c r="E37" s="118"/>
      <c r="F37" s="118"/>
      <c r="G37" s="118"/>
      <c r="H37" s="119"/>
    </row>
    <row r="39" customFormat="false" ht="17.35" hidden="false" customHeight="false" outlineLevel="0" collapsed="false">
      <c r="A39" s="120" t="s">
        <v>95</v>
      </c>
      <c r="B39" s="120"/>
      <c r="C39" s="120"/>
      <c r="D39" s="120"/>
      <c r="E39" s="120"/>
      <c r="F39" s="120"/>
      <c r="G39" s="120"/>
      <c r="H39" s="120"/>
    </row>
    <row r="40" customFormat="false" ht="13.8" hidden="false" customHeight="false" outlineLevel="0" collapsed="false">
      <c r="A40" s="76" t="s">
        <v>72</v>
      </c>
      <c r="B40" s="76"/>
      <c r="C40" s="76"/>
      <c r="D40" s="76"/>
      <c r="E40" s="76"/>
      <c r="F40" s="76"/>
      <c r="G40" s="76"/>
      <c r="H40" s="76"/>
    </row>
    <row r="41" customFormat="false" ht="13.8" hidden="false" customHeight="false" outlineLevel="0" collapsed="false">
      <c r="A41" s="78" t="s">
        <v>73</v>
      </c>
      <c r="B41" s="23" t="s">
        <v>74</v>
      </c>
      <c r="C41" s="23" t="s">
        <v>75</v>
      </c>
      <c r="D41" s="23" t="s">
        <v>77</v>
      </c>
      <c r="E41" s="23" t="s">
        <v>75</v>
      </c>
      <c r="F41" s="23" t="s">
        <v>78</v>
      </c>
      <c r="G41" s="23" t="s">
        <v>75</v>
      </c>
      <c r="H41" s="94"/>
    </row>
    <row r="42" customFormat="false" ht="13.8" hidden="false" customHeight="false" outlineLevel="0" collapsed="false">
      <c r="A42" s="79" t="n">
        <v>0</v>
      </c>
      <c r="B42" s="8" t="n">
        <v>0.8279395498848</v>
      </c>
      <c r="C42" s="80" t="n">
        <f aca="false">(B42-$B$45)/$B$45*100</f>
        <v>22.5064864066551</v>
      </c>
      <c r="D42" s="82" t="n">
        <v>2</v>
      </c>
      <c r="E42" s="83" t="n">
        <f aca="false">(D42-$D$45)/$D$45*100</f>
        <v>-9.0909090909091</v>
      </c>
      <c r="F42" s="82" t="n">
        <v>1.5</v>
      </c>
      <c r="G42" s="40" t="n">
        <f aca="false">(F42-$F$45)/$F$45*100</f>
        <v>-11.764705882353</v>
      </c>
      <c r="H42" s="121"/>
    </row>
    <row r="43" customFormat="false" ht="13.8" hidden="false" customHeight="false" outlineLevel="0" collapsed="false">
      <c r="A43" s="79" t="n">
        <v>1</v>
      </c>
      <c r="B43" s="8" t="n">
        <v>0.7053919425262</v>
      </c>
      <c r="C43" s="80" t="n">
        <f aca="false">(B43-$B$45)/$B$45*100</f>
        <v>4.37366886323258</v>
      </c>
      <c r="D43" s="82" t="n">
        <v>2.1</v>
      </c>
      <c r="E43" s="83" t="n">
        <f aca="false">(D43-$D$45)/$D$45*100</f>
        <v>-4.54545454545455</v>
      </c>
      <c r="F43" s="82" t="n">
        <v>1.7</v>
      </c>
      <c r="G43" s="40" t="n">
        <f aca="false">(F43-$F$45)/$F$45*100</f>
        <v>0</v>
      </c>
      <c r="H43" s="121"/>
    </row>
    <row r="44" customFormat="false" ht="13.8" hidden="false" customHeight="false" outlineLevel="0" collapsed="false">
      <c r="A44" s="79" t="n">
        <v>2</v>
      </c>
      <c r="B44" s="8" t="n">
        <v>0.681267343842</v>
      </c>
      <c r="C44" s="80" t="n">
        <f aca="false">(B44-$B$45)/$B$45*100</f>
        <v>0.804060645841375</v>
      </c>
      <c r="D44" s="82" t="n">
        <v>2.1</v>
      </c>
      <c r="E44" s="83" t="n">
        <f aca="false">(D44-$D$45)/$D$45*100</f>
        <v>-4.54545454545455</v>
      </c>
      <c r="F44" s="82" t="n">
        <v>1.7</v>
      </c>
      <c r="G44" s="40" t="n">
        <f aca="false">(F44-$F$45)/$F$45*100</f>
        <v>0</v>
      </c>
      <c r="H44" s="121"/>
    </row>
    <row r="45" customFormat="false" ht="13.8" hidden="false" customHeight="false" outlineLevel="0" collapsed="false">
      <c r="A45" s="79" t="n">
        <v>3</v>
      </c>
      <c r="B45" s="8" t="n">
        <v>0.6758332347697</v>
      </c>
      <c r="C45" s="91" t="s">
        <v>79</v>
      </c>
      <c r="D45" s="82" t="n">
        <v>2.2</v>
      </c>
      <c r="E45" s="111" t="s">
        <v>79</v>
      </c>
      <c r="F45" s="82" t="n">
        <v>1.7</v>
      </c>
      <c r="G45" s="122" t="s">
        <v>79</v>
      </c>
      <c r="H45" s="121"/>
    </row>
    <row r="46" customFormat="false" ht="13.8" hidden="false" customHeight="false" outlineLevel="0" collapsed="false">
      <c r="A46" s="79"/>
      <c r="B46" s="3"/>
      <c r="C46" s="3"/>
      <c r="D46" s="3"/>
      <c r="E46" s="3"/>
      <c r="F46" s="3"/>
      <c r="G46" s="3"/>
      <c r="H46" s="77"/>
    </row>
    <row r="47" customFormat="false" ht="13.8" hidden="false" customHeight="false" outlineLevel="0" collapsed="false">
      <c r="A47" s="92" t="s">
        <v>80</v>
      </c>
      <c r="B47" s="92"/>
      <c r="C47" s="92"/>
      <c r="D47" s="92"/>
      <c r="E47" s="92"/>
      <c r="F47" s="92"/>
      <c r="G47" s="92"/>
      <c r="H47" s="92"/>
    </row>
    <row r="48" customFormat="false" ht="13.8" hidden="false" customHeight="false" outlineLevel="0" collapsed="false">
      <c r="A48" s="78" t="s">
        <v>81</v>
      </c>
      <c r="B48" s="23" t="s">
        <v>82</v>
      </c>
      <c r="C48" s="23" t="s">
        <v>74</v>
      </c>
      <c r="D48" s="23" t="s">
        <v>75</v>
      </c>
      <c r="E48" s="23" t="s">
        <v>77</v>
      </c>
      <c r="F48" s="23" t="s">
        <v>75</v>
      </c>
      <c r="G48" s="23" t="s">
        <v>78</v>
      </c>
      <c r="H48" s="94" t="s">
        <v>75</v>
      </c>
    </row>
    <row r="49" customFormat="false" ht="13.8" hidden="false" customHeight="false" outlineLevel="0" collapsed="false">
      <c r="A49" s="79" t="s">
        <v>83</v>
      </c>
      <c r="B49" s="3" t="n">
        <v>0.25</v>
      </c>
      <c r="C49" s="100"/>
      <c r="D49" s="101" t="n">
        <f aca="false">(C49-$C$13)/$C$13*100</f>
        <v>-100</v>
      </c>
      <c r="E49" s="82"/>
      <c r="F49" s="39" t="n">
        <f aca="false">(E49-$E$13)/$E$13*100</f>
        <v>-100</v>
      </c>
      <c r="G49" s="3"/>
      <c r="H49" s="123" t="e">
        <f aca="false">(G49-$G$51)/$G$51</f>
        <v>#DIV/0!</v>
      </c>
    </row>
    <row r="50" customFormat="false" ht="13.8" hidden="false" customHeight="false" outlineLevel="0" collapsed="false">
      <c r="A50" s="79" t="s">
        <v>84</v>
      </c>
      <c r="B50" s="3" t="n">
        <v>0.6</v>
      </c>
      <c r="C50" s="100"/>
      <c r="D50" s="101" t="n">
        <f aca="false">(C50-$C$13)/$C$13*100</f>
        <v>-100</v>
      </c>
      <c r="E50" s="82"/>
      <c r="F50" s="39" t="n">
        <f aca="false">(E50-$E$13)/$E$13*100</f>
        <v>-100</v>
      </c>
      <c r="G50" s="3"/>
      <c r="H50" s="123" t="e">
        <f aca="false">(G50-$G$51)/$G$51</f>
        <v>#DIV/0!</v>
      </c>
    </row>
    <row r="51" customFormat="false" ht="13.8" hidden="false" customHeight="false" outlineLevel="0" collapsed="false">
      <c r="A51" s="79" t="s">
        <v>85</v>
      </c>
      <c r="B51" s="3" t="n">
        <v>1</v>
      </c>
      <c r="C51" s="100"/>
      <c r="D51" s="102" t="s">
        <v>79</v>
      </c>
      <c r="E51" s="82"/>
      <c r="F51" s="103" t="s">
        <v>79</v>
      </c>
      <c r="G51" s="3"/>
      <c r="H51" s="104" t="s">
        <v>79</v>
      </c>
    </row>
    <row r="52" customFormat="false" ht="13.8" hidden="false" customHeight="false" outlineLevel="0" collapsed="false">
      <c r="A52" s="79"/>
      <c r="B52" s="3"/>
      <c r="C52" s="3"/>
      <c r="D52" s="3"/>
      <c r="E52" s="82"/>
      <c r="F52" s="83"/>
      <c r="G52" s="3"/>
      <c r="H52" s="77"/>
    </row>
    <row r="53" customFormat="false" ht="13.8" hidden="false" customHeight="false" outlineLevel="0" collapsed="false">
      <c r="A53" s="92" t="s">
        <v>86</v>
      </c>
      <c r="B53" s="92"/>
      <c r="C53" s="92"/>
      <c r="D53" s="92"/>
      <c r="E53" s="92"/>
      <c r="F53" s="92"/>
      <c r="G53" s="92"/>
      <c r="H53" s="92"/>
    </row>
    <row r="54" customFormat="false" ht="13.8" hidden="false" customHeight="false" outlineLevel="0" collapsed="false">
      <c r="A54" s="78" t="s">
        <v>81</v>
      </c>
      <c r="B54" s="23" t="s">
        <v>87</v>
      </c>
      <c r="C54" s="23" t="s">
        <v>74</v>
      </c>
      <c r="D54" s="23" t="s">
        <v>75</v>
      </c>
      <c r="E54" s="23" t="s">
        <v>77</v>
      </c>
      <c r="F54" s="23" t="s">
        <v>75</v>
      </c>
      <c r="G54" s="23" t="s">
        <v>78</v>
      </c>
      <c r="H54" s="94" t="s">
        <v>75</v>
      </c>
    </row>
    <row r="55" customFormat="false" ht="13.8" hidden="false" customHeight="false" outlineLevel="0" collapsed="false">
      <c r="A55" s="79" t="s">
        <v>83</v>
      </c>
      <c r="B55" s="3" t="n">
        <v>0.18</v>
      </c>
      <c r="C55" s="106"/>
      <c r="D55" s="80" t="e">
        <f aca="false">(C55-$C$58)/$C$58*100</f>
        <v>#DIV/0!</v>
      </c>
      <c r="E55" s="82"/>
      <c r="F55" s="39" t="e">
        <f aca="false">(E55-$E$58)/$E$58*100</f>
        <v>#DIV/0!</v>
      </c>
      <c r="G55" s="3"/>
      <c r="H55" s="77" t="e">
        <f aca="false">(G55-$G$58)/$G$58*100</f>
        <v>#DIV/0!</v>
      </c>
    </row>
    <row r="56" customFormat="false" ht="13.8" hidden="false" customHeight="false" outlineLevel="0" collapsed="false">
      <c r="A56" s="79" t="s">
        <v>84</v>
      </c>
      <c r="B56" s="3" t="n">
        <v>0.36</v>
      </c>
      <c r="C56" s="106"/>
      <c r="D56" s="80" t="e">
        <f aca="false">(C56-$C$58)/$C$58*100</f>
        <v>#DIV/0!</v>
      </c>
      <c r="E56" s="82"/>
      <c r="F56" s="39" t="e">
        <f aca="false">(E56-$E$58)/$E$58*100</f>
        <v>#DIV/0!</v>
      </c>
      <c r="G56" s="3"/>
      <c r="H56" s="77" t="e">
        <f aca="false">(G56-$G$58)/$G$58*100</f>
        <v>#DIV/0!</v>
      </c>
    </row>
    <row r="57" customFormat="false" ht="13.8" hidden="false" customHeight="false" outlineLevel="0" collapsed="false">
      <c r="A57" s="79" t="s">
        <v>85</v>
      </c>
      <c r="B57" s="3" t="n">
        <v>0.72</v>
      </c>
      <c r="C57" s="106"/>
      <c r="D57" s="91" t="s">
        <v>79</v>
      </c>
      <c r="E57" s="82"/>
      <c r="F57" s="103" t="s">
        <v>79</v>
      </c>
      <c r="G57" s="3"/>
      <c r="H57" s="104" t="s">
        <v>79</v>
      </c>
    </row>
    <row r="58" customFormat="false" ht="13.8" hidden="false" customHeight="false" outlineLevel="0" collapsed="false">
      <c r="A58" s="107"/>
      <c r="H58" s="108"/>
    </row>
    <row r="59" customFormat="false" ht="13.8" hidden="false" customHeight="false" outlineLevel="0" collapsed="false">
      <c r="A59" s="92" t="s">
        <v>88</v>
      </c>
      <c r="B59" s="92"/>
      <c r="C59" s="92"/>
      <c r="D59" s="92"/>
      <c r="E59" s="92"/>
      <c r="F59" s="92"/>
      <c r="G59" s="92"/>
      <c r="H59" s="92"/>
    </row>
    <row r="60" customFormat="false" ht="13.8" hidden="false" customHeight="false" outlineLevel="0" collapsed="false">
      <c r="A60" s="78" t="s">
        <v>81</v>
      </c>
      <c r="B60" s="23" t="s">
        <v>89</v>
      </c>
      <c r="C60" s="23" t="s">
        <v>74</v>
      </c>
      <c r="D60" s="23" t="s">
        <v>75</v>
      </c>
      <c r="E60" s="23" t="s">
        <v>77</v>
      </c>
      <c r="F60" s="23" t="s">
        <v>75</v>
      </c>
      <c r="G60" s="23" t="s">
        <v>78</v>
      </c>
      <c r="H60" s="94" t="s">
        <v>75</v>
      </c>
    </row>
    <row r="61" customFormat="false" ht="13.8" hidden="false" customHeight="false" outlineLevel="0" collapsed="false">
      <c r="A61" s="79" t="s">
        <v>83</v>
      </c>
      <c r="B61" s="3" t="n">
        <v>-0.05</v>
      </c>
      <c r="C61" s="100"/>
      <c r="D61" s="110" t="e">
        <f aca="false">(C61-$C$63)/$C$63*100</f>
        <v>#DIV/0!</v>
      </c>
      <c r="E61" s="82"/>
      <c r="F61" s="83"/>
      <c r="G61" s="3" t="n">
        <v>0.36</v>
      </c>
      <c r="H61" s="77"/>
    </row>
    <row r="62" customFormat="false" ht="13.8" hidden="false" customHeight="false" outlineLevel="0" collapsed="false">
      <c r="A62" s="79" t="s">
        <v>84</v>
      </c>
      <c r="B62" s="3" t="n">
        <v>-0.25</v>
      </c>
      <c r="C62" s="100"/>
      <c r="D62" s="110" t="e">
        <f aca="false">(C62-$C$63)/$C$63*100</f>
        <v>#DIV/0!</v>
      </c>
      <c r="E62" s="82"/>
      <c r="F62" s="83"/>
      <c r="G62" s="3"/>
      <c r="H62" s="77"/>
    </row>
    <row r="63" customFormat="false" ht="13.8" hidden="false" customHeight="false" outlineLevel="0" collapsed="false">
      <c r="A63" s="79" t="s">
        <v>85</v>
      </c>
      <c r="B63" s="3" t="n">
        <v>-1</v>
      </c>
      <c r="C63" s="100"/>
      <c r="D63" s="110"/>
      <c r="E63" s="82"/>
      <c r="F63" s="83"/>
      <c r="G63" s="3"/>
      <c r="H63" s="77"/>
    </row>
    <row r="64" customFormat="false" ht="13.8" hidden="false" customHeight="false" outlineLevel="0" collapsed="false">
      <c r="A64" s="107"/>
      <c r="H64" s="108"/>
    </row>
    <row r="65" customFormat="false" ht="13.8" hidden="false" customHeight="false" outlineLevel="0" collapsed="false">
      <c r="A65" s="92" t="s">
        <v>90</v>
      </c>
      <c r="B65" s="92"/>
      <c r="C65" s="92"/>
      <c r="D65" s="92"/>
      <c r="E65" s="92"/>
      <c r="F65" s="92"/>
      <c r="G65" s="92"/>
      <c r="H65" s="92"/>
    </row>
    <row r="66" customFormat="false" ht="13.8" hidden="false" customHeight="false" outlineLevel="0" collapsed="false">
      <c r="A66" s="78" t="s">
        <v>81</v>
      </c>
      <c r="B66" s="23" t="s">
        <v>74</v>
      </c>
      <c r="C66" s="23" t="s">
        <v>75</v>
      </c>
      <c r="D66" s="23" t="s">
        <v>77</v>
      </c>
      <c r="E66" s="23" t="s">
        <v>75</v>
      </c>
      <c r="F66" s="23" t="s">
        <v>78</v>
      </c>
      <c r="G66" s="23" t="s">
        <v>75</v>
      </c>
      <c r="H66" s="108"/>
    </row>
    <row r="67" customFormat="false" ht="13.8" hidden="false" customHeight="false" outlineLevel="0" collapsed="false">
      <c r="A67" s="79" t="s">
        <v>83</v>
      </c>
      <c r="B67" s="100"/>
      <c r="C67" s="110" t="e">
        <f aca="false">(B67-$B$69)/$B$69*100</f>
        <v>#DIV/0!</v>
      </c>
      <c r="D67" s="82"/>
      <c r="E67" s="83" t="e">
        <f aca="false">(D67-$D$69)/$D$69</f>
        <v>#DIV/0!</v>
      </c>
      <c r="F67" s="3"/>
      <c r="G67" s="3"/>
      <c r="H67" s="108"/>
    </row>
    <row r="68" customFormat="false" ht="13.8" hidden="false" customHeight="false" outlineLevel="0" collapsed="false">
      <c r="A68" s="79" t="s">
        <v>84</v>
      </c>
      <c r="B68" s="100"/>
      <c r="C68" s="110" t="e">
        <f aca="false">(B68-$B$69)/$B$69*100</f>
        <v>#DIV/0!</v>
      </c>
      <c r="D68" s="82"/>
      <c r="E68" s="83" t="e">
        <f aca="false">(D68-$D$69)/$D$69</f>
        <v>#DIV/0!</v>
      </c>
      <c r="F68" s="3"/>
      <c r="G68" s="3"/>
      <c r="H68" s="108"/>
    </row>
    <row r="69" customFormat="false" ht="13.8" hidden="false" customHeight="false" outlineLevel="0" collapsed="false">
      <c r="A69" s="79" t="s">
        <v>85</v>
      </c>
      <c r="B69" s="100"/>
      <c r="C69" s="112" t="s">
        <v>79</v>
      </c>
      <c r="D69" s="3"/>
      <c r="E69" s="112" t="s">
        <v>79</v>
      </c>
      <c r="F69" s="3"/>
      <c r="G69" s="112" t="s">
        <v>79</v>
      </c>
      <c r="H69" s="108"/>
    </row>
    <row r="70" customFormat="false" ht="13.8" hidden="false" customHeight="false" outlineLevel="0" collapsed="false">
      <c r="A70" s="107"/>
      <c r="H70" s="108"/>
    </row>
    <row r="71" customFormat="false" ht="13.8" hidden="false" customHeight="false" outlineLevel="0" collapsed="false">
      <c r="A71" s="113" t="s">
        <v>91</v>
      </c>
      <c r="B71" s="113"/>
      <c r="C71" s="113"/>
      <c r="D71" s="113"/>
      <c r="E71" s="113"/>
      <c r="F71" s="113"/>
      <c r="G71" s="113"/>
      <c r="H71" s="113"/>
    </row>
    <row r="72" customFormat="false" ht="13.8" hidden="false" customHeight="false" outlineLevel="0" collapsed="false">
      <c r="A72" s="60" t="s">
        <v>92</v>
      </c>
      <c r="B72" s="60" t="s">
        <v>74</v>
      </c>
      <c r="C72" s="60" t="s">
        <v>75</v>
      </c>
      <c r="H72" s="108"/>
    </row>
    <row r="73" customFormat="false" ht="13.8" hidden="false" customHeight="false" outlineLevel="0" collapsed="false">
      <c r="A73" s="107" t="s">
        <v>83</v>
      </c>
      <c r="B73" s="114"/>
      <c r="C73" s="115" t="n">
        <f aca="false">(B73-$B$37)/$B$37*100</f>
        <v>-100</v>
      </c>
      <c r="H73" s="108"/>
    </row>
    <row r="74" customFormat="false" ht="13.8" hidden="false" customHeight="false" outlineLevel="0" collapsed="false">
      <c r="A74" s="107" t="s">
        <v>93</v>
      </c>
      <c r="B74" s="114"/>
      <c r="C74" s="115" t="n">
        <f aca="false">(B74-$B$37)/$B$37*100</f>
        <v>-100</v>
      </c>
      <c r="H74" s="108"/>
    </row>
    <row r="75" customFormat="false" ht="13.8" hidden="false" customHeight="false" outlineLevel="0" collapsed="false">
      <c r="A75" s="116" t="s">
        <v>94</v>
      </c>
      <c r="B75" s="117"/>
      <c r="C75" s="118"/>
      <c r="D75" s="118"/>
      <c r="E75" s="118"/>
      <c r="F75" s="118"/>
      <c r="G75" s="118"/>
      <c r="H75" s="119"/>
    </row>
  </sheetData>
  <mergeCells count="14">
    <mergeCell ref="A1:H1"/>
    <mergeCell ref="A2:G2"/>
    <mergeCell ref="A9:H9"/>
    <mergeCell ref="A15:H15"/>
    <mergeCell ref="A21:H21"/>
    <mergeCell ref="A27:H27"/>
    <mergeCell ref="A33:G33"/>
    <mergeCell ref="A39:H39"/>
    <mergeCell ref="A40:H40"/>
    <mergeCell ref="A47:H47"/>
    <mergeCell ref="A53:H53"/>
    <mergeCell ref="A59:H59"/>
    <mergeCell ref="A65:H65"/>
    <mergeCell ref="A71:H71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6" activeCellId="0" sqref="C6"/>
    </sheetView>
  </sheetViews>
  <sheetFormatPr defaultColWidth="10.25" defaultRowHeight="12.8" zeroHeight="false" outlineLevelRow="0" outlineLevelCol="0"/>
  <sheetData>
    <row r="1" customFormat="false" ht="13.8" hidden="false" customHeight="false" outlineLevel="0" collapsed="false">
      <c r="A1" s="62" t="s">
        <v>18</v>
      </c>
      <c r="B1" s="62" t="s">
        <v>96</v>
      </c>
      <c r="C1" s="62" t="s">
        <v>97</v>
      </c>
    </row>
    <row r="2" customFormat="false" ht="13.8" hidden="false" customHeight="false" outlineLevel="0" collapsed="false">
      <c r="A2" s="124" t="n">
        <v>0.3082</v>
      </c>
      <c r="B2" s="0" t="n">
        <v>8</v>
      </c>
      <c r="C2" s="125" t="n">
        <v>2E-005</v>
      </c>
    </row>
    <row r="3" customFormat="false" ht="13.8" hidden="false" customHeight="false" outlineLevel="0" collapsed="false">
      <c r="A3" s="124"/>
      <c r="B3" s="0" t="n">
        <v>10</v>
      </c>
      <c r="C3" s="125" t="n">
        <v>2.5E-005</v>
      </c>
    </row>
    <row r="4" customFormat="false" ht="13.8" hidden="false" customHeight="false" outlineLevel="0" collapsed="false">
      <c r="A4" s="124"/>
      <c r="B4" s="0" t="n">
        <v>12</v>
      </c>
      <c r="C4" s="125" t="n">
        <v>2.5E-005</v>
      </c>
    </row>
    <row r="5" customFormat="false" ht="13.8" hidden="false" customHeight="false" outlineLevel="0" collapsed="false">
      <c r="A5" s="124"/>
      <c r="B5" s="0" t="n">
        <v>14</v>
      </c>
      <c r="C5" s="125" t="n">
        <v>2.5E-005</v>
      </c>
    </row>
    <row r="6" customFormat="false" ht="13.8" hidden="false" customHeight="false" outlineLevel="0" collapsed="false">
      <c r="A6" s="124"/>
      <c r="B6" s="0" t="n">
        <v>16</v>
      </c>
      <c r="C6" s="125" t="n">
        <v>2E-005</v>
      </c>
    </row>
    <row r="7" customFormat="false" ht="13.8" hidden="false" customHeight="false" outlineLevel="0" collapsed="false">
      <c r="A7" s="124"/>
      <c r="B7" s="0" t="n">
        <v>18</v>
      </c>
      <c r="C7" s="125" t="n">
        <v>2E-005</v>
      </c>
    </row>
    <row r="8" customFormat="false" ht="13.8" hidden="false" customHeight="false" outlineLevel="0" collapsed="false">
      <c r="A8" s="124"/>
      <c r="B8" s="0" t="n">
        <v>20</v>
      </c>
    </row>
    <row r="9" customFormat="false" ht="13.8" hidden="false" customHeight="false" outlineLevel="0" collapsed="false">
      <c r="A9" s="126" t="n">
        <v>0.54</v>
      </c>
      <c r="B9" s="0" t="n">
        <v>8</v>
      </c>
    </row>
    <row r="10" customFormat="false" ht="13.8" hidden="false" customHeight="false" outlineLevel="0" collapsed="false">
      <c r="A10" s="126"/>
      <c r="B10" s="0" t="n">
        <v>10</v>
      </c>
      <c r="C10" s="125" t="n">
        <v>1E-005</v>
      </c>
    </row>
    <row r="11" customFormat="false" ht="13.8" hidden="false" customHeight="false" outlineLevel="0" collapsed="false">
      <c r="A11" s="126"/>
      <c r="B11" s="0" t="n">
        <v>12</v>
      </c>
      <c r="C11" s="125" t="n">
        <v>1E-005</v>
      </c>
    </row>
    <row r="12" customFormat="false" ht="13.8" hidden="false" customHeight="false" outlineLevel="0" collapsed="false">
      <c r="A12" s="126"/>
      <c r="B12" s="0" t="n">
        <v>14</v>
      </c>
    </row>
    <row r="13" customFormat="false" ht="13.8" hidden="false" customHeight="false" outlineLevel="0" collapsed="false">
      <c r="A13" s="126"/>
      <c r="B13" s="0" t="n">
        <v>16</v>
      </c>
    </row>
    <row r="14" customFormat="false" ht="13.8" hidden="false" customHeight="false" outlineLevel="0" collapsed="false">
      <c r="A14" s="126"/>
      <c r="B14" s="0" t="n">
        <v>18</v>
      </c>
    </row>
    <row r="15" customFormat="false" ht="13.8" hidden="false" customHeight="false" outlineLevel="0" collapsed="false">
      <c r="A15" s="126"/>
      <c r="B15" s="0" t="n">
        <v>20</v>
      </c>
    </row>
  </sheetData>
  <mergeCells count="2">
    <mergeCell ref="A2:A8"/>
    <mergeCell ref="A9:A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5" activeCellId="0" sqref="N5"/>
    </sheetView>
  </sheetViews>
  <sheetFormatPr defaultColWidth="10.484375" defaultRowHeight="12.8" zeroHeight="false" outlineLevelRow="0" outlineLevelCol="0"/>
  <cols>
    <col collapsed="false" customWidth="true" hidden="false" outlineLevel="0" max="1" min="1" style="0" width="13.89"/>
    <col collapsed="false" customWidth="true" hidden="false" outlineLevel="0" max="3" min="2" style="0" width="13"/>
  </cols>
  <sheetData>
    <row r="1" customFormat="false" ht="17.35" hidden="false" customHeight="false" outlineLevel="0" collapsed="false">
      <c r="A1" s="75" t="s">
        <v>98</v>
      </c>
      <c r="B1" s="75"/>
      <c r="C1" s="75"/>
      <c r="D1" s="75"/>
      <c r="E1" s="75"/>
      <c r="F1" s="75"/>
      <c r="G1" s="75"/>
      <c r="H1" s="75"/>
      <c r="K1" s="63" t="s">
        <v>99</v>
      </c>
      <c r="L1" s="63" t="s">
        <v>100</v>
      </c>
      <c r="M1" s="63" t="s">
        <v>101</v>
      </c>
      <c r="N1" s="127" t="s">
        <v>102</v>
      </c>
      <c r="O1" s="127" t="s">
        <v>103</v>
      </c>
      <c r="P1" s="127" t="s">
        <v>104</v>
      </c>
    </row>
    <row r="2" customFormat="false" ht="13.8" hidden="false" customHeight="false" outlineLevel="0" collapsed="false">
      <c r="A2" s="76" t="s">
        <v>72</v>
      </c>
      <c r="B2" s="76"/>
      <c r="C2" s="76"/>
      <c r="D2" s="76"/>
      <c r="E2" s="76"/>
      <c r="F2" s="76"/>
      <c r="G2" s="76"/>
      <c r="H2" s="76"/>
      <c r="J2" s="0" t="s">
        <v>105</v>
      </c>
      <c r="K2" s="0" t="n">
        <v>12</v>
      </c>
      <c r="L2" s="128" t="n">
        <v>13.27031</v>
      </c>
      <c r="M2" s="128" t="n">
        <v>83.82099</v>
      </c>
      <c r="N2" s="129" t="n">
        <v>237.4635</v>
      </c>
      <c r="O2" s="129" t="n">
        <v>472.2359</v>
      </c>
      <c r="P2" s="129" t="n">
        <v>792.152</v>
      </c>
    </row>
    <row r="3" customFormat="false" ht="13.8" hidden="false" customHeight="false" outlineLevel="0" collapsed="false">
      <c r="A3" s="78" t="s">
        <v>73</v>
      </c>
      <c r="B3" s="60" t="s">
        <v>106</v>
      </c>
      <c r="C3" s="23" t="s">
        <v>74</v>
      </c>
      <c r="D3" s="23" t="s">
        <v>75</v>
      </c>
      <c r="E3" s="23"/>
      <c r="F3" s="23"/>
      <c r="J3" s="0" t="s">
        <v>107</v>
      </c>
      <c r="K3" s="0" t="n">
        <v>60</v>
      </c>
      <c r="L3" s="130" t="n">
        <v>13.25292</v>
      </c>
      <c r="M3" s="130" t="n">
        <v>83.064</v>
      </c>
      <c r="N3" s="131" t="n">
        <v>232.3301</v>
      </c>
      <c r="O3" s="131" t="n">
        <v>453.2814</v>
      </c>
      <c r="P3" s="131" t="n">
        <v>741.228</v>
      </c>
    </row>
    <row r="4" customFormat="false" ht="13.8" hidden="false" customHeight="false" outlineLevel="0" collapsed="false">
      <c r="A4" s="79" t="n">
        <v>0</v>
      </c>
      <c r="B4" s="0" t="n">
        <v>2255</v>
      </c>
      <c r="C4" s="8" t="n">
        <v>0.1826080700682</v>
      </c>
      <c r="D4" s="80" t="n">
        <f aca="false">(C4-$C$7)/$C$7*100</f>
        <v>17.4761797041205</v>
      </c>
      <c r="E4" s="83"/>
      <c r="F4" s="82"/>
      <c r="J4" s="0" t="s">
        <v>108</v>
      </c>
      <c r="K4" s="0" t="n">
        <v>240</v>
      </c>
      <c r="L4" s="130" t="n">
        <v>13.27238</v>
      </c>
      <c r="M4" s="130" t="n">
        <v>83.159</v>
      </c>
      <c r="N4" s="131" t="n">
        <v>232.5088</v>
      </c>
      <c r="O4" s="131" t="n">
        <v>453.3827</v>
      </c>
      <c r="P4" s="131" t="n">
        <v>740.8614</v>
      </c>
    </row>
    <row r="5" customFormat="false" ht="13.8" hidden="false" customHeight="false" outlineLevel="0" collapsed="false">
      <c r="A5" s="79" t="n">
        <v>1</v>
      </c>
      <c r="B5" s="0" t="n">
        <v>8950</v>
      </c>
      <c r="C5" s="8" t="n">
        <v>0.160647096794</v>
      </c>
      <c r="D5" s="132" t="n">
        <f aca="false">(C5-$C$7)/$C$7*100</f>
        <v>3.34815545046195</v>
      </c>
      <c r="E5" s="83"/>
      <c r="F5" s="82"/>
      <c r="J5" s="0" t="s">
        <v>109</v>
      </c>
      <c r="K5" s="0" t="n">
        <f aca="false">240*4</f>
        <v>960</v>
      </c>
      <c r="L5" s="130" t="n">
        <v>13.2653</v>
      </c>
      <c r="M5" s="130" t="n">
        <v>83.10657</v>
      </c>
      <c r="N5" s="131" t="n">
        <v>232.3366</v>
      </c>
      <c r="O5" s="131" t="n">
        <v>452.9736</v>
      </c>
      <c r="P5" s="131" t="n">
        <v>740.0401</v>
      </c>
    </row>
    <row r="6" customFormat="false" ht="13.8" hidden="false" customHeight="false" outlineLevel="0" collapsed="false">
      <c r="A6" s="79" t="n">
        <v>2</v>
      </c>
      <c r="B6" s="0" t="n">
        <v>35666</v>
      </c>
      <c r="C6" s="8" t="n">
        <v>0.1564461889623</v>
      </c>
      <c r="D6" s="132" t="n">
        <f aca="false">(C6-$C$7)/$C$7*100</f>
        <v>0.645610030793903</v>
      </c>
      <c r="E6" s="83"/>
      <c r="F6" s="82"/>
      <c r="J6" s="0" t="s">
        <v>109</v>
      </c>
      <c r="K6" s="0" t="n">
        <f aca="false">600*10</f>
        <v>6000</v>
      </c>
      <c r="L6" s="130" t="n">
        <v>13.2595</v>
      </c>
      <c r="M6" s="130" t="n">
        <v>83.06379</v>
      </c>
      <c r="N6" s="131" t="n">
        <v>232.21</v>
      </c>
      <c r="O6" s="131" t="n">
        <v>452.7066</v>
      </c>
      <c r="P6" s="131" t="n">
        <v>739.5643</v>
      </c>
    </row>
    <row r="7" customFormat="false" ht="13.8" hidden="false" customHeight="false" outlineLevel="0" collapsed="false">
      <c r="A7" s="79" t="n">
        <v>3</v>
      </c>
      <c r="B7" s="0" t="n">
        <v>142402</v>
      </c>
      <c r="C7" s="8" t="n">
        <v>0.155442635714</v>
      </c>
      <c r="D7" s="91" t="s">
        <v>79</v>
      </c>
      <c r="E7" s="83"/>
      <c r="F7" s="82"/>
    </row>
    <row r="8" customFormat="false" ht="13.8" hidden="false" customHeight="false" outlineLevel="0" collapsed="false">
      <c r="A8" s="79"/>
      <c r="B8" s="3"/>
      <c r="C8" s="3"/>
      <c r="D8" s="3"/>
      <c r="E8" s="3"/>
      <c r="F8" s="3"/>
      <c r="G8" s="3"/>
      <c r="H8" s="77"/>
    </row>
    <row r="9" customFormat="false" ht="13.8" hidden="false" customHeight="false" outlineLevel="0" collapsed="false">
      <c r="A9" s="92" t="s">
        <v>80</v>
      </c>
      <c r="B9" s="92"/>
      <c r="C9" s="92"/>
      <c r="D9" s="92"/>
      <c r="E9" s="92"/>
      <c r="F9" s="92"/>
      <c r="G9" s="92"/>
      <c r="H9" s="92"/>
    </row>
    <row r="10" customFormat="false" ht="13.8" hidden="false" customHeight="false" outlineLevel="0" collapsed="false">
      <c r="A10" s="78" t="s">
        <v>81</v>
      </c>
      <c r="B10" s="23" t="s">
        <v>82</v>
      </c>
      <c r="C10" s="23" t="s">
        <v>74</v>
      </c>
      <c r="D10" s="23" t="s">
        <v>75</v>
      </c>
      <c r="E10" s="23"/>
      <c r="F10" s="23"/>
      <c r="G10" s="23"/>
      <c r="H10" s="94"/>
    </row>
    <row r="11" customFormat="false" ht="13.8" hidden="false" customHeight="false" outlineLevel="0" collapsed="false">
      <c r="A11" s="79" t="s">
        <v>83</v>
      </c>
      <c r="B11" s="3" t="n">
        <v>0.25</v>
      </c>
      <c r="C11" s="100" t="n">
        <f aca="false">C6</f>
        <v>0.1564461889623</v>
      </c>
      <c r="D11" s="101" t="n">
        <f aca="false">(C11-$C$13)/$C$13*100</f>
        <v>0.00136152137344582</v>
      </c>
      <c r="E11" s="82"/>
      <c r="F11" s="39"/>
      <c r="G11" s="3"/>
      <c r="H11" s="77"/>
    </row>
    <row r="12" customFormat="false" ht="13.8" hidden="false" customHeight="false" outlineLevel="0" collapsed="false">
      <c r="A12" s="79" t="s">
        <v>84</v>
      </c>
      <c r="B12" s="3" t="n">
        <v>0.6</v>
      </c>
      <c r="C12" s="100" t="n">
        <v>0.156443925581</v>
      </c>
      <c r="D12" s="101" t="n">
        <f aca="false">(C12-$C$13)/$C$13*100</f>
        <v>-8.52458066479818E-005</v>
      </c>
      <c r="E12" s="82"/>
      <c r="F12" s="39"/>
      <c r="G12" s="3"/>
      <c r="H12" s="77"/>
    </row>
    <row r="13" customFormat="false" ht="13.8" hidden="false" customHeight="false" outlineLevel="0" collapsed="false">
      <c r="A13" s="79" t="s">
        <v>85</v>
      </c>
      <c r="B13" s="3" t="n">
        <v>1</v>
      </c>
      <c r="C13" s="100" t="n">
        <v>0.156444058943</v>
      </c>
      <c r="D13" s="102" t="s">
        <v>79</v>
      </c>
      <c r="E13" s="82"/>
      <c r="F13" s="103"/>
      <c r="G13" s="3"/>
      <c r="H13" s="104"/>
    </row>
    <row r="14" customFormat="false" ht="13.8" hidden="false" customHeight="false" outlineLevel="0" collapsed="false">
      <c r="A14" s="79"/>
      <c r="B14" s="3"/>
      <c r="C14" s="3"/>
      <c r="D14" s="3"/>
      <c r="E14" s="82"/>
      <c r="F14" s="83"/>
      <c r="G14" s="3"/>
      <c r="H14" s="77"/>
    </row>
    <row r="15" customFormat="false" ht="13.8" hidden="false" customHeight="false" outlineLevel="0" collapsed="false">
      <c r="A15" s="92" t="s">
        <v>86</v>
      </c>
      <c r="B15" s="92"/>
      <c r="C15" s="92"/>
      <c r="D15" s="92"/>
      <c r="E15" s="92"/>
      <c r="F15" s="92"/>
      <c r="G15" s="92"/>
      <c r="H15" s="92"/>
    </row>
    <row r="16" customFormat="false" ht="13.8" hidden="false" customHeight="false" outlineLevel="0" collapsed="false">
      <c r="A16" s="78" t="s">
        <v>81</v>
      </c>
      <c r="B16" s="23" t="s">
        <v>87</v>
      </c>
      <c r="C16" s="23" t="s">
        <v>74</v>
      </c>
      <c r="D16" s="23" t="s">
        <v>75</v>
      </c>
      <c r="E16" s="23"/>
      <c r="F16" s="23"/>
      <c r="G16" s="23"/>
      <c r="H16" s="94"/>
    </row>
    <row r="17" customFormat="false" ht="13.8" hidden="false" customHeight="false" outlineLevel="0" collapsed="false">
      <c r="A17" s="79" t="s">
        <v>83</v>
      </c>
      <c r="B17" s="3" t="n">
        <v>0.18</v>
      </c>
      <c r="C17" s="106" t="n">
        <f aca="false">C6</f>
        <v>0.1564461889623</v>
      </c>
      <c r="D17" s="80" t="n">
        <f aca="false">(C17-$C$19)/$C$19*100</f>
        <v>0.225403692122404</v>
      </c>
      <c r="E17" s="82"/>
      <c r="F17" s="39"/>
      <c r="G17" s="3"/>
      <c r="H17" s="77"/>
    </row>
    <row r="18" customFormat="false" ht="13.8" hidden="false" customHeight="false" outlineLevel="0" collapsed="false">
      <c r="A18" s="79" t="s">
        <v>84</v>
      </c>
      <c r="B18" s="3" t="n">
        <v>0.36</v>
      </c>
      <c r="C18" s="106" t="n">
        <v>0.156111301454</v>
      </c>
      <c r="D18" s="80" t="n">
        <f aca="false">(C18-$C$19)/$C$19*100</f>
        <v>0.0108619641746134</v>
      </c>
      <c r="E18" s="82"/>
      <c r="F18" s="39"/>
      <c r="G18" s="3"/>
      <c r="H18" s="77"/>
    </row>
    <row r="19" customFormat="false" ht="13.8" hidden="false" customHeight="false" outlineLevel="0" collapsed="false">
      <c r="A19" s="79" t="s">
        <v>85</v>
      </c>
      <c r="B19" s="3" t="n">
        <v>0.72</v>
      </c>
      <c r="C19" s="106" t="n">
        <v>0.156094346542</v>
      </c>
      <c r="D19" s="91" t="s">
        <v>79</v>
      </c>
      <c r="E19" s="82"/>
      <c r="F19" s="103"/>
      <c r="G19" s="3"/>
      <c r="H19" s="104"/>
    </row>
    <row r="20" customFormat="false" ht="13.8" hidden="false" customHeight="false" outlineLevel="0" collapsed="false">
      <c r="A20" s="107"/>
      <c r="H20" s="108"/>
    </row>
    <row r="21" customFormat="false" ht="13.8" hidden="false" customHeight="false" outlineLevel="0" collapsed="false">
      <c r="A21" s="92" t="s">
        <v>88</v>
      </c>
      <c r="B21" s="92"/>
      <c r="C21" s="92"/>
      <c r="D21" s="92"/>
      <c r="E21" s="92"/>
      <c r="F21" s="92"/>
      <c r="G21" s="92"/>
      <c r="H21" s="92"/>
    </row>
    <row r="22" customFormat="false" ht="13.8" hidden="false" customHeight="false" outlineLevel="0" collapsed="false">
      <c r="A22" s="78" t="s">
        <v>81</v>
      </c>
      <c r="B22" s="23" t="s">
        <v>89</v>
      </c>
      <c r="C22" s="23" t="s">
        <v>74</v>
      </c>
      <c r="D22" s="23" t="s">
        <v>75</v>
      </c>
      <c r="E22" s="23"/>
      <c r="F22" s="23"/>
      <c r="G22" s="23"/>
      <c r="H22" s="94"/>
    </row>
    <row r="23" customFormat="false" ht="13.8" hidden="false" customHeight="false" outlineLevel="0" collapsed="false">
      <c r="A23" s="79" t="s">
        <v>83</v>
      </c>
      <c r="B23" s="3" t="n">
        <v>-0.05</v>
      </c>
      <c r="C23" s="100" t="n">
        <f aca="false">C6</f>
        <v>0.1564461889623</v>
      </c>
      <c r="D23" s="110" t="n">
        <f aca="false">(C23-$C$25)/$C$25*100</f>
        <v>0.322586916361586</v>
      </c>
      <c r="E23" s="82"/>
      <c r="F23" s="83"/>
      <c r="G23" s="3"/>
      <c r="H23" s="77"/>
    </row>
    <row r="24" customFormat="false" ht="13.8" hidden="false" customHeight="false" outlineLevel="0" collapsed="false">
      <c r="A24" s="79" t="s">
        <v>84</v>
      </c>
      <c r="B24" s="3" t="n">
        <v>-0.25</v>
      </c>
      <c r="C24" s="100" t="n">
        <v>0.155954908725</v>
      </c>
      <c r="D24" s="110" t="n">
        <f aca="false">(C24-$C$25)/$C$25*100</f>
        <v>0.00754885353797488</v>
      </c>
      <c r="E24" s="82"/>
      <c r="F24" s="83"/>
      <c r="G24" s="3"/>
      <c r="H24" s="77"/>
    </row>
    <row r="25" customFormat="false" ht="13.8" hidden="false" customHeight="false" outlineLevel="0" collapsed="false">
      <c r="A25" s="79" t="s">
        <v>85</v>
      </c>
      <c r="B25" s="3" t="n">
        <v>-1</v>
      </c>
      <c r="C25" s="100" t="n">
        <v>0.155943136806</v>
      </c>
      <c r="D25" s="110"/>
      <c r="E25" s="82"/>
      <c r="F25" s="83"/>
      <c r="G25" s="3"/>
      <c r="H25" s="77"/>
    </row>
    <row r="26" customFormat="false" ht="13.8" hidden="false" customHeight="false" outlineLevel="0" collapsed="false">
      <c r="A26" s="107"/>
      <c r="H26" s="108"/>
    </row>
    <row r="27" customFormat="false" ht="13.8" hidden="false" customHeight="false" outlineLevel="0" collapsed="false">
      <c r="A27" s="92" t="s">
        <v>90</v>
      </c>
      <c r="B27" s="92"/>
      <c r="C27" s="92"/>
      <c r="D27" s="92"/>
      <c r="E27" s="92"/>
      <c r="F27" s="92"/>
      <c r="G27" s="92"/>
      <c r="H27" s="92"/>
    </row>
    <row r="28" customFormat="false" ht="13.8" hidden="false" customHeight="false" outlineLevel="0" collapsed="false">
      <c r="A28" s="78" t="s">
        <v>81</v>
      </c>
      <c r="B28" s="23" t="s">
        <v>74</v>
      </c>
      <c r="C28" s="23" t="s">
        <v>75</v>
      </c>
      <c r="D28" s="23"/>
      <c r="E28" s="23"/>
      <c r="F28" s="23"/>
      <c r="G28" s="23"/>
      <c r="H28" s="108"/>
    </row>
    <row r="29" customFormat="false" ht="13.8" hidden="false" customHeight="false" outlineLevel="0" collapsed="false">
      <c r="A29" s="79" t="s">
        <v>83</v>
      </c>
      <c r="B29" s="100" t="n">
        <f aca="false">C6</f>
        <v>0.1564461889623</v>
      </c>
      <c r="C29" s="110" t="n">
        <f aca="false">(B29-$B$31)/$B$31*100</f>
        <v>1.07173678667447</v>
      </c>
      <c r="D29" s="82"/>
      <c r="E29" s="83"/>
      <c r="F29" s="3"/>
      <c r="G29" s="3"/>
      <c r="H29" s="108"/>
    </row>
    <row r="30" customFormat="false" ht="13.8" hidden="false" customHeight="false" outlineLevel="0" collapsed="false">
      <c r="A30" s="79" t="s">
        <v>84</v>
      </c>
      <c r="B30" s="100"/>
      <c r="C30" s="110" t="n">
        <f aca="false">(B30-$B$31)/$B$31*100</f>
        <v>-100</v>
      </c>
      <c r="D30" s="82"/>
      <c r="E30" s="111"/>
      <c r="F30" s="3"/>
      <c r="G30" s="3"/>
      <c r="H30" s="108"/>
    </row>
    <row r="31" customFormat="false" ht="13.8" hidden="false" customHeight="false" outlineLevel="0" collapsed="false">
      <c r="A31" s="79" t="s">
        <v>85</v>
      </c>
      <c r="B31" s="100" t="n">
        <v>0.154787276776</v>
      </c>
      <c r="C31" s="112" t="s">
        <v>79</v>
      </c>
      <c r="D31" s="3"/>
      <c r="E31" s="112"/>
      <c r="F31" s="3"/>
      <c r="G31" s="112"/>
      <c r="H31" s="108"/>
    </row>
    <row r="32" customFormat="false" ht="13.8" hidden="false" customHeight="false" outlineLevel="0" collapsed="false">
      <c r="A32" s="107"/>
      <c r="H32" s="108"/>
    </row>
    <row r="33" customFormat="false" ht="13.8" hidden="false" customHeight="false" outlineLevel="0" collapsed="false">
      <c r="A33" s="113"/>
      <c r="B33" s="113"/>
      <c r="C33" s="113"/>
      <c r="D33" s="113"/>
      <c r="E33" s="113"/>
      <c r="F33" s="113"/>
      <c r="G33" s="113"/>
      <c r="H33" s="108"/>
    </row>
    <row r="34" customFormat="false" ht="13.8" hidden="false" customHeight="false" outlineLevel="0" collapsed="false">
      <c r="A34" s="60"/>
      <c r="B34" s="60"/>
      <c r="C34" s="60"/>
      <c r="H34" s="108"/>
    </row>
    <row r="35" customFormat="false" ht="13.8" hidden="false" customHeight="false" outlineLevel="0" collapsed="false">
      <c r="A35" s="107"/>
      <c r="B35" s="114"/>
      <c r="C35" s="115"/>
      <c r="H35" s="108"/>
    </row>
    <row r="36" customFormat="false" ht="13.8" hidden="false" customHeight="false" outlineLevel="0" collapsed="false">
      <c r="A36" s="107"/>
      <c r="B36" s="114"/>
      <c r="C36" s="115"/>
      <c r="H36" s="108"/>
    </row>
    <row r="37" customFormat="false" ht="13.8" hidden="false" customHeight="false" outlineLevel="0" collapsed="false">
      <c r="A37" s="116"/>
      <c r="B37" s="117"/>
      <c r="C37" s="118"/>
      <c r="D37" s="118"/>
      <c r="E37" s="118"/>
      <c r="F37" s="118"/>
      <c r="G37" s="118"/>
      <c r="H37" s="119"/>
    </row>
  </sheetData>
  <mergeCells count="7">
    <mergeCell ref="A1:H1"/>
    <mergeCell ref="A2:H2"/>
    <mergeCell ref="A9:H9"/>
    <mergeCell ref="A15:H15"/>
    <mergeCell ref="A21:H21"/>
    <mergeCell ref="A27:H27"/>
    <mergeCell ref="A33:G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2022-03-25T12:16:18Z</dcterms:created>
  <dc:creator>Andrés Pedemonte Fehrmann</dc:creator>
  <dc:description/>
  <dc:language>en-US</dc:language>
  <cp:lastModifiedBy/>
  <dcterms:modified xsi:type="dcterms:W3CDTF">2022-05-06T23:41:48Z</dcterms:modified>
  <cp:revision>151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