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dy\Downloads\"/>
    </mc:Choice>
  </mc:AlternateContent>
  <xr:revisionPtr revIDLastSave="0" documentId="13_ncr:1_{6FEB89BC-0B21-411B-A3FE-62C1B2C39BD5}" xr6:coauthVersionLast="36" xr6:coauthVersionMax="36" xr10:uidLastSave="{00000000-0000-0000-0000-000000000000}"/>
  <bookViews>
    <workbookView xWindow="0" yWindow="0" windowWidth="28620" windowHeight="12195" xr2:uid="{00000000-000D-0000-FFFF-FFFF00000000}"/>
  </bookViews>
  <sheets>
    <sheet name="Sheet1" sheetId="1" r:id="rId1"/>
    <sheet name="DataAmplitudes" sheetId="2" r:id="rId2"/>
    <sheet name="MIS" sheetId="3" r:id="rId3"/>
    <sheet name="MIS-Wedge" sheetId="4" r:id="rId4"/>
  </sheets>
  <calcPr calcId="191029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15" i="1"/>
  <c r="M9" i="4" l="1"/>
  <c r="I5" i="4"/>
  <c r="G5" i="4"/>
  <c r="E5" i="4"/>
  <c r="C5" i="4"/>
  <c r="I4" i="4"/>
  <c r="G4" i="4"/>
  <c r="E4" i="4"/>
  <c r="C4" i="4"/>
  <c r="I3" i="4"/>
  <c r="G3" i="4"/>
  <c r="E3" i="4"/>
  <c r="C3" i="4"/>
  <c r="I2" i="4"/>
  <c r="G2" i="4"/>
  <c r="E2" i="4"/>
  <c r="C2" i="4"/>
  <c r="I5" i="3"/>
  <c r="G5" i="3"/>
  <c r="E5" i="3"/>
  <c r="C5" i="3"/>
  <c r="I4" i="3"/>
  <c r="G4" i="3"/>
  <c r="E4" i="3"/>
  <c r="C4" i="3"/>
  <c r="I3" i="3"/>
  <c r="G3" i="3"/>
  <c r="E3" i="3"/>
  <c r="C3" i="3"/>
  <c r="I2" i="3"/>
  <c r="G2" i="3"/>
  <c r="E2" i="3"/>
  <c r="C2" i="3"/>
  <c r="F10" i="2"/>
  <c r="J9" i="2"/>
  <c r="L8" i="2"/>
  <c r="F8" i="2"/>
  <c r="J7" i="2"/>
  <c r="D7" i="2"/>
  <c r="B7" i="2"/>
  <c r="L6" i="2"/>
  <c r="H6" i="2"/>
  <c r="F6" i="2"/>
  <c r="J5" i="2"/>
  <c r="H15" i="1" s="1"/>
  <c r="D5" i="2"/>
  <c r="H16" i="1" s="1"/>
  <c r="B5" i="2"/>
  <c r="H17" i="1" s="1"/>
  <c r="L4" i="2"/>
  <c r="H21" i="1" s="1"/>
  <c r="H4" i="2"/>
  <c r="H19" i="1" s="1"/>
  <c r="F4" i="2"/>
  <c r="H18" i="1" s="1"/>
  <c r="P21" i="1"/>
  <c r="J21" i="1"/>
  <c r="Q21" i="1" s="1"/>
  <c r="P20" i="1"/>
  <c r="J20" i="1"/>
  <c r="Q20" i="1" s="1"/>
  <c r="H20" i="1"/>
  <c r="V20" i="1" s="1"/>
  <c r="P19" i="1"/>
  <c r="J19" i="1"/>
  <c r="Q19" i="1" s="1"/>
  <c r="P18" i="1"/>
  <c r="J18" i="1"/>
  <c r="Q18" i="1" s="1"/>
  <c r="P17" i="1"/>
  <c r="J17" i="1"/>
  <c r="Q17" i="1" s="1"/>
  <c r="R16" i="1"/>
  <c r="S16" i="1" s="1"/>
  <c r="T16" i="1" s="1"/>
  <c r="T23" i="1" s="1"/>
  <c r="P16" i="1"/>
  <c r="J16" i="1"/>
  <c r="Q16" i="1" s="1"/>
  <c r="P15" i="1"/>
  <c r="J15" i="1"/>
  <c r="Q15" i="1" s="1"/>
  <c r="B10" i="1"/>
  <c r="M20" i="1" s="1"/>
  <c r="B6" i="1"/>
  <c r="B7" i="1" s="1"/>
  <c r="B8" i="1" s="1"/>
  <c r="B9" i="1" l="1"/>
  <c r="B11" i="1" s="1"/>
  <c r="G15" i="1" s="1"/>
  <c r="L19" i="1"/>
  <c r="K19" i="1"/>
  <c r="V19" i="1"/>
  <c r="I19" i="1"/>
  <c r="K15" i="1"/>
  <c r="V15" i="1"/>
  <c r="I15" i="1"/>
  <c r="L15" i="1"/>
  <c r="L21" i="1"/>
  <c r="K21" i="1"/>
  <c r="V21" i="1"/>
  <c r="I21" i="1"/>
  <c r="U21" i="1"/>
  <c r="U19" i="1"/>
  <c r="U17" i="1"/>
  <c r="U20" i="1"/>
  <c r="U18" i="1"/>
  <c r="U16" i="1"/>
  <c r="U15" i="1"/>
  <c r="L17" i="1"/>
  <c r="K17" i="1"/>
  <c r="V17" i="1"/>
  <c r="I17" i="1"/>
  <c r="V18" i="1"/>
  <c r="I18" i="1"/>
  <c r="L18" i="1"/>
  <c r="K18" i="1"/>
  <c r="I16" i="1"/>
  <c r="V16" i="1"/>
  <c r="L16" i="1"/>
  <c r="K16" i="1"/>
  <c r="K20" i="1"/>
  <c r="M21" i="1"/>
  <c r="M17" i="1"/>
  <c r="M19" i="1"/>
  <c r="M15" i="1"/>
  <c r="B13" i="1"/>
  <c r="M18" i="1"/>
  <c r="L20" i="1"/>
  <c r="M16" i="1"/>
  <c r="I20" i="1"/>
</calcChain>
</file>

<file path=xl/sharedStrings.xml><?xml version="1.0" encoding="utf-8"?>
<sst xmlns="http://schemas.openxmlformats.org/spreadsheetml/2006/main" count="71" uniqueCount="48">
  <si>
    <t>L [m]</t>
  </si>
  <si>
    <t>h [m]</t>
  </si>
  <si>
    <t>s [m]</t>
  </si>
  <si>
    <t>E [Pa]</t>
  </si>
  <si>
    <t>rho [kg/m3]</t>
  </si>
  <si>
    <t>I [m^3]</t>
  </si>
  <si>
    <t>B [N*m=kg*m2/s2]</t>
  </si>
  <si>
    <t>fn [Hz]</t>
  </si>
  <si>
    <t>w_n [rad/s]</t>
  </si>
  <si>
    <t>dR [mm]</t>
  </si>
  <si>
    <t>wn*L [m/s]</t>
  </si>
  <si>
    <t>nu [m2/s]</t>
  </si>
  <si>
    <t>Area_ref [m2]</t>
  </si>
  <si>
    <t>ff [Hz]</t>
  </si>
  <si>
    <t>f+</t>
  </si>
  <si>
    <t>U [m/s]</t>
  </si>
  <si>
    <t>UR</t>
  </si>
  <si>
    <t>d [mm]</t>
  </si>
  <si>
    <t>d+</t>
  </si>
  <si>
    <t>Re paper</t>
  </si>
  <si>
    <t>Re_Manuel</t>
  </si>
  <si>
    <t>St1</t>
  </si>
  <si>
    <t>St2</t>
  </si>
  <si>
    <t>CD (script)</t>
  </si>
  <si>
    <t>CD (planilla)</t>
  </si>
  <si>
    <t>St</t>
  </si>
  <si>
    <t>Re</t>
  </si>
  <si>
    <t>s/L=Kappa</t>
  </si>
  <si>
    <t>Omega(Kappa)</t>
  </si>
  <si>
    <t>ff</t>
  </si>
  <si>
    <t>f*</t>
  </si>
  <si>
    <t>Aeff/L</t>
  </si>
  <si>
    <t>UR=0.29</t>
  </si>
  <si>
    <t>Ff=12 Hz</t>
  </si>
  <si>
    <t>Ff=10 Hz</t>
  </si>
  <si>
    <t>Ff=14 Hz</t>
  </si>
  <si>
    <t>Ff=16 Hz</t>
  </si>
  <si>
    <t>Ff=8 Hz</t>
  </si>
  <si>
    <t>Ff=20 Hz</t>
  </si>
  <si>
    <t>t [s]</t>
  </si>
  <si>
    <t>n</t>
  </si>
  <si>
    <t>Cd</t>
  </si>
  <si>
    <t>% Dif</t>
  </si>
  <si>
    <t>Cm</t>
  </si>
  <si>
    <t>Cl (f)</t>
  </si>
  <si>
    <t>Cl (r)</t>
  </si>
  <si>
    <t>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</si>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</sst>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E+00"/>
    <numFmt numFmtId="165" formatCode="0.0000"/>
    <numFmt numFmtId="166" formatCode="0.000"/>
    <numFmt numFmtId="167" formatCode="0.000E+00"/>
  </numFmts>
  <fonts count="20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theme="1"/>
      <name val="Ubuntu"/>
    </font>
    <font>
      <sz val="10"/>
      <color theme="1"/>
      <name val="Ubuntu"/>
    </font>
    <font>
      <b/>
      <sz val="11"/>
      <color theme="1"/>
      <name val="Liberation Sans"/>
    </font>
    <font>
      <b/>
      <sz val="11"/>
      <color theme="1"/>
      <name val="Ubuntu"/>
    </font>
    <font>
      <sz val="11"/>
      <color theme="1"/>
      <name val="Ubuntu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54">
    <xf numFmtId="0" fontId="0" fillId="0" borderId="0" xfId="0"/>
    <xf numFmtId="0" fontId="15" fillId="0" borderId="0" xfId="0" applyFont="1" applyAlignment="1">
      <alignment horizontal="left"/>
    </xf>
    <xf numFmtId="0" fontId="16" fillId="0" borderId="0" xfId="0" applyFont="1"/>
    <xf numFmtId="11" fontId="16" fillId="0" borderId="0" xfId="0" applyNumberFormat="1" applyFont="1"/>
    <xf numFmtId="167" fontId="16" fillId="0" borderId="0" xfId="0" applyNumberFormat="1" applyFont="1"/>
    <xf numFmtId="2" fontId="16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17" fillId="0" borderId="0" xfId="0" applyFont="1"/>
    <xf numFmtId="166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9" fillId="0" borderId="4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166" fontId="0" fillId="0" borderId="4" xfId="0" applyNumberFormat="1" applyBorder="1"/>
    <xf numFmtId="2" fontId="0" fillId="0" borderId="4" xfId="0" applyNumberFormat="1" applyBorder="1"/>
    <xf numFmtId="1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/>
    <xf numFmtId="2" fontId="0" fillId="0" borderId="3" xfId="0" applyNumberFormat="1" applyBorder="1" applyAlignment="1"/>
    <xf numFmtId="1" fontId="0" fillId="0" borderId="0" xfId="0" applyNumberFormat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/>
    <xf numFmtId="166" fontId="0" fillId="0" borderId="5" xfId="0" applyNumberFormat="1" applyBorder="1"/>
    <xf numFmtId="2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165" fontId="0" fillId="0" borderId="5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8" fillId="0" borderId="9" xfId="0" applyFont="1" applyBorder="1" applyAlignment="1">
      <alignment horizontal="center"/>
    </xf>
    <xf numFmtId="165" fontId="0" fillId="0" borderId="3" xfId="0" applyNumberFormat="1" applyBorder="1"/>
    <xf numFmtId="165" fontId="0" fillId="0" borderId="10" xfId="0" applyNumberFormat="1" applyBorder="1"/>
    <xf numFmtId="0" fontId="0" fillId="0" borderId="12" xfId="0" applyBorder="1"/>
    <xf numFmtId="0" fontId="0" fillId="0" borderId="11" xfId="0" applyBorder="1"/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Sheet1!$E$15:$E$21</c:f>
              <c:numCache>
                <c:formatCode>0.00</c:formatCode>
                <c:ptCount val="7"/>
                <c:pt idx="0">
                  <c:v>0.60422960725075525</c:v>
                </c:pt>
                <c:pt idx="1">
                  <c:v>0.75528700906344415</c:v>
                </c:pt>
                <c:pt idx="2">
                  <c:v>0.90634441087613293</c:v>
                </c:pt>
                <c:pt idx="3">
                  <c:v>1.0574018126888218</c:v>
                </c:pt>
                <c:pt idx="4">
                  <c:v>1.2084592145015105</c:v>
                </c:pt>
                <c:pt idx="5">
                  <c:v>1.3595166163141994</c:v>
                </c:pt>
                <c:pt idx="6">
                  <c:v>1.5105740181268883</c:v>
                </c:pt>
              </c:numCache>
            </c:numRef>
          </c:xVal>
          <c:yVal>
            <c:numRef>
              <c:f>Sheet1!$I$15:$I$21</c:f>
              <c:numCache>
                <c:formatCode>0.00</c:formatCode>
                <c:ptCount val="7"/>
                <c:pt idx="0">
                  <c:v>1.6439534675513543</c:v>
                </c:pt>
                <c:pt idx="1">
                  <c:v>2.0346394262144529</c:v>
                </c:pt>
                <c:pt idx="2">
                  <c:v>2.0645817420008092</c:v>
                </c:pt>
                <c:pt idx="3">
                  <c:v>1.7437083981097805</c:v>
                </c:pt>
                <c:pt idx="4">
                  <c:v>1.3315346842974947</c:v>
                </c:pt>
                <c:pt idx="5">
                  <c:v>0.99998581395296393</c:v>
                </c:pt>
                <c:pt idx="6">
                  <c:v>0.79156494108136133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7-4126-8AD1-CF6A47788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418127"/>
        <c:axId val="386814047"/>
      </c:scatterChart>
      <c:valAx>
        <c:axId val="462418127"/>
        <c:scaling>
          <c:orientation val="minMax"/>
          <c:max val="1.8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14047"/>
        <c:crosses val="autoZero"/>
        <c:crossBetween val="midCat"/>
        <c:majorUnit val="0.1"/>
      </c:valAx>
      <c:valAx>
        <c:axId val="3868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d+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1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Sheet1!$U$15:$U$21</c:f>
              <c:numCache>
                <c:formatCode>0.000</c:formatCode>
                <c:ptCount val="7"/>
                <c:pt idx="0">
                  <c:v>1.4107363044645185</c:v>
                </c:pt>
                <c:pt idx="1">
                  <c:v>1.1285890435716148</c:v>
                </c:pt>
                <c:pt idx="2">
                  <c:v>0.94049086964301232</c:v>
                </c:pt>
                <c:pt idx="3">
                  <c:v>0.806135031122582</c:v>
                </c:pt>
                <c:pt idx="4">
                  <c:v>0.70536815223225924</c:v>
                </c:pt>
                <c:pt idx="5">
                  <c:v>0.62699391309534158</c:v>
                </c:pt>
                <c:pt idx="6">
                  <c:v>0.56429452178580741</c:v>
                </c:pt>
              </c:numCache>
            </c:numRef>
          </c:xVal>
          <c:yVal>
            <c:numRef>
              <c:f>Sheet1!$V$15:$V$21</c:f>
              <c:numCache>
                <c:formatCode>0.0000</c:formatCode>
                <c:ptCount val="7"/>
                <c:pt idx="0">
                  <c:v>0.57093904761904757</c:v>
                </c:pt>
                <c:pt idx="1">
                  <c:v>0.70662285714285711</c:v>
                </c:pt>
                <c:pt idx="2">
                  <c:v>0.71702171428571426</c:v>
                </c:pt>
                <c:pt idx="3">
                  <c:v>0.60558357142857144</c:v>
                </c:pt>
                <c:pt idx="4">
                  <c:v>0.46243714285714282</c:v>
                </c:pt>
                <c:pt idx="5">
                  <c:v>0.34729142857142847</c:v>
                </c:pt>
                <c:pt idx="6">
                  <c:v>0.27490761904761896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1-4BCC-9CF0-15D24362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77375"/>
        <c:axId val="462315487"/>
      </c:scatterChart>
      <c:valAx>
        <c:axId val="470377375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f*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15487"/>
        <c:crosses val="autoZero"/>
        <c:crossBetween val="midCat"/>
      </c:valAx>
      <c:valAx>
        <c:axId val="46231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Aeff/L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MIS!$A$2:$A$5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MIS!$B$2:$B$5</c:f>
              <c:numCache>
                <c:formatCode>0.000E+00</c:formatCode>
                <c:ptCount val="4"/>
                <c:pt idx="0">
                  <c:v>4.0504185239880003E-2</c:v>
                </c:pt>
                <c:pt idx="1">
                  <c:v>3.8124573503049999E-2</c:v>
                </c:pt>
                <c:pt idx="2">
                  <c:v>3.7761205278540003E-2</c:v>
                </c:pt>
                <c:pt idx="3">
                  <c:v>3.7686576195219999E-2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0-4D3C-9E39-8BC6A0A9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10511"/>
        <c:axId val="219990047"/>
      </c:lineChart>
      <c:valAx>
        <c:axId val="219990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8110511"/>
        <c:crossesAt val="0"/>
        <c:crossBetween val="between"/>
      </c:valAx>
      <c:catAx>
        <c:axId val="1981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9990047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numRef>
              <c:f>MIS!$A$2:$A$5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MIS!$D$2:$D$5</c:f>
              <c:numCache>
                <c:formatCode>0.000E+00</c:formatCode>
                <c:ptCount val="4"/>
                <c:pt idx="0">
                  <c:v>0.3124608378971</c:v>
                </c:pt>
                <c:pt idx="1">
                  <c:v>0.29410354770809999</c:v>
                </c:pt>
                <c:pt idx="2">
                  <c:v>0.29131168537669999</c:v>
                </c:pt>
                <c:pt idx="3">
                  <c:v>0.29073605748210002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2-4388-A9AB-6DB8EDE4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15711"/>
        <c:axId val="393412335"/>
      </c:lineChart>
      <c:valAx>
        <c:axId val="393412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8115711"/>
        <c:crossesAt val="0"/>
        <c:crossBetween val="between"/>
      </c:valAx>
      <c:catAx>
        <c:axId val="1981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412335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val>
            <c:numRef>
              <c:f>'MIS-Wedge'!$B$2:$B$5</c:f>
              <c:numCache>
                <c:formatCode>0.00E+00</c:formatCode>
                <c:ptCount val="4"/>
                <c:pt idx="0">
                  <c:v>4.0309590743889998E-2</c:v>
                </c:pt>
                <c:pt idx="1">
                  <c:v>3.8068808631129998E-2</c:v>
                </c:pt>
                <c:pt idx="2" formatCode="0.000E+00">
                  <c:v>3.774558302765E-2</c:v>
                </c:pt>
                <c:pt idx="3" formatCode="0.000E+00">
                  <c:v>3.7655540757259999E-2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5-4EAE-BB81-736ED073D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0687"/>
        <c:axId val="393413583"/>
      </c:lineChart>
      <c:valAx>
        <c:axId val="3934135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8000687"/>
        <c:crossesAt val="0"/>
        <c:crossBetween val="between"/>
      </c:valAx>
      <c:catAx>
        <c:axId val="19800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413583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val>
            <c:numRef>
              <c:f>'MIS-Wedge'!$D$2:$D$5</c:f>
              <c:numCache>
                <c:formatCode>0.00E+00</c:formatCode>
                <c:ptCount val="4"/>
                <c:pt idx="0">
                  <c:v>0.31095526148719999</c:v>
                </c:pt>
                <c:pt idx="1">
                  <c:v>0.29372095709599999</c:v>
                </c:pt>
                <c:pt idx="2">
                  <c:v>0.29118467670370002</c:v>
                </c:pt>
                <c:pt idx="3">
                  <c:v>0.29046335856450001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A-461C-B28C-A1E60B4B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96687"/>
        <c:axId val="393413999"/>
      </c:lineChart>
      <c:valAx>
        <c:axId val="3934139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97996687"/>
        <c:crossesAt val="0"/>
        <c:crossBetween val="between"/>
      </c:valAx>
      <c:catAx>
        <c:axId val="19799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393413999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795336</xdr:colOff>
      <xdr:row>22</xdr:row>
      <xdr:rowOff>9525</xdr:rowOff>
    </xdr:from>
    <xdr:to>
      <xdr:col>15</xdr:col>
      <xdr:colOff>476250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6169E-092D-408A-9B4C-3AEBDFA7E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232994</xdr:colOff>
      <xdr:row>24</xdr:row>
      <xdr:rowOff>98912</xdr:rowOff>
    </xdr:from>
    <xdr:to>
      <xdr:col>25</xdr:col>
      <xdr:colOff>340701</xdr:colOff>
      <xdr:row>44</xdr:row>
      <xdr:rowOff>79863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27E52C-C5E9-4153-9A7B-D483FA61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417320" y="1405798"/>
    <xdr:ext cx="5758891" cy="32414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D850C-36C4-4A3F-9CB3-99C9924F3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06238" y="1405432"/>
    <xdr:ext cx="5758891" cy="324145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4C15A-A7BB-4968-9BF6-9677EA9A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52860" y="1386321"/>
    <xdr:ext cx="6551675" cy="32414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DF910-65E2-4E61-855C-F4B7D35D9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563642" y="1338864"/>
    <xdr:ext cx="6551675" cy="324145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638ACE-7CC3-4E18-A0DF-AF35A599F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topLeftCell="C1" zoomScale="115" zoomScaleNormal="115" workbookViewId="0">
      <selection activeCell="L6" sqref="L6"/>
    </sheetView>
  </sheetViews>
  <sheetFormatPr defaultRowHeight="14.25"/>
  <cols>
    <col min="1" max="1" width="19" customWidth="1"/>
    <col min="2" max="10" width="10.625" customWidth="1"/>
    <col min="11" max="11" width="10.75" customWidth="1"/>
    <col min="12" max="12" width="10" customWidth="1"/>
    <col min="13" max="13" width="10.5" customWidth="1"/>
    <col min="14" max="14" width="10.625" customWidth="1"/>
    <col min="15" max="15" width="11.625" bestFit="1" customWidth="1"/>
    <col min="16" max="18" width="10.625" customWidth="1"/>
    <col min="19" max="19" width="14.25" bestFit="1" customWidth="1"/>
    <col min="20" max="22" width="10.625" customWidth="1"/>
  </cols>
  <sheetData>
    <row r="1" spans="1:22">
      <c r="A1" s="1" t="s">
        <v>0</v>
      </c>
      <c r="B1" s="2">
        <v>3.5000000000000003E-2</v>
      </c>
    </row>
    <row r="2" spans="1:22">
      <c r="A2" s="1" t="s">
        <v>1</v>
      </c>
      <c r="B2" s="3">
        <v>5.0000000000000002E-5</v>
      </c>
    </row>
    <row r="3" spans="1:22">
      <c r="A3" s="1" t="s">
        <v>2</v>
      </c>
      <c r="B3" s="2">
        <v>0.16</v>
      </c>
    </row>
    <row r="4" spans="1:22">
      <c r="A4" s="1" t="s">
        <v>3</v>
      </c>
      <c r="B4" s="3">
        <v>5600000000</v>
      </c>
    </row>
    <row r="5" spans="1:22">
      <c r="A5" s="1" t="s">
        <v>4</v>
      </c>
      <c r="B5" s="2">
        <v>1623</v>
      </c>
    </row>
    <row r="6" spans="1:22">
      <c r="A6" s="1" t="s">
        <v>5</v>
      </c>
      <c r="B6" s="4">
        <f>B2^3/12</f>
        <v>1.0416666666666667E-14</v>
      </c>
    </row>
    <row r="7" spans="1:22">
      <c r="A7" s="1" t="s">
        <v>6</v>
      </c>
      <c r="B7" s="4">
        <f>B6*B4</f>
        <v>5.8333333333333333E-5</v>
      </c>
    </row>
    <row r="8" spans="1:22">
      <c r="A8" s="1" t="s">
        <v>7</v>
      </c>
      <c r="B8" s="5">
        <f>(1/(2*PI()))*1.875^2*SQRT(B7/(B5*B2*B1^4))</f>
        <v>12.246182350682957</v>
      </c>
    </row>
    <row r="9" spans="1:22">
      <c r="A9" s="1" t="s">
        <v>8</v>
      </c>
      <c r="B9" s="5">
        <f>2*PI()*B8</f>
        <v>76.945033014853124</v>
      </c>
    </row>
    <row r="10" spans="1:22">
      <c r="A10" s="6" t="s">
        <v>9</v>
      </c>
      <c r="B10" s="7">
        <f>0.035*SIN(RADIANS(10))*1000</f>
        <v>6.0776862183425626</v>
      </c>
    </row>
    <row r="11" spans="1:22" ht="15">
      <c r="A11" s="8" t="s">
        <v>10</v>
      </c>
      <c r="B11" s="9">
        <f>B9*B1</f>
        <v>2.6930761555198597</v>
      </c>
    </row>
    <row r="12" spans="1:22" ht="15">
      <c r="A12" s="8" t="s">
        <v>11</v>
      </c>
      <c r="B12" s="10">
        <v>1.5099999999999999E-5</v>
      </c>
    </row>
    <row r="13" spans="1:22" ht="15">
      <c r="A13" s="8" t="s">
        <v>12</v>
      </c>
      <c r="B13" s="11">
        <f>2*(B10/1000)*B3</f>
        <v>1.9448595898696201E-3</v>
      </c>
      <c r="J13" s="12"/>
    </row>
    <row r="14" spans="1:22" ht="15">
      <c r="D14" s="13" t="s">
        <v>13</v>
      </c>
      <c r="E14" s="13" t="s">
        <v>14</v>
      </c>
      <c r="F14" s="13" t="s">
        <v>15</v>
      </c>
      <c r="G14" s="13" t="s">
        <v>16</v>
      </c>
      <c r="H14" s="13" t="s">
        <v>17</v>
      </c>
      <c r="I14" s="13" t="s">
        <v>18</v>
      </c>
      <c r="J14" s="13" t="s">
        <v>19</v>
      </c>
      <c r="K14" s="13" t="s">
        <v>20</v>
      </c>
      <c r="L14" s="13" t="s">
        <v>21</v>
      </c>
      <c r="M14" s="46" t="s">
        <v>22</v>
      </c>
      <c r="N14" s="51" t="s">
        <v>23</v>
      </c>
      <c r="O14" s="52" t="s">
        <v>24</v>
      </c>
      <c r="P14" s="15" t="s">
        <v>25</v>
      </c>
      <c r="Q14" s="14" t="s">
        <v>26</v>
      </c>
      <c r="R14" s="8" t="s">
        <v>27</v>
      </c>
      <c r="S14" s="8" t="s">
        <v>28</v>
      </c>
      <c r="T14" s="14" t="s">
        <v>29</v>
      </c>
      <c r="U14" s="14" t="s">
        <v>30</v>
      </c>
      <c r="V14" s="14" t="s">
        <v>31</v>
      </c>
    </row>
    <row r="15" spans="1:22">
      <c r="D15" s="16">
        <v>8</v>
      </c>
      <c r="E15" s="17">
        <f>D15/13.24</f>
        <v>0.60422960725075525</v>
      </c>
      <c r="F15" s="37">
        <v>0.83</v>
      </c>
      <c r="G15" s="38">
        <f>F15/$B$11</f>
        <v>0.30819774565186048</v>
      </c>
      <c r="H15" s="18">
        <f>AVERAGE(DataAmplitudes!J4:J9)</f>
        <v>9.9914333333333332</v>
      </c>
      <c r="I15" s="19">
        <f t="shared" ref="I15:I21" si="0">H15/$B$10</f>
        <v>1.6439534675513543</v>
      </c>
      <c r="J15" s="20">
        <f t="shared" ref="J15:J21" si="1">$F$15*$B$1/$B$12</f>
        <v>1923.8410596026492</v>
      </c>
      <c r="K15" s="20">
        <f t="shared" ref="K15:K21" si="2">$F$15*2*(H15/1000)/$B$12</f>
        <v>1098.3959823399557</v>
      </c>
      <c r="L15" s="21">
        <f t="shared" ref="L15:L21" si="3">D15*2*(H15/1000)/$F$15</f>
        <v>0.1926059437751004</v>
      </c>
      <c r="M15" s="47">
        <f t="shared" ref="M15:M21" si="4">2*D15*($B$10/1000)/$F$15</f>
        <v>0.11716021625720603</v>
      </c>
      <c r="N15" s="49">
        <v>0.29299999999999998</v>
      </c>
      <c r="O15" s="43">
        <v>0.29720235139559598</v>
      </c>
      <c r="P15" s="23">
        <f t="shared" ref="P15:P21" si="5">2*D15*$B$1*SIN(RADIANS(10))/$F$15</f>
        <v>0.11716021625720603</v>
      </c>
      <c r="Q15" s="24">
        <f t="shared" ref="Q15:Q21" si="6">J15</f>
        <v>1923.8410596026492</v>
      </c>
      <c r="T15" s="12"/>
      <c r="U15" s="9">
        <f t="shared" ref="U15:U21" si="7">$T$16/D15</f>
        <v>1.4107363044645185</v>
      </c>
      <c r="V15" s="22">
        <f t="shared" ref="V15:V21" si="8">(2*H15)/(1000*$B$1)</f>
        <v>0.57093904761904757</v>
      </c>
    </row>
    <row r="16" spans="1:22">
      <c r="D16" s="25">
        <v>10</v>
      </c>
      <c r="E16" s="17">
        <f t="shared" ref="E16:E21" si="9">D16/13.24</f>
        <v>0.75528700906344415</v>
      </c>
      <c r="F16" s="37"/>
      <c r="G16" s="38"/>
      <c r="H16" s="19">
        <f>AVERAGE(DataAmplitudes!D4:D7)</f>
        <v>12.3659</v>
      </c>
      <c r="I16" s="19">
        <f t="shared" si="0"/>
        <v>2.0346394262144529</v>
      </c>
      <c r="J16" s="20">
        <f t="shared" si="1"/>
        <v>1923.8410596026492</v>
      </c>
      <c r="K16" s="20">
        <f t="shared" si="2"/>
        <v>1359.4300662251655</v>
      </c>
      <c r="L16" s="21">
        <f t="shared" si="3"/>
        <v>0.29797349397590361</v>
      </c>
      <c r="M16" s="47">
        <f t="shared" si="4"/>
        <v>0.14645027032150754</v>
      </c>
      <c r="N16" s="49">
        <v>0.16800000000000001</v>
      </c>
      <c r="O16" s="44">
        <v>0.1268</v>
      </c>
      <c r="P16" s="23">
        <f t="shared" si="5"/>
        <v>0.14645027032150754</v>
      </c>
      <c r="Q16" s="24">
        <f t="shared" si="6"/>
        <v>1923.8410596026492</v>
      </c>
      <c r="R16" s="39">
        <f>B3/B1</f>
        <v>4.5714285714285712</v>
      </c>
      <c r="S16" s="40">
        <f>(1+0.74273*$R$16+0.14862*$R$16^2)/(1+0.74273*$R$16+0.35004*$R$16^2+0.058364*$R$16^4)</f>
        <v>0.2016478741327011</v>
      </c>
      <c r="T16" s="41">
        <f>13.24*(1/SQRT(1+(PI()*1.205*0.16)/(4*1623*0.00005)*S16))</f>
        <v>11.285890435716148</v>
      </c>
      <c r="U16" s="9">
        <f t="shared" si="7"/>
        <v>1.1285890435716148</v>
      </c>
      <c r="V16" s="22">
        <f t="shared" si="8"/>
        <v>0.70662285714285711</v>
      </c>
    </row>
    <row r="17" spans="4:22">
      <c r="D17" s="26">
        <v>12</v>
      </c>
      <c r="E17" s="17">
        <f t="shared" si="9"/>
        <v>0.90634441087613293</v>
      </c>
      <c r="F17" s="37"/>
      <c r="G17" s="38"/>
      <c r="H17" s="19">
        <f>AVERAGE(DataAmplitudes!B4:B8)</f>
        <v>12.547879999999999</v>
      </c>
      <c r="I17" s="19">
        <f t="shared" si="0"/>
        <v>2.0645817420008092</v>
      </c>
      <c r="J17" s="20">
        <f t="shared" si="1"/>
        <v>1923.8410596026492</v>
      </c>
      <c r="K17" s="20">
        <f t="shared" si="2"/>
        <v>1379.4358145695364</v>
      </c>
      <c r="L17" s="21">
        <f t="shared" si="3"/>
        <v>0.36283026506024096</v>
      </c>
      <c r="M17" s="47">
        <f t="shared" si="4"/>
        <v>0.17574032438580905</v>
      </c>
      <c r="N17" s="49">
        <v>-0.09</v>
      </c>
      <c r="O17" s="44">
        <v>-0.11840000000000001</v>
      </c>
      <c r="P17" s="23">
        <f t="shared" si="5"/>
        <v>0.17574032438580905</v>
      </c>
      <c r="Q17" s="24">
        <f t="shared" si="6"/>
        <v>1923.8410596026492</v>
      </c>
      <c r="R17" s="39"/>
      <c r="S17" s="40"/>
      <c r="T17" s="41"/>
      <c r="U17" s="9">
        <f t="shared" si="7"/>
        <v>0.94049086964301232</v>
      </c>
      <c r="V17" s="22">
        <f t="shared" si="8"/>
        <v>0.71702171428571426</v>
      </c>
    </row>
    <row r="18" spans="4:22">
      <c r="D18" s="26">
        <v>14</v>
      </c>
      <c r="E18" s="17">
        <f t="shared" si="9"/>
        <v>1.0574018126888218</v>
      </c>
      <c r="F18" s="37"/>
      <c r="G18" s="38"/>
      <c r="H18" s="19">
        <f>AVERAGE(DataAmplitudes!F4:F11)</f>
        <v>10.5977125</v>
      </c>
      <c r="I18" s="19">
        <f t="shared" si="0"/>
        <v>1.7437083981097805</v>
      </c>
      <c r="J18" s="20">
        <f t="shared" si="1"/>
        <v>1923.8410596026492</v>
      </c>
      <c r="K18" s="20">
        <f t="shared" si="2"/>
        <v>1165.0465397350995</v>
      </c>
      <c r="L18" s="21">
        <f t="shared" si="3"/>
        <v>0.3575131927710844</v>
      </c>
      <c r="M18" s="47">
        <f t="shared" si="4"/>
        <v>0.20503037845011055</v>
      </c>
      <c r="N18" s="49">
        <v>-0.19800000000000001</v>
      </c>
      <c r="O18" s="44">
        <v>-0.1812</v>
      </c>
      <c r="P18" s="23">
        <f t="shared" si="5"/>
        <v>0.20503037845011055</v>
      </c>
      <c r="Q18" s="24">
        <f t="shared" si="6"/>
        <v>1923.8410596026492</v>
      </c>
      <c r="R18" s="39"/>
      <c r="S18" s="40"/>
      <c r="T18" s="41"/>
      <c r="U18" s="9">
        <f t="shared" si="7"/>
        <v>0.806135031122582</v>
      </c>
      <c r="V18" s="22">
        <f t="shared" si="8"/>
        <v>0.60558357142857144</v>
      </c>
    </row>
    <row r="19" spans="4:22">
      <c r="D19" s="26">
        <v>16</v>
      </c>
      <c r="E19" s="17">
        <f t="shared" si="9"/>
        <v>1.2084592145015105</v>
      </c>
      <c r="F19" s="37"/>
      <c r="G19" s="38"/>
      <c r="H19" s="18">
        <f>AVERAGE(DataAmplitudes!H4:H7)</f>
        <v>8.092649999999999</v>
      </c>
      <c r="I19" s="19">
        <f t="shared" si="0"/>
        <v>1.3315346842974947</v>
      </c>
      <c r="J19" s="20">
        <f t="shared" si="1"/>
        <v>1923.8410596026492</v>
      </c>
      <c r="K19" s="20">
        <f t="shared" si="2"/>
        <v>889.65556291390726</v>
      </c>
      <c r="L19" s="21">
        <f t="shared" si="3"/>
        <v>0.31200578313253013</v>
      </c>
      <c r="M19" s="47">
        <f t="shared" si="4"/>
        <v>0.23432043251441206</v>
      </c>
      <c r="N19" s="49">
        <v>-0.106</v>
      </c>
      <c r="O19" s="44">
        <v>-9.2999999999999999E-2</v>
      </c>
      <c r="P19" s="23">
        <f t="shared" si="5"/>
        <v>0.23432043251441206</v>
      </c>
      <c r="Q19" s="24">
        <f t="shared" si="6"/>
        <v>1923.8410596026492</v>
      </c>
      <c r="R19" s="39"/>
      <c r="S19" s="40"/>
      <c r="T19" s="41"/>
      <c r="U19" s="9">
        <f t="shared" si="7"/>
        <v>0.70536815223225924</v>
      </c>
      <c r="V19" s="22">
        <f t="shared" si="8"/>
        <v>0.46243714285714282</v>
      </c>
    </row>
    <row r="20" spans="4:22">
      <c r="D20" s="26">
        <v>18</v>
      </c>
      <c r="E20" s="17">
        <f t="shared" si="9"/>
        <v>1.3595166163141994</v>
      </c>
      <c r="F20" s="37"/>
      <c r="G20" s="38"/>
      <c r="H20" s="18">
        <f>1000*(0.03-0.0239224)</f>
        <v>6.0775999999999986</v>
      </c>
      <c r="I20" s="19">
        <f t="shared" si="0"/>
        <v>0.99998581395296393</v>
      </c>
      <c r="J20" s="20">
        <f t="shared" si="1"/>
        <v>1923.8410596026492</v>
      </c>
      <c r="K20" s="20">
        <f t="shared" si="2"/>
        <v>668.13350993377469</v>
      </c>
      <c r="L20" s="21">
        <f t="shared" si="3"/>
        <v>0.26360674698795178</v>
      </c>
      <c r="M20" s="47">
        <f t="shared" si="4"/>
        <v>0.26361048657871355</v>
      </c>
      <c r="N20" s="49"/>
      <c r="O20" s="44"/>
      <c r="P20" s="23">
        <f t="shared" si="5"/>
        <v>0.26361048657871355</v>
      </c>
      <c r="Q20" s="24">
        <f t="shared" si="6"/>
        <v>1923.8410596026492</v>
      </c>
      <c r="R20" s="39"/>
      <c r="S20" s="40"/>
      <c r="T20" s="41"/>
      <c r="U20" s="9">
        <f t="shared" si="7"/>
        <v>0.62699391309534158</v>
      </c>
      <c r="V20" s="22">
        <f t="shared" si="8"/>
        <v>0.34729142857142847</v>
      </c>
    </row>
    <row r="21" spans="4:22">
      <c r="D21" s="27">
        <v>20</v>
      </c>
      <c r="E21" s="53">
        <f t="shared" si="9"/>
        <v>1.5105740181268883</v>
      </c>
      <c r="F21" s="37"/>
      <c r="G21" s="38"/>
      <c r="H21" s="28">
        <f>AVERAGE(DataAmplitudes!L4:L9)</f>
        <v>4.8108833333333321</v>
      </c>
      <c r="I21" s="29">
        <f t="shared" si="0"/>
        <v>0.79156494108136133</v>
      </c>
      <c r="J21" s="30">
        <f t="shared" si="1"/>
        <v>1923.8410596026492</v>
      </c>
      <c r="K21" s="30">
        <f t="shared" si="2"/>
        <v>528.87856512141275</v>
      </c>
      <c r="L21" s="31">
        <f t="shared" si="3"/>
        <v>0.23184979919678711</v>
      </c>
      <c r="M21" s="48">
        <f t="shared" si="4"/>
        <v>0.29290054064301507</v>
      </c>
      <c r="N21" s="50">
        <v>2.9000000000000001E-2</v>
      </c>
      <c r="O21" s="45">
        <v>6.2399999999999997E-2</v>
      </c>
      <c r="P21" s="23">
        <f t="shared" si="5"/>
        <v>0.29290054064301507</v>
      </c>
      <c r="Q21" s="24">
        <f t="shared" si="6"/>
        <v>1923.8410596026492</v>
      </c>
      <c r="R21" s="39"/>
      <c r="S21" s="40"/>
      <c r="T21" s="41"/>
      <c r="U21" s="9">
        <f t="shared" si="7"/>
        <v>0.56429452178580741</v>
      </c>
      <c r="V21" s="22">
        <f t="shared" si="8"/>
        <v>0.27490761904761896</v>
      </c>
    </row>
    <row r="22" spans="4:22">
      <c r="T22" s="36">
        <v>13.24</v>
      </c>
    </row>
    <row r="23" spans="4:22">
      <c r="T23">
        <f>T16/13.24</f>
        <v>0.85240864318097787</v>
      </c>
    </row>
  </sheetData>
  <mergeCells count="5">
    <mergeCell ref="F15:F21"/>
    <mergeCell ref="G15:G21"/>
    <mergeCell ref="R16:R21"/>
    <mergeCell ref="S16:S21"/>
    <mergeCell ref="T16:T2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I4" sqref="I4"/>
    </sheetView>
  </sheetViews>
  <sheetFormatPr defaultRowHeight="14.25"/>
  <cols>
    <col min="1" max="12" width="10.625" customWidth="1"/>
  </cols>
  <sheetData>
    <row r="1" spans="1:12" ht="15">
      <c r="A1" s="32" t="s">
        <v>32</v>
      </c>
      <c r="B1" s="14"/>
      <c r="C1" s="32"/>
      <c r="D1" s="14"/>
      <c r="E1" s="32"/>
      <c r="F1" s="8"/>
      <c r="G1" s="32"/>
    </row>
    <row r="2" spans="1:12" ht="15">
      <c r="A2" s="42" t="s">
        <v>33</v>
      </c>
      <c r="B2" s="42"/>
      <c r="C2" s="42" t="s">
        <v>34</v>
      </c>
      <c r="D2" s="42"/>
      <c r="E2" s="42" t="s">
        <v>35</v>
      </c>
      <c r="F2" s="42"/>
      <c r="G2" s="42" t="s">
        <v>36</v>
      </c>
      <c r="H2" s="42"/>
      <c r="I2" s="42" t="s">
        <v>37</v>
      </c>
      <c r="J2" s="42"/>
      <c r="K2" s="42" t="s">
        <v>38</v>
      </c>
      <c r="L2" s="42"/>
    </row>
    <row r="3" spans="1:12">
      <c r="A3" s="12" t="s">
        <v>39</v>
      </c>
      <c r="B3" s="12" t="s">
        <v>17</v>
      </c>
      <c r="C3" s="12" t="s">
        <v>39</v>
      </c>
      <c r="D3" s="12" t="s">
        <v>17</v>
      </c>
      <c r="E3" s="12" t="s">
        <v>39</v>
      </c>
      <c r="F3" s="12" t="s">
        <v>17</v>
      </c>
      <c r="G3" s="12" t="s">
        <v>39</v>
      </c>
      <c r="H3" s="12" t="s">
        <v>17</v>
      </c>
      <c r="I3" s="12" t="s">
        <v>39</v>
      </c>
      <c r="J3" s="12" t="s">
        <v>17</v>
      </c>
      <c r="K3" s="12" t="s">
        <v>39</v>
      </c>
      <c r="L3" s="12" t="s">
        <v>17</v>
      </c>
    </row>
    <row r="4" spans="1:12">
      <c r="A4">
        <v>1.206</v>
      </c>
      <c r="B4">
        <v>12.551600000000001</v>
      </c>
      <c r="C4">
        <v>1.238</v>
      </c>
      <c r="D4">
        <v>12.363200000000001</v>
      </c>
      <c r="E4">
        <v>1.2190000000000001</v>
      </c>
      <c r="F4">
        <f>1000*(0.03-0.0193999)</f>
        <v>10.600099999999998</v>
      </c>
      <c r="G4">
        <v>1.5069999999999999</v>
      </c>
      <c r="H4">
        <f>1000*(0.03-0.0218963)</f>
        <v>8.1036999999999981</v>
      </c>
      <c r="I4">
        <v>1.1639999999999999</v>
      </c>
      <c r="J4">
        <v>9.9946999999999999</v>
      </c>
      <c r="K4">
        <v>1.2090000000000001</v>
      </c>
      <c r="L4" s="9">
        <f>1000*(0.03-0.0251846)</f>
        <v>4.8153999999999977</v>
      </c>
    </row>
    <row r="5" spans="1:12">
      <c r="A5">
        <v>1.248</v>
      </c>
      <c r="B5">
        <f>1000*(0.03-0.0174532)</f>
        <v>12.546800000000001</v>
      </c>
      <c r="C5">
        <v>1.288</v>
      </c>
      <c r="D5">
        <f>1000*(0.03-0.0176342)</f>
        <v>12.3658</v>
      </c>
      <c r="E5">
        <v>1.254</v>
      </c>
      <c r="F5">
        <v>10.599399999999999</v>
      </c>
      <c r="G5">
        <v>1.5389999999999999</v>
      </c>
      <c r="H5">
        <v>8.0851000000000006</v>
      </c>
      <c r="I5">
        <v>1.2270000000000001</v>
      </c>
      <c r="J5">
        <f>1000*(0.03-0.020023)</f>
        <v>9.9770000000000003</v>
      </c>
      <c r="K5">
        <v>1.234</v>
      </c>
      <c r="L5" s="9">
        <v>4.8209999999999997</v>
      </c>
    </row>
    <row r="6" spans="1:12">
      <c r="A6">
        <v>1.2889999999999999</v>
      </c>
      <c r="B6">
        <v>12.5458</v>
      </c>
      <c r="C6">
        <v>1.3380000000000001</v>
      </c>
      <c r="D6">
        <v>12.366300000000001</v>
      </c>
      <c r="E6">
        <v>1.29</v>
      </c>
      <c r="F6">
        <f>1000*(0.03-0.0193887)</f>
        <v>10.6113</v>
      </c>
      <c r="G6">
        <v>1.57</v>
      </c>
      <c r="H6">
        <f>1000*(0.03-0.0219162)</f>
        <v>8.0837999999999983</v>
      </c>
      <c r="I6">
        <v>1.2889999999999999</v>
      </c>
      <c r="J6">
        <v>9.9964999999999993</v>
      </c>
      <c r="K6">
        <v>1.2589999999999999</v>
      </c>
      <c r="L6" s="9">
        <f>1000*(0.03-0.025197)</f>
        <v>4.8029999999999982</v>
      </c>
    </row>
    <row r="7" spans="1:12">
      <c r="A7">
        <v>1.331</v>
      </c>
      <c r="B7">
        <f>1000*(0.03-0.0174498)</f>
        <v>12.550199999999997</v>
      </c>
      <c r="C7">
        <v>1.3879999999999999</v>
      </c>
      <c r="D7">
        <f>1000*(0.03-0.0176317)</f>
        <v>12.368299999999998</v>
      </c>
      <c r="E7">
        <v>1.3260000000000001</v>
      </c>
      <c r="F7">
        <v>10.607900000000001</v>
      </c>
      <c r="G7">
        <v>1.601</v>
      </c>
      <c r="H7">
        <v>8.0980000000000008</v>
      </c>
      <c r="I7">
        <v>1.351</v>
      </c>
      <c r="J7">
        <f>1000*(0.03-0.0200038)</f>
        <v>9.9962</v>
      </c>
      <c r="K7">
        <v>1.3340000000000001</v>
      </c>
      <c r="L7" s="9">
        <v>4.8051000000000004</v>
      </c>
    </row>
    <row r="8" spans="1:12">
      <c r="A8">
        <v>1.373</v>
      </c>
      <c r="B8">
        <v>12.545</v>
      </c>
      <c r="E8">
        <v>1.3620000000000001</v>
      </c>
      <c r="F8">
        <f>1000*(0.03-0.0194056)</f>
        <v>10.5944</v>
      </c>
      <c r="I8">
        <v>1.4139999999999999</v>
      </c>
      <c r="J8">
        <v>9.9932999999999996</v>
      </c>
      <c r="K8">
        <v>1.359</v>
      </c>
      <c r="L8" s="9">
        <f>1000*(0.03-0.0251891)</f>
        <v>4.8109000000000002</v>
      </c>
    </row>
    <row r="9" spans="1:12">
      <c r="E9">
        <v>1.397</v>
      </c>
      <c r="F9">
        <v>10.5928</v>
      </c>
      <c r="I9">
        <v>1.4770000000000001</v>
      </c>
      <c r="J9">
        <f>1000*(0.03-0.0200091)</f>
        <v>9.9908999999999999</v>
      </c>
      <c r="K9">
        <v>1.4339999999999999</v>
      </c>
      <c r="L9" s="9">
        <v>4.8098999999999998</v>
      </c>
    </row>
    <row r="10" spans="1:12">
      <c r="E10">
        <v>1.4330000000000001</v>
      </c>
      <c r="F10">
        <f>1000*(0.03-0.0194097)</f>
        <v>10.590300000000001</v>
      </c>
    </row>
    <row r="11" spans="1:12">
      <c r="E11">
        <v>1.4690000000000001</v>
      </c>
      <c r="F11">
        <v>10.5855</v>
      </c>
    </row>
  </sheetData>
  <mergeCells count="6">
    <mergeCell ref="K2:L2"/>
    <mergeCell ref="A2:B2"/>
    <mergeCell ref="C2:D2"/>
    <mergeCell ref="E2:F2"/>
    <mergeCell ref="G2:H2"/>
    <mergeCell ref="I2:J2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"/>
  <sheetViews>
    <sheetView workbookViewId="0"/>
  </sheetViews>
  <sheetFormatPr defaultRowHeight="14.25"/>
  <cols>
    <col min="1" max="9" width="10.625" customWidth="1"/>
  </cols>
  <sheetData>
    <row r="1" spans="1:9">
      <c r="A1" s="33" t="s">
        <v>40</v>
      </c>
      <c r="B1" s="33" t="s">
        <v>41</v>
      </c>
      <c r="C1" s="33" t="s">
        <v>42</v>
      </c>
      <c r="D1" s="33" t="s">
        <v>43</v>
      </c>
      <c r="E1" s="33" t="s">
        <v>42</v>
      </c>
      <c r="F1" s="33" t="s">
        <v>44</v>
      </c>
      <c r="G1" s="33" t="s">
        <v>42</v>
      </c>
      <c r="H1" s="33" t="s">
        <v>45</v>
      </c>
      <c r="I1" s="33" t="s">
        <v>42</v>
      </c>
    </row>
    <row r="2" spans="1:9">
      <c r="A2" s="2">
        <v>0</v>
      </c>
      <c r="B2" s="4">
        <v>4.0504185239880003E-2</v>
      </c>
      <c r="C2" s="7">
        <f>(B2-$B$5)/$B$5*100</f>
        <v>7.4764261684705042</v>
      </c>
      <c r="D2" s="4">
        <v>0.3124608378971</v>
      </c>
      <c r="E2" s="34">
        <f>(D2-$D$5)/$D$5*100</f>
        <v>7.4723378321718918</v>
      </c>
      <c r="F2" s="4">
        <v>0.31246083929860002</v>
      </c>
      <c r="G2" s="7">
        <f>(F2-$F$5)/$F$5*100</f>
        <v>7.4726204967052086</v>
      </c>
      <c r="H2" s="4">
        <v>-0.3124608364957</v>
      </c>
      <c r="I2" s="7">
        <f>(H2-$H$5)/$H$5*100</f>
        <v>7.4720551691942942</v>
      </c>
    </row>
    <row r="3" spans="1:9">
      <c r="A3" s="2">
        <v>1</v>
      </c>
      <c r="B3" s="4">
        <v>3.8124573503049999E-2</v>
      </c>
      <c r="C3" s="7">
        <f>(B3-$B$5)/$B$5*100</f>
        <v>1.1622103996954589</v>
      </c>
      <c r="D3" s="4">
        <v>0.29410354770809999</v>
      </c>
      <c r="E3" s="34">
        <f>(D3-$D$5)/$D$5*100</f>
        <v>1.1582637032241172</v>
      </c>
      <c r="F3" s="4">
        <v>0.29410356751119998</v>
      </c>
      <c r="G3" s="7">
        <f>(F3-$F$5)/$F$5*100</f>
        <v>1.1585361186730152</v>
      </c>
      <c r="H3" s="4">
        <v>-0.294103527905</v>
      </c>
      <c r="I3" s="7">
        <f>(H3-$H$5)/$H$5*100</f>
        <v>1.1579912892405397</v>
      </c>
    </row>
    <row r="4" spans="1:9">
      <c r="A4" s="2">
        <v>2</v>
      </c>
      <c r="B4" s="4">
        <v>3.7761205278540003E-2</v>
      </c>
      <c r="C4" s="34">
        <f>(B4-$B$5)/$B$5*100</f>
        <v>0.19802563897929515</v>
      </c>
      <c r="D4" s="4">
        <v>0.29131168537669999</v>
      </c>
      <c r="E4" s="34">
        <f>(D4-$D$5)/$D$5*100</f>
        <v>0.19798985360988905</v>
      </c>
      <c r="F4" s="4">
        <v>0.29131095534559998</v>
      </c>
      <c r="G4" s="7">
        <f>(F4-$F$5)/$F$5*100</f>
        <v>0.19800183814771741</v>
      </c>
      <c r="H4" s="4">
        <v>-0.29131241540780001</v>
      </c>
      <c r="I4" s="7">
        <f>(H4-$H$5)/$H$5*100</f>
        <v>0.19797786916946838</v>
      </c>
    </row>
    <row r="5" spans="1:9">
      <c r="A5" s="2">
        <v>3</v>
      </c>
      <c r="B5" s="4">
        <v>3.7686576195219999E-2</v>
      </c>
      <c r="C5" s="2">
        <f>(B5-$B$5)/$B$5*100</f>
        <v>0</v>
      </c>
      <c r="D5" s="4">
        <v>0.29073605748210002</v>
      </c>
      <c r="E5" s="2">
        <f>(D5-$D$5)/$D$5*100</f>
        <v>0</v>
      </c>
      <c r="F5" s="4">
        <v>0.29073529411909999</v>
      </c>
      <c r="G5" s="7">
        <f>(F5-$F$5)/$F$5*100</f>
        <v>0</v>
      </c>
      <c r="H5" s="4">
        <v>-0.29073682084500002</v>
      </c>
      <c r="I5" s="7">
        <f>(H5-$H$5)/$H$5*100</f>
        <v>0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/>
  </sheetViews>
  <sheetFormatPr defaultRowHeight="14.25"/>
  <cols>
    <col min="1" max="13" width="10.625" customWidth="1"/>
  </cols>
  <sheetData>
    <row r="1" spans="1:13">
      <c r="A1" s="33" t="s">
        <v>40</v>
      </c>
      <c r="B1" s="33" t="s">
        <v>41</v>
      </c>
      <c r="C1" s="33" t="s">
        <v>42</v>
      </c>
      <c r="D1" s="33" t="s">
        <v>43</v>
      </c>
      <c r="E1" s="33" t="s">
        <v>42</v>
      </c>
      <c r="F1" s="33" t="s">
        <v>44</v>
      </c>
      <c r="G1" s="33" t="s">
        <v>42</v>
      </c>
      <c r="H1" s="33" t="s">
        <v>45</v>
      </c>
      <c r="I1" s="33" t="s">
        <v>42</v>
      </c>
    </row>
    <row r="2" spans="1:13">
      <c r="A2" s="2">
        <v>0</v>
      </c>
      <c r="B2" s="3">
        <v>4.0309590743889998E-2</v>
      </c>
      <c r="C2" s="5">
        <f>(B2-$B$5)/$B$5*100</f>
        <v>7.0482323006297474</v>
      </c>
      <c r="D2" s="3">
        <v>0.31095526148719999</v>
      </c>
      <c r="E2" s="5">
        <f>(D2-$D$5)/$D$5*100</f>
        <v>7.0549011840850024</v>
      </c>
      <c r="F2" s="3">
        <v>0.31095556118669998</v>
      </c>
      <c r="G2" s="7">
        <f>(F2-$F$5)/$F$5*100</f>
        <v>7.054464839610235</v>
      </c>
      <c r="H2" s="3">
        <v>-0.31095496178780002</v>
      </c>
      <c r="I2" s="7">
        <f>(H2-$H$5)/$H$5*100</f>
        <v>7.0553375329923576</v>
      </c>
    </row>
    <row r="3" spans="1:13">
      <c r="A3" s="2">
        <v>1</v>
      </c>
      <c r="B3" s="3">
        <v>3.8068808631129998E-2</v>
      </c>
      <c r="C3" s="7">
        <f>(B3-$B$5)/$B$5*100</f>
        <v>1.0974955227281418</v>
      </c>
      <c r="D3" s="3">
        <v>0.29372095709599999</v>
      </c>
      <c r="E3" s="7">
        <f>(D3-$D$5)/$D$5*100</f>
        <v>1.1215178904490304</v>
      </c>
      <c r="F3" s="3">
        <v>0.29371774258540001</v>
      </c>
      <c r="G3" s="7">
        <f>(F3-$F$5)/$F$5*100</f>
        <v>1.1199015910164465</v>
      </c>
      <c r="H3" s="3">
        <v>-0.2937241716065</v>
      </c>
      <c r="I3" s="7">
        <f>(H3-$H$5)/$H$5*100</f>
        <v>1.1231342061386815</v>
      </c>
    </row>
    <row r="4" spans="1:13">
      <c r="A4" s="2">
        <v>2</v>
      </c>
      <c r="B4" s="4">
        <v>3.774558302765E-2</v>
      </c>
      <c r="C4" s="34">
        <f>(B4-$B$5)/$B$5*100</f>
        <v>0.23912090645688147</v>
      </c>
      <c r="D4" s="3">
        <v>0.29118467670370002</v>
      </c>
      <c r="E4" s="7">
        <f>(D4-$D$5)/$D$5*100</f>
        <v>0.24833360833009716</v>
      </c>
      <c r="F4" s="3">
        <v>0.2911843657898</v>
      </c>
      <c r="G4" s="7">
        <f>(F4-$F$5)/$F$5*100</f>
        <v>0.24772134746322269</v>
      </c>
      <c r="H4" s="3">
        <v>-0.29118498761759998</v>
      </c>
      <c r="I4" s="7">
        <f>(H4-$H$5)/$H$5*100</f>
        <v>0.24894587536824653</v>
      </c>
    </row>
    <row r="5" spans="1:13">
      <c r="A5" s="2">
        <v>3</v>
      </c>
      <c r="B5" s="4">
        <v>3.7655540757259999E-2</v>
      </c>
      <c r="C5" s="2">
        <f>(B5-$B$5)/$B$5*100</f>
        <v>0</v>
      </c>
      <c r="D5" s="3">
        <v>0.29046335856450001</v>
      </c>
      <c r="E5" s="2">
        <f>(D5-$D$5)/$D$5*100</f>
        <v>0</v>
      </c>
      <c r="F5" s="3">
        <v>0.29046482241779997</v>
      </c>
      <c r="G5" s="7">
        <f>(F5-$F$5)/$F$5*100</f>
        <v>0</v>
      </c>
      <c r="H5" s="3">
        <v>-0.29046189471119999</v>
      </c>
      <c r="I5" s="7">
        <f>(H5-$H$5)/$H$5*100</f>
        <v>0</v>
      </c>
    </row>
    <row r="8" spans="1:13">
      <c r="L8" t="s">
        <v>46</v>
      </c>
      <c r="M8">
        <v>2</v>
      </c>
    </row>
    <row r="9" spans="1:13">
      <c r="L9" t="s">
        <v>47</v>
      </c>
      <c r="M9" s="35">
        <f>LN((F4-F3)/(F3-F2))/LN(M8)</f>
        <v>-2.7664436430351302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DataAmplitudes</vt:lpstr>
      <vt:lpstr>MIS</vt:lpstr>
      <vt:lpstr>MIS-Wedge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Pedemonte Fehrmann</dc:creator>
  <cp:lastModifiedBy>Andrés Pedemonte Fehrmann</cp:lastModifiedBy>
  <cp:revision>43</cp:revision>
  <dcterms:created xsi:type="dcterms:W3CDTF">2022-03-25T12:16:18Z</dcterms:created>
  <dcterms:modified xsi:type="dcterms:W3CDTF">2022-04-04T17:20:30Z</dcterms:modified>
</cp:coreProperties>
</file>