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R0.29" sheetId="1" state="visible" r:id="rId2"/>
    <sheet name="DataAmplitudes" sheetId="2" state="visible" r:id="rId3"/>
    <sheet name="MIS" sheetId="3" state="visible" r:id="rId4"/>
    <sheet name="MIS-Wedge" sheetId="4" state="visible" r:id="rId5"/>
    <sheet name="Corrid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<sst xmlns="http://schemas.openxmlformats.org/spreadsheetml/2006/main" count="74" uniqueCount="50">
  <si>
    <t xml:space="preserve">L [m]</t>
  </si>
  <si>
    <t xml:space="preserve">h [m]</t>
  </si>
  <si>
    <t xml:space="preserve">s [m]</t>
  </si>
  <si>
    <t xml:space="preserve">E [Pa]</t>
  </si>
  <si>
    <t xml:space="preserve">rho [kg/m3]</t>
  </si>
  <si>
    <t xml:space="preserve">I [m^3]</t>
  </si>
  <si>
    <t xml:space="preserve">B [N*m=kg*m2/s2]</t>
  </si>
  <si>
    <t xml:space="preserve">fn [Hz]</t>
  </si>
  <si>
    <t xml:space="preserve">w_n [rad/s]</t>
  </si>
  <si>
    <t xml:space="preserve">dR [mm]</t>
  </si>
  <si>
    <t xml:space="preserve">wn*L [m/s]</t>
  </si>
  <si>
    <t xml:space="preserve">nu [m2/s]</t>
  </si>
  <si>
    <t xml:space="preserve">Area_ref [m2]</t>
  </si>
  <si>
    <t xml:space="preserve">ff [Hz]</t>
  </si>
  <si>
    <t xml:space="preserve">f+</t>
  </si>
  <si>
    <t xml:space="preserve">U [m/s]</t>
  </si>
  <si>
    <t xml:space="preserve">UR</t>
  </si>
  <si>
    <t xml:space="preserve">d [mm]</t>
  </si>
  <si>
    <t xml:space="preserve">d+</t>
  </si>
  <si>
    <t xml:space="preserve">Re paper</t>
  </si>
  <si>
    <t xml:space="preserve">Re_Manuel</t>
  </si>
  <si>
    <t xml:space="preserve">St1</t>
  </si>
  <si>
    <t xml:space="preserve">St2</t>
  </si>
  <si>
    <t xml:space="preserve">CD (script)</t>
  </si>
  <si>
    <t xml:space="preserve">CD (planilla)</t>
  </si>
  <si>
    <t xml:space="preserve">St</t>
  </si>
  <si>
    <t xml:space="preserve">Re</t>
  </si>
  <si>
    <t xml:space="preserve">s/L=Kappa</t>
  </si>
  <si>
    <t xml:space="preserve">Omega(Kappa)</t>
  </si>
  <si>
    <t xml:space="preserve">ff</t>
  </si>
  <si>
    <t xml:space="preserve">f*</t>
  </si>
  <si>
    <t xml:space="preserve">Aeff/L</t>
  </si>
  <si>
    <t xml:space="preserve">UR=0.29</t>
  </si>
  <si>
    <t xml:space="preserve">Ff=12 Hz</t>
  </si>
  <si>
    <t xml:space="preserve">Ff=10 Hz</t>
  </si>
  <si>
    <t xml:space="preserve">Ff=14 Hz</t>
  </si>
  <si>
    <t xml:space="preserve">Ff=16 Hz</t>
  </si>
  <si>
    <t xml:space="preserve">Ff=8 Hz</t>
  </si>
  <si>
    <t xml:space="preserve">Ff=20 Hz</t>
  </si>
  <si>
    <t xml:space="preserve">t [s]</t>
  </si>
  <si>
    <t xml:space="preserve">n</t>
  </si>
  <si>
    <t xml:space="preserve">Cd</t>
  </si>
  <si>
    <t xml:space="preserve">% Dif</t>
  </si>
  <si>
    <t xml:space="preserve">Cm</t>
  </si>
  <si>
    <t xml:space="preserve">Cl (f)</t>
  </si>
  <si>
    <t xml:space="preserve">Cl (r)</t>
  </si>
  <si>
    <t xml:space="preserve">r</t>
  </si>
  <si>
    <t xml:space="preserve">p</t>
  </si>
  <si>
    <t xml:space="preserve">f [Hz]</t>
  </si>
  <si>
    <t xml:space="preserve">dt [s]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</si>
</sst>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0E+00"/>
    <numFmt numFmtId="167" formatCode="0.00"/>
    <numFmt numFmtId="168" formatCode="0.000"/>
    <numFmt numFmtId="169" formatCode="0.0000E+00"/>
    <numFmt numFmtId="170" formatCode="0.0000"/>
    <numFmt numFmtId="171" formatCode="0"/>
    <numFmt numFmtId="172" formatCode="General"/>
  </numFmts>
  <fonts count="2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000000"/>
      <name val="Ubuntu"/>
      <family val="0"/>
      <charset val="1"/>
    </font>
    <font>
      <sz val="10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1"/>
      <color rgb="FF000000"/>
      <name val="Ubuntu"/>
      <family val="0"/>
      <charset val="1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sz val="11"/>
      <color rgb="FF595959"/>
      <name val="Calibri"/>
      <family val="2"/>
    </font>
    <font>
      <sz val="10.5"/>
      <name val="Arial"/>
      <family val="2"/>
    </font>
    <font>
      <sz val="9"/>
      <name val="Arial"/>
      <family val="2"/>
    </font>
    <font>
      <sz val="10"/>
      <name val="Arial"/>
      <family val="2"/>
    </font>
    <font>
      <b val="true"/>
      <sz val="11"/>
      <color rgb="FF000000"/>
      <name val="Arial"/>
      <family val="0"/>
      <charset val="1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59595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420E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'UR0.29'!$E$15:$E$21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'UR0.29'!$I$15:$I$21</c:f>
              <c:numCache>
                <c:formatCode>General</c:formatCode>
                <c:ptCount val="7"/>
                <c:pt idx="0">
                  <c:v>1.64395346755135</c:v>
                </c:pt>
                <c:pt idx="1">
                  <c:v>2.03463942621445</c:v>
                </c:pt>
                <c:pt idx="2">
                  <c:v>2.06458174200081</c:v>
                </c:pt>
                <c:pt idx="3">
                  <c:v>1.74370839810978</c:v>
                </c:pt>
                <c:pt idx="4">
                  <c:v>1.33153468429749</c:v>
                </c:pt>
                <c:pt idx="5">
                  <c:v>0.999985813952964</c:v>
                </c:pt>
                <c:pt idx="6">
                  <c:v>0.791564941081362</c:v>
                </c:pt>
              </c:numCache>
            </c:numRef>
          </c:yVal>
          <c:smooth val="0"/>
        </c:ser>
        <c:axId val="75065980"/>
        <c:axId val="26042041"/>
      </c:scatterChart>
      <c:valAx>
        <c:axId val="75065980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042041"/>
        <c:crosses val="autoZero"/>
        <c:crossBetween val="midCat"/>
        <c:majorUnit val="0.1"/>
      </c:valAx>
      <c:valAx>
        <c:axId val="260420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659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'UR0.29'!$U$15:$U$21</c:f>
              <c:numCache>
                <c:formatCode>General</c:formatCode>
                <c:ptCount val="7"/>
                <c:pt idx="0">
                  <c:v>1.41073630446452</c:v>
                </c:pt>
                <c:pt idx="1">
                  <c:v>1.12858904357161</c:v>
                </c:pt>
                <c:pt idx="2">
                  <c:v>0.940490869643012</c:v>
                </c:pt>
                <c:pt idx="3">
                  <c:v>0.806135031122582</c:v>
                </c:pt>
                <c:pt idx="4">
                  <c:v>0.705368152232259</c:v>
                </c:pt>
                <c:pt idx="5">
                  <c:v>0.626993913095342</c:v>
                </c:pt>
                <c:pt idx="6">
                  <c:v>0.564294521785807</c:v>
                </c:pt>
              </c:numCache>
            </c:numRef>
          </c:xVal>
          <c:yVal>
            <c:numRef>
              <c:f>'UR0.29'!$V$15:$V$21</c:f>
              <c:numCache>
                <c:formatCode>General</c:formatCode>
                <c:ptCount val="7"/>
                <c:pt idx="0">
                  <c:v>0.570939047619048</c:v>
                </c:pt>
                <c:pt idx="1">
                  <c:v>0.706622857142857</c:v>
                </c:pt>
                <c:pt idx="2">
                  <c:v>0.717021714285714</c:v>
                </c:pt>
                <c:pt idx="3">
                  <c:v>0.605583571428571</c:v>
                </c:pt>
                <c:pt idx="4">
                  <c:v>0.462437142857143</c:v>
                </c:pt>
                <c:pt idx="5">
                  <c:v>0.347291428571428</c:v>
                </c:pt>
                <c:pt idx="6">
                  <c:v>0.274907619047619</c:v>
                </c:pt>
              </c:numCache>
            </c:numRef>
          </c:yVal>
          <c:smooth val="0"/>
        </c:ser>
        <c:axId val="95674487"/>
        <c:axId val="33056164"/>
      </c:scatterChart>
      <c:valAx>
        <c:axId val="95674487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56164"/>
        <c:crosses val="autoZero"/>
        <c:crossBetween val="midCat"/>
      </c:valAx>
      <c:valAx>
        <c:axId val="330561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Aeff/L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6744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cdplanilla</c:f>
              <c:strCache>
                <c:ptCount val="1"/>
                <c:pt idx="0">
                  <c:v>cdplanilla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'UR0.29'!$O$15:$O$21</c:f>
              <c:numCache>
                <c:formatCode>General</c:formatCode>
                <c:ptCount val="7"/>
                <c:pt idx="0">
                  <c:v>0.297202351395596</c:v>
                </c:pt>
                <c:pt idx="1">
                  <c:v>0.1268</c:v>
                </c:pt>
                <c:pt idx="2">
                  <c:v>-0.1184</c:v>
                </c:pt>
                <c:pt idx="3">
                  <c:v>-0.1812</c:v>
                </c:pt>
                <c:pt idx="4">
                  <c:v>-0.093</c:v>
                </c:pt>
                <c:pt idx="5">
                  <c:v>-0.012637550314478</c:v>
                </c:pt>
                <c:pt idx="6">
                  <c:v>0.0624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cdscript</c:f>
              <c:strCache>
                <c:ptCount val="1"/>
                <c:pt idx="0">
                  <c:v>cdscript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'UR0.29'!$N$15:$N$21</c:f>
              <c:numCache>
                <c:formatCode>General</c:formatCode>
                <c:ptCount val="7"/>
                <c:pt idx="0">
                  <c:v>0.3</c:v>
                </c:pt>
                <c:pt idx="1">
                  <c:v>0.135</c:v>
                </c:pt>
                <c:pt idx="2">
                  <c:v>-0.121</c:v>
                </c:pt>
                <c:pt idx="3">
                  <c:v>-0.185</c:v>
                </c:pt>
                <c:pt idx="4">
                  <c:v>-0.106</c:v>
                </c:pt>
                <c:pt idx="5">
                  <c:v>-0.011</c:v>
                </c:pt>
                <c:pt idx="6">
                  <c:v>0.061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554546"/>
        <c:axId val="7960435"/>
      </c:lineChart>
      <c:catAx>
        <c:axId val="505545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50" spc="-1" strike="noStrike">
                <a:latin typeface="Arial"/>
              </a:defRPr>
            </a:pPr>
          </a:p>
        </c:txPr>
        <c:crossAx val="7960435"/>
        <c:crossesAt val="0"/>
        <c:auto val="1"/>
        <c:lblAlgn val="ctr"/>
        <c:lblOffset val="100"/>
        <c:noMultiLvlLbl val="0"/>
      </c:catAx>
      <c:valAx>
        <c:axId val="79604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545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MIS!$A$2:$A$5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MIS!$B$2:$B$5</c:f>
              <c:numCache>
                <c:formatCode>General</c:formatCode>
                <c:ptCount val="4"/>
                <c:pt idx="0">
                  <c:v>0.04050418523988</c:v>
                </c:pt>
                <c:pt idx="1">
                  <c:v>0.03812457350305</c:v>
                </c:pt>
                <c:pt idx="2">
                  <c:v>0.03776120527854</c:v>
                </c:pt>
                <c:pt idx="3">
                  <c:v>0.03768657619522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492604"/>
        <c:axId val="1544292"/>
      </c:lineChart>
      <c:catAx>
        <c:axId val="984926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44292"/>
        <c:crosses val="autoZero"/>
        <c:auto val="1"/>
        <c:lblAlgn val="ctr"/>
        <c:lblOffset val="100"/>
        <c:noMultiLvlLbl val="0"/>
      </c:catAx>
      <c:valAx>
        <c:axId val="154429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E+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9260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MIS!$A$2:$A$5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MIS!$D$2:$D$5</c:f>
              <c:numCache>
                <c:formatCode>General</c:formatCode>
                <c:ptCount val="4"/>
                <c:pt idx="0">
                  <c:v>0.3124608378971</c:v>
                </c:pt>
                <c:pt idx="1">
                  <c:v>0.2941035477081</c:v>
                </c:pt>
                <c:pt idx="2">
                  <c:v>0.2913116853767</c:v>
                </c:pt>
                <c:pt idx="3">
                  <c:v>0.2907360574821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096493"/>
        <c:axId val="81820374"/>
      </c:lineChart>
      <c:catAx>
        <c:axId val="980964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820374"/>
        <c:crosses val="autoZero"/>
        <c:auto val="1"/>
        <c:lblAlgn val="ctr"/>
        <c:lblOffset val="100"/>
        <c:noMultiLvlLbl val="0"/>
      </c:catAx>
      <c:valAx>
        <c:axId val="818203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E+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096493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'MIS-Wedge'!$B$2:$B$5</c:f>
              <c:numCache>
                <c:formatCode>General</c:formatCode>
                <c:ptCount val="4"/>
                <c:pt idx="0">
                  <c:v>0.04030959074389</c:v>
                </c:pt>
                <c:pt idx="1">
                  <c:v>0.03806880863113</c:v>
                </c:pt>
                <c:pt idx="2">
                  <c:v>0.03774558302765</c:v>
                </c:pt>
                <c:pt idx="3">
                  <c:v>0.03765554075726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940091"/>
        <c:axId val="35704456"/>
      </c:lineChart>
      <c:catAx>
        <c:axId val="949400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704456"/>
        <c:crosses val="autoZero"/>
        <c:auto val="1"/>
        <c:lblAlgn val="ctr"/>
        <c:lblOffset val="100"/>
        <c:noMultiLvlLbl val="0"/>
      </c:catAx>
      <c:valAx>
        <c:axId val="3570445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940091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'MIS-Wedge'!$D$2:$D$5</c:f>
              <c:numCache>
                <c:formatCode>General</c:formatCode>
                <c:ptCount val="4"/>
                <c:pt idx="0">
                  <c:v>0.3109552614872</c:v>
                </c:pt>
                <c:pt idx="1">
                  <c:v>0.293720957096</c:v>
                </c:pt>
                <c:pt idx="2">
                  <c:v>0.2911846767037</c:v>
                </c:pt>
                <c:pt idx="3">
                  <c:v>0.2904633585645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957123"/>
        <c:axId val="45489022"/>
      </c:lineChart>
      <c:catAx>
        <c:axId val="849571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89022"/>
        <c:crosses val="autoZero"/>
        <c:auto val="1"/>
        <c:lblAlgn val="ctr"/>
        <c:lblOffset val="100"/>
        <c:noMultiLvlLbl val="0"/>
      </c:catAx>
      <c:valAx>
        <c:axId val="4548902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57123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709920</xdr:colOff>
      <xdr:row>22</xdr:row>
      <xdr:rowOff>17640</xdr:rowOff>
    </xdr:from>
    <xdr:to>
      <xdr:col>15</xdr:col>
      <xdr:colOff>388800</xdr:colOff>
      <xdr:row>42</xdr:row>
      <xdr:rowOff>53640</xdr:rowOff>
    </xdr:to>
    <xdr:graphicFrame>
      <xdr:nvGraphicFramePr>
        <xdr:cNvPr id="0" name="Chart 3"/>
        <xdr:cNvGraphicFramePr/>
      </xdr:nvGraphicFramePr>
      <xdr:xfrm>
        <a:off x="4643640" y="3873240"/>
        <a:ext cx="8744040" cy="35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233280</xdr:colOff>
      <xdr:row>24</xdr:row>
      <xdr:rowOff>99360</xdr:rowOff>
    </xdr:from>
    <xdr:to>
      <xdr:col>25</xdr:col>
      <xdr:colOff>338760</xdr:colOff>
      <xdr:row>45</xdr:row>
      <xdr:rowOff>17280</xdr:rowOff>
    </xdr:to>
    <xdr:graphicFrame>
      <xdr:nvGraphicFramePr>
        <xdr:cNvPr id="1" name="Chart 4"/>
        <xdr:cNvGraphicFramePr/>
      </xdr:nvGraphicFramePr>
      <xdr:xfrm>
        <a:off x="14874120" y="4305600"/>
        <a:ext cx="6489360" cy="359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281880</xdr:colOff>
      <xdr:row>43</xdr:row>
      <xdr:rowOff>101880</xdr:rowOff>
    </xdr:from>
    <xdr:to>
      <xdr:col>13</xdr:col>
      <xdr:colOff>94320</xdr:colOff>
      <xdr:row>69</xdr:row>
      <xdr:rowOff>32760</xdr:rowOff>
    </xdr:to>
    <xdr:graphicFrame>
      <xdr:nvGraphicFramePr>
        <xdr:cNvPr id="2" name=""/>
        <xdr:cNvGraphicFramePr/>
      </xdr:nvGraphicFramePr>
      <xdr:xfrm>
        <a:off x="3394440" y="7637760"/>
        <a:ext cx="7978680" cy="448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595080</xdr:colOff>
      <xdr:row>7</xdr:row>
      <xdr:rowOff>139320</xdr:rowOff>
    </xdr:from>
    <xdr:to>
      <xdr:col>8</xdr:col>
      <xdr:colOff>595800</xdr:colOff>
      <xdr:row>25</xdr:row>
      <xdr:rowOff>120960</xdr:rowOff>
    </xdr:to>
    <xdr:graphicFrame>
      <xdr:nvGraphicFramePr>
        <xdr:cNvPr id="3" name="Chart 1"/>
        <xdr:cNvGraphicFramePr/>
      </xdr:nvGraphicFramePr>
      <xdr:xfrm>
        <a:off x="1415880" y="1405800"/>
        <a:ext cx="5748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727920</xdr:colOff>
      <xdr:row>7</xdr:row>
      <xdr:rowOff>138960</xdr:rowOff>
    </xdr:from>
    <xdr:to>
      <xdr:col>17</xdr:col>
      <xdr:colOff>328320</xdr:colOff>
      <xdr:row>25</xdr:row>
      <xdr:rowOff>120600</xdr:rowOff>
    </xdr:to>
    <xdr:graphicFrame>
      <xdr:nvGraphicFramePr>
        <xdr:cNvPr id="4" name="Chart 2"/>
        <xdr:cNvGraphicFramePr/>
      </xdr:nvGraphicFramePr>
      <xdr:xfrm>
        <a:off x="7296120" y="1405440"/>
        <a:ext cx="57452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30600</xdr:colOff>
      <xdr:row>7</xdr:row>
      <xdr:rowOff>119880</xdr:rowOff>
    </xdr:from>
    <xdr:to>
      <xdr:col>9</xdr:col>
      <xdr:colOff>1440</xdr:colOff>
      <xdr:row>25</xdr:row>
      <xdr:rowOff>101520</xdr:rowOff>
    </xdr:to>
    <xdr:graphicFrame>
      <xdr:nvGraphicFramePr>
        <xdr:cNvPr id="5" name="Chart 1"/>
        <xdr:cNvGraphicFramePr/>
      </xdr:nvGraphicFramePr>
      <xdr:xfrm>
        <a:off x="851400" y="1386360"/>
        <a:ext cx="6539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162720</xdr:colOff>
      <xdr:row>7</xdr:row>
      <xdr:rowOff>72360</xdr:rowOff>
    </xdr:from>
    <xdr:to>
      <xdr:col>18</xdr:col>
      <xdr:colOff>89280</xdr:colOff>
      <xdr:row>25</xdr:row>
      <xdr:rowOff>54000</xdr:rowOff>
    </xdr:to>
    <xdr:graphicFrame>
      <xdr:nvGraphicFramePr>
        <xdr:cNvPr id="6" name="Chart 2"/>
        <xdr:cNvGraphicFramePr/>
      </xdr:nvGraphicFramePr>
      <xdr:xfrm>
        <a:off x="7552080" y="1338840"/>
        <a:ext cx="65379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3"/>
  <sheetViews>
    <sheetView showFormulas="false" showGridLines="true" showRowColHeaders="true" showZeros="true" rightToLeft="false" tabSelected="true" showOutlineSymbols="true" defaultGridColor="true" view="normal" topLeftCell="C37" colorId="64" zoomScale="90" zoomScaleNormal="90" zoomScalePageLayoutView="100" workbookViewId="0">
      <selection pane="topLeft" activeCell="Q64" activeCellId="0" sqref="Q64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10" min="2" style="0" width="10.61"/>
    <col collapsed="false" customWidth="true" hidden="false" outlineLevel="0" max="11" min="11" style="0" width="10.75"/>
    <col collapsed="false" customWidth="true" hidden="false" outlineLevel="0" max="12" min="12" style="0" width="10"/>
    <col collapsed="false" customWidth="true" hidden="false" outlineLevel="0" max="13" min="13" style="0" width="10.5"/>
    <col collapsed="false" customWidth="true" hidden="false" outlineLevel="0" max="14" min="14" style="0" width="10.61"/>
    <col collapsed="false" customWidth="true" hidden="false" outlineLevel="0" max="15" min="15" style="0" width="11.62"/>
    <col collapsed="false" customWidth="true" hidden="false" outlineLevel="0" max="18" min="16" style="0" width="10.61"/>
    <col collapsed="false" customWidth="true" hidden="false" outlineLevel="0" max="19" min="19" style="0" width="14.25"/>
    <col collapsed="false" customWidth="true" hidden="false" outlineLevel="0" max="22" min="20" style="0" width="10.61"/>
    <col collapsed="false" customWidth="true" hidden="false" outlineLevel="0" max="1024" min="1023" style="0" width="10.5"/>
  </cols>
  <sheetData>
    <row r="1" customFormat="false" ht="13.8" hidden="false" customHeight="false" outlineLevel="0" collapsed="false">
      <c r="A1" s="1" t="s">
        <v>0</v>
      </c>
      <c r="B1" s="2" t="n">
        <v>0.035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3.8" hidden="false" customHeight="false" outlineLevel="0" collapsed="false">
      <c r="A2" s="1" t="s">
        <v>1</v>
      </c>
      <c r="B2" s="4" t="n">
        <v>5E-005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3.8" hidden="false" customHeight="false" outlineLevel="0" collapsed="false">
      <c r="A3" s="1" t="s">
        <v>2</v>
      </c>
      <c r="B3" s="2" t="n">
        <v>0.16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3.8" hidden="false" customHeight="false" outlineLevel="0" collapsed="false">
      <c r="A4" s="1" t="s">
        <v>3</v>
      </c>
      <c r="B4" s="4" t="n">
        <v>5600000000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3.8" hidden="false" customHeight="false" outlineLevel="0" collapsed="false">
      <c r="A5" s="1" t="s">
        <v>4</v>
      </c>
      <c r="B5" s="2" t="n">
        <v>1623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3.8" hidden="false" customHeight="false" outlineLevel="0" collapsed="false">
      <c r="A6" s="1" t="s">
        <v>5</v>
      </c>
      <c r="B6" s="5" t="n">
        <f aca="false">B2^3/12</f>
        <v>1.04166666666667E-014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3.8" hidden="false" customHeight="false" outlineLevel="0" collapsed="false">
      <c r="A7" s="1" t="s">
        <v>6</v>
      </c>
      <c r="B7" s="5" t="n">
        <f aca="false">B6*B4</f>
        <v>5.83333333333333E-005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3.8" hidden="false" customHeight="false" outlineLevel="0" collapsed="false">
      <c r="A8" s="1" t="s">
        <v>7</v>
      </c>
      <c r="B8" s="6" t="n">
        <f aca="false">(1/(2*PI()))*1.875^2*SQRT(B7/(B5*B2*B1^4))</f>
        <v>12.246182350683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3.8" hidden="false" customHeight="false" outlineLevel="0" collapsed="false">
      <c r="A9" s="1" t="s">
        <v>8</v>
      </c>
      <c r="B9" s="6" t="n">
        <f aca="false">2*PI()*B8</f>
        <v>76.9450330148531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3.8" hidden="false" customHeight="false" outlineLevel="0" collapsed="false">
      <c r="A10" s="7" t="s">
        <v>9</v>
      </c>
      <c r="B10" s="8" t="n">
        <f aca="false">0.035*SIN(RADIANS(10))*1000</f>
        <v>6.07768621834256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3.8" hidden="false" customHeight="false" outlineLevel="0" collapsed="false">
      <c r="A11" s="9" t="s">
        <v>10</v>
      </c>
      <c r="B11" s="10" t="n">
        <f aca="false">B9*B1</f>
        <v>2.69307615551986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3.8" hidden="false" customHeight="false" outlineLevel="0" collapsed="false">
      <c r="A12" s="9" t="s">
        <v>11</v>
      </c>
      <c r="B12" s="11" t="n">
        <v>1.51E-005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3.8" hidden="false" customHeight="false" outlineLevel="0" collapsed="false">
      <c r="A13" s="9" t="s">
        <v>12</v>
      </c>
      <c r="B13" s="12" t="n">
        <f aca="false">2*(B10/1000)*B3</f>
        <v>0.00194485958986962</v>
      </c>
      <c r="C13" s="3"/>
      <c r="D13" s="3"/>
      <c r="E13" s="3"/>
      <c r="F13" s="3"/>
      <c r="G13" s="3"/>
      <c r="H13" s="3"/>
      <c r="I13" s="3"/>
      <c r="J13" s="1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3.8" hidden="false" customHeight="false" outlineLevel="0" collapsed="false">
      <c r="A14" s="3"/>
      <c r="B14" s="3"/>
      <c r="C14" s="3"/>
      <c r="D14" s="14" t="s">
        <v>13</v>
      </c>
      <c r="E14" s="14" t="s">
        <v>14</v>
      </c>
      <c r="F14" s="14" t="s">
        <v>15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4" t="s">
        <v>21</v>
      </c>
      <c r="M14" s="15" t="s">
        <v>22</v>
      </c>
      <c r="N14" s="14" t="s">
        <v>23</v>
      </c>
      <c r="O14" s="16" t="s">
        <v>24</v>
      </c>
      <c r="P14" s="17" t="s">
        <v>25</v>
      </c>
      <c r="Q14" s="18" t="s">
        <v>26</v>
      </c>
      <c r="R14" s="9" t="s">
        <v>27</v>
      </c>
      <c r="S14" s="9" t="s">
        <v>28</v>
      </c>
      <c r="T14" s="18" t="s">
        <v>29</v>
      </c>
      <c r="U14" s="18" t="s">
        <v>30</v>
      </c>
      <c r="V14" s="18" t="s">
        <v>31</v>
      </c>
    </row>
    <row r="15" customFormat="false" ht="13.8" hidden="false" customHeight="false" outlineLevel="0" collapsed="false">
      <c r="A15" s="3"/>
      <c r="B15" s="3"/>
      <c r="C15" s="3"/>
      <c r="D15" s="19" t="n">
        <v>8</v>
      </c>
      <c r="E15" s="20" t="n">
        <f aca="false">D15/12.27</f>
        <v>0.6519967400163</v>
      </c>
      <c r="F15" s="21" t="n">
        <v>0.83</v>
      </c>
      <c r="G15" s="22" t="n">
        <f aca="false">F15/$B$11</f>
        <v>0.308197745651861</v>
      </c>
      <c r="H15" s="23" t="n">
        <f aca="false">AVERAGE(DataAmplitudes!J4:J9)</f>
        <v>9.99143333333334</v>
      </c>
      <c r="I15" s="24" t="n">
        <f aca="false">H15/$B$10</f>
        <v>1.64395346755135</v>
      </c>
      <c r="J15" s="25" t="n">
        <f aca="false">$F$15*$B$1/$B$12</f>
        <v>1923.84105960265</v>
      </c>
      <c r="K15" s="25" t="n">
        <f aca="false">$F$15*2*(H15/1000)/$B$12</f>
        <v>1098.39598233996</v>
      </c>
      <c r="L15" s="26" t="n">
        <f aca="false">D15*2*(H15/1000)/$F$15</f>
        <v>0.1926059437751</v>
      </c>
      <c r="M15" s="27" t="n">
        <f aca="false">2*D15*($B$10/1000)/$F$15</f>
        <v>0.117160216257206</v>
      </c>
      <c r="N15" s="28" t="n">
        <v>0.3</v>
      </c>
      <c r="O15" s="29" t="n">
        <v>0.297202351395596</v>
      </c>
      <c r="P15" s="30" t="n">
        <f aca="false">2*D15*$B$1*SIN(RADIANS(10))/$F$15</f>
        <v>0.117160216257206</v>
      </c>
      <c r="Q15" s="31" t="n">
        <f aca="false">J15</f>
        <v>1923.84105960265</v>
      </c>
      <c r="R15" s="3"/>
      <c r="S15" s="3"/>
      <c r="T15" s="13"/>
      <c r="U15" s="10" t="n">
        <f aca="false">$T$16/D15</f>
        <v>1.41073630446452</v>
      </c>
      <c r="V15" s="32" t="n">
        <f aca="false">(2*H15)/(1000*$B$1)</f>
        <v>0.570939047619048</v>
      </c>
    </row>
    <row r="16" customFormat="false" ht="13.8" hidden="false" customHeight="false" outlineLevel="0" collapsed="false">
      <c r="A16" s="3"/>
      <c r="B16" s="3"/>
      <c r="C16" s="3"/>
      <c r="D16" s="19" t="n">
        <v>10</v>
      </c>
      <c r="E16" s="20" t="n">
        <f aca="false">D16/12.27</f>
        <v>0.814995925020375</v>
      </c>
      <c r="F16" s="21"/>
      <c r="G16" s="22"/>
      <c r="H16" s="24" t="n">
        <f aca="false">AVERAGE(DataAmplitudes!D4:D7)</f>
        <v>12.3659</v>
      </c>
      <c r="I16" s="24" t="n">
        <f aca="false">H16/$B$10</f>
        <v>2.03463942621445</v>
      </c>
      <c r="J16" s="25" t="n">
        <f aca="false">$F$15*$B$1/$B$12</f>
        <v>1923.84105960265</v>
      </c>
      <c r="K16" s="25" t="n">
        <f aca="false">$F$15*2*(H16/1000)/$B$12</f>
        <v>1359.43006622517</v>
      </c>
      <c r="L16" s="26" t="n">
        <f aca="false">D16*2*(H16/1000)/$F$15</f>
        <v>0.297973493975904</v>
      </c>
      <c r="M16" s="27" t="n">
        <f aca="false">2*D16*($B$10/1000)/$F$15</f>
        <v>0.146450270321508</v>
      </c>
      <c r="N16" s="28" t="n">
        <v>0.135</v>
      </c>
      <c r="O16" s="33" t="n">
        <v>0.1268</v>
      </c>
      <c r="P16" s="30" t="n">
        <f aca="false">2*D16*$B$1*SIN(RADIANS(10))/$F$15</f>
        <v>0.146450270321508</v>
      </c>
      <c r="Q16" s="31" t="n">
        <f aca="false">J16</f>
        <v>1923.84105960265</v>
      </c>
      <c r="R16" s="34" t="n">
        <f aca="false">B3/B1</f>
        <v>4.57142857142857</v>
      </c>
      <c r="S16" s="35" t="n">
        <f aca="false">(1+0.74273*$R$16+0.14862*$R$16^2)/(1+0.74273*$R$16+0.35004*$R$16^2+0.058364*$R$16^4)</f>
        <v>0.201647874132701</v>
      </c>
      <c r="T16" s="36" t="n">
        <f aca="false">13.24*(1/SQRT(1+(PI()*1.205*0.16)/(4*1623*0.00005)*S16))</f>
        <v>11.2858904357161</v>
      </c>
      <c r="U16" s="10" t="n">
        <f aca="false">$T$16/D16</f>
        <v>1.12858904357161</v>
      </c>
      <c r="V16" s="32" t="n">
        <f aca="false">(2*H16)/(1000*$B$1)</f>
        <v>0.706622857142857</v>
      </c>
    </row>
    <row r="17" customFormat="false" ht="13.8" hidden="false" customHeight="false" outlineLevel="0" collapsed="false">
      <c r="A17" s="3"/>
      <c r="B17" s="3"/>
      <c r="C17" s="3"/>
      <c r="D17" s="28" t="n">
        <v>12</v>
      </c>
      <c r="E17" s="20" t="n">
        <f aca="false">D17/12.27</f>
        <v>0.97799511002445</v>
      </c>
      <c r="F17" s="21"/>
      <c r="G17" s="22"/>
      <c r="H17" s="24" t="n">
        <f aca="false">AVERAGE(DataAmplitudes!B4:B8)</f>
        <v>12.54788</v>
      </c>
      <c r="I17" s="24" t="n">
        <f aca="false">H17/$B$10</f>
        <v>2.06458174200081</v>
      </c>
      <c r="J17" s="25" t="n">
        <f aca="false">$F$15*$B$1/$B$12</f>
        <v>1923.84105960265</v>
      </c>
      <c r="K17" s="25" t="n">
        <f aca="false">$F$15*2*(H17/1000)/$B$12</f>
        <v>1379.43581456954</v>
      </c>
      <c r="L17" s="26" t="n">
        <f aca="false">D17*2*(H17/1000)/$F$15</f>
        <v>0.362830265060241</v>
      </c>
      <c r="M17" s="27" t="n">
        <f aca="false">2*D17*($B$10/1000)/$F$15</f>
        <v>0.175740324385809</v>
      </c>
      <c r="N17" s="28" t="n">
        <v>-0.121</v>
      </c>
      <c r="O17" s="33" t="n">
        <v>-0.1184</v>
      </c>
      <c r="P17" s="30" t="n">
        <f aca="false">2*D17*$B$1*SIN(RADIANS(10))/$F$15</f>
        <v>0.175740324385809</v>
      </c>
      <c r="Q17" s="31" t="n">
        <f aca="false">J17</f>
        <v>1923.84105960265</v>
      </c>
      <c r="R17" s="34"/>
      <c r="S17" s="35"/>
      <c r="T17" s="36"/>
      <c r="U17" s="10" t="n">
        <f aca="false">$T$16/D17</f>
        <v>0.940490869643012</v>
      </c>
      <c r="V17" s="32" t="n">
        <f aca="false">(2*H17)/(1000*$B$1)</f>
        <v>0.717021714285714</v>
      </c>
    </row>
    <row r="18" customFormat="false" ht="13.8" hidden="false" customHeight="false" outlineLevel="0" collapsed="false">
      <c r="A18" s="3"/>
      <c r="B18" s="3"/>
      <c r="C18" s="3"/>
      <c r="D18" s="28" t="n">
        <v>14</v>
      </c>
      <c r="E18" s="20" t="n">
        <f aca="false">D18/12.27</f>
        <v>1.14099429502853</v>
      </c>
      <c r="F18" s="21"/>
      <c r="G18" s="22"/>
      <c r="H18" s="24" t="n">
        <f aca="false">AVERAGE(DataAmplitudes!F4:F11)</f>
        <v>10.5977125</v>
      </c>
      <c r="I18" s="24" t="n">
        <f aca="false">H18/$B$10</f>
        <v>1.74370839810978</v>
      </c>
      <c r="J18" s="25" t="n">
        <f aca="false">$F$15*$B$1/$B$12</f>
        <v>1923.84105960265</v>
      </c>
      <c r="K18" s="25" t="n">
        <f aca="false">$F$15*2*(H18/1000)/$B$12</f>
        <v>1165.0465397351</v>
      </c>
      <c r="L18" s="26" t="n">
        <f aca="false">D18*2*(H18/1000)/$F$15</f>
        <v>0.357513192771084</v>
      </c>
      <c r="M18" s="27" t="n">
        <f aca="false">2*D18*($B$10/1000)/$F$15</f>
        <v>0.20503037845011</v>
      </c>
      <c r="N18" s="28" t="n">
        <v>-0.185</v>
      </c>
      <c r="O18" s="33" t="n">
        <v>-0.1812</v>
      </c>
      <c r="P18" s="30" t="n">
        <f aca="false">2*D18*$B$1*SIN(RADIANS(10))/$F$15</f>
        <v>0.20503037845011</v>
      </c>
      <c r="Q18" s="31" t="n">
        <f aca="false">J18</f>
        <v>1923.84105960265</v>
      </c>
      <c r="R18" s="34"/>
      <c r="S18" s="35"/>
      <c r="T18" s="36"/>
      <c r="U18" s="10" t="n">
        <f aca="false">$T$16/D18</f>
        <v>0.806135031122582</v>
      </c>
      <c r="V18" s="32" t="n">
        <f aca="false">(2*H18)/(1000*$B$1)</f>
        <v>0.605583571428571</v>
      </c>
    </row>
    <row r="19" customFormat="false" ht="13.8" hidden="false" customHeight="false" outlineLevel="0" collapsed="false">
      <c r="A19" s="3"/>
      <c r="B19" s="3"/>
      <c r="C19" s="3"/>
      <c r="D19" s="28" t="n">
        <v>16</v>
      </c>
      <c r="E19" s="20" t="n">
        <f aca="false">D19/12.27</f>
        <v>1.3039934800326</v>
      </c>
      <c r="F19" s="21"/>
      <c r="G19" s="22"/>
      <c r="H19" s="23" t="n">
        <f aca="false">AVERAGE(DataAmplitudes!H4:H7)</f>
        <v>8.09265</v>
      </c>
      <c r="I19" s="24" t="n">
        <f aca="false">H19/$B$10</f>
        <v>1.33153468429749</v>
      </c>
      <c r="J19" s="25" t="n">
        <f aca="false">$F$15*$B$1/$B$12</f>
        <v>1923.84105960265</v>
      </c>
      <c r="K19" s="25" t="n">
        <f aca="false">$F$15*2*(H19/1000)/$B$12</f>
        <v>889.655562913907</v>
      </c>
      <c r="L19" s="26" t="n">
        <f aca="false">D19*2*(H19/1000)/$F$15</f>
        <v>0.31200578313253</v>
      </c>
      <c r="M19" s="27" t="n">
        <f aca="false">2*D19*($B$10/1000)/$F$15</f>
        <v>0.234320432514412</v>
      </c>
      <c r="N19" s="28" t="n">
        <v>-0.106</v>
      </c>
      <c r="O19" s="29" t="n">
        <v>-0.093</v>
      </c>
      <c r="P19" s="30" t="n">
        <f aca="false">2*D19*$B$1*SIN(RADIANS(10))/$F$15</f>
        <v>0.234320432514412</v>
      </c>
      <c r="Q19" s="31" t="n">
        <f aca="false">J19</f>
        <v>1923.84105960265</v>
      </c>
      <c r="R19" s="34"/>
      <c r="S19" s="35"/>
      <c r="T19" s="36"/>
      <c r="U19" s="10" t="n">
        <f aca="false">$T$16/D19</f>
        <v>0.705368152232259</v>
      </c>
      <c r="V19" s="32" t="n">
        <f aca="false">(2*H19)/(1000*$B$1)</f>
        <v>0.462437142857143</v>
      </c>
    </row>
    <row r="20" customFormat="false" ht="13.8" hidden="false" customHeight="false" outlineLevel="0" collapsed="false">
      <c r="A20" s="3"/>
      <c r="B20" s="3"/>
      <c r="C20" s="3"/>
      <c r="D20" s="28" t="n">
        <v>18</v>
      </c>
      <c r="E20" s="20" t="n">
        <f aca="false">D20/12.27</f>
        <v>1.46699266503668</v>
      </c>
      <c r="F20" s="21"/>
      <c r="G20" s="22"/>
      <c r="H20" s="23" t="n">
        <f aca="false">1000*(0.03-0.0239224)</f>
        <v>6.0776</v>
      </c>
      <c r="I20" s="24" t="n">
        <f aca="false">H20/$B$10</f>
        <v>0.999985813952964</v>
      </c>
      <c r="J20" s="25" t="n">
        <f aca="false">$F$15*$B$1/$B$12</f>
        <v>1923.84105960265</v>
      </c>
      <c r="K20" s="25" t="n">
        <f aca="false">$F$15*2*(H20/1000)/$B$12</f>
        <v>668.133509933775</v>
      </c>
      <c r="L20" s="26" t="n">
        <f aca="false">D20*2*(H20/1000)/$F$15</f>
        <v>0.263606746987952</v>
      </c>
      <c r="M20" s="27" t="n">
        <f aca="false">2*D20*($B$10/1000)/$F$15</f>
        <v>0.263610486578714</v>
      </c>
      <c r="N20" s="28" t="n">
        <v>-0.011</v>
      </c>
      <c r="O20" s="29" t="n">
        <v>-0.012637550314478</v>
      </c>
      <c r="P20" s="30" t="n">
        <f aca="false">2*D20*$B$1*SIN(RADIANS(10))/$F$15</f>
        <v>0.263610486578714</v>
      </c>
      <c r="Q20" s="31" t="n">
        <f aca="false">J20</f>
        <v>1923.84105960265</v>
      </c>
      <c r="R20" s="34"/>
      <c r="S20" s="35"/>
      <c r="T20" s="36"/>
      <c r="U20" s="10" t="n">
        <f aca="false">$T$16/D20</f>
        <v>0.626993913095342</v>
      </c>
      <c r="V20" s="32" t="n">
        <f aca="false">(2*H20)/(1000*$B$1)</f>
        <v>0.347291428571428</v>
      </c>
    </row>
    <row r="21" customFormat="false" ht="13.8" hidden="false" customHeight="false" outlineLevel="0" collapsed="false">
      <c r="A21" s="3"/>
      <c r="B21" s="3"/>
      <c r="C21" s="3"/>
      <c r="D21" s="37" t="n">
        <v>20</v>
      </c>
      <c r="E21" s="38" t="n">
        <f aca="false">D21/12.27</f>
        <v>1.62999185004075</v>
      </c>
      <c r="F21" s="21"/>
      <c r="G21" s="22"/>
      <c r="H21" s="39" t="n">
        <f aca="false">AVERAGE(DataAmplitudes!L4:L9)</f>
        <v>4.81088333333333</v>
      </c>
      <c r="I21" s="40" t="n">
        <f aca="false">H21/$B$10</f>
        <v>0.791564941081362</v>
      </c>
      <c r="J21" s="41" t="n">
        <f aca="false">$F$15*$B$1/$B$12</f>
        <v>1923.84105960265</v>
      </c>
      <c r="K21" s="41" t="n">
        <f aca="false">$F$15*2*(H21/1000)/$B$12</f>
        <v>528.878565121413</v>
      </c>
      <c r="L21" s="42" t="n">
        <f aca="false">D21*2*(H21/1000)/$F$15</f>
        <v>0.231849799196787</v>
      </c>
      <c r="M21" s="43" t="n">
        <f aca="false">2*D21*($B$10/1000)/$F$15</f>
        <v>0.292900540643015</v>
      </c>
      <c r="N21" s="37" t="n">
        <v>0.061</v>
      </c>
      <c r="O21" s="44" t="n">
        <v>0.0624</v>
      </c>
      <c r="P21" s="30" t="n">
        <f aca="false">2*D21*$B$1*SIN(RADIANS(10))/$F$15</f>
        <v>0.292900540643015</v>
      </c>
      <c r="Q21" s="31" t="n">
        <f aca="false">J21</f>
        <v>1923.84105960265</v>
      </c>
      <c r="R21" s="34"/>
      <c r="S21" s="35"/>
      <c r="T21" s="36"/>
      <c r="U21" s="10" t="n">
        <f aca="false">$T$16/D21</f>
        <v>0.564294521785807</v>
      </c>
      <c r="V21" s="32" t="n">
        <f aca="false">(2*H21)/(1000*$B$1)</f>
        <v>0.274907619047619</v>
      </c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5" t="n">
        <v>13.24</v>
      </c>
      <c r="U22" s="3"/>
      <c r="V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 t="n">
        <f aca="false">T16/13.24</f>
        <v>0.852408643180978</v>
      </c>
      <c r="U23" s="3"/>
      <c r="V23" s="3"/>
    </row>
  </sheetData>
  <mergeCells count="5">
    <mergeCell ref="F15:F21"/>
    <mergeCell ref="G15:G21"/>
    <mergeCell ref="R16:R21"/>
    <mergeCell ref="S16:S21"/>
    <mergeCell ref="T16:T21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7" activeCellId="0" sqref="L17"/>
    </sheetView>
  </sheetViews>
  <sheetFormatPr defaultColWidth="8.59375" defaultRowHeight="14.25" zeroHeight="false" outlineLevelRow="0" outlineLevelCol="0"/>
  <cols>
    <col collapsed="false" customWidth="true" hidden="false" outlineLevel="0" max="12" min="1" style="0" width="10.61"/>
  </cols>
  <sheetData>
    <row r="1" customFormat="false" ht="15" hidden="false" customHeight="false" outlineLevel="0" collapsed="false">
      <c r="A1" s="46" t="s">
        <v>32</v>
      </c>
      <c r="B1" s="47"/>
      <c r="C1" s="46"/>
      <c r="D1" s="47"/>
      <c r="E1" s="46"/>
      <c r="F1" s="48"/>
      <c r="G1" s="46"/>
    </row>
    <row r="2" customFormat="false" ht="15" hidden="false" customHeight="false" outlineLevel="0" collapsed="false">
      <c r="A2" s="49" t="s">
        <v>33</v>
      </c>
      <c r="B2" s="49"/>
      <c r="C2" s="49" t="s">
        <v>34</v>
      </c>
      <c r="D2" s="49"/>
      <c r="E2" s="49" t="s">
        <v>35</v>
      </c>
      <c r="F2" s="49"/>
      <c r="G2" s="49" t="s">
        <v>36</v>
      </c>
      <c r="H2" s="49"/>
      <c r="I2" s="49" t="s">
        <v>37</v>
      </c>
      <c r="J2" s="49"/>
      <c r="K2" s="49" t="s">
        <v>38</v>
      </c>
      <c r="L2" s="49"/>
    </row>
    <row r="3" customFormat="false" ht="14.25" hidden="false" customHeight="false" outlineLevel="0" collapsed="false">
      <c r="A3" s="50" t="s">
        <v>39</v>
      </c>
      <c r="B3" s="50" t="s">
        <v>17</v>
      </c>
      <c r="C3" s="50" t="s">
        <v>39</v>
      </c>
      <c r="D3" s="50" t="s">
        <v>17</v>
      </c>
      <c r="E3" s="50" t="s">
        <v>39</v>
      </c>
      <c r="F3" s="50" t="s">
        <v>17</v>
      </c>
      <c r="G3" s="50" t="s">
        <v>39</v>
      </c>
      <c r="H3" s="50" t="s">
        <v>17</v>
      </c>
      <c r="I3" s="50" t="s">
        <v>39</v>
      </c>
      <c r="J3" s="50" t="s">
        <v>17</v>
      </c>
      <c r="K3" s="50" t="s">
        <v>39</v>
      </c>
      <c r="L3" s="50" t="s">
        <v>17</v>
      </c>
    </row>
    <row r="4" customFormat="false" ht="14.25" hidden="false" customHeight="false" outlineLevel="0" collapsed="false">
      <c r="A4" s="0" t="n">
        <v>1.206</v>
      </c>
      <c r="B4" s="0" t="n">
        <v>12.5516</v>
      </c>
      <c r="C4" s="0" t="n">
        <v>1.238</v>
      </c>
      <c r="D4" s="0" t="n">
        <v>12.3632</v>
      </c>
      <c r="E4" s="0" t="n">
        <v>1.219</v>
      </c>
      <c r="F4" s="0" t="n">
        <f aca="false">1000*(0.03-0.0193999)</f>
        <v>10.6001</v>
      </c>
      <c r="G4" s="0" t="n">
        <v>1.507</v>
      </c>
      <c r="H4" s="0" t="n">
        <f aca="false">1000*(0.03-0.0218963)</f>
        <v>8.1037</v>
      </c>
      <c r="I4" s="0" t="n">
        <v>1.164</v>
      </c>
      <c r="J4" s="0" t="n">
        <v>9.9947</v>
      </c>
      <c r="K4" s="0" t="n">
        <v>1.209</v>
      </c>
      <c r="L4" s="51" t="n">
        <f aca="false">1000*(0.03-0.0251846)</f>
        <v>4.8154</v>
      </c>
    </row>
    <row r="5" customFormat="false" ht="14.25" hidden="false" customHeight="false" outlineLevel="0" collapsed="false">
      <c r="A5" s="0" t="n">
        <v>1.248</v>
      </c>
      <c r="B5" s="0" t="n">
        <f aca="false">1000*(0.03-0.0174532)</f>
        <v>12.5468</v>
      </c>
      <c r="C5" s="0" t="n">
        <v>1.288</v>
      </c>
      <c r="D5" s="0" t="n">
        <f aca="false">1000*(0.03-0.0176342)</f>
        <v>12.3658</v>
      </c>
      <c r="E5" s="0" t="n">
        <v>1.254</v>
      </c>
      <c r="F5" s="0" t="n">
        <v>10.5994</v>
      </c>
      <c r="G5" s="0" t="n">
        <v>1.539</v>
      </c>
      <c r="H5" s="0" t="n">
        <v>8.0851</v>
      </c>
      <c r="I5" s="0" t="n">
        <v>1.227</v>
      </c>
      <c r="J5" s="0" t="n">
        <f aca="false">1000*(0.03-0.020023)</f>
        <v>9.977</v>
      </c>
      <c r="K5" s="0" t="n">
        <v>1.234</v>
      </c>
      <c r="L5" s="51" t="n">
        <v>4.821</v>
      </c>
    </row>
    <row r="6" customFormat="false" ht="14.25" hidden="false" customHeight="false" outlineLevel="0" collapsed="false">
      <c r="A6" s="0" t="n">
        <v>1.289</v>
      </c>
      <c r="B6" s="0" t="n">
        <v>12.5458</v>
      </c>
      <c r="C6" s="0" t="n">
        <v>1.338</v>
      </c>
      <c r="D6" s="0" t="n">
        <v>12.3663</v>
      </c>
      <c r="E6" s="0" t="n">
        <v>1.29</v>
      </c>
      <c r="F6" s="0" t="n">
        <f aca="false">1000*(0.03-0.0193887)</f>
        <v>10.6113</v>
      </c>
      <c r="G6" s="0" t="n">
        <v>1.57</v>
      </c>
      <c r="H6" s="0" t="n">
        <f aca="false">1000*(0.03-0.0219162)</f>
        <v>8.0838</v>
      </c>
      <c r="I6" s="0" t="n">
        <v>1.289</v>
      </c>
      <c r="J6" s="0" t="n">
        <v>9.9965</v>
      </c>
      <c r="K6" s="0" t="n">
        <v>1.259</v>
      </c>
      <c r="L6" s="51" t="n">
        <f aca="false">1000*(0.03-0.025197)</f>
        <v>4.803</v>
      </c>
    </row>
    <row r="7" customFormat="false" ht="14.25" hidden="false" customHeight="false" outlineLevel="0" collapsed="false">
      <c r="A7" s="0" t="n">
        <v>1.331</v>
      </c>
      <c r="B7" s="0" t="n">
        <f aca="false">1000*(0.03-0.0174498)</f>
        <v>12.5502</v>
      </c>
      <c r="C7" s="0" t="n">
        <v>1.388</v>
      </c>
      <c r="D7" s="0" t="n">
        <f aca="false">1000*(0.03-0.0176317)</f>
        <v>12.3683</v>
      </c>
      <c r="E7" s="0" t="n">
        <v>1.326</v>
      </c>
      <c r="F7" s="0" t="n">
        <v>10.6079</v>
      </c>
      <c r="G7" s="0" t="n">
        <v>1.601</v>
      </c>
      <c r="H7" s="0" t="n">
        <v>8.098</v>
      </c>
      <c r="I7" s="0" t="n">
        <v>1.351</v>
      </c>
      <c r="J7" s="0" t="n">
        <f aca="false">1000*(0.03-0.0200038)</f>
        <v>9.9962</v>
      </c>
      <c r="K7" s="0" t="n">
        <v>1.334</v>
      </c>
      <c r="L7" s="51" t="n">
        <v>4.8051</v>
      </c>
    </row>
    <row r="8" customFormat="false" ht="14.25" hidden="false" customHeight="false" outlineLevel="0" collapsed="false">
      <c r="A8" s="0" t="n">
        <v>1.373</v>
      </c>
      <c r="B8" s="0" t="n">
        <v>12.545</v>
      </c>
      <c r="E8" s="0" t="n">
        <v>1.362</v>
      </c>
      <c r="F8" s="0" t="n">
        <f aca="false">1000*(0.03-0.0194056)</f>
        <v>10.5944</v>
      </c>
      <c r="I8" s="0" t="n">
        <v>1.414</v>
      </c>
      <c r="J8" s="0" t="n">
        <v>9.9933</v>
      </c>
      <c r="K8" s="0" t="n">
        <v>1.359</v>
      </c>
      <c r="L8" s="51" t="n">
        <f aca="false">1000*(0.03-0.0251891)</f>
        <v>4.8109</v>
      </c>
    </row>
    <row r="9" customFormat="false" ht="14.25" hidden="false" customHeight="false" outlineLevel="0" collapsed="false">
      <c r="E9" s="0" t="n">
        <v>1.397</v>
      </c>
      <c r="F9" s="0" t="n">
        <v>10.5928</v>
      </c>
      <c r="I9" s="0" t="n">
        <v>1.477</v>
      </c>
      <c r="J9" s="0" t="n">
        <f aca="false">1000*(0.03-0.0200091)</f>
        <v>9.9909</v>
      </c>
      <c r="K9" s="0" t="n">
        <v>1.434</v>
      </c>
      <c r="L9" s="51" t="n">
        <v>4.8099</v>
      </c>
    </row>
    <row r="10" customFormat="false" ht="14.25" hidden="false" customHeight="false" outlineLevel="0" collapsed="false">
      <c r="E10" s="0" t="n">
        <v>1.433</v>
      </c>
      <c r="F10" s="0" t="n">
        <f aca="false">1000*(0.03-0.0194097)</f>
        <v>10.5903</v>
      </c>
    </row>
    <row r="11" customFormat="false" ht="14.25" hidden="false" customHeight="false" outlineLevel="0" collapsed="false">
      <c r="E11" s="0" t="n">
        <v>1.469</v>
      </c>
      <c r="F11" s="0" t="n">
        <v>10.5855</v>
      </c>
    </row>
    <row r="22" customFormat="false" ht="13.8" hidden="false" customHeight="false" outlineLevel="0" collapsed="false">
      <c r="F22" s="51"/>
    </row>
    <row r="23" customFormat="false" ht="13.8" hidden="false" customHeight="false" outlineLevel="0" collapsed="false">
      <c r="F23" s="51"/>
    </row>
  </sheetData>
  <mergeCells count="6">
    <mergeCell ref="A2:B2"/>
    <mergeCell ref="C2:D2"/>
    <mergeCell ref="E2:F2"/>
    <mergeCell ref="G2:H2"/>
    <mergeCell ref="I2:J2"/>
    <mergeCell ref="K2:L2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375" defaultRowHeight="14.25" zeroHeight="false" outlineLevelRow="0" outlineLevelCol="0"/>
  <cols>
    <col collapsed="false" customWidth="true" hidden="false" outlineLevel="0" max="9" min="1" style="0" width="10.61"/>
  </cols>
  <sheetData>
    <row r="1" customFormat="false" ht="14.25" hidden="false" customHeight="false" outlineLevel="0" collapsed="false">
      <c r="A1" s="52" t="s">
        <v>40</v>
      </c>
      <c r="B1" s="52" t="s">
        <v>41</v>
      </c>
      <c r="C1" s="52" t="s">
        <v>42</v>
      </c>
      <c r="D1" s="52" t="s">
        <v>43</v>
      </c>
      <c r="E1" s="52" t="s">
        <v>42</v>
      </c>
      <c r="F1" s="52" t="s">
        <v>44</v>
      </c>
      <c r="G1" s="52" t="s">
        <v>42</v>
      </c>
      <c r="H1" s="52" t="s">
        <v>45</v>
      </c>
      <c r="I1" s="52" t="s">
        <v>42</v>
      </c>
    </row>
    <row r="2" customFormat="false" ht="14.25" hidden="false" customHeight="false" outlineLevel="0" collapsed="false">
      <c r="A2" s="2" t="n">
        <v>0</v>
      </c>
      <c r="B2" s="5" t="n">
        <v>0.04050418523988</v>
      </c>
      <c r="C2" s="8" t="n">
        <f aca="false">(B2-$B$5)/$B$5*100</f>
        <v>7.4764261684705</v>
      </c>
      <c r="D2" s="5" t="n">
        <v>0.3124608378971</v>
      </c>
      <c r="E2" s="53" t="n">
        <f aca="false">(D2-$D$5)/$D$5*100</f>
        <v>7.47233783217189</v>
      </c>
      <c r="F2" s="5" t="n">
        <v>0.3124608392986</v>
      </c>
      <c r="G2" s="8" t="n">
        <f aca="false">(F2-$F$5)/$F$5*100</f>
        <v>7.47262049670521</v>
      </c>
      <c r="H2" s="5" t="n">
        <v>-0.3124608364957</v>
      </c>
      <c r="I2" s="8" t="n">
        <f aca="false">(H2-$H$5)/$H$5*100</f>
        <v>7.47205516919429</v>
      </c>
    </row>
    <row r="3" customFormat="false" ht="14.25" hidden="false" customHeight="false" outlineLevel="0" collapsed="false">
      <c r="A3" s="2" t="n">
        <v>1</v>
      </c>
      <c r="B3" s="5" t="n">
        <v>0.03812457350305</v>
      </c>
      <c r="C3" s="8" t="n">
        <f aca="false">(B3-$B$5)/$B$5*100</f>
        <v>1.16221039969546</v>
      </c>
      <c r="D3" s="5" t="n">
        <v>0.2941035477081</v>
      </c>
      <c r="E3" s="53" t="n">
        <f aca="false">(D3-$D$5)/$D$5*100</f>
        <v>1.15826370322412</v>
      </c>
      <c r="F3" s="5" t="n">
        <v>0.2941035675112</v>
      </c>
      <c r="G3" s="8" t="n">
        <f aca="false">(F3-$F$5)/$F$5*100</f>
        <v>1.15853611867302</v>
      </c>
      <c r="H3" s="5" t="n">
        <v>-0.294103527905</v>
      </c>
      <c r="I3" s="8" t="n">
        <f aca="false">(H3-$H$5)/$H$5*100</f>
        <v>1.15799128924054</v>
      </c>
    </row>
    <row r="4" customFormat="false" ht="14.25" hidden="false" customHeight="false" outlineLevel="0" collapsed="false">
      <c r="A4" s="2" t="n">
        <v>2</v>
      </c>
      <c r="B4" s="5" t="n">
        <v>0.03776120527854</v>
      </c>
      <c r="C4" s="53" t="n">
        <f aca="false">(B4-$B$5)/$B$5*100</f>
        <v>0.198025638979295</v>
      </c>
      <c r="D4" s="5" t="n">
        <v>0.2913116853767</v>
      </c>
      <c r="E4" s="53" t="n">
        <f aca="false">(D4-$D$5)/$D$5*100</f>
        <v>0.197989853609889</v>
      </c>
      <c r="F4" s="5" t="n">
        <v>0.2913109553456</v>
      </c>
      <c r="G4" s="8" t="n">
        <f aca="false">(F4-$F$5)/$F$5*100</f>
        <v>0.198001838147736</v>
      </c>
      <c r="H4" s="5" t="n">
        <v>-0.2913124154078</v>
      </c>
      <c r="I4" s="8" t="n">
        <f aca="false">(H4-$H$5)/$H$5*100</f>
        <v>0.197977869169468</v>
      </c>
    </row>
    <row r="5" customFormat="false" ht="14.25" hidden="false" customHeight="false" outlineLevel="0" collapsed="false">
      <c r="A5" s="2" t="n">
        <v>3</v>
      </c>
      <c r="B5" s="5" t="n">
        <v>0.03768657619522</v>
      </c>
      <c r="C5" s="2" t="n">
        <f aca="false">(B5-$B$5)/$B$5*100</f>
        <v>0</v>
      </c>
      <c r="D5" s="5" t="n">
        <v>0.2907360574821</v>
      </c>
      <c r="E5" s="2" t="n">
        <f aca="false">(D5-$D$5)/$D$5*100</f>
        <v>0</v>
      </c>
      <c r="F5" s="5" t="n">
        <v>0.2907352941191</v>
      </c>
      <c r="G5" s="8" t="n">
        <f aca="false">(F5-$F$5)/$F$5*100</f>
        <v>0</v>
      </c>
      <c r="H5" s="5" t="n">
        <v>-0.290736820845</v>
      </c>
      <c r="I5" s="8" t="n">
        <f aca="false">(H5-$H$5)/$H$5*100</f>
        <v>-0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9375" defaultRowHeight="14.25" zeroHeight="false" outlineLevelRow="0" outlineLevelCol="0"/>
  <cols>
    <col collapsed="false" customWidth="true" hidden="false" outlineLevel="0" max="13" min="1" style="0" width="10.61"/>
  </cols>
  <sheetData>
    <row r="1" customFormat="false" ht="14.25" hidden="false" customHeight="false" outlineLevel="0" collapsed="false">
      <c r="A1" s="52" t="s">
        <v>40</v>
      </c>
      <c r="B1" s="52" t="s">
        <v>41</v>
      </c>
      <c r="C1" s="52" t="s">
        <v>42</v>
      </c>
      <c r="D1" s="52" t="s">
        <v>43</v>
      </c>
      <c r="E1" s="52" t="s">
        <v>42</v>
      </c>
      <c r="F1" s="52" t="s">
        <v>44</v>
      </c>
      <c r="G1" s="52" t="s">
        <v>42</v>
      </c>
      <c r="H1" s="52" t="s">
        <v>45</v>
      </c>
      <c r="I1" s="52" t="s">
        <v>42</v>
      </c>
    </row>
    <row r="2" customFormat="false" ht="14.25" hidden="false" customHeight="false" outlineLevel="0" collapsed="false">
      <c r="A2" s="2" t="n">
        <v>0</v>
      </c>
      <c r="B2" s="4" t="n">
        <v>0.04030959074389</v>
      </c>
      <c r="C2" s="6" t="n">
        <f aca="false">(B2-$B$5)/$B$5*100</f>
        <v>7.04823230062975</v>
      </c>
      <c r="D2" s="4" t="n">
        <v>0.3109552614872</v>
      </c>
      <c r="E2" s="6" t="n">
        <f aca="false">(D2-$D$5)/$D$5*100</f>
        <v>7.054901184085</v>
      </c>
      <c r="F2" s="4" t="n">
        <v>0.3109555611867</v>
      </c>
      <c r="G2" s="8" t="n">
        <f aca="false">(F2-$F$5)/$F$5*100</f>
        <v>7.05446483961023</v>
      </c>
      <c r="H2" s="4" t="n">
        <v>-0.3109549617878</v>
      </c>
      <c r="I2" s="8" t="n">
        <f aca="false">(H2-$H$5)/$H$5*100</f>
        <v>7.05533753299236</v>
      </c>
    </row>
    <row r="3" customFormat="false" ht="14.25" hidden="false" customHeight="false" outlineLevel="0" collapsed="false">
      <c r="A3" s="2" t="n">
        <v>1</v>
      </c>
      <c r="B3" s="4" t="n">
        <v>0.03806880863113</v>
      </c>
      <c r="C3" s="8" t="n">
        <f aca="false">(B3-$B$5)/$B$5*100</f>
        <v>1.09749552272814</v>
      </c>
      <c r="D3" s="4" t="n">
        <v>0.293720957096</v>
      </c>
      <c r="E3" s="8" t="n">
        <f aca="false">(D3-$D$5)/$D$5*100</f>
        <v>1.12151789044903</v>
      </c>
      <c r="F3" s="4" t="n">
        <v>0.2937177425854</v>
      </c>
      <c r="G3" s="8" t="n">
        <f aca="false">(F3-$F$5)/$F$5*100</f>
        <v>1.11990159101643</v>
      </c>
      <c r="H3" s="4" t="n">
        <v>-0.2937241716065</v>
      </c>
      <c r="I3" s="8" t="n">
        <f aca="false">(H3-$H$5)/$H$5*100</f>
        <v>1.12313420613868</v>
      </c>
    </row>
    <row r="4" customFormat="false" ht="14.25" hidden="false" customHeight="false" outlineLevel="0" collapsed="false">
      <c r="A4" s="2" t="n">
        <v>2</v>
      </c>
      <c r="B4" s="5" t="n">
        <v>0.03774558302765</v>
      </c>
      <c r="C4" s="53" t="n">
        <f aca="false">(B4-$B$5)/$B$5*100</f>
        <v>0.239120906456881</v>
      </c>
      <c r="D4" s="4" t="n">
        <v>0.2911846767037</v>
      </c>
      <c r="E4" s="8" t="n">
        <f aca="false">(D4-$D$5)/$D$5*100</f>
        <v>0.248333608330097</v>
      </c>
      <c r="F4" s="4" t="n">
        <v>0.2911843657898</v>
      </c>
      <c r="G4" s="8" t="n">
        <f aca="false">(F4-$F$5)/$F$5*100</f>
        <v>0.247721347463204</v>
      </c>
      <c r="H4" s="4" t="n">
        <v>-0.2911849876176</v>
      </c>
      <c r="I4" s="8" t="n">
        <f aca="false">(H4-$H$5)/$H$5*100</f>
        <v>0.248945875368266</v>
      </c>
    </row>
    <row r="5" customFormat="false" ht="14.25" hidden="false" customHeight="false" outlineLevel="0" collapsed="false">
      <c r="A5" s="2" t="n">
        <v>3</v>
      </c>
      <c r="B5" s="5" t="n">
        <v>0.03765554075726</v>
      </c>
      <c r="C5" s="2" t="n">
        <f aca="false">(B5-$B$5)/$B$5*100</f>
        <v>0</v>
      </c>
      <c r="D5" s="4" t="n">
        <v>0.2904633585645</v>
      </c>
      <c r="E5" s="2" t="n">
        <f aca="false">(D5-$D$5)/$D$5*100</f>
        <v>0</v>
      </c>
      <c r="F5" s="4" t="n">
        <v>0.2904648224178</v>
      </c>
      <c r="G5" s="8" t="n">
        <f aca="false">(F5-$F$5)/$F$5*100</f>
        <v>0</v>
      </c>
      <c r="H5" s="4" t="n">
        <v>-0.2904618947112</v>
      </c>
      <c r="I5" s="8" t="n">
        <f aca="false">(H5-$H$5)/$H$5*100</f>
        <v>-0</v>
      </c>
    </row>
    <row r="8" customFormat="false" ht="14.25" hidden="false" customHeight="false" outlineLevel="0" collapsed="false">
      <c r="L8" s="0" t="s">
        <v>46</v>
      </c>
      <c r="M8" s="0" t="n">
        <v>2</v>
      </c>
    </row>
    <row r="9" customFormat="false" ht="14.25" hidden="false" customHeight="false" outlineLevel="0" collapsed="false">
      <c r="L9" s="0" t="s">
        <v>47</v>
      </c>
      <c r="M9" s="54" t="n">
        <f aca="false">LN((F4-F3)/(F3-F2))/LN(M8)</f>
        <v>-2.76644364303513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0.4609375" defaultRowHeight="12.8" zeroHeight="false" outlineLevelRow="0" outlineLevelCol="0"/>
  <sheetData>
    <row r="1" customFormat="false" ht="13.8" hidden="false" customHeight="false" outlineLevel="0" collapsed="false">
      <c r="A1" s="50" t="s">
        <v>16</v>
      </c>
      <c r="B1" s="50" t="s">
        <v>48</v>
      </c>
      <c r="C1" s="50" t="s">
        <v>49</v>
      </c>
    </row>
    <row r="2" customFormat="false" ht="13.8" hidden="false" customHeight="false" outlineLevel="0" collapsed="false">
      <c r="A2" s="55" t="n">
        <f aca="false">'UR0.29'!G15</f>
        <v>0.308197745651861</v>
      </c>
      <c r="B2" s="0" t="n">
        <v>8</v>
      </c>
      <c r="C2" s="56" t="n">
        <v>2E-005</v>
      </c>
    </row>
    <row r="3" customFormat="false" ht="13.8" hidden="false" customHeight="false" outlineLevel="0" collapsed="false">
      <c r="A3" s="55"/>
      <c r="B3" s="0" t="n">
        <v>10</v>
      </c>
      <c r="C3" s="56" t="n">
        <v>2.5E-005</v>
      </c>
    </row>
    <row r="4" customFormat="false" ht="13.8" hidden="false" customHeight="false" outlineLevel="0" collapsed="false">
      <c r="A4" s="55"/>
      <c r="B4" s="0" t="n">
        <v>12</v>
      </c>
      <c r="C4" s="56" t="n">
        <v>2.5E-005</v>
      </c>
    </row>
    <row r="5" customFormat="false" ht="13.8" hidden="false" customHeight="false" outlineLevel="0" collapsed="false">
      <c r="A5" s="55"/>
      <c r="B5" s="0" t="n">
        <v>14</v>
      </c>
      <c r="C5" s="56" t="n">
        <v>2.5E-005</v>
      </c>
    </row>
    <row r="6" customFormat="false" ht="13.8" hidden="false" customHeight="false" outlineLevel="0" collapsed="false">
      <c r="A6" s="55"/>
      <c r="B6" s="0" t="n">
        <v>16</v>
      </c>
      <c r="C6" s="56" t="n">
        <v>2E-005</v>
      </c>
    </row>
    <row r="7" customFormat="false" ht="13.8" hidden="false" customHeight="false" outlineLevel="0" collapsed="false">
      <c r="A7" s="55"/>
      <c r="B7" s="0" t="n">
        <v>18</v>
      </c>
      <c r="C7" s="56" t="n">
        <v>2E-005</v>
      </c>
    </row>
    <row r="8" customFormat="false" ht="13.8" hidden="false" customHeight="false" outlineLevel="0" collapsed="false">
      <c r="A8" s="55"/>
      <c r="B8" s="0" t="n">
        <v>20</v>
      </c>
    </row>
  </sheetData>
  <mergeCells count="1">
    <mergeCell ref="A2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2022-03-25T12:16:18Z</dcterms:created>
  <dc:creator>Andrés Pedemonte Fehrmann</dc:creator>
  <dc:description/>
  <dc:language>en-US</dc:language>
  <cp:lastModifiedBy/>
  <dcterms:modified xsi:type="dcterms:W3CDTF">2022-04-07T12:51:27Z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