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9615" windowHeight="8685" tabRatio="903" activeTab="3"/>
  </bookViews>
  <sheets>
    <sheet name="A buscar" sheetId="58" r:id="rId1"/>
    <sheet name="Actualizacion " sheetId="57" r:id="rId2"/>
    <sheet name="Datos" sheetId="53" r:id="rId3"/>
    <sheet name="Com y Presup" sheetId="52" r:id="rId4"/>
    <sheet name="Desbosque" sheetId="40" r:id="rId5"/>
    <sheet name="Excavación común" sheetId="1" r:id="rId6"/>
    <sheet name="Excavación en ROCA" sheetId="56" r:id="rId7"/>
    <sheet name="Terraplenes" sheetId="3" r:id="rId8"/>
    <sheet name="Excav.p.fundac." sheetId="39" r:id="rId9"/>
    <sheet name="SubBase Drenante." sheetId="54" r:id="rId10"/>
    <sheet name="Base Anticongelante" sheetId="55" r:id="rId11"/>
    <sheet name="Hormigón H-17" sheetId="16" r:id="rId12"/>
    <sheet name="ARSA 0,80" sheetId="44" r:id="rId13"/>
    <sheet name="GAVIONES" sheetId="43" r:id="rId14"/>
    <sheet name="Imprimación" sheetId="12" r:id="rId15"/>
    <sheet name="Riego Liga" sheetId="13" r:id="rId16"/>
    <sheet name="Concreto asfáltico" sheetId="5" r:id="rId17"/>
    <sheet name="TBS Doble" sheetId="48" r:id="rId18"/>
    <sheet name="barandas metalicas" sheetId="31" r:id="rId19"/>
    <sheet name="Coeficiente" sheetId="33" r:id="rId20"/>
  </sheets>
  <externalReferences>
    <externalReference r:id="rId21"/>
  </externalReferences>
  <definedNames>
    <definedName name="_xlnm.Print_Area" localSheetId="3">'Com y Presup'!$A$2:$F$20</definedName>
  </definedNames>
  <calcPr calcId="144525"/>
</workbook>
</file>

<file path=xl/calcChain.xml><?xml version="1.0" encoding="utf-8"?>
<calcChain xmlns="http://schemas.openxmlformats.org/spreadsheetml/2006/main">
  <c r="D6" i="52" l="1"/>
  <c r="D7" i="52"/>
  <c r="U17" i="52"/>
  <c r="D18" i="52"/>
  <c r="U18" i="52"/>
  <c r="D16" i="52"/>
  <c r="D15" i="52" s="1"/>
  <c r="U16" i="52"/>
  <c r="U10" i="52"/>
  <c r="S10" i="52"/>
  <c r="P10" i="52"/>
  <c r="U11" i="52"/>
  <c r="D11" i="52"/>
  <c r="D10" i="52"/>
  <c r="D8" i="52"/>
  <c r="K5" i="52"/>
  <c r="D5" i="52"/>
  <c r="F55" i="31"/>
  <c r="F56" i="31"/>
  <c r="F54" i="31"/>
  <c r="F73" i="53"/>
  <c r="F74" i="53"/>
  <c r="F75" i="53"/>
  <c r="F40" i="31"/>
  <c r="F39" i="31"/>
  <c r="F38" i="31"/>
  <c r="F37" i="31"/>
  <c r="H29" i="31"/>
  <c r="G14" i="31"/>
  <c r="E61" i="48"/>
  <c r="E62" i="48"/>
  <c r="K62" i="48"/>
  <c r="E63" i="48"/>
  <c r="E60" i="48"/>
  <c r="K60" i="48"/>
  <c r="F68" i="53"/>
  <c r="F69" i="53"/>
  <c r="F70" i="53"/>
  <c r="F71" i="53"/>
  <c r="F46" i="48"/>
  <c r="F45" i="48"/>
  <c r="F44" i="48"/>
  <c r="F43" i="48"/>
  <c r="H35" i="48"/>
  <c r="G20" i="48"/>
  <c r="G19" i="48"/>
  <c r="G18" i="48"/>
  <c r="G17" i="48"/>
  <c r="G16" i="48"/>
  <c r="G15" i="48"/>
  <c r="G14" i="48"/>
  <c r="E62" i="5"/>
  <c r="E63" i="5"/>
  <c r="E64" i="5"/>
  <c r="E65" i="5"/>
  <c r="E61" i="5"/>
  <c r="K61" i="5"/>
  <c r="F62" i="53"/>
  <c r="F63" i="53"/>
  <c r="F64" i="53"/>
  <c r="F65" i="53"/>
  <c r="F66" i="53"/>
  <c r="F47" i="5"/>
  <c r="F46" i="5"/>
  <c r="F45" i="5"/>
  <c r="F44" i="5"/>
  <c r="H36" i="5"/>
  <c r="G21" i="5"/>
  <c r="G20" i="5"/>
  <c r="G19" i="5"/>
  <c r="G18" i="5"/>
  <c r="G17" i="5"/>
  <c r="G16" i="5"/>
  <c r="G15" i="5"/>
  <c r="G14" i="5"/>
  <c r="E55" i="13"/>
  <c r="F60" i="53"/>
  <c r="F41" i="13"/>
  <c r="F40" i="13"/>
  <c r="F39" i="13"/>
  <c r="F38" i="13"/>
  <c r="H30" i="13"/>
  <c r="G14" i="13"/>
  <c r="E55" i="12"/>
  <c r="K55" i="12"/>
  <c r="K58" i="12"/>
  <c r="F59" i="53"/>
  <c r="F41" i="12"/>
  <c r="F40" i="12"/>
  <c r="F39" i="12"/>
  <c r="F38" i="12"/>
  <c r="H30" i="12"/>
  <c r="G14" i="12"/>
  <c r="E55" i="43"/>
  <c r="K55" i="43"/>
  <c r="E56" i="43"/>
  <c r="E54" i="43"/>
  <c r="F55" i="53"/>
  <c r="F56" i="53"/>
  <c r="F57" i="53"/>
  <c r="F40" i="43"/>
  <c r="F39" i="43"/>
  <c r="F38" i="43"/>
  <c r="F37" i="43"/>
  <c r="H29" i="43"/>
  <c r="G15" i="43"/>
  <c r="G14" i="43"/>
  <c r="G60" i="44"/>
  <c r="K60" i="44"/>
  <c r="F53" i="53"/>
  <c r="E55" i="44"/>
  <c r="F50" i="53"/>
  <c r="F51" i="53"/>
  <c r="E56" i="44"/>
  <c r="F41" i="44"/>
  <c r="F40" i="44"/>
  <c r="F39" i="44"/>
  <c r="F38" i="44"/>
  <c r="H30" i="44"/>
  <c r="G15" i="44"/>
  <c r="G14" i="44"/>
  <c r="E31" i="16"/>
  <c r="F43" i="53"/>
  <c r="F44" i="53"/>
  <c r="E32" i="16"/>
  <c r="K32" i="16"/>
  <c r="F45" i="53"/>
  <c r="E33" i="16"/>
  <c r="F46" i="53"/>
  <c r="E34" i="16"/>
  <c r="K34" i="16"/>
  <c r="F47" i="53"/>
  <c r="E35" i="16"/>
  <c r="F48" i="53"/>
  <c r="E36" i="16"/>
  <c r="K36" i="16"/>
  <c r="F17" i="16"/>
  <c r="F16" i="16"/>
  <c r="F15" i="16"/>
  <c r="F14" i="16"/>
  <c r="F41" i="55"/>
  <c r="F40" i="55"/>
  <c r="F39" i="55"/>
  <c r="F38" i="55"/>
  <c r="H31" i="55"/>
  <c r="G19" i="55"/>
  <c r="G18" i="55"/>
  <c r="G17" i="55"/>
  <c r="G16" i="55"/>
  <c r="G15" i="55"/>
  <c r="G14" i="55"/>
  <c r="G13" i="55"/>
  <c r="E55" i="55"/>
  <c r="F41" i="53"/>
  <c r="F40" i="53"/>
  <c r="D52" i="54"/>
  <c r="E40" i="54"/>
  <c r="E39" i="54"/>
  <c r="E38" i="54"/>
  <c r="E37" i="54"/>
  <c r="G31" i="54"/>
  <c r="F19" i="54"/>
  <c r="F18" i="54"/>
  <c r="F17" i="54"/>
  <c r="F16" i="54"/>
  <c r="F15" i="54"/>
  <c r="F14" i="54"/>
  <c r="F13" i="54"/>
  <c r="F42" i="39"/>
  <c r="F41" i="39"/>
  <c r="F40" i="39"/>
  <c r="F39" i="39"/>
  <c r="H31" i="39"/>
  <c r="G15" i="39"/>
  <c r="G14" i="39"/>
  <c r="E47" i="3"/>
  <c r="E46" i="3"/>
  <c r="E45" i="3"/>
  <c r="E44" i="3"/>
  <c r="G36" i="3"/>
  <c r="F21" i="3"/>
  <c r="F20" i="3"/>
  <c r="F19" i="3"/>
  <c r="F18" i="3"/>
  <c r="F17" i="3"/>
  <c r="F16" i="3"/>
  <c r="F15" i="3"/>
  <c r="F14" i="3"/>
  <c r="E14" i="3"/>
  <c r="E15" i="3"/>
  <c r="E16" i="3"/>
  <c r="E17" i="3"/>
  <c r="E18" i="3"/>
  <c r="E19" i="3"/>
  <c r="E44" i="56"/>
  <c r="E43" i="56"/>
  <c r="E42" i="56"/>
  <c r="E41" i="56"/>
  <c r="G33" i="56"/>
  <c r="F17" i="56"/>
  <c r="F16" i="56"/>
  <c r="F15" i="56"/>
  <c r="F44" i="1"/>
  <c r="F43" i="1"/>
  <c r="F42" i="1"/>
  <c r="F41" i="1"/>
  <c r="H33" i="1"/>
  <c r="G18" i="1"/>
  <c r="G17" i="1"/>
  <c r="G16" i="1"/>
  <c r="G15" i="1"/>
  <c r="G14" i="1"/>
  <c r="E58" i="40"/>
  <c r="F43" i="40"/>
  <c r="F42" i="40"/>
  <c r="F41" i="40"/>
  <c r="F40" i="40"/>
  <c r="H32" i="40"/>
  <c r="G17" i="40"/>
  <c r="G15" i="40"/>
  <c r="G14" i="40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14" i="53"/>
  <c r="E6" i="53"/>
  <c r="E7" i="53"/>
  <c r="E8" i="53"/>
  <c r="E5" i="53"/>
  <c r="G2" i="53"/>
  <c r="G1" i="53"/>
  <c r="G18" i="57"/>
  <c r="C18" i="57"/>
  <c r="F4" i="57"/>
  <c r="G5" i="57"/>
  <c r="G6" i="57"/>
  <c r="G7" i="57"/>
  <c r="G4" i="57"/>
  <c r="F5" i="57"/>
  <c r="F6" i="57"/>
  <c r="F7" i="57"/>
  <c r="E21" i="57"/>
  <c r="D23" i="57"/>
  <c r="D13" i="57"/>
  <c r="O5" i="52"/>
  <c r="M5" i="52"/>
  <c r="H42" i="56"/>
  <c r="C14" i="57"/>
  <c r="C11" i="57"/>
  <c r="I41" i="55"/>
  <c r="I38" i="55"/>
  <c r="F19" i="55"/>
  <c r="F18" i="55"/>
  <c r="F17" i="55"/>
  <c r="F16" i="55"/>
  <c r="F15" i="55"/>
  <c r="G21" i="55"/>
  <c r="F14" i="55"/>
  <c r="F13" i="55"/>
  <c r="E19" i="54"/>
  <c r="E18" i="54"/>
  <c r="E17" i="54"/>
  <c r="E16" i="54"/>
  <c r="E15" i="54"/>
  <c r="E14" i="54"/>
  <c r="E13" i="54"/>
  <c r="H40" i="54"/>
  <c r="H39" i="54"/>
  <c r="H38" i="54"/>
  <c r="H37" i="54"/>
  <c r="H44" i="56"/>
  <c r="H43" i="56"/>
  <c r="H41" i="56"/>
  <c r="E17" i="56"/>
  <c r="E16" i="56"/>
  <c r="E15" i="56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6" i="52"/>
  <c r="C7" i="52"/>
  <c r="B11" i="52"/>
  <c r="B10" i="52"/>
  <c r="B7" i="52"/>
  <c r="B6" i="52"/>
  <c r="C11" i="52"/>
  <c r="C10" i="52"/>
  <c r="D59" i="56"/>
  <c r="F54" i="56"/>
  <c r="E62" i="55"/>
  <c r="K55" i="55"/>
  <c r="K58" i="55"/>
  <c r="G51" i="55"/>
  <c r="I40" i="55"/>
  <c r="I39" i="55"/>
  <c r="D57" i="54"/>
  <c r="J52" i="54"/>
  <c r="J53" i="54"/>
  <c r="F49" i="54"/>
  <c r="K55" i="31"/>
  <c r="K56" i="31"/>
  <c r="K54" i="31"/>
  <c r="K58" i="31" s="1"/>
  <c r="I40" i="31"/>
  <c r="I39" i="31"/>
  <c r="G16" i="31"/>
  <c r="F20" i="31"/>
  <c r="F14" i="31"/>
  <c r="F16" i="31"/>
  <c r="E29" i="31"/>
  <c r="K29" i="31" s="1"/>
  <c r="E33" i="31" s="1"/>
  <c r="K33" i="31" s="1"/>
  <c r="I46" i="48"/>
  <c r="I45" i="48"/>
  <c r="F20" i="48"/>
  <c r="F19" i="48"/>
  <c r="F18" i="48"/>
  <c r="F17" i="48"/>
  <c r="F16" i="48"/>
  <c r="F15" i="48"/>
  <c r="F14" i="48"/>
  <c r="F21" i="5"/>
  <c r="F20" i="5"/>
  <c r="F19" i="5"/>
  <c r="F18" i="5"/>
  <c r="F17" i="5"/>
  <c r="F16" i="5"/>
  <c r="F15" i="5"/>
  <c r="F14" i="5"/>
  <c r="I46" i="5"/>
  <c r="I45" i="5"/>
  <c r="I44" i="5"/>
  <c r="I41" i="13"/>
  <c r="I40" i="13"/>
  <c r="I38" i="13"/>
  <c r="G17" i="13"/>
  <c r="F14" i="13"/>
  <c r="I39" i="12"/>
  <c r="I38" i="12"/>
  <c r="G17" i="12"/>
  <c r="F14" i="12"/>
  <c r="F17" i="12"/>
  <c r="E30" i="12"/>
  <c r="K30" i="12"/>
  <c r="E34" i="12"/>
  <c r="K34" i="12"/>
  <c r="I40" i="43"/>
  <c r="I39" i="43"/>
  <c r="I37" i="43"/>
  <c r="F15" i="43"/>
  <c r="F14" i="43"/>
  <c r="F15" i="44"/>
  <c r="F14" i="44"/>
  <c r="I41" i="44"/>
  <c r="I39" i="44"/>
  <c r="I17" i="16"/>
  <c r="I16" i="16"/>
  <c r="I15" i="16"/>
  <c r="I14" i="16"/>
  <c r="F14" i="39"/>
  <c r="F15" i="39"/>
  <c r="I42" i="39"/>
  <c r="I41" i="39"/>
  <c r="I40" i="39"/>
  <c r="E21" i="3"/>
  <c r="E20" i="3"/>
  <c r="F18" i="1"/>
  <c r="F17" i="1"/>
  <c r="F16" i="1"/>
  <c r="F15" i="1"/>
  <c r="F14" i="1"/>
  <c r="F17" i="40"/>
  <c r="F15" i="40"/>
  <c r="F14" i="40"/>
  <c r="H47" i="3"/>
  <c r="H46" i="3"/>
  <c r="H45" i="3"/>
  <c r="H44" i="3"/>
  <c r="I44" i="1"/>
  <c r="I43" i="1"/>
  <c r="I42" i="1"/>
  <c r="I41" i="1"/>
  <c r="I43" i="40"/>
  <c r="I42" i="40"/>
  <c r="I41" i="40"/>
  <c r="I40" i="40"/>
  <c r="G53" i="40"/>
  <c r="G54" i="1"/>
  <c r="F57" i="3"/>
  <c r="I39" i="39"/>
  <c r="G52" i="39"/>
  <c r="I38" i="44"/>
  <c r="I40" i="44"/>
  <c r="I38" i="43"/>
  <c r="I40" i="12"/>
  <c r="I41" i="12"/>
  <c r="F17" i="13"/>
  <c r="E30" i="13"/>
  <c r="K30" i="13"/>
  <c r="E34" i="13"/>
  <c r="K34" i="13"/>
  <c r="I39" i="13"/>
  <c r="I47" i="5"/>
  <c r="G57" i="5"/>
  <c r="K62" i="5"/>
  <c r="K67" i="5" s="1"/>
  <c r="K63" i="5"/>
  <c r="K64" i="5"/>
  <c r="K65" i="5"/>
  <c r="I43" i="48"/>
  <c r="I44" i="48"/>
  <c r="K61" i="48"/>
  <c r="K65" i="48" s="1"/>
  <c r="K63" i="48"/>
  <c r="I37" i="31"/>
  <c r="I38" i="31"/>
  <c r="G50" i="31"/>
  <c r="C19" i="52"/>
  <c r="B19" i="52"/>
  <c r="C18" i="52"/>
  <c r="B18" i="52"/>
  <c r="C17" i="52"/>
  <c r="B17" i="52"/>
  <c r="C16" i="52"/>
  <c r="B16" i="52"/>
  <c r="C15" i="52"/>
  <c r="B15" i="52"/>
  <c r="C14" i="52"/>
  <c r="B14" i="52"/>
  <c r="C13" i="52"/>
  <c r="B13" i="52"/>
  <c r="C12" i="52"/>
  <c r="B12" i="52"/>
  <c r="C9" i="52"/>
  <c r="B9" i="52"/>
  <c r="C8" i="52"/>
  <c r="B8" i="52"/>
  <c r="C6" i="52"/>
  <c r="C5" i="52"/>
  <c r="B5" i="52"/>
  <c r="C15" i="33"/>
  <c r="D12" i="33"/>
  <c r="D11" i="33"/>
  <c r="D13" i="33"/>
  <c r="D15" i="33"/>
  <c r="G51" i="44"/>
  <c r="K55" i="44"/>
  <c r="K56" i="44"/>
  <c r="K58" i="44" s="1"/>
  <c r="G50" i="43"/>
  <c r="K54" i="43"/>
  <c r="K58" i="43" s="1"/>
  <c r="K56" i="43"/>
  <c r="K31" i="16"/>
  <c r="K38" i="16" s="1"/>
  <c r="K33" i="16"/>
  <c r="K35" i="16"/>
  <c r="G51" i="12"/>
  <c r="G51" i="13"/>
  <c r="K55" i="13"/>
  <c r="K58" i="13"/>
  <c r="G56" i="48"/>
  <c r="D16" i="33"/>
  <c r="D18" i="33"/>
  <c r="D21" i="33"/>
  <c r="D19" i="33"/>
  <c r="D22" i="33"/>
  <c r="E63" i="12"/>
  <c r="D62" i="3"/>
  <c r="E63" i="31"/>
  <c r="E73" i="5"/>
  <c r="E57" i="39"/>
  <c r="E62" i="43"/>
  <c r="E63" i="13"/>
  <c r="E59" i="1"/>
  <c r="E69" i="48"/>
  <c r="E64" i="44"/>
  <c r="F18" i="39"/>
  <c r="E31" i="39"/>
  <c r="K31" i="39" s="1"/>
  <c r="I42" i="55"/>
  <c r="I43" i="55"/>
  <c r="K45" i="55"/>
  <c r="G18" i="39"/>
  <c r="F22" i="39"/>
  <c r="G20" i="1"/>
  <c r="C24" i="1"/>
  <c r="E29" i="1"/>
  <c r="K29" i="1"/>
  <c r="E23" i="3"/>
  <c r="D36" i="3"/>
  <c r="J36" i="3"/>
  <c r="D40" i="3"/>
  <c r="J40" i="3"/>
  <c r="F17" i="43"/>
  <c r="E29" i="43"/>
  <c r="K29" i="43"/>
  <c r="E33" i="43"/>
  <c r="K33" i="43"/>
  <c r="G19" i="40"/>
  <c r="F23" i="40"/>
  <c r="H48" i="3"/>
  <c r="H49" i="3"/>
  <c r="J51" i="3"/>
  <c r="G22" i="48"/>
  <c r="F26" i="48"/>
  <c r="F23" i="3"/>
  <c r="B27" i="3"/>
  <c r="I42" i="44"/>
  <c r="I43" i="44"/>
  <c r="K45" i="44"/>
  <c r="G17" i="44"/>
  <c r="C21" i="44"/>
  <c r="G17" i="43"/>
  <c r="F20" i="43"/>
  <c r="I43" i="39"/>
  <c r="I44" i="39"/>
  <c r="G23" i="5"/>
  <c r="C27" i="5"/>
  <c r="C20" i="31"/>
  <c r="K20" i="31"/>
  <c r="K46" i="31" s="1"/>
  <c r="D50" i="31" s="1"/>
  <c r="K50" i="31" s="1"/>
  <c r="I47" i="48"/>
  <c r="F23" i="5"/>
  <c r="E36" i="5"/>
  <c r="K36" i="5" s="1"/>
  <c r="E40" i="5" s="1"/>
  <c r="K40" i="5" s="1"/>
  <c r="E19" i="56"/>
  <c r="D33" i="56"/>
  <c r="J33" i="56" s="1"/>
  <c r="F19" i="56"/>
  <c r="B24" i="56"/>
  <c r="F17" i="44"/>
  <c r="E30" i="44"/>
  <c r="K30" i="44"/>
  <c r="F21" i="55"/>
  <c r="E31" i="55"/>
  <c r="K31" i="55" s="1"/>
  <c r="H45" i="56"/>
  <c r="H46" i="56"/>
  <c r="J48" i="56"/>
  <c r="F19" i="40"/>
  <c r="E32" i="40"/>
  <c r="K32" i="40"/>
  <c r="E36" i="40"/>
  <c r="K36" i="40"/>
  <c r="F20" i="1"/>
  <c r="E33" i="1"/>
  <c r="K33" i="1"/>
  <c r="E37" i="1"/>
  <c r="K37" i="1"/>
  <c r="F22" i="48"/>
  <c r="E35" i="48"/>
  <c r="K35" i="48" s="1"/>
  <c r="E21" i="54"/>
  <c r="D31" i="54"/>
  <c r="J31" i="54" s="1"/>
  <c r="F21" i="54"/>
  <c r="B24" i="54"/>
  <c r="C21" i="13"/>
  <c r="F21" i="13"/>
  <c r="I48" i="5"/>
  <c r="F24" i="55"/>
  <c r="C24" i="55"/>
  <c r="I41" i="43"/>
  <c r="I42" i="12"/>
  <c r="I42" i="13"/>
  <c r="I44" i="40"/>
  <c r="I45" i="1"/>
  <c r="I18" i="16"/>
  <c r="H41" i="54"/>
  <c r="I41" i="31"/>
  <c r="C21" i="12"/>
  <c r="F21" i="12"/>
  <c r="C26" i="48"/>
  <c r="E31" i="48"/>
  <c r="K31" i="48"/>
  <c r="C20" i="43"/>
  <c r="E25" i="43"/>
  <c r="K25" i="43"/>
  <c r="K46" i="39"/>
  <c r="C22" i="39"/>
  <c r="K22" i="39"/>
  <c r="E27" i="3"/>
  <c r="J27" i="3"/>
  <c r="K20" i="43"/>
  <c r="K46" i="43" s="1"/>
  <c r="D50" i="43" s="1"/>
  <c r="K50" i="43" s="1"/>
  <c r="F24" i="1"/>
  <c r="K24" i="1"/>
  <c r="F21" i="44"/>
  <c r="F27" i="5"/>
  <c r="K27" i="5"/>
  <c r="K53" i="5" s="1"/>
  <c r="D57" i="5" s="1"/>
  <c r="K57" i="5" s="1"/>
  <c r="E24" i="54"/>
  <c r="J24" i="54"/>
  <c r="E24" i="56"/>
  <c r="J24" i="56"/>
  <c r="E25" i="31"/>
  <c r="K25" i="31"/>
  <c r="C23" i="40"/>
  <c r="K23" i="40"/>
  <c r="K49" i="40" s="1"/>
  <c r="D53" i="40" s="1"/>
  <c r="K53" i="40" s="1"/>
  <c r="K56" i="40" s="1"/>
  <c r="K60" i="40" s="1"/>
  <c r="E5" i="52" s="1"/>
  <c r="F5" i="52" s="1"/>
  <c r="K21" i="44"/>
  <c r="E26" i="44"/>
  <c r="K26" i="44"/>
  <c r="I48" i="48"/>
  <c r="K50" i="48"/>
  <c r="E26" i="13"/>
  <c r="K26" i="13"/>
  <c r="K21" i="13"/>
  <c r="K47" i="13" s="1"/>
  <c r="D51" i="13" s="1"/>
  <c r="K51" i="13" s="1"/>
  <c r="D28" i="54"/>
  <c r="J28" i="54"/>
  <c r="I45" i="40"/>
  <c r="K47" i="40"/>
  <c r="I42" i="43"/>
  <c r="K44" i="43"/>
  <c r="E28" i="55"/>
  <c r="K28" i="55"/>
  <c r="K24" i="55"/>
  <c r="D32" i="3"/>
  <c r="J32" i="3"/>
  <c r="I46" i="1"/>
  <c r="K48" i="1"/>
  <c r="I43" i="12"/>
  <c r="K45" i="12"/>
  <c r="K21" i="12"/>
  <c r="K47" i="12" s="1"/>
  <c r="D51" i="12" s="1"/>
  <c r="K51" i="12" s="1"/>
  <c r="E26" i="12"/>
  <c r="K26" i="12"/>
  <c r="H42" i="54"/>
  <c r="J44" i="54"/>
  <c r="D29" i="56"/>
  <c r="J29" i="56"/>
  <c r="E32" i="5"/>
  <c r="K32" i="5"/>
  <c r="I42" i="31"/>
  <c r="K44" i="31"/>
  <c r="I19" i="16"/>
  <c r="I20" i="16"/>
  <c r="I43" i="13"/>
  <c r="K45" i="13"/>
  <c r="I49" i="5"/>
  <c r="K51" i="5"/>
  <c r="K26" i="48"/>
  <c r="E27" i="39"/>
  <c r="K27" i="39"/>
  <c r="E28" i="40"/>
  <c r="K28" i="40"/>
  <c r="I21" i="16"/>
  <c r="K23" i="16"/>
  <c r="K27" i="16"/>
  <c r="K41" i="16" s="1"/>
  <c r="K45" i="16" s="1"/>
  <c r="E12" i="52" s="1"/>
  <c r="F12" i="52" s="1"/>
  <c r="E34" i="55"/>
  <c r="K34" i="55"/>
  <c r="K47" i="55"/>
  <c r="D51" i="55"/>
  <c r="K51" i="55"/>
  <c r="K60" i="55"/>
  <c r="K64" i="55"/>
  <c r="E11" i="52"/>
  <c r="F11" i="52"/>
  <c r="E34" i="44"/>
  <c r="K34" i="44"/>
  <c r="K47" i="44"/>
  <c r="D51" i="44"/>
  <c r="K51" i="44"/>
  <c r="K62" i="44"/>
  <c r="K66" i="44"/>
  <c r="E13" i="52"/>
  <c r="F13" i="52"/>
  <c r="K60" i="43"/>
  <c r="K64" i="43"/>
  <c r="E14" i="52"/>
  <c r="F14" i="52"/>
  <c r="K61" i="12"/>
  <c r="K65" i="12"/>
  <c r="E15" i="52"/>
  <c r="F15" i="52"/>
  <c r="K50" i="1"/>
  <c r="D54" i="1"/>
  <c r="K54" i="1"/>
  <c r="K57" i="1"/>
  <c r="K61" i="1"/>
  <c r="E6" i="52"/>
  <c r="F6" i="52"/>
  <c r="K61" i="13"/>
  <c r="K65" i="13"/>
  <c r="E16" i="52"/>
  <c r="F16" i="52"/>
  <c r="K60" i="31"/>
  <c r="K65" i="31"/>
  <c r="E19" i="52"/>
  <c r="F19" i="52"/>
  <c r="K69" i="5"/>
  <c r="E71" i="5"/>
  <c r="K71" i="5"/>
  <c r="K75" i="5"/>
  <c r="E17" i="52"/>
  <c r="F17" i="52"/>
  <c r="J53" i="3" l="1"/>
  <c r="C57" i="3" s="1"/>
  <c r="J57" i="3" s="1"/>
  <c r="J60" i="3" s="1"/>
  <c r="J64" i="3" s="1"/>
  <c r="E8" i="52" s="1"/>
  <c r="F8" i="52" s="1"/>
  <c r="D34" i="54"/>
  <c r="J34" i="54" s="1"/>
  <c r="J46" i="54"/>
  <c r="C49" i="54" s="1"/>
  <c r="J49" i="54" s="1"/>
  <c r="J55" i="54" s="1"/>
  <c r="J59" i="54" s="1"/>
  <c r="E10" i="52" s="1"/>
  <c r="F10" i="52" s="1"/>
  <c r="E39" i="48"/>
  <c r="K39" i="48" s="1"/>
  <c r="K52" i="48"/>
  <c r="D56" i="48" s="1"/>
  <c r="K56" i="48" s="1"/>
  <c r="K67" i="48" s="1"/>
  <c r="K71" i="48" s="1"/>
  <c r="E18" i="52" s="1"/>
  <c r="F18" i="52" s="1"/>
  <c r="D37" i="56"/>
  <c r="J37" i="56" s="1"/>
  <c r="J50" i="56"/>
  <c r="C54" i="56" s="1"/>
  <c r="J54" i="56" s="1"/>
  <c r="J57" i="56" s="1"/>
  <c r="J61" i="56" s="1"/>
  <c r="E7" i="52" s="1"/>
  <c r="F7" i="52" s="1"/>
  <c r="E35" i="39"/>
  <c r="K35" i="39" s="1"/>
  <c r="K48" i="39"/>
  <c r="D52" i="39" s="1"/>
  <c r="K52" i="39" s="1"/>
  <c r="K55" i="39" s="1"/>
  <c r="K59" i="39" s="1"/>
  <c r="E9" i="52" s="1"/>
  <c r="F9" i="52" s="1"/>
  <c r="G29" i="52"/>
  <c r="F20" i="52" l="1"/>
  <c r="G28" i="52"/>
  <c r="G27" i="52"/>
  <c r="G30" i="52" l="1"/>
  <c r="H29" i="52" s="1"/>
  <c r="I20" i="52"/>
  <c r="I21" i="52" s="1"/>
  <c r="H28" i="52" l="1"/>
  <c r="H27" i="52"/>
  <c r="H30" i="52" s="1"/>
</calcChain>
</file>

<file path=xl/comments1.xml><?xml version="1.0" encoding="utf-8"?>
<comments xmlns="http://schemas.openxmlformats.org/spreadsheetml/2006/main">
  <authors>
    <author>Bj</author>
  </authors>
  <commentList>
    <comment ref="D13" authorId="0">
      <text>
        <r>
          <rPr>
            <sz val="8"/>
            <color indexed="81"/>
            <rFont val="Tahoma"/>
            <family val="2"/>
          </rPr>
          <t xml:space="preserve">Actualizado a MAR/12
</t>
        </r>
      </text>
    </comment>
  </commentList>
</comments>
</file>

<file path=xl/sharedStrings.xml><?xml version="1.0" encoding="utf-8"?>
<sst xmlns="http://schemas.openxmlformats.org/spreadsheetml/2006/main" count="1725" uniqueCount="254">
  <si>
    <t>EQUIPOS</t>
  </si>
  <si>
    <t>TOPADORA</t>
  </si>
  <si>
    <t>CARGADORA FRONTAL</t>
  </si>
  <si>
    <t>POTENCIA</t>
  </si>
  <si>
    <t>PRECIO</t>
  </si>
  <si>
    <t>AMORTIZACION E INTERESES</t>
  </si>
  <si>
    <t>$</t>
  </si>
  <si>
    <t xml:space="preserve"> +</t>
  </si>
  <si>
    <t>2 x 2000 h/a</t>
  </si>
  <si>
    <t xml:space="preserve"> /a</t>
  </si>
  <si>
    <t>=</t>
  </si>
  <si>
    <t>x</t>
  </si>
  <si>
    <t>de amortización</t>
  </si>
  <si>
    <t>$/h</t>
  </si>
  <si>
    <t xml:space="preserve"> =</t>
  </si>
  <si>
    <t xml:space="preserve">Gas - Oil </t>
  </si>
  <si>
    <t>l/HP x h</t>
  </si>
  <si>
    <t>HP</t>
  </si>
  <si>
    <t>$/l</t>
  </si>
  <si>
    <t xml:space="preserve">COMBUSTIBLES </t>
  </si>
  <si>
    <t>LUBRICANTES</t>
  </si>
  <si>
    <t>de combustibles</t>
  </si>
  <si>
    <t>MANO DE OBRA</t>
  </si>
  <si>
    <t>Of. Especializado</t>
  </si>
  <si>
    <t>Ayudante</t>
  </si>
  <si>
    <t>Oficial</t>
  </si>
  <si>
    <t>Total Mano de Obra</t>
  </si>
  <si>
    <t>Rendimiento</t>
  </si>
  <si>
    <t>m3/h</t>
  </si>
  <si>
    <t xml:space="preserve"> /</t>
  </si>
  <si>
    <t>$/m3</t>
  </si>
  <si>
    <t>REPARACIONES Y REPUESTOS</t>
  </si>
  <si>
    <t>(HP)</t>
  </si>
  <si>
    <t>($)</t>
  </si>
  <si>
    <t>h</t>
  </si>
  <si>
    <t>MOTONIVELADORA</t>
  </si>
  <si>
    <t>CAMION REGADOR</t>
  </si>
  <si>
    <t>Medio Oficial</t>
  </si>
  <si>
    <t>CAMIONES VOLCADORES</t>
  </si>
  <si>
    <t>NUM</t>
  </si>
  <si>
    <t>Vigilancia</t>
  </si>
  <si>
    <t>m2/h</t>
  </si>
  <si>
    <t>$/m2</t>
  </si>
  <si>
    <t>EJECUCION</t>
  </si>
  <si>
    <t xml:space="preserve">COSTO HORARIO </t>
  </si>
  <si>
    <t>COSTO EJECUCION</t>
  </si>
  <si>
    <t>MATERIALES</t>
  </si>
  <si>
    <t>m3/m2</t>
  </si>
  <si>
    <t>$ x</t>
  </si>
  <si>
    <t>$/m3  x</t>
  </si>
  <si>
    <t>ARENA</t>
  </si>
  <si>
    <t>m3/m3</t>
  </si>
  <si>
    <t>COSTO MATERIALES</t>
  </si>
  <si>
    <t>COSTO TOTAL UNITARIO</t>
  </si>
  <si>
    <t>COEFICIENTE RESUMEN</t>
  </si>
  <si>
    <t>PRECIO UNITARIO DEL ITEM</t>
  </si>
  <si>
    <t>UNIDAD:</t>
  </si>
  <si>
    <t>FECHA:</t>
  </si>
  <si>
    <t>m2</t>
  </si>
  <si>
    <t>RETROEXCAVADORA</t>
  </si>
  <si>
    <t>CAMION VOLCADOR</t>
  </si>
  <si>
    <t>m3</t>
  </si>
  <si>
    <t>$   x</t>
  </si>
  <si>
    <t>de amortización =</t>
  </si>
  <si>
    <t>$/h x 0,5</t>
  </si>
  <si>
    <t>RODILLO VIBRANTE</t>
  </si>
  <si>
    <t>TRACTOR S/NEUMÁT.</t>
  </si>
  <si>
    <t>RODILLO NEUMAT.AUTOPR.</t>
  </si>
  <si>
    <t>$/Tn  x</t>
  </si>
  <si>
    <t>REGADOR DE ASFALTO</t>
  </si>
  <si>
    <t>Asfalto diluído E.M. 1</t>
  </si>
  <si>
    <t>Cemento portland</t>
  </si>
  <si>
    <t>Tn/m3</t>
  </si>
  <si>
    <t>Agregado fino</t>
  </si>
  <si>
    <t>Agregado grueso</t>
  </si>
  <si>
    <t>Agua</t>
  </si>
  <si>
    <t>Madera</t>
  </si>
  <si>
    <t>Clavos y alambre</t>
  </si>
  <si>
    <t>$/Kg  x</t>
  </si>
  <si>
    <t>Kg/m3</t>
  </si>
  <si>
    <t>COSTO MANO DE OBRA</t>
  </si>
  <si>
    <t>(Elaboración, hormigonado, encofrado y desencofrado, etc.)</t>
  </si>
  <si>
    <t>Costo Horario</t>
  </si>
  <si>
    <t>Incidencia por equipos, combust, herram. menores, etc.:</t>
  </si>
  <si>
    <t>tn/h</t>
  </si>
  <si>
    <t>$/tn</t>
  </si>
  <si>
    <t>AGREGADO ZARANDEADO</t>
  </si>
  <si>
    <t>$/tn  x</t>
  </si>
  <si>
    <t>tn/tn</t>
  </si>
  <si>
    <t>AGREGADO TRITURADO</t>
  </si>
  <si>
    <t>FUEL OIL</t>
  </si>
  <si>
    <t>tn/m2</t>
  </si>
  <si>
    <t>COSTO TOTAL UNITARIO en toneladas</t>
  </si>
  <si>
    <t>COSTO TOTAL UNITARIO en m2</t>
  </si>
  <si>
    <t xml:space="preserve">CARGADORA FRONTAL </t>
  </si>
  <si>
    <t>m</t>
  </si>
  <si>
    <t>m/hs</t>
  </si>
  <si>
    <t>POSTES METALICOS</t>
  </si>
  <si>
    <t>$/m</t>
  </si>
  <si>
    <t xml:space="preserve">COSTO TOTAL UNITARIO </t>
  </si>
  <si>
    <t>CALCULO DEL COEFICIENTE RESUMEN</t>
  </si>
  <si>
    <t>HERRAM.MANUALES</t>
  </si>
  <si>
    <t>$/m3      x</t>
  </si>
  <si>
    <t>$/m3       x</t>
  </si>
  <si>
    <t>CEMENTO ASFALTICO</t>
  </si>
  <si>
    <t>RELLENO MINERAL (CAL)</t>
  </si>
  <si>
    <t>ha/h</t>
  </si>
  <si>
    <t>$/ha</t>
  </si>
  <si>
    <t>$/m2  x</t>
  </si>
  <si>
    <t>m/h</t>
  </si>
  <si>
    <t>$/m  x</t>
  </si>
  <si>
    <t>m/m</t>
  </si>
  <si>
    <t>GAVIONES Y COLCHONETAS</t>
  </si>
  <si>
    <t>AGREGADO PETREO</t>
  </si>
  <si>
    <t>GEOTEXTIL</t>
  </si>
  <si>
    <t>m2/m3</t>
  </si>
  <si>
    <t>BANDAS DE UNION</t>
  </si>
  <si>
    <t>$/u  x</t>
  </si>
  <si>
    <t>u/m</t>
  </si>
  <si>
    <t>TRANSPORTE A OBRA</t>
  </si>
  <si>
    <t>km x</t>
  </si>
  <si>
    <t>$ m/ km</t>
  </si>
  <si>
    <t>CAÑO DIAM 0.80 OND 68 x 13</t>
  </si>
  <si>
    <t>Ha.</t>
  </si>
  <si>
    <t xml:space="preserve">Terraplenes </t>
  </si>
  <si>
    <t>Asfalto diluído E.R. 1</t>
  </si>
  <si>
    <t>Hormigón H-17</t>
  </si>
  <si>
    <t>EMULSION R.R.C. 1</t>
  </si>
  <si>
    <t>AGREGADO GRUESO</t>
  </si>
  <si>
    <t>AGREGADO INTERMEDIO</t>
  </si>
  <si>
    <t>Costo neto</t>
  </si>
  <si>
    <t>Gastos generales e indirectos ( 25%)</t>
  </si>
  <si>
    <t xml:space="preserve">Beneficios   (10%) </t>
  </si>
  <si>
    <t>Gastos financieros ( 1,57% mensual)</t>
  </si>
  <si>
    <t>(3 meses x valor tasa int. anual vencido)</t>
  </si>
  <si>
    <t>Ingreso bruto ( 2,5%)</t>
  </si>
  <si>
    <t>Transacciones bancarias(1,2%)</t>
  </si>
  <si>
    <t>I.V.A.  ( 21 % )</t>
  </si>
  <si>
    <t>Item</t>
  </si>
  <si>
    <t>Descripción</t>
  </si>
  <si>
    <t>Unidad</t>
  </si>
  <si>
    <t>Cantidad</t>
  </si>
  <si>
    <t>Precio Unitario por item</t>
  </si>
  <si>
    <t>Precio total por item</t>
  </si>
  <si>
    <t xml:space="preserve">ITEM Nº 1: </t>
  </si>
  <si>
    <t xml:space="preserve">ITEM Nº 2:  </t>
  </si>
  <si>
    <t>Excavaciones para Fundaciones</t>
  </si>
  <si>
    <t xml:space="preserve">ITEM Nº 5:  </t>
  </si>
  <si>
    <t>Gaviones y Colchones de Alambre Tejido Galvanizado, Colocado, con Filtro de Geotextil</t>
  </si>
  <si>
    <t xml:space="preserve">ITEM Nº 9: </t>
  </si>
  <si>
    <t>Ejecución de Carpeta con Mezcla Bituminosa, Preparada en Caliente</t>
  </si>
  <si>
    <t>Ejecución de Tratamiento Bituminoso Superficial  tipo Doble con Sellado de arena</t>
  </si>
  <si>
    <t>Barandas Metalica Cincada para Defensa</t>
  </si>
  <si>
    <t>Excavación Común</t>
  </si>
  <si>
    <t>Desbosque, Destronque y Limpieza del Terreno</t>
  </si>
  <si>
    <t>TOTAL</t>
  </si>
  <si>
    <t>Caños Circulares de Chapas de Acero Galvanizadas Onduladas (diám. 0,80 - ond. 68 x 13)</t>
  </si>
  <si>
    <t>Imprimación con Material Bituminoso E.M.-1</t>
  </si>
  <si>
    <t>Riego de Liga con Material Bituminoso E.R.-1</t>
  </si>
  <si>
    <t>COMPUTO Y PRESUPUESTO</t>
  </si>
  <si>
    <t>Mes Base</t>
  </si>
  <si>
    <t>Gas Oil</t>
  </si>
  <si>
    <t>Precio</t>
  </si>
  <si>
    <t xml:space="preserve">MOTONIVELADORA </t>
  </si>
  <si>
    <t>COMPACT. 2 ROD.LISOS TANDEM -11 T</t>
  </si>
  <si>
    <t>COMPACTADOR DE NEUM.AUTOP.-22 T</t>
  </si>
  <si>
    <t>TRACTOR SOBRE NEUMATICOS 96 HP</t>
  </si>
  <si>
    <t>PLANTA ASF.CONTRA FLUJO TE 120 T/h</t>
  </si>
  <si>
    <t>TERMINADORA ASFALT. S/CARR. 120 T/h</t>
  </si>
  <si>
    <t>GRUPO ELECTROGENO 320 KVA-256 KW</t>
  </si>
  <si>
    <t xml:space="preserve">CARGADOR FRONTAL </t>
  </si>
  <si>
    <t>BARREDORA SOPLADORA AUTOP.</t>
  </si>
  <si>
    <t>RASTRA DE CEPILLOS</t>
  </si>
  <si>
    <t>CARGADOR FRONTAL</t>
  </si>
  <si>
    <t>COMPACTADOR DE NEUM.</t>
  </si>
  <si>
    <t xml:space="preserve">TRACTOR SOBRE NEUMATICOS </t>
  </si>
  <si>
    <t>BARANDA METALICA CINCADA 7,62 mts</t>
  </si>
  <si>
    <t>$/Un</t>
  </si>
  <si>
    <t>ALAS TERMINALES</t>
  </si>
  <si>
    <t>MARZO/12</t>
  </si>
  <si>
    <t>MAT.GRANULAR P.SUB BASE</t>
  </si>
  <si>
    <t>MAT.GRANULAR P. BASE</t>
  </si>
  <si>
    <t xml:space="preserve">ITEM Nº 3:  </t>
  </si>
  <si>
    <t>Excavación en Roca sin explosivos</t>
  </si>
  <si>
    <t>RETROEXCAVADORA CON MARTILLO NEUMATICO</t>
  </si>
  <si>
    <t>Construcción de SubBase Drenante</t>
  </si>
  <si>
    <t>Construcción de Base Anticongelante</t>
  </si>
  <si>
    <t>ITEM Nº 4:</t>
  </si>
  <si>
    <t>ITEM Nº 6:</t>
  </si>
  <si>
    <t>ITEM Nº 7:</t>
  </si>
  <si>
    <t xml:space="preserve">ITEM Nº 8:  </t>
  </si>
  <si>
    <t xml:space="preserve">ITEM Nº 10:  </t>
  </si>
  <si>
    <t xml:space="preserve">ITEM Nº 11: </t>
  </si>
  <si>
    <t xml:space="preserve">ITEM Nº 12: </t>
  </si>
  <si>
    <t>ITEM Nº 13:</t>
  </si>
  <si>
    <t xml:space="preserve">ITEM Nº14: </t>
  </si>
  <si>
    <t>ITEM Nº 15:</t>
  </si>
  <si>
    <t xml:space="preserve">Amarillo: Actualizar precios </t>
  </si>
  <si>
    <t xml:space="preserve">I T E M </t>
  </si>
  <si>
    <t>UNIDAD</t>
  </si>
  <si>
    <t>3.05.05</t>
  </si>
  <si>
    <t>Oficial especializado</t>
  </si>
  <si>
    <t>u</t>
  </si>
  <si>
    <t>3.05.10</t>
  </si>
  <si>
    <t>3.05.15</t>
  </si>
  <si>
    <t>Medio oficial</t>
  </si>
  <si>
    <t>3.05.20</t>
  </si>
  <si>
    <t>materiales CAC</t>
  </si>
  <si>
    <t xml:space="preserve">Coef a aplicar </t>
  </si>
  <si>
    <t>Dólar mar/12</t>
  </si>
  <si>
    <t>Ejemplo</t>
  </si>
  <si>
    <t>Motonoveladora a mar/12 según CAC</t>
  </si>
  <si>
    <t>Motonoveladora a mar/18 según CAC</t>
  </si>
  <si>
    <t>VARIACIÓN</t>
  </si>
  <si>
    <t>Marzo 2018</t>
  </si>
  <si>
    <t>sub base drenante</t>
  </si>
  <si>
    <t>base anticongelante</t>
  </si>
  <si>
    <t>P.K. final:  13+774.249</t>
  </si>
  <si>
    <t>km:</t>
  </si>
  <si>
    <t>ml</t>
  </si>
  <si>
    <t>Aplicando Coef según CAC</t>
  </si>
  <si>
    <t>Aplicando Coef según Dólar</t>
  </si>
  <si>
    <t>Dólar JUL/18</t>
  </si>
  <si>
    <t>Actualizado por nosotros</t>
  </si>
  <si>
    <t xml:space="preserve">Boletin oficial </t>
  </si>
  <si>
    <t>SEGÚN:</t>
  </si>
  <si>
    <t>Coef  materiales CAC MAR-18</t>
  </si>
  <si>
    <t>Coef  dolar a JULIO 2018</t>
  </si>
  <si>
    <t>DÓLAR</t>
  </si>
  <si>
    <t>RELEVAMIENTO</t>
  </si>
  <si>
    <t>Volumen de terraplen sacado de el informe de volumenes</t>
  </si>
  <si>
    <t>Espesor Sub base</t>
  </si>
  <si>
    <t>cm</t>
  </si>
  <si>
    <t>Ancho de carril</t>
  </si>
  <si>
    <t>ancho de banquina</t>
  </si>
  <si>
    <t>Espesor de base en carril</t>
  </si>
  <si>
    <t>Espesor de base en banquina</t>
  </si>
  <si>
    <t>Volumen de Desmonte sacado de el informe de volumenes</t>
  </si>
  <si>
    <t>Dolares</t>
  </si>
  <si>
    <t>por km</t>
  </si>
  <si>
    <t>Obra basica</t>
  </si>
  <si>
    <t>Estructura</t>
  </si>
  <si>
    <t>Obras accesorias</t>
  </si>
  <si>
    <t>b</t>
  </si>
  <si>
    <t>e</t>
  </si>
  <si>
    <t>a</t>
  </si>
  <si>
    <t>Total de obra</t>
  </si>
  <si>
    <t>%Incidencia</t>
  </si>
  <si>
    <t>Monto</t>
  </si>
  <si>
    <t>PROYECTO RURAL</t>
  </si>
  <si>
    <t>TRAMO:  RUTA PROVINCIAL N°63</t>
  </si>
  <si>
    <t>EL MOLLE - JOSÉ DE SAN MARTÍN</t>
  </si>
  <si>
    <t>Jul-18</t>
  </si>
  <si>
    <t>jul-18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</si>
</sst>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$&quot;\ * #,##0.00_ ;_ &quot;$&quot;\ * \-#,##0.00_ ;_ &quot;$&quot;\ * &quot;-&quot;??_ ;_ @_ "/>
    <numFmt numFmtId="164" formatCode="_-&quot;$&quot;\ * #,##0.00_-;\-&quot;$&quot;\ * #,##0.00_-;_-&quot;$&quot;\ * &quot;-&quot;??_-;_-@_-"/>
    <numFmt numFmtId="165" formatCode="_(&quot;$&quot;* #,##0.00_);_(&quot;$&quot;* \(#,##0.00\);_(&quot;$&quot;* &quot;-&quot;??_);_(@_)"/>
    <numFmt numFmtId="166" formatCode="0.0"/>
    <numFmt numFmtId="167" formatCode="#,##0.000"/>
    <numFmt numFmtId="168" formatCode="#,##0.0000"/>
    <numFmt numFmtId="169" formatCode="&quot;$&quot;\ #,##0.00"/>
    <numFmt numFmtId="170" formatCode="0.0000"/>
    <numFmt numFmtId="171" formatCode="0.00;[Red]0.00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2" fillId="0" borderId="0"/>
    <xf numFmtId="165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/>
    <xf numFmtId="0" fontId="5" fillId="0" borderId="0"/>
  </cellStyleXfs>
  <cellXfs count="327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1" xfId="0" applyNumberForma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0" fillId="0" borderId="2" xfId="0" applyNumberFormat="1" applyBorder="1"/>
    <xf numFmtId="4" fontId="0" fillId="0" borderId="3" xfId="0" applyNumberFormat="1" applyBorder="1"/>
    <xf numFmtId="4" fontId="3" fillId="0" borderId="0" xfId="0" applyNumberFormat="1" applyFont="1" applyAlignment="1">
      <alignment horizontal="left"/>
    </xf>
    <xf numFmtId="4" fontId="0" fillId="0" borderId="0" xfId="0" applyNumberFormat="1" applyBorder="1"/>
    <xf numFmtId="4" fontId="2" fillId="2" borderId="4" xfId="0" applyNumberFormat="1" applyFont="1" applyFill="1" applyBorder="1" applyAlignment="1">
      <alignment vertical="center"/>
    </xf>
    <xf numFmtId="4" fontId="2" fillId="2" borderId="5" xfId="0" applyNumberFormat="1" applyFont="1" applyFill="1" applyBorder="1" applyAlignment="1">
      <alignment vertical="center"/>
    </xf>
    <xf numFmtId="4" fontId="2" fillId="2" borderId="6" xfId="0" applyNumberFormat="1" applyFont="1" applyFill="1" applyBorder="1"/>
    <xf numFmtId="4" fontId="0" fillId="2" borderId="7" xfId="0" applyNumberFormat="1" applyFill="1" applyBorder="1"/>
    <xf numFmtId="4" fontId="0" fillId="2" borderId="8" xfId="0" applyNumberFormat="1" applyFill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0" xfId="0" applyNumberFormat="1" applyBorder="1" applyAlignment="1">
      <alignment horizontal="center"/>
    </xf>
    <xf numFmtId="4" fontId="0" fillId="0" borderId="12" xfId="0" applyNumberFormat="1" applyBorder="1"/>
    <xf numFmtId="166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10" fontId="0" fillId="0" borderId="0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5" xfId="0" applyNumberFormat="1" applyBorder="1"/>
    <xf numFmtId="167" fontId="0" fillId="0" borderId="0" xfId="0" applyNumberFormat="1" applyBorder="1" applyAlignment="1">
      <alignment horizontal="center"/>
    </xf>
    <xf numFmtId="4" fontId="2" fillId="0" borderId="0" xfId="0" applyNumberFormat="1" applyFont="1" applyBorder="1"/>
    <xf numFmtId="10" fontId="0" fillId="0" borderId="0" xfId="0" applyNumberFormat="1" applyBorder="1" applyAlignment="1">
      <alignment horizontal="center"/>
    </xf>
    <xf numFmtId="4" fontId="0" fillId="2" borderId="5" xfId="0" applyNumberFormat="1" applyFill="1" applyBorder="1" applyAlignment="1">
      <alignment vertical="center"/>
    </xf>
    <xf numFmtId="4" fontId="0" fillId="2" borderId="16" xfId="0" applyNumberFormat="1" applyFill="1" applyBorder="1" applyAlignment="1">
      <alignment vertical="center"/>
    </xf>
    <xf numFmtId="4" fontId="2" fillId="2" borderId="7" xfId="0" applyNumberFormat="1" applyFont="1" applyFill="1" applyBorder="1"/>
    <xf numFmtId="4" fontId="2" fillId="0" borderId="1" xfId="0" applyNumberFormat="1" applyFont="1" applyBorder="1"/>
    <xf numFmtId="4" fontId="2" fillId="0" borderId="2" xfId="0" applyNumberFormat="1" applyFont="1" applyBorder="1"/>
    <xf numFmtId="4" fontId="0" fillId="0" borderId="17" xfId="0" applyNumberFormat="1" applyBorder="1"/>
    <xf numFmtId="4" fontId="0" fillId="0" borderId="17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4" fontId="2" fillId="0" borderId="7" xfId="0" applyNumberFormat="1" applyFont="1" applyFill="1" applyBorder="1"/>
    <xf numFmtId="4" fontId="0" fillId="0" borderId="7" xfId="0" applyNumberFormat="1" applyFill="1" applyBorder="1"/>
    <xf numFmtId="4" fontId="0" fillId="0" borderId="18" xfId="0" applyNumberFormat="1" applyFill="1" applyBorder="1"/>
    <xf numFmtId="4" fontId="2" fillId="0" borderId="19" xfId="0" applyNumberFormat="1" applyFont="1" applyFill="1" applyBorder="1"/>
    <xf numFmtId="2" fontId="0" fillId="0" borderId="0" xfId="0" applyNumberFormat="1" applyBorder="1" applyAlignment="1">
      <alignment horizontal="center"/>
    </xf>
    <xf numFmtId="4" fontId="4" fillId="0" borderId="0" xfId="0" applyNumberFormat="1" applyFont="1" applyBorder="1" applyAlignment="1">
      <alignment horizontal="right"/>
    </xf>
    <xf numFmtId="4" fontId="0" fillId="0" borderId="9" xfId="0" applyNumberFormat="1" applyBorder="1" applyAlignment="1">
      <alignment horizontal="right"/>
    </xf>
    <xf numFmtId="167" fontId="0" fillId="0" borderId="0" xfId="0" applyNumberFormat="1" applyBorder="1"/>
    <xf numFmtId="4" fontId="0" fillId="0" borderId="0" xfId="0" applyNumberFormat="1" applyBorder="1" applyAlignment="1"/>
    <xf numFmtId="4" fontId="0" fillId="0" borderId="0" xfId="0" applyNumberFormat="1" applyFill="1" applyBorder="1"/>
    <xf numFmtId="4" fontId="3" fillId="0" borderId="0" xfId="0" applyNumberFormat="1" applyFont="1" applyBorder="1" applyAlignment="1">
      <alignment horizontal="center"/>
    </xf>
    <xf numFmtId="4" fontId="2" fillId="0" borderId="11" xfId="0" applyNumberFormat="1" applyFont="1" applyFill="1" applyBorder="1"/>
    <xf numFmtId="4" fontId="2" fillId="0" borderId="0" xfId="0" applyNumberFormat="1" applyFont="1" applyFill="1" applyBorder="1"/>
    <xf numFmtId="4" fontId="0" fillId="0" borderId="12" xfId="0" applyNumberFormat="1" applyFill="1" applyBorder="1"/>
    <xf numFmtId="4" fontId="2" fillId="2" borderId="4" xfId="0" applyNumberFormat="1" applyFont="1" applyFill="1" applyBorder="1"/>
    <xf numFmtId="4" fontId="2" fillId="2" borderId="5" xfId="0" applyNumberFormat="1" applyFont="1" applyFill="1" applyBorder="1"/>
    <xf numFmtId="4" fontId="0" fillId="2" borderId="5" xfId="0" applyNumberFormat="1" applyFill="1" applyBorder="1"/>
    <xf numFmtId="4" fontId="0" fillId="2" borderId="16" xfId="0" applyNumberFormat="1" applyFill="1" applyBorder="1"/>
    <xf numFmtId="0" fontId="0" fillId="0" borderId="0" xfId="0" applyFill="1"/>
    <xf numFmtId="0" fontId="0" fillId="0" borderId="0" xfId="0" applyAlignment="1">
      <alignment vertical="center"/>
    </xf>
    <xf numFmtId="168" fontId="0" fillId="0" borderId="0" xfId="0" applyNumberFormat="1" applyBorder="1" applyAlignment="1">
      <alignment horizontal="center"/>
    </xf>
    <xf numFmtId="167" fontId="0" fillId="0" borderId="1" xfId="0" applyNumberFormat="1" applyBorder="1"/>
    <xf numFmtId="0" fontId="6" fillId="0" borderId="0" xfId="0" applyFont="1"/>
    <xf numFmtId="0" fontId="0" fillId="0" borderId="15" xfId="0" applyBorder="1"/>
    <xf numFmtId="0" fontId="0" fillId="0" borderId="9" xfId="0" applyBorder="1"/>
    <xf numFmtId="0" fontId="0" fillId="0" borderId="25" xfId="0" applyBorder="1"/>
    <xf numFmtId="170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26" xfId="0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3" borderId="12" xfId="0" applyNumberFormat="1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26" xfId="0" applyFill="1" applyBorder="1" applyAlignment="1">
      <alignment horizontal="center"/>
    </xf>
    <xf numFmtId="170" fontId="0" fillId="0" borderId="12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" xfId="0" applyFill="1" applyBorder="1"/>
    <xf numFmtId="0" fontId="0" fillId="0" borderId="27" xfId="0" applyFill="1" applyBorder="1" applyAlignment="1">
      <alignment horizontal="center"/>
    </xf>
    <xf numFmtId="170" fontId="0" fillId="4" borderId="13" xfId="0" applyNumberFormat="1" applyFill="1" applyBorder="1" applyAlignment="1">
      <alignment horizontal="center"/>
    </xf>
    <xf numFmtId="0" fontId="0" fillId="0" borderId="9" xfId="0" applyFill="1" applyBorder="1"/>
    <xf numFmtId="0" fontId="0" fillId="0" borderId="25" xfId="0" applyFill="1" applyBorder="1" applyAlignment="1">
      <alignment horizontal="center"/>
    </xf>
    <xf numFmtId="170" fontId="2" fillId="0" borderId="28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4" fontId="2" fillId="0" borderId="17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0" fillId="3" borderId="0" xfId="0" applyNumberFormat="1" applyFill="1" applyBorder="1"/>
    <xf numFmtId="4" fontId="0" fillId="3" borderId="0" xfId="0" applyNumberFormat="1" applyFill="1"/>
    <xf numFmtId="168" fontId="0" fillId="3" borderId="17" xfId="0" applyNumberFormat="1" applyFill="1" applyBorder="1" applyAlignment="1">
      <alignment horizontal="center"/>
    </xf>
    <xf numFmtId="4" fontId="0" fillId="3" borderId="17" xfId="0" applyNumberFormat="1" applyFill="1" applyBorder="1"/>
    <xf numFmtId="4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/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/>
    <xf numFmtId="4" fontId="0" fillId="0" borderId="9" xfId="0" applyNumberFormat="1" applyBorder="1" applyAlignment="1">
      <alignment horizontal="center"/>
    </xf>
    <xf numFmtId="0" fontId="0" fillId="3" borderId="0" xfId="0" applyFill="1"/>
    <xf numFmtId="4" fontId="12" fillId="5" borderId="41" xfId="1" applyNumberFormat="1" applyFill="1" applyBorder="1"/>
    <xf numFmtId="4" fontId="12" fillId="5" borderId="42" xfId="1" applyNumberFormat="1" applyFill="1" applyBorder="1"/>
    <xf numFmtId="0" fontId="12" fillId="0" borderId="0" xfId="1"/>
    <xf numFmtId="4" fontId="12" fillId="0" borderId="0" xfId="1" applyNumberFormat="1"/>
    <xf numFmtId="4" fontId="14" fillId="0" borderId="0" xfId="1" applyNumberFormat="1" applyFont="1" applyAlignment="1">
      <alignment horizontal="left"/>
    </xf>
    <xf numFmtId="4" fontId="14" fillId="0" borderId="0" xfId="1" applyNumberFormat="1" applyFont="1" applyAlignment="1">
      <alignment horizontal="center"/>
    </xf>
    <xf numFmtId="4" fontId="13" fillId="5" borderId="40" xfId="1" applyNumberFormat="1" applyFont="1" applyFill="1" applyBorder="1"/>
    <xf numFmtId="4" fontId="13" fillId="5" borderId="41" xfId="1" applyNumberFormat="1" applyFont="1" applyFill="1" applyBorder="1"/>
    <xf numFmtId="4" fontId="13" fillId="0" borderId="48" xfId="1" applyNumberFormat="1" applyFont="1" applyFill="1" applyBorder="1"/>
    <xf numFmtId="4" fontId="13" fillId="0" borderId="41" xfId="1" applyNumberFormat="1" applyFont="1" applyFill="1" applyBorder="1"/>
    <xf numFmtId="4" fontId="12" fillId="0" borderId="41" xfId="1" applyNumberFormat="1" applyFill="1" applyBorder="1"/>
    <xf numFmtId="4" fontId="12" fillId="0" borderId="49" xfId="1" applyNumberFormat="1" applyFill="1" applyBorder="1"/>
    <xf numFmtId="4" fontId="12" fillId="0" borderId="50" xfId="1" applyNumberFormat="1" applyBorder="1"/>
    <xf numFmtId="4" fontId="13" fillId="0" borderId="0" xfId="1" applyNumberFormat="1" applyFont="1" applyBorder="1"/>
    <xf numFmtId="4" fontId="12" fillId="0" borderId="0" xfId="1" applyNumberFormat="1" applyFont="1" applyBorder="1"/>
    <xf numFmtId="4" fontId="12" fillId="0" borderId="51" xfId="1" applyNumberFormat="1" applyBorder="1"/>
    <xf numFmtId="4" fontId="12" fillId="0" borderId="0" xfId="1" applyNumberFormat="1" applyFont="1" applyBorder="1" applyAlignment="1">
      <alignment horizontal="center"/>
    </xf>
    <xf numFmtId="2" fontId="12" fillId="0" borderId="0" xfId="1" applyNumberFormat="1" applyBorder="1" applyAlignment="1">
      <alignment horizontal="center"/>
    </xf>
    <xf numFmtId="4" fontId="12" fillId="0" borderId="52" xfId="1" applyNumberFormat="1" applyBorder="1" applyAlignment="1">
      <alignment horizontal="center"/>
    </xf>
    <xf numFmtId="4" fontId="12" fillId="0" borderId="52" xfId="1" applyNumberFormat="1" applyBorder="1"/>
    <xf numFmtId="10" fontId="12" fillId="0" borderId="0" xfId="1" applyNumberFormat="1" applyBorder="1" applyAlignment="1">
      <alignment horizontal="center"/>
    </xf>
    <xf numFmtId="4" fontId="12" fillId="0" borderId="0" xfId="1" applyNumberFormat="1" applyBorder="1" applyAlignment="1">
      <alignment horizontal="right"/>
    </xf>
    <xf numFmtId="4" fontId="12" fillId="0" borderId="52" xfId="1" applyNumberFormat="1" applyBorder="1" applyAlignment="1">
      <alignment horizontal="right"/>
    </xf>
    <xf numFmtId="10" fontId="12" fillId="0" borderId="0" xfId="1" applyNumberFormat="1" applyBorder="1"/>
    <xf numFmtId="4" fontId="12" fillId="0" borderId="53" xfId="1" applyNumberFormat="1" applyFont="1" applyBorder="1"/>
    <xf numFmtId="4" fontId="13" fillId="0" borderId="54" xfId="1" applyNumberFormat="1" applyFont="1" applyBorder="1"/>
    <xf numFmtId="4" fontId="12" fillId="0" borderId="55" xfId="1" applyNumberFormat="1" applyBorder="1"/>
    <xf numFmtId="4" fontId="12" fillId="0" borderId="55" xfId="1" applyNumberFormat="1" applyBorder="1" applyAlignment="1">
      <alignment horizontal="center"/>
    </xf>
    <xf numFmtId="4" fontId="12" fillId="0" borderId="56" xfId="1" applyNumberFormat="1" applyFont="1" applyBorder="1"/>
    <xf numFmtId="4" fontId="12" fillId="0" borderId="57" xfId="1" applyNumberFormat="1" applyBorder="1"/>
    <xf numFmtId="4" fontId="13" fillId="0" borderId="52" xfId="1" applyNumberFormat="1" applyFont="1" applyBorder="1"/>
    <xf numFmtId="4" fontId="12" fillId="0" borderId="54" xfId="1" applyNumberFormat="1" applyBorder="1"/>
    <xf numFmtId="4" fontId="12" fillId="0" borderId="0" xfId="1" applyNumberFormat="1" applyAlignment="1">
      <alignment horizontal="right"/>
    </xf>
    <xf numFmtId="4" fontId="13" fillId="5" borderId="58" xfId="1" applyNumberFormat="1" applyFont="1" applyFill="1" applyBorder="1"/>
    <xf numFmtId="4" fontId="12" fillId="5" borderId="58" xfId="1" applyNumberFormat="1" applyFill="1" applyBorder="1"/>
    <xf numFmtId="4" fontId="12" fillId="5" borderId="59" xfId="1" applyNumberFormat="1" applyFill="1" applyBorder="1"/>
    <xf numFmtId="4" fontId="12" fillId="0" borderId="60" xfId="1" applyNumberFormat="1" applyBorder="1"/>
    <xf numFmtId="4" fontId="12" fillId="0" borderId="61" xfId="1" applyNumberFormat="1" applyFont="1" applyBorder="1"/>
    <xf numFmtId="4" fontId="12" fillId="0" borderId="61" xfId="1" applyNumberFormat="1" applyBorder="1" applyAlignment="1">
      <alignment horizontal="center"/>
    </xf>
    <xf numFmtId="167" fontId="12" fillId="0" borderId="61" xfId="1" applyNumberFormat="1" applyBorder="1" applyAlignment="1">
      <alignment horizontal="center"/>
    </xf>
    <xf numFmtId="4" fontId="12" fillId="0" borderId="62" xfId="1" applyNumberFormat="1" applyBorder="1"/>
    <xf numFmtId="167" fontId="12" fillId="0" borderId="55" xfId="1" applyNumberFormat="1" applyBorder="1" applyAlignment="1">
      <alignment horizontal="center"/>
    </xf>
    <xf numFmtId="4" fontId="13" fillId="5" borderId="63" xfId="1" applyNumberFormat="1" applyFont="1" applyFill="1" applyBorder="1" applyAlignment="1">
      <alignment vertical="center"/>
    </xf>
    <xf numFmtId="4" fontId="13" fillId="5" borderId="64" xfId="1" applyNumberFormat="1" applyFont="1" applyFill="1" applyBorder="1" applyAlignment="1">
      <alignment vertical="center"/>
    </xf>
    <xf numFmtId="4" fontId="12" fillId="5" borderId="64" xfId="1" applyNumberFormat="1" applyFill="1" applyBorder="1" applyAlignment="1">
      <alignment vertical="center"/>
    </xf>
    <xf numFmtId="4" fontId="12" fillId="5" borderId="63" xfId="1" applyNumberFormat="1" applyFill="1" applyBorder="1" applyAlignment="1">
      <alignment vertical="center"/>
    </xf>
    <xf numFmtId="4" fontId="12" fillId="5" borderId="65" xfId="1" applyNumberFormat="1" applyFont="1" applyFill="1" applyBorder="1" applyAlignment="1">
      <alignment vertical="center"/>
    </xf>
    <xf numFmtId="167" fontId="12" fillId="0" borderId="0" xfId="1" applyNumberFormat="1" applyBorder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7" fontId="0" fillId="6" borderId="0" xfId="0" applyNumberFormat="1" applyFill="1"/>
    <xf numFmtId="4" fontId="12" fillId="6" borderId="61" xfId="1" applyNumberFormat="1" applyFill="1" applyBorder="1" applyAlignment="1">
      <alignment horizontal="center"/>
    </xf>
    <xf numFmtId="4" fontId="12" fillId="6" borderId="0" xfId="1" applyNumberFormat="1" applyFont="1" applyFill="1" applyBorder="1"/>
    <xf numFmtId="4" fontId="8" fillId="0" borderId="29" xfId="0" applyNumberFormat="1" applyFont="1" applyFill="1" applyBorder="1" applyAlignment="1">
      <alignment vertical="center"/>
    </xf>
    <xf numFmtId="0" fontId="16" fillId="0" borderId="0" xfId="4" applyBorder="1"/>
    <xf numFmtId="0" fontId="16" fillId="0" borderId="0" xfId="4"/>
    <xf numFmtId="171" fontId="15" fillId="0" borderId="4" xfId="5" applyNumberFormat="1" applyFont="1" applyFill="1" applyBorder="1" applyAlignment="1">
      <alignment horizontal="center" vertical="center"/>
    </xf>
    <xf numFmtId="0" fontId="15" fillId="0" borderId="5" xfId="5" applyFont="1" applyFill="1" applyBorder="1" applyAlignment="1">
      <alignment horizontal="center" vertical="center"/>
    </xf>
    <xf numFmtId="49" fontId="15" fillId="0" borderId="16" xfId="5" applyNumberFormat="1" applyFont="1" applyFill="1" applyBorder="1" applyAlignment="1">
      <alignment horizontal="center" vertical="center"/>
    </xf>
    <xf numFmtId="171" fontId="3" fillId="0" borderId="0" xfId="5" applyNumberFormat="1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15" fillId="0" borderId="0" xfId="5" applyFont="1" applyFill="1" applyBorder="1" applyAlignment="1">
      <alignment horizontal="center" vertical="center"/>
    </xf>
    <xf numFmtId="44" fontId="3" fillId="6" borderId="0" xfId="3" applyNumberFormat="1" applyFont="1" applyFill="1" applyBorder="1" applyAlignment="1">
      <alignment horizontal="center" vertical="center"/>
    </xf>
    <xf numFmtId="0" fontId="16" fillId="0" borderId="0" xfId="4" applyAlignment="1">
      <alignment vertical="center"/>
    </xf>
    <xf numFmtId="17" fontId="16" fillId="0" borderId="0" xfId="4" applyNumberFormat="1"/>
    <xf numFmtId="2" fontId="16" fillId="0" borderId="0" xfId="4" applyNumberFormat="1" applyAlignment="1">
      <alignment horizontal="center" vertical="center"/>
    </xf>
    <xf numFmtId="2" fontId="16" fillId="0" borderId="0" xfId="4" applyNumberFormat="1" applyFill="1" applyAlignment="1">
      <alignment horizontal="center" vertical="center"/>
    </xf>
    <xf numFmtId="0" fontId="16" fillId="0" borderId="0" xfId="4" applyAlignment="1">
      <alignment horizontal="center" vertical="center"/>
    </xf>
    <xf numFmtId="165" fontId="16" fillId="0" borderId="0" xfId="2" applyFont="1"/>
    <xf numFmtId="2" fontId="16" fillId="0" borderId="67" xfId="4" applyNumberForma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165" fontId="0" fillId="0" borderId="0" xfId="2" applyFont="1"/>
    <xf numFmtId="0" fontId="16" fillId="0" borderId="0" xfId="4" applyAlignment="1">
      <alignment horizontal="center"/>
    </xf>
    <xf numFmtId="0" fontId="16" fillId="0" borderId="0" xfId="4" applyAlignment="1">
      <alignment horizontal="center" vertical="center"/>
    </xf>
    <xf numFmtId="0" fontId="4" fillId="0" borderId="0" xfId="0" applyFont="1"/>
    <xf numFmtId="0" fontId="16" fillId="0" borderId="0" xfId="0" applyFont="1"/>
    <xf numFmtId="164" fontId="16" fillId="0" borderId="0" xfId="4" applyNumberFormat="1"/>
    <xf numFmtId="2" fontId="16" fillId="0" borderId="0" xfId="4" applyNumberFormat="1"/>
    <xf numFmtId="2" fontId="0" fillId="0" borderId="67" xfId="0" applyNumberFormat="1" applyBorder="1" applyAlignment="1">
      <alignment horizontal="center"/>
    </xf>
    <xf numFmtId="0" fontId="0" fillId="7" borderId="67" xfId="0" applyFill="1" applyBorder="1"/>
    <xf numFmtId="0" fontId="0" fillId="8" borderId="67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9" borderId="69" xfId="0" applyFill="1" applyBorder="1" applyAlignment="1">
      <alignment horizontal="center"/>
    </xf>
    <xf numFmtId="0" fontId="0" fillId="9" borderId="70" xfId="0" applyFill="1" applyBorder="1" applyAlignment="1">
      <alignment horizontal="center"/>
    </xf>
    <xf numFmtId="0" fontId="0" fillId="10" borderId="71" xfId="0" applyFill="1" applyBorder="1"/>
    <xf numFmtId="0" fontId="0" fillId="10" borderId="72" xfId="0" applyFill="1" applyBorder="1"/>
    <xf numFmtId="0" fontId="0" fillId="10" borderId="73" xfId="0" applyFill="1" applyBorder="1"/>
    <xf numFmtId="0" fontId="0" fillId="9" borderId="74" xfId="0" applyFill="1" applyBorder="1" applyAlignment="1">
      <alignment horizontal="center"/>
    </xf>
    <xf numFmtId="4" fontId="0" fillId="11" borderId="17" xfId="0" applyNumberFormat="1" applyFill="1" applyBorder="1"/>
    <xf numFmtId="4" fontId="0" fillId="0" borderId="0" xfId="0" applyNumberFormat="1" applyAlignment="1">
      <alignment horizont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4" fontId="8" fillId="0" borderId="27" xfId="0" applyNumberFormat="1" applyFont="1" applyFill="1" applyBorder="1" applyAlignment="1">
      <alignment vertical="center"/>
    </xf>
    <xf numFmtId="4" fontId="8" fillId="0" borderId="27" xfId="0" applyNumberFormat="1" applyFont="1" applyFill="1" applyBorder="1" applyAlignment="1">
      <alignment horizontal="center" vertical="center"/>
    </xf>
    <xf numFmtId="2" fontId="8" fillId="0" borderId="27" xfId="0" applyNumberFormat="1" applyFont="1" applyFill="1" applyBorder="1" applyAlignment="1">
      <alignment horizontal="center" vertical="center"/>
    </xf>
    <xf numFmtId="169" fontId="8" fillId="0" borderId="27" xfId="2" applyNumberFormat="1" applyFont="1" applyFill="1" applyBorder="1" applyAlignment="1">
      <alignment horizontal="center" vertical="center"/>
    </xf>
    <xf numFmtId="169" fontId="8" fillId="0" borderId="37" xfId="2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4" fontId="8" fillId="0" borderId="29" xfId="0" applyNumberFormat="1" applyFont="1" applyFill="1" applyBorder="1" applyAlignment="1">
      <alignment horizontal="center" vertical="center"/>
    </xf>
    <xf numFmtId="2" fontId="8" fillId="0" borderId="29" xfId="0" applyNumberFormat="1" applyFont="1" applyFill="1" applyBorder="1" applyAlignment="1">
      <alignment horizontal="center" vertical="center"/>
    </xf>
    <xf numFmtId="169" fontId="8" fillId="0" borderId="29" xfId="0" applyNumberFormat="1" applyFont="1" applyFill="1" applyBorder="1" applyAlignment="1">
      <alignment horizontal="center" vertical="center" wrapText="1"/>
    </xf>
    <xf numFmtId="169" fontId="8" fillId="0" borderId="31" xfId="2" applyNumberFormat="1" applyFont="1" applyFill="1" applyBorder="1" applyAlignment="1">
      <alignment horizontal="center" vertical="center"/>
    </xf>
    <xf numFmtId="4" fontId="0" fillId="0" borderId="29" xfId="0" applyNumberForma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169" fontId="0" fillId="0" borderId="29" xfId="0" applyNumberFormat="1" applyFill="1" applyBorder="1" applyAlignment="1">
      <alignment horizontal="center"/>
    </xf>
    <xf numFmtId="4" fontId="8" fillId="0" borderId="29" xfId="0" applyNumberFormat="1" applyFont="1" applyFill="1" applyBorder="1" applyAlignment="1">
      <alignment horizontal="left" vertical="center"/>
    </xf>
    <xf numFmtId="4" fontId="8" fillId="0" borderId="66" xfId="0" applyNumberFormat="1" applyFont="1" applyFill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169" fontId="18" fillId="0" borderId="29" xfId="0" applyNumberFormat="1" applyFont="1" applyBorder="1" applyAlignment="1">
      <alignment horizontal="center"/>
    </xf>
    <xf numFmtId="2" fontId="18" fillId="0" borderId="29" xfId="0" applyNumberFormat="1" applyFont="1" applyBorder="1" applyAlignment="1">
      <alignment horizontal="center"/>
    </xf>
    <xf numFmtId="2" fontId="16" fillId="0" borderId="0" xfId="4" applyNumberFormat="1" applyAlignment="1">
      <alignment horizontal="center" vertical="center"/>
    </xf>
    <xf numFmtId="0" fontId="16" fillId="0" borderId="0" xfId="4" applyAlignment="1">
      <alignment horizontal="center" vertical="center"/>
    </xf>
    <xf numFmtId="0" fontId="16" fillId="0" borderId="0" xfId="4" applyAlignment="1">
      <alignment horizontal="center"/>
    </xf>
    <xf numFmtId="0" fontId="16" fillId="0" borderId="0" xfId="4" applyAlignment="1">
      <alignment vertical="center"/>
    </xf>
    <xf numFmtId="2" fontId="16" fillId="0" borderId="75" xfId="4" applyNumberFormat="1" applyBorder="1" applyAlignment="1">
      <alignment horizontal="center" vertical="center"/>
    </xf>
    <xf numFmtId="2" fontId="16" fillId="0" borderId="76" xfId="4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12" fillId="0" borderId="0" xfId="1" applyNumberFormat="1" applyFont="1" applyBorder="1" applyAlignment="1">
      <alignment horizontal="left" wrapText="1"/>
    </xf>
    <xf numFmtId="4" fontId="0" fillId="0" borderId="6" xfId="0" applyNumberFormat="1" applyFill="1" applyBorder="1"/>
    <xf numFmtId="4" fontId="0" fillId="0" borderId="8" xfId="0" applyNumberFormat="1" applyFill="1" applyBorder="1"/>
    <xf numFmtId="4" fontId="0" fillId="0" borderId="20" xfId="0" applyNumberFormat="1" applyFill="1" applyBorder="1"/>
    <xf numFmtId="4" fontId="0" fillId="0" borderId="21" xfId="0" applyNumberFormat="1" applyFill="1" applyBorder="1"/>
    <xf numFmtId="4" fontId="4" fillId="0" borderId="0" xfId="0" applyNumberFormat="1" applyFont="1" applyFill="1" applyBorder="1"/>
    <xf numFmtId="49" fontId="0" fillId="0" borderId="0" xfId="0" applyNumberFormat="1" applyFill="1" applyBorder="1"/>
    <xf numFmtId="17" fontId="0" fillId="0" borderId="0" xfId="0" applyNumberFormat="1" applyFill="1"/>
    <xf numFmtId="4" fontId="0" fillId="0" borderId="22" xfId="0" applyNumberFormat="1" applyFill="1" applyBorder="1"/>
    <xf numFmtId="4" fontId="3" fillId="0" borderId="23" xfId="0" applyNumberFormat="1" applyFont="1" applyFill="1" applyBorder="1" applyAlignment="1">
      <alignment horizontal="left"/>
    </xf>
    <xf numFmtId="4" fontId="3" fillId="0" borderId="23" xfId="0" applyNumberFormat="1" applyFont="1" applyFill="1" applyBorder="1" applyAlignment="1">
      <alignment horizontal="center"/>
    </xf>
    <xf numFmtId="4" fontId="3" fillId="0" borderId="24" xfId="0" applyNumberFormat="1" applyFont="1" applyFill="1" applyBorder="1" applyAlignment="1">
      <alignment horizontal="center"/>
    </xf>
    <xf numFmtId="4" fontId="2" fillId="0" borderId="23" xfId="0" applyNumberFormat="1" applyFont="1" applyFill="1" applyBorder="1"/>
    <xf numFmtId="4" fontId="0" fillId="0" borderId="23" xfId="0" applyNumberFormat="1" applyFill="1" applyBorder="1"/>
    <xf numFmtId="4" fontId="0" fillId="0" borderId="24" xfId="0" applyNumberFormat="1" applyFill="1" applyBorder="1"/>
    <xf numFmtId="49" fontId="4" fillId="0" borderId="0" xfId="0" applyNumberFormat="1" applyFont="1" applyFill="1" applyBorder="1"/>
    <xf numFmtId="49" fontId="4" fillId="0" borderId="23" xfId="0" applyNumberFormat="1" applyFont="1" applyFill="1" applyBorder="1"/>
    <xf numFmtId="4" fontId="12" fillId="0" borderId="40" xfId="1" applyNumberFormat="1" applyFill="1" applyBorder="1"/>
    <xf numFmtId="4" fontId="12" fillId="0" borderId="42" xfId="1" applyNumberFormat="1" applyFill="1" applyBorder="1"/>
    <xf numFmtId="4" fontId="12" fillId="0" borderId="43" xfId="1" applyNumberFormat="1" applyFill="1" applyBorder="1"/>
    <xf numFmtId="4" fontId="13" fillId="0" borderId="0" xfId="1" applyNumberFormat="1" applyFont="1" applyFill="1" applyBorder="1"/>
    <xf numFmtId="4" fontId="12" fillId="0" borderId="0" xfId="1" applyNumberFormat="1" applyFill="1" applyBorder="1"/>
    <xf numFmtId="4" fontId="12" fillId="0" borderId="44" xfId="1" applyNumberFormat="1" applyFill="1" applyBorder="1"/>
    <xf numFmtId="4" fontId="12" fillId="0" borderId="0" xfId="1" applyNumberFormat="1" applyFont="1" applyFill="1" applyBorder="1"/>
    <xf numFmtId="4" fontId="12" fillId="0" borderId="45" xfId="1" applyNumberFormat="1" applyFill="1" applyBorder="1"/>
    <xf numFmtId="4" fontId="13" fillId="0" borderId="46" xfId="1" applyNumberFormat="1" applyFont="1" applyFill="1" applyBorder="1"/>
    <xf numFmtId="4" fontId="12" fillId="0" borderId="46" xfId="1" applyNumberFormat="1" applyFont="1" applyFill="1" applyBorder="1" applyAlignment="1">
      <alignment horizontal="center"/>
    </xf>
    <xf numFmtId="4" fontId="12" fillId="0" borderId="46" xfId="1" applyNumberFormat="1" applyFill="1" applyBorder="1"/>
    <xf numFmtId="4" fontId="12" fillId="0" borderId="47" xfId="1" applyNumberFormat="1" applyFont="1" applyFill="1" applyBorder="1"/>
    <xf numFmtId="4" fontId="12" fillId="0" borderId="0" xfId="1" applyNumberFormat="1" applyFill="1"/>
    <xf numFmtId="4" fontId="14" fillId="0" borderId="0" xfId="1" applyNumberFormat="1" applyFont="1" applyFill="1" applyAlignment="1">
      <alignment horizontal="left"/>
    </xf>
    <xf numFmtId="4" fontId="14" fillId="0" borderId="0" xfId="1" applyNumberFormat="1" applyFont="1" applyFill="1" applyAlignment="1">
      <alignment horizontal="center"/>
    </xf>
    <xf numFmtId="49" fontId="0" fillId="0" borderId="23" xfId="0" applyNumberFormat="1" applyFill="1" applyBorder="1"/>
    <xf numFmtId="49" fontId="12" fillId="0" borderId="0" xfId="1" applyNumberFormat="1" applyFont="1" applyFill="1" applyBorder="1"/>
    <xf numFmtId="2" fontId="0" fillId="0" borderId="0" xfId="0" applyNumberFormat="1" applyFill="1" applyBorder="1"/>
    <xf numFmtId="4" fontId="13" fillId="5" borderId="4" xfId="1" applyNumberFormat="1" applyFont="1" applyFill="1" applyBorder="1" applyAlignment="1">
      <alignment vertical="center"/>
    </xf>
    <xf numFmtId="4" fontId="12" fillId="5" borderId="5" xfId="1" applyNumberFormat="1" applyFill="1" applyBorder="1" applyAlignment="1">
      <alignment vertical="center"/>
    </xf>
    <xf numFmtId="4" fontId="12" fillId="5" borderId="77" xfId="1" applyNumberFormat="1" applyFill="1" applyBorder="1" applyAlignment="1">
      <alignment vertical="center"/>
    </xf>
    <xf numFmtId="4" fontId="12" fillId="5" borderId="16" xfId="1" applyNumberFormat="1" applyFont="1" applyFill="1" applyBorder="1" applyAlignment="1">
      <alignment vertical="center"/>
    </xf>
    <xf numFmtId="4" fontId="12" fillId="0" borderId="0" xfId="1" applyNumberFormat="1" applyBorder="1"/>
    <xf numFmtId="4" fontId="2" fillId="0" borderId="11" xfId="0" applyNumberFormat="1" applyFont="1" applyBorder="1"/>
    <xf numFmtId="4" fontId="12" fillId="0" borderId="2" xfId="1" applyNumberFormat="1" applyBorder="1"/>
    <xf numFmtId="4" fontId="12" fillId="0" borderId="17" xfId="1" applyNumberFormat="1" applyBorder="1"/>
    <xf numFmtId="167" fontId="12" fillId="0" borderId="17" xfId="1" applyNumberFormat="1" applyBorder="1" applyAlignment="1">
      <alignment horizontal="center"/>
    </xf>
    <xf numFmtId="4" fontId="12" fillId="0" borderId="3" xfId="1" applyNumberFormat="1" applyFont="1" applyBorder="1"/>
    <xf numFmtId="4" fontId="12" fillId="0" borderId="78" xfId="1" applyNumberFormat="1" applyBorder="1"/>
    <xf numFmtId="4" fontId="13" fillId="0" borderId="11" xfId="1" applyNumberFormat="1" applyFont="1" applyBorder="1"/>
    <xf numFmtId="4" fontId="12" fillId="0" borderId="12" xfId="1" applyNumberFormat="1" applyBorder="1"/>
    <xf numFmtId="4" fontId="12" fillId="0" borderId="11" xfId="1" applyNumberFormat="1" applyFont="1" applyBorder="1"/>
    <xf numFmtId="4" fontId="12" fillId="0" borderId="11" xfId="1" applyNumberFormat="1" applyFont="1" applyBorder="1" applyAlignment="1">
      <alignment horizontal="left" wrapText="1"/>
    </xf>
    <xf numFmtId="4" fontId="12" fillId="0" borderId="11" xfId="1" applyNumberFormat="1" applyBorder="1"/>
    <xf numFmtId="10" fontId="12" fillId="0" borderId="11" xfId="1" applyNumberFormat="1" applyBorder="1" applyAlignment="1">
      <alignment horizontal="center"/>
    </xf>
    <xf numFmtId="4" fontId="12" fillId="0" borderId="11" xfId="1" applyNumberFormat="1" applyFont="1" applyBorder="1" applyAlignment="1">
      <alignment horizontal="center"/>
    </xf>
    <xf numFmtId="4" fontId="12" fillId="0" borderId="79" xfId="1" applyNumberFormat="1" applyFont="1" applyBorder="1"/>
    <xf numFmtId="4" fontId="13" fillId="0" borderId="80" xfId="1" applyNumberFormat="1" applyFont="1" applyBorder="1"/>
    <xf numFmtId="4" fontId="12" fillId="0" borderId="81" xfId="1" applyNumberFormat="1" applyFont="1" applyBorder="1"/>
    <xf numFmtId="4" fontId="13" fillId="0" borderId="14" xfId="1" applyNumberFormat="1" applyFont="1" applyBorder="1"/>
    <xf numFmtId="4" fontId="12" fillId="0" borderId="1" xfId="1" applyNumberFormat="1" applyBorder="1"/>
    <xf numFmtId="4" fontId="12" fillId="0" borderId="1" xfId="1" applyNumberFormat="1" applyBorder="1" applyAlignment="1">
      <alignment horizontal="right"/>
    </xf>
    <xf numFmtId="4" fontId="12" fillId="0" borderId="1" xfId="1" applyNumberFormat="1" applyBorder="1" applyAlignment="1">
      <alignment horizontal="center"/>
    </xf>
    <xf numFmtId="4" fontId="12" fillId="0" borderId="82" xfId="1" applyNumberFormat="1" applyBorder="1"/>
    <xf numFmtId="4" fontId="12" fillId="0" borderId="83" xfId="1" applyNumberFormat="1" applyFont="1" applyBorder="1"/>
    <xf numFmtId="0" fontId="12" fillId="0" borderId="11" xfId="1" applyBorder="1"/>
    <xf numFmtId="10" fontId="0" fillId="0" borderId="11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13" fillId="0" borderId="11" xfId="1" applyNumberFormat="1" applyFont="1" applyFill="1" applyBorder="1"/>
    <xf numFmtId="4" fontId="12" fillId="0" borderId="12" xfId="1" applyNumberFormat="1" applyFill="1" applyBorder="1"/>
    <xf numFmtId="4" fontId="13" fillId="5" borderId="4" xfId="1" applyNumberFormat="1" applyFont="1" applyFill="1" applyBorder="1"/>
    <xf numFmtId="4" fontId="12" fillId="5" borderId="5" xfId="1" applyNumberFormat="1" applyFill="1" applyBorder="1"/>
    <xf numFmtId="4" fontId="12" fillId="5" borderId="16" xfId="1" applyNumberFormat="1" applyFill="1" applyBorder="1"/>
    <xf numFmtId="4" fontId="12" fillId="0" borderId="6" xfId="1" applyNumberFormat="1" applyFill="1" applyBorder="1"/>
    <xf numFmtId="4" fontId="12" fillId="0" borderId="7" xfId="1" applyNumberFormat="1" applyFill="1" applyBorder="1"/>
    <xf numFmtId="4" fontId="12" fillId="0" borderId="8" xfId="1" applyNumberFormat="1" applyFill="1" applyBorder="1"/>
    <xf numFmtId="4" fontId="13" fillId="0" borderId="20" xfId="1" applyNumberFormat="1" applyFont="1" applyFill="1" applyBorder="1"/>
    <xf numFmtId="4" fontId="12" fillId="0" borderId="21" xfId="1" applyNumberFormat="1" applyFill="1" applyBorder="1"/>
    <xf numFmtId="4" fontId="14" fillId="0" borderId="22" xfId="1" applyNumberFormat="1" applyFont="1" applyFill="1" applyBorder="1" applyAlignment="1">
      <alignment horizontal="left"/>
    </xf>
    <xf numFmtId="4" fontId="14" fillId="0" borderId="23" xfId="1" applyNumberFormat="1" applyFont="1" applyFill="1" applyBorder="1" applyAlignment="1">
      <alignment horizontal="center"/>
    </xf>
    <xf numFmtId="4" fontId="14" fillId="0" borderId="24" xfId="1" applyNumberFormat="1" applyFont="1" applyFill="1" applyBorder="1" applyAlignment="1">
      <alignment horizontal="center"/>
    </xf>
    <xf numFmtId="4" fontId="2" fillId="0" borderId="20" xfId="0" applyNumberFormat="1" applyFont="1" applyFill="1" applyBorder="1"/>
    <xf numFmtId="17" fontId="0" fillId="0" borderId="0" xfId="0" applyNumberFormat="1" applyFill="1" applyBorder="1"/>
    <xf numFmtId="4" fontId="3" fillId="0" borderId="22" xfId="0" applyNumberFormat="1" applyFont="1" applyFill="1" applyBorder="1" applyAlignment="1">
      <alignment horizontal="left"/>
    </xf>
    <xf numFmtId="4" fontId="2" fillId="0" borderId="14" xfId="0" applyNumberFormat="1" applyFont="1" applyBorder="1"/>
    <xf numFmtId="4" fontId="13" fillId="0" borderId="22" xfId="1" applyNumberFormat="1" applyFont="1" applyFill="1" applyBorder="1"/>
    <xf numFmtId="4" fontId="12" fillId="0" borderId="23" xfId="1" applyNumberFormat="1" applyFill="1" applyBorder="1"/>
    <xf numFmtId="4" fontId="13" fillId="0" borderId="23" xfId="1" applyNumberFormat="1" applyFont="1" applyFill="1" applyBorder="1"/>
    <xf numFmtId="49" fontId="12" fillId="0" borderId="23" xfId="1" applyNumberFormat="1" applyFill="1" applyBorder="1"/>
    <xf numFmtId="4" fontId="12" fillId="0" borderId="24" xfId="1" applyNumberFormat="1" applyFont="1" applyFill="1" applyBorder="1"/>
    <xf numFmtId="0" fontId="2" fillId="0" borderId="84" xfId="0" applyFont="1" applyFill="1" applyBorder="1" applyAlignment="1">
      <alignment horizontal="center"/>
    </xf>
    <xf numFmtId="0" fontId="2" fillId="0" borderId="85" xfId="0" applyFont="1" applyFill="1" applyBorder="1" applyAlignment="1">
      <alignment horizontal="center"/>
    </xf>
    <xf numFmtId="169" fontId="2" fillId="0" borderId="86" xfId="0" applyNumberFormat="1" applyFont="1" applyFill="1" applyBorder="1"/>
    <xf numFmtId="0" fontId="8" fillId="0" borderId="87" xfId="0" applyFont="1" applyFill="1" applyBorder="1" applyAlignment="1">
      <alignment horizontal="center" vertical="center"/>
    </xf>
    <xf numFmtId="4" fontId="0" fillId="0" borderId="66" xfId="0" applyNumberFormat="1" applyFill="1" applyBorder="1" applyAlignment="1">
      <alignment horizontal="center"/>
    </xf>
    <xf numFmtId="2" fontId="0" fillId="0" borderId="66" xfId="0" applyNumberFormat="1" applyFill="1" applyBorder="1" applyAlignment="1">
      <alignment horizontal="center"/>
    </xf>
    <xf numFmtId="169" fontId="0" fillId="0" borderId="66" xfId="0" applyNumberFormat="1" applyFill="1" applyBorder="1" applyAlignment="1">
      <alignment horizontal="center"/>
    </xf>
    <xf numFmtId="169" fontId="8" fillId="0" borderId="88" xfId="2" applyNumberFormat="1" applyFont="1" applyFill="1" applyBorder="1" applyAlignment="1">
      <alignment horizontal="center" vertical="center"/>
    </xf>
  </cellXfs>
  <cellStyles count="6">
    <cellStyle name="Excel Built-in Normal" xfId="1"/>
    <cellStyle name="Moneda" xfId="2" builtinId="4"/>
    <cellStyle name="Moneda 2" xfId="3"/>
    <cellStyle name="Normal" xfId="0" builtinId="0"/>
    <cellStyle name="Normal 2" xfId="4"/>
    <cellStyle name="Normal 2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Porcentaje de</a:t>
            </a:r>
            <a:r>
              <a:rPr lang="es-AR" baseline="0"/>
              <a:t> incidencia</a:t>
            </a:r>
            <a:endParaRPr lang="es-A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'Com y Presup'!$G$27:$G$29</c:f>
              <c:numCache>
                <c:formatCode>"$"\ #,##0.00</c:formatCode>
                <c:ptCount val="3"/>
                <c:pt idx="0">
                  <c:v>181751466.82682368</c:v>
                </c:pt>
                <c:pt idx="1">
                  <c:v>65952771.904950596</c:v>
                </c:pt>
                <c:pt idx="2">
                  <c:v>1965400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'Com y Presup'!$H$27:$H$29</c:f>
              <c:numCache>
                <c:formatCode>0.00</c:formatCode>
                <c:ptCount val="3"/>
                <c:pt idx="0">
                  <c:v>72.79678368184905</c:v>
                </c:pt>
                <c:pt idx="1">
                  <c:v>26.416016076269955</c:v>
                </c:pt>
                <c:pt idx="2">
                  <c:v>0.78720024188102178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695325</xdr:colOff>
      <xdr:row>1</xdr:row>
      <xdr:rowOff>104775</xdr:rowOff>
    </xdr:from>
    <xdr:to>
      <xdr:col>24</xdr:col>
      <xdr:colOff>190500</xdr:colOff>
      <xdr:row>10</xdr:row>
      <xdr:rowOff>85725</xdr:rowOff>
    </xdr:to>
    <xdr:pic>
      <xdr:nvPicPr>
        <xdr:cNvPr id="1054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088" t="55829" r="28915" b="24004"/>
        <a:stretch>
          <a:fillRect/>
        </a:stretch>
      </xdr:blipFill>
      <xdr:spPr bwMode="auto">
        <a:xfrm>
          <a:off x="17287875" y="276225"/>
          <a:ext cx="55911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133350</xdr:colOff>
      <xdr:row>2</xdr:row>
      <xdr:rowOff>152400</xdr:rowOff>
    </xdr:from>
    <xdr:to>
      <xdr:col>15</xdr:col>
      <xdr:colOff>333375</xdr:colOff>
      <xdr:row>9</xdr:row>
      <xdr:rowOff>123825</xdr:rowOff>
    </xdr:to>
    <xdr:pic>
      <xdr:nvPicPr>
        <xdr:cNvPr id="1055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89" t="65526" r="28790" b="18967"/>
        <a:stretch>
          <a:fillRect/>
        </a:stretch>
      </xdr:blipFill>
      <xdr:spPr bwMode="auto">
        <a:xfrm>
          <a:off x="10629900" y="495300"/>
          <a:ext cx="55340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278946</xdr:colOff>
      <xdr:row>15</xdr:row>
      <xdr:rowOff>1360</xdr:rowOff>
    </xdr:from>
    <xdr:to>
      <xdr:col>15</xdr:col>
      <xdr:colOff>278946</xdr:colOff>
      <xdr:row>30</xdr:row>
      <xdr:rowOff>1360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de%20Precios%20Ultimo%20Corregi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o de Obra"/>
      <sheetName val="Equipos"/>
      <sheetName val="Desbosque"/>
      <sheetName val="Excavación común"/>
      <sheetName val="Excavación en ROCA"/>
      <sheetName val="Terraplenes"/>
      <sheetName val="Excav.p.fundac."/>
      <sheetName val="Hormigón H-17"/>
      <sheetName val="ARSA 0,80"/>
      <sheetName val="GAVIONES"/>
      <sheetName val="Imprimación"/>
      <sheetName val="Riego Liga"/>
      <sheetName val="SubBase Drenante."/>
      <sheetName val="Base Anticongelante"/>
      <sheetName val="Concreto asfáltico"/>
      <sheetName val="TBS Doble"/>
      <sheetName val="barandas metalicas"/>
      <sheetName val="Coeficiente"/>
      <sheetName val="Hoja2"/>
      <sheetName val="Gráfico1"/>
      <sheetName val="Gráfico2"/>
      <sheetName val="Gráfico3"/>
      <sheetName val="Gráfico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2">
          <cell r="E22">
            <v>1.7627404950000001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41"/>
  <sheetViews>
    <sheetView workbookViewId="0"/>
  </sheetViews>
  <sheetFormatPr baseColWidth="10" defaultRowHeight="12.75" x14ac:dyDescent="0.2"/>
  <cols>
    <col min="6" max="6" width="18.28515625" customWidth="1"/>
    <col min="8" max="8" width="17.7109375" bestFit="1" customWidth="1"/>
  </cols>
  <sheetData>
    <row r="7" spans="3:8" x14ac:dyDescent="0.2">
      <c r="C7" s="136" t="s">
        <v>180</v>
      </c>
      <c r="D7" s="136"/>
      <c r="E7" s="136"/>
      <c r="F7" s="151">
        <v>55</v>
      </c>
      <c r="H7" s="174" t="s">
        <v>215</v>
      </c>
    </row>
    <row r="8" spans="3:8" x14ac:dyDescent="0.2">
      <c r="C8" s="113" t="s">
        <v>181</v>
      </c>
      <c r="D8" s="113"/>
      <c r="E8" s="113"/>
      <c r="F8" s="152">
        <v>60</v>
      </c>
      <c r="G8" s="113" t="s">
        <v>49</v>
      </c>
      <c r="H8" s="174" t="s">
        <v>216</v>
      </c>
    </row>
    <row r="10" spans="3:8" x14ac:dyDescent="0.2">
      <c r="C10" s="10" t="s">
        <v>71</v>
      </c>
      <c r="D10" s="10"/>
      <c r="E10" s="10"/>
      <c r="F10" s="87">
        <v>112.79</v>
      </c>
      <c r="G10" s="91" t="s">
        <v>68</v>
      </c>
    </row>
    <row r="11" spans="3:8" x14ac:dyDescent="0.2">
      <c r="C11" s="10" t="s">
        <v>73</v>
      </c>
      <c r="D11" s="10"/>
      <c r="E11" s="10"/>
      <c r="F11" s="87">
        <v>7.25</v>
      </c>
      <c r="G11" s="91" t="s">
        <v>49</v>
      </c>
    </row>
    <row r="12" spans="3:8" x14ac:dyDescent="0.2">
      <c r="C12" s="10" t="s">
        <v>74</v>
      </c>
      <c r="D12" s="10"/>
      <c r="E12" s="10"/>
      <c r="F12" s="87">
        <v>7.25</v>
      </c>
      <c r="G12" s="91" t="s">
        <v>49</v>
      </c>
    </row>
    <row r="13" spans="3:8" x14ac:dyDescent="0.2">
      <c r="C13" s="10" t="s">
        <v>75</v>
      </c>
      <c r="D13" s="10"/>
      <c r="E13" s="10"/>
      <c r="F13" s="87">
        <v>2</v>
      </c>
      <c r="G13" s="91" t="s">
        <v>49</v>
      </c>
    </row>
    <row r="14" spans="3:8" x14ac:dyDescent="0.2">
      <c r="C14" s="10" t="s">
        <v>76</v>
      </c>
      <c r="D14" s="10"/>
      <c r="E14" s="10"/>
      <c r="F14" s="87">
        <v>651</v>
      </c>
      <c r="G14" s="91" t="s">
        <v>49</v>
      </c>
    </row>
    <row r="15" spans="3:8" x14ac:dyDescent="0.2">
      <c r="C15" s="10" t="s">
        <v>77</v>
      </c>
      <c r="D15" s="10"/>
      <c r="E15" s="10"/>
      <c r="F15" s="87">
        <v>2</v>
      </c>
      <c r="G15" s="91" t="s">
        <v>78</v>
      </c>
    </row>
    <row r="17" spans="3:9" x14ac:dyDescent="0.2">
      <c r="C17" s="10" t="s">
        <v>122</v>
      </c>
      <c r="D17" s="10"/>
      <c r="E17" s="10"/>
      <c r="F17" s="87">
        <v>53</v>
      </c>
      <c r="G17" s="10" t="s">
        <v>110</v>
      </c>
      <c r="H17" s="27">
        <v>1</v>
      </c>
    </row>
    <row r="18" spans="3:9" x14ac:dyDescent="0.2">
      <c r="C18" s="10" t="s">
        <v>116</v>
      </c>
      <c r="D18" s="10"/>
      <c r="E18" s="10"/>
      <c r="F18" s="87">
        <v>34</v>
      </c>
      <c r="G18" s="10" t="s">
        <v>117</v>
      </c>
      <c r="H18" s="27">
        <v>7.0000000000000007E-2</v>
      </c>
    </row>
    <row r="19" spans="3:9" x14ac:dyDescent="0.2">
      <c r="C19" s="10"/>
      <c r="D19" s="10"/>
      <c r="E19" s="10"/>
      <c r="F19" s="10"/>
      <c r="G19" s="10"/>
      <c r="H19" s="10"/>
    </row>
    <row r="20" spans="3:9" x14ac:dyDescent="0.2">
      <c r="C20" s="33" t="s">
        <v>52</v>
      </c>
      <c r="D20" s="2"/>
      <c r="E20" s="2"/>
      <c r="F20" s="2"/>
      <c r="G20" s="2"/>
      <c r="H20" s="2"/>
    </row>
    <row r="21" spans="3:9" x14ac:dyDescent="0.2">
      <c r="C21" s="1"/>
      <c r="D21" s="1"/>
      <c r="E21" s="1"/>
      <c r="F21" s="1"/>
      <c r="G21" s="1"/>
      <c r="H21" s="1"/>
    </row>
    <row r="22" spans="3:9" x14ac:dyDescent="0.2">
      <c r="C22" s="35" t="s">
        <v>119</v>
      </c>
      <c r="D22" s="35"/>
      <c r="E22" s="35"/>
      <c r="F22" s="90">
        <v>1400</v>
      </c>
      <c r="G22" s="36" t="s">
        <v>120</v>
      </c>
      <c r="H22" s="89">
        <v>8.0000000000000002E-3</v>
      </c>
    </row>
    <row r="24" spans="3:9" x14ac:dyDescent="0.2">
      <c r="C24" s="10" t="s">
        <v>70</v>
      </c>
      <c r="D24" s="10"/>
      <c r="E24" s="10"/>
      <c r="F24" s="87">
        <v>330</v>
      </c>
      <c r="G24" s="10" t="s">
        <v>102</v>
      </c>
      <c r="H24" s="27">
        <v>2E-3</v>
      </c>
      <c r="I24" s="10" t="s">
        <v>47</v>
      </c>
    </row>
    <row r="26" spans="3:9" x14ac:dyDescent="0.2">
      <c r="C26" s="10" t="s">
        <v>125</v>
      </c>
      <c r="D26" s="10"/>
      <c r="E26" s="10"/>
      <c r="F26" s="87">
        <v>330</v>
      </c>
      <c r="G26" s="10" t="s">
        <v>103</v>
      </c>
      <c r="H26" s="58">
        <v>5.0000000000000001E-4</v>
      </c>
      <c r="I26" s="10" t="s">
        <v>47</v>
      </c>
    </row>
    <row r="28" spans="3:9" x14ac:dyDescent="0.2">
      <c r="C28" s="10" t="s">
        <v>86</v>
      </c>
      <c r="D28" s="10"/>
      <c r="E28" s="10"/>
      <c r="F28" s="87">
        <v>6.03</v>
      </c>
      <c r="G28" s="10" t="s">
        <v>87</v>
      </c>
      <c r="H28" s="27">
        <v>0.51</v>
      </c>
      <c r="I28" s="10" t="s">
        <v>88</v>
      </c>
    </row>
    <row r="29" spans="3:9" x14ac:dyDescent="0.2">
      <c r="C29" s="10" t="s">
        <v>89</v>
      </c>
      <c r="D29" s="10"/>
      <c r="E29" s="10"/>
      <c r="F29" s="87">
        <v>22</v>
      </c>
      <c r="G29" s="10" t="s">
        <v>87</v>
      </c>
      <c r="H29" s="27">
        <v>0.4</v>
      </c>
      <c r="I29" s="10" t="s">
        <v>88</v>
      </c>
    </row>
    <row r="30" spans="3:9" x14ac:dyDescent="0.2">
      <c r="C30" s="10" t="s">
        <v>90</v>
      </c>
      <c r="D30" s="10"/>
      <c r="E30" s="10"/>
      <c r="F30" s="87">
        <v>230</v>
      </c>
      <c r="G30" s="10" t="s">
        <v>87</v>
      </c>
      <c r="H30" s="27">
        <v>8.0000000000000002E-3</v>
      </c>
      <c r="I30" s="10" t="s">
        <v>88</v>
      </c>
    </row>
    <row r="31" spans="3:9" x14ac:dyDescent="0.2">
      <c r="C31" s="10" t="s">
        <v>104</v>
      </c>
      <c r="D31" s="10"/>
      <c r="E31" s="10"/>
      <c r="F31" s="87">
        <v>272</v>
      </c>
      <c r="G31" s="10" t="s">
        <v>87</v>
      </c>
      <c r="H31" s="27">
        <v>6.5000000000000002E-2</v>
      </c>
      <c r="I31" s="10" t="s">
        <v>88</v>
      </c>
    </row>
    <row r="32" spans="3:9" x14ac:dyDescent="0.2">
      <c r="C32" s="10" t="s">
        <v>105</v>
      </c>
      <c r="D32" s="10"/>
      <c r="E32" s="10"/>
      <c r="F32" s="87">
        <v>91.05</v>
      </c>
      <c r="G32" s="10" t="s">
        <v>87</v>
      </c>
      <c r="H32" s="27">
        <v>2.5000000000000001E-2</v>
      </c>
      <c r="I32" s="10" t="s">
        <v>88</v>
      </c>
    </row>
    <row r="34" spans="3:9" x14ac:dyDescent="0.2">
      <c r="C34" s="10" t="s">
        <v>127</v>
      </c>
      <c r="D34" s="10"/>
      <c r="E34" s="10"/>
      <c r="F34" s="87">
        <v>290</v>
      </c>
      <c r="G34" s="10" t="s">
        <v>103</v>
      </c>
      <c r="H34" s="58">
        <v>3.8E-3</v>
      </c>
      <c r="I34" s="10" t="s">
        <v>47</v>
      </c>
    </row>
    <row r="35" spans="3:9" x14ac:dyDescent="0.2">
      <c r="C35" s="10" t="s">
        <v>128</v>
      </c>
      <c r="D35" s="10"/>
      <c r="E35" s="10"/>
      <c r="F35" s="87">
        <v>35</v>
      </c>
      <c r="G35" s="10" t="s">
        <v>103</v>
      </c>
      <c r="H35" s="58">
        <v>0.01</v>
      </c>
      <c r="I35" s="10" t="s">
        <v>47</v>
      </c>
    </row>
    <row r="36" spans="3:9" x14ac:dyDescent="0.2">
      <c r="C36" s="10" t="s">
        <v>129</v>
      </c>
      <c r="D36" s="10"/>
      <c r="E36" s="10"/>
      <c r="F36" s="87">
        <v>35</v>
      </c>
      <c r="G36" s="10" t="s">
        <v>103</v>
      </c>
      <c r="H36" s="58">
        <v>4.0000000000000001E-3</v>
      </c>
      <c r="I36" s="10" t="s">
        <v>47</v>
      </c>
    </row>
    <row r="37" spans="3:9" x14ac:dyDescent="0.2">
      <c r="C37" s="10" t="s">
        <v>50</v>
      </c>
      <c r="D37" s="10"/>
      <c r="E37" s="10"/>
      <c r="F37" s="87">
        <v>35</v>
      </c>
      <c r="G37" s="10" t="s">
        <v>103</v>
      </c>
      <c r="H37" s="58">
        <v>4.0000000000000001E-3</v>
      </c>
      <c r="I37" s="10" t="s">
        <v>47</v>
      </c>
    </row>
    <row r="39" spans="3:9" x14ac:dyDescent="0.2">
      <c r="C39" s="10" t="s">
        <v>176</v>
      </c>
      <c r="D39" s="10"/>
      <c r="E39" s="10"/>
      <c r="F39" s="10"/>
      <c r="G39" s="88">
        <v>730</v>
      </c>
      <c r="H39" s="10" t="s">
        <v>177</v>
      </c>
    </row>
    <row r="40" spans="3:9" x14ac:dyDescent="0.2">
      <c r="C40" s="10" t="s">
        <v>97</v>
      </c>
      <c r="D40" s="10"/>
      <c r="E40" s="10"/>
      <c r="F40" s="10"/>
      <c r="G40" s="87">
        <v>99</v>
      </c>
      <c r="H40" s="10" t="s">
        <v>177</v>
      </c>
    </row>
    <row r="41" spans="3:9" x14ac:dyDescent="0.2">
      <c r="C41" s="10" t="s">
        <v>178</v>
      </c>
      <c r="D41" s="10"/>
      <c r="E41" s="10"/>
      <c r="F41" s="10"/>
      <c r="G41" s="87">
        <v>114</v>
      </c>
      <c r="H41" s="10" t="s">
        <v>177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59"/>
  <sheetViews>
    <sheetView zoomScaleNormal="100" workbookViewId="0">
      <selection activeCell="P11" sqref="P11"/>
    </sheetView>
  </sheetViews>
  <sheetFormatPr baseColWidth="10" defaultColWidth="10.42578125" defaultRowHeight="12.75" x14ac:dyDescent="0.2"/>
  <cols>
    <col min="1" max="1" width="10" style="101" customWidth="1"/>
    <col min="2" max="2" width="15.140625" style="101" customWidth="1"/>
    <col min="3" max="3" width="9" style="101" customWidth="1"/>
    <col min="4" max="4" width="10.42578125" style="101" customWidth="1"/>
    <col min="5" max="6" width="12.7109375" style="101" bestFit="1" customWidth="1"/>
    <col min="7" max="7" width="6.5703125" style="101" customWidth="1"/>
    <col min="8" max="8" width="8.140625" style="101" bestFit="1" customWidth="1"/>
    <col min="9" max="9" width="3.85546875" style="101" customWidth="1"/>
    <col min="10" max="10" width="9.140625" style="101" bestFit="1" customWidth="1"/>
    <col min="11" max="11" width="5" style="101" customWidth="1"/>
    <col min="12" max="16384" width="10.42578125" style="101"/>
  </cols>
  <sheetData>
    <row r="1" spans="1:11" ht="9.75" customHeight="1" x14ac:dyDescent="0.2">
      <c r="A1" s="302"/>
      <c r="B1" s="303"/>
      <c r="C1" s="303"/>
      <c r="D1" s="303"/>
      <c r="E1" s="303"/>
      <c r="F1" s="303"/>
      <c r="G1" s="303"/>
      <c r="H1" s="303"/>
      <c r="I1" s="303"/>
      <c r="J1" s="303"/>
      <c r="K1" s="304"/>
    </row>
    <row r="2" spans="1:11" x14ac:dyDescent="0.2">
      <c r="A2" s="305" t="s">
        <v>249</v>
      </c>
      <c r="B2" s="253"/>
      <c r="C2" s="253"/>
      <c r="D2" s="253"/>
      <c r="E2" s="253"/>
      <c r="F2" s="253"/>
      <c r="G2" s="253"/>
      <c r="H2" s="253"/>
      <c r="I2" s="253"/>
      <c r="J2" s="253"/>
      <c r="K2" s="306"/>
    </row>
    <row r="3" spans="1:11" x14ac:dyDescent="0.2">
      <c r="A3" s="305" t="s">
        <v>251</v>
      </c>
      <c r="B3" s="253"/>
      <c r="C3" s="253"/>
      <c r="D3" s="253"/>
      <c r="E3" s="253"/>
      <c r="F3" s="253"/>
      <c r="G3" s="253"/>
      <c r="H3" s="253"/>
      <c r="I3" s="253"/>
      <c r="J3" s="253"/>
      <c r="K3" s="306"/>
    </row>
    <row r="4" spans="1:11" x14ac:dyDescent="0.2">
      <c r="A4" s="305" t="s">
        <v>250</v>
      </c>
      <c r="B4" s="253"/>
      <c r="C4" s="253"/>
      <c r="D4" s="253"/>
      <c r="E4" s="253"/>
      <c r="F4" s="253"/>
      <c r="G4" s="253"/>
      <c r="H4" s="253"/>
      <c r="I4" s="253"/>
      <c r="J4" s="253"/>
      <c r="K4" s="306"/>
    </row>
    <row r="5" spans="1:11" x14ac:dyDescent="0.2">
      <c r="A5" s="305" t="s">
        <v>188</v>
      </c>
      <c r="B5" s="255" t="s">
        <v>185</v>
      </c>
      <c r="C5" s="253"/>
      <c r="D5" s="253"/>
      <c r="E5" s="253"/>
      <c r="F5" s="253"/>
      <c r="G5" s="253"/>
      <c r="H5" s="253"/>
      <c r="I5" s="253"/>
      <c r="J5" s="253"/>
      <c r="K5" s="306"/>
    </row>
    <row r="6" spans="1:11" ht="13.5" thickBot="1" x14ac:dyDescent="0.25">
      <c r="A6" s="314" t="s">
        <v>179</v>
      </c>
      <c r="B6" s="315" t="s">
        <v>61</v>
      </c>
      <c r="C6" s="315"/>
      <c r="D6" s="315"/>
      <c r="E6" s="315"/>
      <c r="F6" s="315"/>
      <c r="G6" s="315"/>
      <c r="H6" s="316" t="s">
        <v>57</v>
      </c>
      <c r="I6" s="317" t="s">
        <v>253</v>
      </c>
      <c r="J6" s="315">
        <v>43282</v>
      </c>
      <c r="K6" s="318"/>
    </row>
    <row r="7" spans="1:11" ht="12.75" customHeight="1" thickBot="1" x14ac:dyDescent="0.3">
      <c r="A7" s="262"/>
      <c r="B7" s="263"/>
      <c r="C7" s="263"/>
      <c r="D7" s="263"/>
      <c r="E7" s="263"/>
      <c r="F7" s="263"/>
      <c r="G7" s="263"/>
      <c r="H7" s="263"/>
      <c r="I7" s="263"/>
      <c r="J7" s="263"/>
      <c r="K7" s="263"/>
    </row>
    <row r="8" spans="1:11" ht="13.5" thickBot="1" x14ac:dyDescent="0.25">
      <c r="A8" s="299" t="s">
        <v>43</v>
      </c>
      <c r="B8" s="300"/>
      <c r="C8" s="300"/>
      <c r="D8" s="300"/>
      <c r="E8" s="300"/>
      <c r="F8" s="300"/>
      <c r="G8" s="300"/>
      <c r="H8" s="300"/>
      <c r="I8" s="300"/>
      <c r="J8" s="300"/>
      <c r="K8" s="301"/>
    </row>
    <row r="9" spans="1:11" x14ac:dyDescent="0.2">
      <c r="A9" s="297"/>
      <c r="B9" s="253"/>
      <c r="C9" s="253"/>
      <c r="D9" s="253"/>
      <c r="E9" s="253"/>
      <c r="F9" s="253"/>
      <c r="G9" s="253"/>
      <c r="H9" s="253"/>
      <c r="I9" s="253"/>
      <c r="J9" s="253"/>
      <c r="K9" s="298"/>
    </row>
    <row r="10" spans="1:11" x14ac:dyDescent="0.2">
      <c r="A10" s="278" t="s">
        <v>0</v>
      </c>
      <c r="B10" s="113"/>
      <c r="C10" s="113"/>
      <c r="D10" s="113"/>
      <c r="E10" s="113"/>
      <c r="F10" s="113"/>
      <c r="G10" s="113"/>
      <c r="H10" s="113"/>
      <c r="I10" s="113"/>
      <c r="J10" s="113"/>
      <c r="K10" s="279"/>
    </row>
    <row r="11" spans="1:11" x14ac:dyDescent="0.2">
      <c r="A11" s="280"/>
      <c r="B11" s="113"/>
      <c r="C11" s="113"/>
      <c r="D11" s="115" t="s">
        <v>39</v>
      </c>
      <c r="E11" s="115" t="s">
        <v>3</v>
      </c>
      <c r="F11" s="115" t="s">
        <v>4</v>
      </c>
      <c r="G11" s="113"/>
      <c r="H11" s="113"/>
      <c r="I11" s="113"/>
      <c r="J11" s="113"/>
      <c r="K11" s="279"/>
    </row>
    <row r="12" spans="1:11" x14ac:dyDescent="0.2">
      <c r="A12" s="280"/>
      <c r="B12" s="113"/>
      <c r="C12" s="113"/>
      <c r="D12" s="113"/>
      <c r="E12" s="115" t="s">
        <v>32</v>
      </c>
      <c r="F12" s="115" t="s">
        <v>33</v>
      </c>
      <c r="G12" s="113"/>
      <c r="H12" s="113"/>
      <c r="I12" s="113"/>
      <c r="J12" s="113"/>
      <c r="K12" s="279"/>
    </row>
    <row r="13" spans="1:11" x14ac:dyDescent="0.2">
      <c r="A13" s="280" t="s">
        <v>35</v>
      </c>
      <c r="B13" s="113"/>
      <c r="C13" s="113"/>
      <c r="D13" s="116">
        <v>1</v>
      </c>
      <c r="E13" s="115">
        <f>+$D$13*Datos!C14</f>
        <v>145</v>
      </c>
      <c r="F13" s="115">
        <f>+$D$13*Datos!F14</f>
        <v>7205117.6928171758</v>
      </c>
      <c r="G13" s="113"/>
      <c r="H13" s="113"/>
      <c r="I13" s="113"/>
      <c r="J13" s="113"/>
      <c r="K13" s="279"/>
    </row>
    <row r="14" spans="1:11" x14ac:dyDescent="0.2">
      <c r="A14" s="280" t="s">
        <v>2</v>
      </c>
      <c r="B14" s="113"/>
      <c r="C14" s="113"/>
      <c r="D14" s="116">
        <v>1</v>
      </c>
      <c r="E14" s="115">
        <f>+$D$14*Datos!C15</f>
        <v>120</v>
      </c>
      <c r="F14" s="115">
        <f>+$D$14*Datos!F15</f>
        <v>5515419.3493205439</v>
      </c>
      <c r="G14" s="113"/>
      <c r="H14" s="113"/>
      <c r="I14" s="113"/>
      <c r="J14" s="113"/>
      <c r="K14" s="279"/>
    </row>
    <row r="15" spans="1:11" x14ac:dyDescent="0.2">
      <c r="A15" s="280" t="s">
        <v>66</v>
      </c>
      <c r="B15" s="113"/>
      <c r="C15" s="113"/>
      <c r="D15" s="116">
        <v>1</v>
      </c>
      <c r="E15" s="115">
        <f>+$D$15*Datos!C21</f>
        <v>80</v>
      </c>
      <c r="F15" s="115">
        <f>+$D$15*Datos!F21</f>
        <v>2401705.8976057251</v>
      </c>
      <c r="G15" s="113"/>
      <c r="H15" s="113"/>
      <c r="I15" s="113"/>
      <c r="J15" s="113"/>
      <c r="K15" s="279"/>
    </row>
    <row r="16" spans="1:11" x14ac:dyDescent="0.2">
      <c r="A16" s="294" t="s">
        <v>67</v>
      </c>
      <c r="B16" s="113"/>
      <c r="C16" s="113"/>
      <c r="D16" s="116">
        <v>1</v>
      </c>
      <c r="E16" s="115">
        <f>+$D$16*Datos!C20</f>
        <v>90</v>
      </c>
      <c r="F16" s="115">
        <f>+$D$16*Datos!F20</f>
        <v>5554858.0509306844</v>
      </c>
      <c r="G16" s="113"/>
      <c r="H16" s="113"/>
      <c r="I16" s="113"/>
      <c r="J16" s="113"/>
      <c r="K16" s="279"/>
    </row>
    <row r="17" spans="1:11" x14ac:dyDescent="0.2">
      <c r="A17" s="280" t="s">
        <v>36</v>
      </c>
      <c r="B17" s="113"/>
      <c r="C17" s="113"/>
      <c r="D17" s="116">
        <v>1</v>
      </c>
      <c r="E17" s="115">
        <f>+$D$17*Datos!C22</f>
        <v>120</v>
      </c>
      <c r="F17" s="115">
        <f>+$D$17*Datos!F22</f>
        <v>1523250.0692017816</v>
      </c>
      <c r="G17" s="113"/>
      <c r="H17" s="113"/>
      <c r="I17" s="113"/>
      <c r="J17" s="113"/>
      <c r="K17" s="279"/>
    </row>
    <row r="18" spans="1:11" x14ac:dyDescent="0.2">
      <c r="A18" s="280" t="s">
        <v>60</v>
      </c>
      <c r="B18" s="113"/>
      <c r="C18" s="113"/>
      <c r="D18" s="116">
        <v>4</v>
      </c>
      <c r="E18" s="115">
        <f>+$D$18*Datos!C18</f>
        <v>480</v>
      </c>
      <c r="F18" s="115">
        <f>+$D$18*Datos!F18</f>
        <v>6093000.2768071266</v>
      </c>
      <c r="G18" s="113"/>
      <c r="H18" s="113"/>
      <c r="I18" s="113"/>
      <c r="J18" s="113"/>
      <c r="K18" s="279"/>
    </row>
    <row r="19" spans="1:11" x14ac:dyDescent="0.2">
      <c r="A19" s="280" t="s">
        <v>65</v>
      </c>
      <c r="B19" s="113"/>
      <c r="C19" s="113"/>
      <c r="D19" s="116">
        <v>1</v>
      </c>
      <c r="E19" s="117">
        <f>+$D$19*Datos!C19</f>
        <v>60</v>
      </c>
      <c r="F19" s="117">
        <f>+$D$19*Datos!F19</f>
        <v>2401705.8976057251</v>
      </c>
      <c r="G19" s="113"/>
      <c r="H19" s="113"/>
      <c r="I19" s="113"/>
      <c r="J19" s="113"/>
      <c r="K19" s="279"/>
    </row>
    <row r="20" spans="1:11" x14ac:dyDescent="0.2">
      <c r="A20" s="280"/>
      <c r="B20" s="113"/>
      <c r="C20" s="113"/>
      <c r="D20" s="113"/>
      <c r="E20" s="115"/>
      <c r="F20" s="115"/>
      <c r="G20" s="113"/>
      <c r="H20" s="113"/>
      <c r="I20" s="113"/>
      <c r="J20" s="113"/>
      <c r="K20" s="279"/>
    </row>
    <row r="21" spans="1:11" x14ac:dyDescent="0.2">
      <c r="A21" s="280"/>
      <c r="B21" s="113"/>
      <c r="C21" s="113"/>
      <c r="D21" s="113"/>
      <c r="E21" s="115">
        <f>SUM(E13:E20)</f>
        <v>1095</v>
      </c>
      <c r="F21" s="115">
        <f>SUM(F13:F20)</f>
        <v>30695057.234288763</v>
      </c>
      <c r="G21" s="113"/>
      <c r="H21" s="113"/>
      <c r="I21" s="113"/>
      <c r="J21" s="113"/>
      <c r="K21" s="279"/>
    </row>
    <row r="22" spans="1:11" x14ac:dyDescent="0.2">
      <c r="A22" s="280"/>
      <c r="B22" s="113"/>
      <c r="C22" s="113"/>
      <c r="D22" s="113"/>
      <c r="E22" s="113"/>
      <c r="F22" s="113"/>
      <c r="G22" s="113"/>
      <c r="H22" s="113"/>
      <c r="I22" s="113"/>
      <c r="J22" s="113"/>
      <c r="K22" s="279"/>
    </row>
    <row r="23" spans="1:11" x14ac:dyDescent="0.2">
      <c r="A23" s="278" t="s">
        <v>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279"/>
    </row>
    <row r="24" spans="1:11" x14ac:dyDescent="0.2">
      <c r="A24" s="280"/>
      <c r="B24" s="118">
        <f>+F21</f>
        <v>30695057.234288763</v>
      </c>
      <c r="C24" s="117" t="s">
        <v>6</v>
      </c>
      <c r="D24" s="115" t="s">
        <v>7</v>
      </c>
      <c r="E24" s="118">
        <f>+F21</f>
        <v>30695057.234288763</v>
      </c>
      <c r="F24" s="117" t="s">
        <v>62</v>
      </c>
      <c r="G24" s="118">
        <v>0.12</v>
      </c>
      <c r="H24" s="117" t="s">
        <v>9</v>
      </c>
      <c r="I24" s="115" t="s">
        <v>10</v>
      </c>
      <c r="J24" s="113">
        <f>+B24/B25+E24*G24/4000</f>
        <v>3990.3574404575393</v>
      </c>
      <c r="K24" s="279" t="s">
        <v>13</v>
      </c>
    </row>
    <row r="25" spans="1:11" x14ac:dyDescent="0.2">
      <c r="A25" s="280"/>
      <c r="B25" s="113">
        <v>10000</v>
      </c>
      <c r="C25" s="113" t="s">
        <v>34</v>
      </c>
      <c r="D25" s="113"/>
      <c r="E25" s="113"/>
      <c r="F25" s="115" t="s">
        <v>8</v>
      </c>
      <c r="G25" s="113"/>
      <c r="H25" s="115"/>
      <c r="I25" s="113"/>
      <c r="J25" s="113"/>
      <c r="K25" s="279"/>
    </row>
    <row r="26" spans="1:11" x14ac:dyDescent="0.2">
      <c r="A26" s="280"/>
      <c r="B26" s="113"/>
      <c r="C26" s="113"/>
      <c r="D26" s="113"/>
      <c r="E26" s="113"/>
      <c r="F26" s="115"/>
      <c r="G26" s="113"/>
      <c r="H26" s="115"/>
      <c r="I26" s="113"/>
      <c r="J26" s="113"/>
      <c r="K26" s="279"/>
    </row>
    <row r="27" spans="1:11" x14ac:dyDescent="0.2">
      <c r="A27" s="278" t="s">
        <v>31</v>
      </c>
      <c r="B27" s="113"/>
      <c r="C27" s="113"/>
      <c r="D27" s="113"/>
      <c r="E27" s="113"/>
      <c r="F27" s="115"/>
      <c r="G27" s="113"/>
      <c r="H27" s="115"/>
      <c r="I27" s="113"/>
      <c r="J27" s="113"/>
      <c r="K27" s="279"/>
    </row>
    <row r="28" spans="1:11" x14ac:dyDescent="0.2">
      <c r="A28" s="283">
        <v>0.5</v>
      </c>
      <c r="B28" s="113" t="s">
        <v>63</v>
      </c>
      <c r="C28" s="113"/>
      <c r="D28" s="120">
        <f>+B24/B25</f>
        <v>3069.5057234288765</v>
      </c>
      <c r="E28" s="113" t="s">
        <v>64</v>
      </c>
      <c r="F28" s="115" t="s">
        <v>14</v>
      </c>
      <c r="G28" s="113"/>
      <c r="H28" s="115"/>
      <c r="I28" s="113"/>
      <c r="J28" s="113">
        <f>+A28*D28</f>
        <v>1534.7528617144383</v>
      </c>
      <c r="K28" s="279" t="s">
        <v>13</v>
      </c>
    </row>
    <row r="29" spans="1:11" x14ac:dyDescent="0.2">
      <c r="A29" s="280"/>
      <c r="B29" s="113"/>
      <c r="C29" s="113"/>
      <c r="D29" s="120"/>
      <c r="E29" s="113"/>
      <c r="F29" s="115"/>
      <c r="G29" s="113"/>
      <c r="H29" s="115"/>
      <c r="I29" s="113"/>
      <c r="J29" s="113"/>
      <c r="K29" s="279"/>
    </row>
    <row r="30" spans="1:11" x14ac:dyDescent="0.2">
      <c r="A30" s="278" t="s">
        <v>19</v>
      </c>
      <c r="B30" s="113"/>
      <c r="C30" s="113"/>
      <c r="D30" s="120"/>
      <c r="E30" s="113"/>
      <c r="F30" s="115"/>
      <c r="G30" s="113"/>
      <c r="H30" s="115"/>
      <c r="I30" s="113"/>
      <c r="J30" s="113"/>
      <c r="K30" s="279"/>
    </row>
    <row r="31" spans="1:11" x14ac:dyDescent="0.2">
      <c r="A31" s="284" t="s">
        <v>15</v>
      </c>
      <c r="B31" s="113">
        <v>0.16</v>
      </c>
      <c r="C31" s="113" t="s">
        <v>16</v>
      </c>
      <c r="D31" s="115">
        <f>+E21</f>
        <v>1095</v>
      </c>
      <c r="E31" s="113" t="s">
        <v>17</v>
      </c>
      <c r="F31" s="115" t="s">
        <v>11</v>
      </c>
      <c r="G31" s="113">
        <f>+Datos!F10</f>
        <v>23.56</v>
      </c>
      <c r="H31" s="115" t="s">
        <v>18</v>
      </c>
      <c r="I31" s="115" t="s">
        <v>10</v>
      </c>
      <c r="J31" s="113">
        <f>+B31*D31*G31</f>
        <v>4127.7120000000004</v>
      </c>
      <c r="K31" s="279" t="s">
        <v>13</v>
      </c>
    </row>
    <row r="32" spans="1:11" x14ac:dyDescent="0.2">
      <c r="A32" s="280"/>
      <c r="B32" s="113"/>
      <c r="C32" s="113"/>
      <c r="D32" s="120"/>
      <c r="E32" s="113"/>
      <c r="F32" s="115"/>
      <c r="G32" s="113"/>
      <c r="H32" s="115"/>
      <c r="I32" s="113"/>
      <c r="J32" s="113"/>
      <c r="K32" s="279"/>
    </row>
    <row r="33" spans="1:11" x14ac:dyDescent="0.2">
      <c r="A33" s="278" t="s">
        <v>20</v>
      </c>
      <c r="B33" s="113"/>
      <c r="C33" s="113"/>
      <c r="D33" s="120"/>
      <c r="E33" s="113"/>
      <c r="F33" s="115"/>
      <c r="G33" s="113"/>
      <c r="H33" s="115"/>
      <c r="I33" s="113"/>
      <c r="J33" s="113"/>
      <c r="K33" s="279"/>
    </row>
    <row r="34" spans="1:11" x14ac:dyDescent="0.2">
      <c r="A34" s="283">
        <v>0.3</v>
      </c>
      <c r="B34" s="113" t="s">
        <v>21</v>
      </c>
      <c r="C34" s="113"/>
      <c r="D34" s="120">
        <f>+J31</f>
        <v>4127.7120000000004</v>
      </c>
      <c r="E34" s="113" t="s">
        <v>13</v>
      </c>
      <c r="F34" s="115" t="s">
        <v>14</v>
      </c>
      <c r="G34" s="113"/>
      <c r="H34" s="115"/>
      <c r="I34" s="113"/>
      <c r="J34" s="113">
        <f>+A34*D34</f>
        <v>1238.3136000000002</v>
      </c>
      <c r="K34" s="279" t="s">
        <v>13</v>
      </c>
    </row>
    <row r="35" spans="1:11" x14ac:dyDescent="0.2">
      <c r="A35" s="280"/>
      <c r="B35" s="113"/>
      <c r="C35" s="113"/>
      <c r="D35" s="113"/>
      <c r="E35" s="113"/>
      <c r="F35" s="113"/>
      <c r="G35" s="113"/>
      <c r="H35" s="115"/>
      <c r="I35" s="113"/>
      <c r="J35" s="113"/>
      <c r="K35" s="279"/>
    </row>
    <row r="36" spans="1:11" x14ac:dyDescent="0.2">
      <c r="A36" s="278" t="s">
        <v>22</v>
      </c>
      <c r="B36" s="113"/>
      <c r="C36" s="113"/>
      <c r="D36" s="113"/>
      <c r="E36" s="113"/>
      <c r="F36" s="113"/>
      <c r="G36" s="113"/>
      <c r="H36" s="115"/>
      <c r="I36" s="113"/>
      <c r="J36" s="113"/>
      <c r="K36" s="279"/>
    </row>
    <row r="37" spans="1:11" x14ac:dyDescent="0.2">
      <c r="A37" s="280" t="s">
        <v>23</v>
      </c>
      <c r="B37" s="113"/>
      <c r="C37" s="120">
        <v>1</v>
      </c>
      <c r="D37" s="115" t="s">
        <v>11</v>
      </c>
      <c r="E37" s="10">
        <f>+Datos!$F$5</f>
        <v>224.79</v>
      </c>
      <c r="F37" s="113" t="s">
        <v>13</v>
      </c>
      <c r="G37" s="115" t="s">
        <v>14</v>
      </c>
      <c r="H37" s="120">
        <f>+C37*E37</f>
        <v>224.79</v>
      </c>
      <c r="I37" s="113" t="s">
        <v>13</v>
      </c>
      <c r="J37" s="113"/>
      <c r="K37" s="279"/>
    </row>
    <row r="38" spans="1:11" x14ac:dyDescent="0.2">
      <c r="A38" s="280" t="s">
        <v>25</v>
      </c>
      <c r="B38" s="113"/>
      <c r="C38" s="120">
        <v>10</v>
      </c>
      <c r="D38" s="115" t="s">
        <v>11</v>
      </c>
      <c r="E38" s="10">
        <f>+Datos!$F$6</f>
        <v>191.66</v>
      </c>
      <c r="F38" s="113" t="s">
        <v>13</v>
      </c>
      <c r="G38" s="115" t="s">
        <v>14</v>
      </c>
      <c r="H38" s="120">
        <f>+C38*E38</f>
        <v>1916.6</v>
      </c>
      <c r="I38" s="113" t="s">
        <v>13</v>
      </c>
      <c r="J38" s="113"/>
      <c r="K38" s="279"/>
    </row>
    <row r="39" spans="1:11" x14ac:dyDescent="0.2">
      <c r="A39" s="280" t="s">
        <v>37</v>
      </c>
      <c r="B39" s="113"/>
      <c r="C39" s="120">
        <v>0</v>
      </c>
      <c r="D39" s="115" t="s">
        <v>11</v>
      </c>
      <c r="E39" s="10">
        <f>+Datos!$F$7</f>
        <v>176.37</v>
      </c>
      <c r="F39" s="113" t="s">
        <v>13</v>
      </c>
      <c r="G39" s="115" t="s">
        <v>14</v>
      </c>
      <c r="H39" s="120">
        <f>+C39*E39</f>
        <v>0</v>
      </c>
      <c r="I39" s="113" t="s">
        <v>13</v>
      </c>
      <c r="J39" s="113"/>
      <c r="K39" s="279"/>
    </row>
    <row r="40" spans="1:11" x14ac:dyDescent="0.2">
      <c r="A40" s="280" t="s">
        <v>24</v>
      </c>
      <c r="B40" s="113"/>
      <c r="C40" s="120">
        <v>3</v>
      </c>
      <c r="D40" s="115" t="s">
        <v>11</v>
      </c>
      <c r="E40" s="10">
        <f>+Datos!$F$8</f>
        <v>162.9</v>
      </c>
      <c r="F40" s="113" t="s">
        <v>13</v>
      </c>
      <c r="G40" s="117" t="s">
        <v>14</v>
      </c>
      <c r="H40" s="121">
        <f>+C40*E40</f>
        <v>488.70000000000005</v>
      </c>
      <c r="I40" s="118" t="s">
        <v>13</v>
      </c>
      <c r="J40" s="113"/>
      <c r="K40" s="279"/>
    </row>
    <row r="41" spans="1:11" x14ac:dyDescent="0.2">
      <c r="A41" s="280"/>
      <c r="B41" s="113"/>
      <c r="C41" s="113"/>
      <c r="D41" s="113"/>
      <c r="E41" s="113"/>
      <c r="F41" s="113"/>
      <c r="G41" s="113"/>
      <c r="H41" s="120">
        <f>SUM(H37:H40)</f>
        <v>2630.09</v>
      </c>
      <c r="I41" s="113" t="s">
        <v>13</v>
      </c>
      <c r="J41" s="113"/>
      <c r="K41" s="279"/>
    </row>
    <row r="42" spans="1:11" x14ac:dyDescent="0.2">
      <c r="A42" s="280" t="s">
        <v>40</v>
      </c>
      <c r="B42" s="113"/>
      <c r="C42" s="122">
        <v>0.05</v>
      </c>
      <c r="D42" s="113"/>
      <c r="E42" s="113"/>
      <c r="F42" s="113"/>
      <c r="G42" s="113"/>
      <c r="H42" s="120">
        <f>+H41*C42</f>
        <v>131.50450000000001</v>
      </c>
      <c r="I42" s="113" t="s">
        <v>13</v>
      </c>
      <c r="J42" s="113"/>
      <c r="K42" s="279"/>
    </row>
    <row r="43" spans="1:11" x14ac:dyDescent="0.2">
      <c r="A43" s="280"/>
      <c r="B43" s="113"/>
      <c r="C43" s="113"/>
      <c r="D43" s="113"/>
      <c r="E43" s="113"/>
      <c r="F43" s="113"/>
      <c r="G43" s="113"/>
      <c r="H43" s="115"/>
      <c r="I43" s="113"/>
      <c r="J43" s="113"/>
      <c r="K43" s="279"/>
    </row>
    <row r="44" spans="1:11" x14ac:dyDescent="0.2">
      <c r="A44" s="280" t="s">
        <v>26</v>
      </c>
      <c r="B44" s="113"/>
      <c r="C44" s="113"/>
      <c r="D44" s="113"/>
      <c r="E44" s="113"/>
      <c r="F44" s="113"/>
      <c r="G44" s="113"/>
      <c r="H44" s="115"/>
      <c r="I44" s="113"/>
      <c r="J44" s="118">
        <f>+H41+H42</f>
        <v>2761.5945000000002</v>
      </c>
      <c r="K44" s="285" t="s">
        <v>13</v>
      </c>
    </row>
    <row r="45" spans="1:11" x14ac:dyDescent="0.2">
      <c r="A45" s="280"/>
      <c r="B45" s="113"/>
      <c r="C45" s="113"/>
      <c r="D45" s="113"/>
      <c r="E45" s="113"/>
      <c r="F45" s="113"/>
      <c r="G45" s="113"/>
      <c r="H45" s="115"/>
      <c r="I45" s="113"/>
      <c r="J45" s="113"/>
      <c r="K45" s="279"/>
    </row>
    <row r="46" spans="1:11" x14ac:dyDescent="0.2">
      <c r="A46" s="286" t="s">
        <v>44</v>
      </c>
      <c r="B46" s="125"/>
      <c r="C46" s="125"/>
      <c r="D46" s="125"/>
      <c r="E46" s="125"/>
      <c r="F46" s="125"/>
      <c r="G46" s="125"/>
      <c r="H46" s="126"/>
      <c r="I46" s="125"/>
      <c r="J46" s="125">
        <f>SUM(J24:J44)</f>
        <v>13652.730402171979</v>
      </c>
      <c r="K46" s="287" t="s">
        <v>13</v>
      </c>
    </row>
    <row r="47" spans="1:11" x14ac:dyDescent="0.2">
      <c r="A47" s="280"/>
      <c r="B47" s="113"/>
      <c r="C47" s="113"/>
      <c r="D47" s="113"/>
      <c r="E47" s="113"/>
      <c r="F47" s="113"/>
      <c r="G47" s="113"/>
      <c r="H47" s="115"/>
      <c r="I47" s="113"/>
      <c r="J47" s="113"/>
      <c r="K47" s="279"/>
    </row>
    <row r="48" spans="1:11" x14ac:dyDescent="0.2">
      <c r="A48" s="280" t="s">
        <v>27</v>
      </c>
      <c r="B48" s="113"/>
      <c r="C48" s="120">
        <v>65</v>
      </c>
      <c r="D48" s="115" t="s">
        <v>28</v>
      </c>
      <c r="E48" s="113"/>
      <c r="F48" s="113"/>
      <c r="G48" s="113"/>
      <c r="H48" s="115"/>
      <c r="I48" s="113"/>
      <c r="J48" s="113"/>
      <c r="K48" s="279"/>
    </row>
    <row r="49" spans="1:11" x14ac:dyDescent="0.2">
      <c r="A49" s="288" t="s">
        <v>45</v>
      </c>
      <c r="B49" s="289"/>
      <c r="C49" s="290">
        <f>+J46</f>
        <v>13652.730402171979</v>
      </c>
      <c r="D49" s="291" t="s">
        <v>13</v>
      </c>
      <c r="E49" s="291" t="s">
        <v>29</v>
      </c>
      <c r="F49" s="290">
        <f>+C48</f>
        <v>65</v>
      </c>
      <c r="G49" s="291" t="s">
        <v>28</v>
      </c>
      <c r="H49" s="291" t="s">
        <v>14</v>
      </c>
      <c r="I49" s="289"/>
      <c r="J49" s="292">
        <f>+C49/F49</f>
        <v>210.04200618726122</v>
      </c>
      <c r="K49" s="293" t="s">
        <v>30</v>
      </c>
    </row>
    <row r="50" spans="1:11" ht="13.5" thickBot="1" x14ac:dyDescent="0.25">
      <c r="A50" s="102"/>
      <c r="B50" s="102"/>
      <c r="C50" s="102"/>
      <c r="D50" s="102"/>
      <c r="E50" s="102"/>
      <c r="F50" s="131"/>
      <c r="G50" s="102"/>
      <c r="H50" s="102"/>
      <c r="I50" s="102"/>
      <c r="J50" s="102"/>
      <c r="K50" s="102"/>
    </row>
    <row r="51" spans="1:11" x14ac:dyDescent="0.2">
      <c r="A51" s="132" t="s">
        <v>46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4"/>
    </row>
    <row r="52" spans="1:11" x14ac:dyDescent="0.2">
      <c r="A52" s="136" t="s">
        <v>180</v>
      </c>
      <c r="B52" s="136"/>
      <c r="C52" s="136"/>
      <c r="D52" s="136">
        <f>+Datos!F40</f>
        <v>355.48703894027642</v>
      </c>
      <c r="E52" s="136" t="s">
        <v>49</v>
      </c>
      <c r="F52" s="138">
        <v>1</v>
      </c>
      <c r="G52" s="136" t="s">
        <v>51</v>
      </c>
      <c r="H52" s="137" t="s">
        <v>10</v>
      </c>
      <c r="I52" s="136"/>
      <c r="J52" s="136">
        <f>+D52*F52</f>
        <v>355.48703894027642</v>
      </c>
      <c r="K52" s="139" t="s">
        <v>30</v>
      </c>
    </row>
    <row r="53" spans="1:11" x14ac:dyDescent="0.2">
      <c r="A53" s="129" t="s">
        <v>52</v>
      </c>
      <c r="B53" s="118"/>
      <c r="C53" s="118"/>
      <c r="D53" s="118"/>
      <c r="E53" s="118"/>
      <c r="F53" s="118"/>
      <c r="G53" s="118"/>
      <c r="H53" s="118"/>
      <c r="I53" s="118"/>
      <c r="J53" s="130">
        <f>+J52</f>
        <v>355.48703894027642</v>
      </c>
      <c r="K53" s="127" t="s">
        <v>30</v>
      </c>
    </row>
    <row r="54" spans="1:11" x14ac:dyDescent="0.2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1:11" x14ac:dyDescent="0.2">
      <c r="A55" s="273" t="s">
        <v>53</v>
      </c>
      <c r="B55" s="274"/>
      <c r="C55" s="274"/>
      <c r="D55" s="274"/>
      <c r="E55" s="274"/>
      <c r="F55" s="274"/>
      <c r="G55" s="274"/>
      <c r="H55" s="274"/>
      <c r="I55" s="274"/>
      <c r="J55" s="277">
        <f>+J49+J53</f>
        <v>565.52904512753764</v>
      </c>
      <c r="K55" s="276" t="s">
        <v>30</v>
      </c>
    </row>
    <row r="56" spans="1:11" x14ac:dyDescent="0.2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1:11" x14ac:dyDescent="0.2">
      <c r="A57" s="273" t="s">
        <v>54</v>
      </c>
      <c r="B57" s="274"/>
      <c r="C57" s="274"/>
      <c r="D57" s="275">
        <f>[1]Coeficiente!E22</f>
        <v>1.7627404950000001</v>
      </c>
      <c r="E57" s="274"/>
      <c r="F57" s="274"/>
      <c r="G57" s="274"/>
      <c r="H57" s="274"/>
      <c r="I57" s="274"/>
      <c r="J57" s="274"/>
      <c r="K57" s="276"/>
    </row>
    <row r="58" spans="1:11" ht="13.5" thickBot="1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1:11" ht="13.5" thickBot="1" x14ac:dyDescent="0.25">
      <c r="A59" s="267" t="s">
        <v>55</v>
      </c>
      <c r="B59" s="268"/>
      <c r="C59" s="268"/>
      <c r="D59" s="268"/>
      <c r="E59" s="268"/>
      <c r="F59" s="268"/>
      <c r="G59" s="268"/>
      <c r="H59" s="268"/>
      <c r="I59" s="268"/>
      <c r="J59" s="269">
        <f>ROUND((+J55*D57),2)</f>
        <v>996.88</v>
      </c>
      <c r="K59" s="270" t="s">
        <v>30</v>
      </c>
    </row>
  </sheetData>
  <sheetProtection selectLockedCells="1" selectUnlockedCells="1"/>
  <printOptions horizontalCentered="1" verticalCentered="1"/>
  <pageMargins left="0.98425196850393704" right="0.19685039370078741" top="0.59055118110236227" bottom="0.19685039370078741" header="0" footer="0"/>
  <pageSetup paperSize="9" scale="80" firstPageNumber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4"/>
  <sheetViews>
    <sheetView topLeftCell="A46" zoomScaleNormal="100" workbookViewId="0">
      <selection activeCell="P11" sqref="P11"/>
    </sheetView>
  </sheetViews>
  <sheetFormatPr baseColWidth="10" defaultColWidth="11.140625" defaultRowHeight="12.75" x14ac:dyDescent="0.2"/>
  <cols>
    <col min="1" max="1" width="3.5703125" style="102" customWidth="1"/>
    <col min="2" max="2" width="9.28515625" style="102" customWidth="1"/>
    <col min="3" max="3" width="12.85546875" style="102" customWidth="1"/>
    <col min="4" max="4" width="9.140625" style="102" bestFit="1" customWidth="1"/>
    <col min="5" max="5" width="10.42578125" style="102" customWidth="1"/>
    <col min="6" max="6" width="13.7109375" style="102" customWidth="1"/>
    <col min="7" max="7" width="12.7109375" style="102" bestFit="1" customWidth="1"/>
    <col min="8" max="8" width="7.85546875" style="102" customWidth="1"/>
    <col min="9" max="9" width="8.140625" style="102" bestFit="1" customWidth="1"/>
    <col min="10" max="10" width="3.85546875" style="102" customWidth="1"/>
    <col min="11" max="11" width="9.140625" style="102" bestFit="1" customWidth="1"/>
    <col min="12" max="12" width="5.28515625" style="102" customWidth="1"/>
    <col min="13" max="16384" width="11.140625" style="102"/>
  </cols>
  <sheetData>
    <row r="1" spans="1:12" x14ac:dyDescent="0.2">
      <c r="A1" s="24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250"/>
    </row>
    <row r="2" spans="1:12" x14ac:dyDescent="0.2">
      <c r="A2" s="251"/>
      <c r="B2" s="252" t="s">
        <v>249</v>
      </c>
      <c r="C2" s="253"/>
      <c r="D2" s="253"/>
      <c r="E2" s="253"/>
      <c r="F2" s="253"/>
      <c r="G2" s="253"/>
      <c r="H2" s="253"/>
      <c r="I2" s="253"/>
      <c r="J2" s="253"/>
      <c r="K2" s="253"/>
      <c r="L2" s="254"/>
    </row>
    <row r="3" spans="1:12" x14ac:dyDescent="0.2">
      <c r="A3" s="251"/>
      <c r="B3" s="252" t="s">
        <v>251</v>
      </c>
      <c r="C3" s="253"/>
      <c r="D3" s="253"/>
      <c r="E3" s="253"/>
      <c r="F3" s="253"/>
      <c r="G3" s="253"/>
      <c r="H3" s="253"/>
      <c r="I3" s="253"/>
      <c r="J3" s="253"/>
      <c r="K3" s="253"/>
      <c r="L3" s="254"/>
    </row>
    <row r="4" spans="1:12" x14ac:dyDescent="0.2">
      <c r="A4" s="251"/>
      <c r="B4" s="252" t="s">
        <v>250</v>
      </c>
      <c r="C4" s="253"/>
      <c r="D4" s="253"/>
      <c r="E4" s="253"/>
      <c r="F4" s="253"/>
      <c r="G4" s="253"/>
      <c r="H4" s="253"/>
      <c r="I4" s="253"/>
      <c r="J4" s="253"/>
      <c r="K4" s="253"/>
      <c r="L4" s="254"/>
    </row>
    <row r="5" spans="1:12" x14ac:dyDescent="0.2">
      <c r="A5" s="251"/>
      <c r="B5" s="252" t="s">
        <v>189</v>
      </c>
      <c r="C5" s="255" t="s">
        <v>186</v>
      </c>
      <c r="D5" s="253"/>
      <c r="E5" s="253"/>
      <c r="F5" s="253"/>
      <c r="G5" s="253"/>
      <c r="H5" s="253"/>
      <c r="I5" s="253"/>
      <c r="J5" s="253"/>
      <c r="K5" s="253"/>
      <c r="L5" s="254"/>
    </row>
    <row r="6" spans="1:12" ht="13.5" thickBot="1" x14ac:dyDescent="0.25">
      <c r="A6" s="256"/>
      <c r="B6" s="257" t="s">
        <v>56</v>
      </c>
      <c r="C6" s="258" t="s">
        <v>61</v>
      </c>
      <c r="D6" s="259"/>
      <c r="E6" s="259"/>
      <c r="F6" s="259"/>
      <c r="G6" s="259"/>
      <c r="H6" s="259"/>
      <c r="I6" s="257" t="s">
        <v>57</v>
      </c>
      <c r="J6" s="259" t="s">
        <v>179</v>
      </c>
      <c r="K6" s="259">
        <v>43282</v>
      </c>
      <c r="L6" s="260"/>
    </row>
    <row r="7" spans="1:12" ht="16.5" thickBot="1" x14ac:dyDescent="0.3">
      <c r="A7" s="261"/>
      <c r="B7" s="262"/>
      <c r="C7" s="263"/>
      <c r="D7" s="263"/>
      <c r="E7" s="263"/>
      <c r="F7" s="263"/>
      <c r="G7" s="263"/>
      <c r="H7" s="263"/>
      <c r="I7" s="263"/>
      <c r="J7" s="263"/>
      <c r="K7" s="263"/>
      <c r="L7" s="263"/>
    </row>
    <row r="8" spans="1:12" ht="13.5" thickBot="1" x14ac:dyDescent="0.25">
      <c r="A8" s="105"/>
      <c r="B8" s="106" t="s">
        <v>43</v>
      </c>
      <c r="C8" s="99"/>
      <c r="D8" s="99"/>
      <c r="E8" s="99"/>
      <c r="F8" s="99"/>
      <c r="G8" s="99"/>
      <c r="H8" s="99"/>
      <c r="I8" s="99"/>
      <c r="J8" s="99"/>
      <c r="K8" s="99"/>
      <c r="L8" s="100"/>
    </row>
    <row r="9" spans="1:12" x14ac:dyDescent="0.2">
      <c r="A9" s="107"/>
      <c r="B9" s="108"/>
      <c r="C9" s="109"/>
      <c r="D9" s="109"/>
      <c r="E9" s="109"/>
      <c r="F9" s="109"/>
      <c r="G9" s="109"/>
      <c r="H9" s="109"/>
      <c r="I9" s="109"/>
      <c r="J9" s="109"/>
      <c r="K9" s="109"/>
      <c r="L9" s="110"/>
    </row>
    <row r="10" spans="1:12" x14ac:dyDescent="0.2">
      <c r="A10" s="111"/>
      <c r="B10" s="112" t="s">
        <v>0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4"/>
    </row>
    <row r="11" spans="1:12" x14ac:dyDescent="0.2">
      <c r="A11" s="111"/>
      <c r="B11" s="113"/>
      <c r="C11" s="113"/>
      <c r="D11" s="113"/>
      <c r="E11" s="115" t="s">
        <v>39</v>
      </c>
      <c r="F11" s="115" t="s">
        <v>3</v>
      </c>
      <c r="G11" s="115" t="s">
        <v>4</v>
      </c>
      <c r="H11" s="113"/>
      <c r="I11" s="113"/>
      <c r="J11" s="113"/>
      <c r="K11" s="113"/>
      <c r="L11" s="114"/>
    </row>
    <row r="12" spans="1:12" x14ac:dyDescent="0.2">
      <c r="A12" s="111"/>
      <c r="B12" s="113"/>
      <c r="C12" s="113"/>
      <c r="D12" s="113"/>
      <c r="E12" s="113"/>
      <c r="F12" s="115" t="s">
        <v>32</v>
      </c>
      <c r="G12" s="115" t="s">
        <v>33</v>
      </c>
      <c r="H12" s="113"/>
      <c r="I12" s="113"/>
      <c r="J12" s="113"/>
      <c r="K12" s="113"/>
      <c r="L12" s="114"/>
    </row>
    <row r="13" spans="1:12" x14ac:dyDescent="0.2">
      <c r="A13" s="111"/>
      <c r="B13" s="113" t="s">
        <v>35</v>
      </c>
      <c r="C13" s="113"/>
      <c r="D13" s="113"/>
      <c r="E13" s="116">
        <v>1</v>
      </c>
      <c r="F13" s="115">
        <f>+$E$13*Datos!C14</f>
        <v>145</v>
      </c>
      <c r="G13" s="115">
        <f>+$E$13*Datos!F14</f>
        <v>7205117.6928171758</v>
      </c>
      <c r="H13" s="113"/>
      <c r="I13" s="113"/>
      <c r="J13" s="113"/>
      <c r="K13" s="113"/>
      <c r="L13" s="114"/>
    </row>
    <row r="14" spans="1:12" x14ac:dyDescent="0.2">
      <c r="A14" s="111"/>
      <c r="B14" s="113" t="s">
        <v>2</v>
      </c>
      <c r="C14" s="113"/>
      <c r="D14" s="113"/>
      <c r="E14" s="116">
        <v>1</v>
      </c>
      <c r="F14" s="115">
        <f>+$E$14*Datos!C15</f>
        <v>120</v>
      </c>
      <c r="G14" s="115">
        <f>+$E$14*Datos!F15</f>
        <v>5515419.3493205439</v>
      </c>
      <c r="H14" s="113"/>
      <c r="I14" s="113"/>
      <c r="J14" s="113"/>
      <c r="K14" s="113"/>
      <c r="L14" s="114"/>
    </row>
    <row r="15" spans="1:12" x14ac:dyDescent="0.2">
      <c r="A15" s="111"/>
      <c r="B15" s="113" t="s">
        <v>66</v>
      </c>
      <c r="C15" s="113"/>
      <c r="D15" s="113"/>
      <c r="E15" s="116">
        <v>1</v>
      </c>
      <c r="F15" s="115">
        <f>+$E$15*Datos!C21</f>
        <v>80</v>
      </c>
      <c r="G15" s="115">
        <f>+$E$15*Datos!F21</f>
        <v>2401705.8976057251</v>
      </c>
      <c r="H15" s="113"/>
      <c r="I15" s="113"/>
      <c r="J15" s="113"/>
      <c r="K15" s="113"/>
      <c r="L15" s="114"/>
    </row>
    <row r="16" spans="1:12" x14ac:dyDescent="0.2">
      <c r="A16" s="111"/>
      <c r="B16" s="102" t="s">
        <v>67</v>
      </c>
      <c r="C16" s="113"/>
      <c r="D16" s="113"/>
      <c r="E16" s="116">
        <v>1</v>
      </c>
      <c r="F16" s="115">
        <f>+$E$16*Datos!C20</f>
        <v>90</v>
      </c>
      <c r="G16" s="115">
        <f>+$E$16*Datos!F20</f>
        <v>5554858.0509306844</v>
      </c>
      <c r="H16" s="113"/>
      <c r="I16" s="113"/>
      <c r="J16" s="113"/>
      <c r="K16" s="113"/>
      <c r="L16" s="114"/>
    </row>
    <row r="17" spans="1:12" x14ac:dyDescent="0.2">
      <c r="A17" s="111"/>
      <c r="B17" s="113" t="s">
        <v>36</v>
      </c>
      <c r="C17" s="113"/>
      <c r="D17" s="113"/>
      <c r="E17" s="116">
        <v>1</v>
      </c>
      <c r="F17" s="115">
        <f>+$E$17*Datos!C22</f>
        <v>120</v>
      </c>
      <c r="G17" s="115">
        <f>+$E$17*Datos!F22</f>
        <v>1523250.0692017816</v>
      </c>
      <c r="H17" s="113"/>
      <c r="I17" s="113"/>
      <c r="J17" s="113"/>
      <c r="K17" s="113"/>
      <c r="L17" s="114"/>
    </row>
    <row r="18" spans="1:12" x14ac:dyDescent="0.2">
      <c r="A18" s="111"/>
      <c r="B18" s="113" t="s">
        <v>60</v>
      </c>
      <c r="C18" s="113"/>
      <c r="D18" s="113"/>
      <c r="E18" s="116">
        <v>4</v>
      </c>
      <c r="F18" s="115">
        <f>+$E$18*Datos!C18</f>
        <v>480</v>
      </c>
      <c r="G18" s="115">
        <f>+$E$18*Datos!F18</f>
        <v>6093000.2768071266</v>
      </c>
      <c r="H18" s="113"/>
      <c r="I18" s="113"/>
      <c r="J18" s="113"/>
      <c r="K18" s="113"/>
      <c r="L18" s="114"/>
    </row>
    <row r="19" spans="1:12" x14ac:dyDescent="0.2">
      <c r="A19" s="111"/>
      <c r="B19" s="113" t="s">
        <v>65</v>
      </c>
      <c r="C19" s="113"/>
      <c r="D19" s="113"/>
      <c r="E19" s="116">
        <v>1</v>
      </c>
      <c r="F19" s="117">
        <f>+$E$19*Datos!C19</f>
        <v>60</v>
      </c>
      <c r="G19" s="117">
        <f>+$E$19*Datos!F19</f>
        <v>2401705.8976057251</v>
      </c>
      <c r="H19" s="113"/>
      <c r="I19" s="113"/>
      <c r="J19" s="113"/>
      <c r="K19" s="113"/>
      <c r="L19" s="114"/>
    </row>
    <row r="20" spans="1:12" x14ac:dyDescent="0.2">
      <c r="A20" s="111"/>
      <c r="B20" s="113"/>
      <c r="C20" s="113"/>
      <c r="D20" s="113"/>
      <c r="E20" s="113"/>
      <c r="F20" s="120"/>
      <c r="G20" s="120"/>
      <c r="H20" s="113"/>
      <c r="I20" s="113"/>
      <c r="J20" s="113"/>
      <c r="K20" s="113"/>
      <c r="L20" s="114"/>
    </row>
    <row r="21" spans="1:12" x14ac:dyDescent="0.2">
      <c r="A21" s="111"/>
      <c r="B21" s="113"/>
      <c r="C21" s="113"/>
      <c r="D21" s="113"/>
      <c r="E21" s="113"/>
      <c r="F21" s="115">
        <f>SUM(F13:F20)</f>
        <v>1095</v>
      </c>
      <c r="G21" s="115">
        <f>SUM(G13:G20)</f>
        <v>30695057.234288763</v>
      </c>
      <c r="H21" s="113"/>
      <c r="I21" s="113"/>
      <c r="J21" s="113"/>
      <c r="K21" s="113"/>
      <c r="L21" s="114"/>
    </row>
    <row r="22" spans="1:12" x14ac:dyDescent="0.2">
      <c r="A22" s="111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4"/>
    </row>
    <row r="23" spans="1:12" x14ac:dyDescent="0.2">
      <c r="A23" s="111"/>
      <c r="B23" s="112" t="s">
        <v>5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4"/>
    </row>
    <row r="24" spans="1:12" x14ac:dyDescent="0.2">
      <c r="A24" s="111"/>
      <c r="B24" s="113"/>
      <c r="C24" s="118">
        <f>+G21</f>
        <v>30695057.234288763</v>
      </c>
      <c r="D24" s="117" t="s">
        <v>6</v>
      </c>
      <c r="E24" s="115" t="s">
        <v>7</v>
      </c>
      <c r="F24" s="118">
        <f>+G21</f>
        <v>30695057.234288763</v>
      </c>
      <c r="G24" s="117" t="s">
        <v>62</v>
      </c>
      <c r="H24" s="118">
        <v>0.12</v>
      </c>
      <c r="I24" s="117" t="s">
        <v>9</v>
      </c>
      <c r="J24" s="115" t="s">
        <v>10</v>
      </c>
      <c r="K24" s="113">
        <f>+C24/C25+F24*H24/4000</f>
        <v>3990.3574404575393</v>
      </c>
      <c r="L24" s="114" t="s">
        <v>13</v>
      </c>
    </row>
    <row r="25" spans="1:12" x14ac:dyDescent="0.2">
      <c r="A25" s="111"/>
      <c r="B25" s="113"/>
      <c r="C25" s="113">
        <v>10000</v>
      </c>
      <c r="D25" s="113" t="s">
        <v>34</v>
      </c>
      <c r="E25" s="113"/>
      <c r="F25" s="113"/>
      <c r="G25" s="115" t="s">
        <v>8</v>
      </c>
      <c r="H25" s="113"/>
      <c r="I25" s="115"/>
      <c r="J25" s="113"/>
      <c r="K25" s="113"/>
      <c r="L25" s="114"/>
    </row>
    <row r="26" spans="1:12" x14ac:dyDescent="0.2">
      <c r="A26" s="111"/>
      <c r="B26" s="113"/>
      <c r="C26" s="113"/>
      <c r="D26" s="113"/>
      <c r="E26" s="113"/>
      <c r="F26" s="113"/>
      <c r="G26" s="115"/>
      <c r="H26" s="113"/>
      <c r="I26" s="115"/>
      <c r="J26" s="113"/>
      <c r="K26" s="113"/>
      <c r="L26" s="114"/>
    </row>
    <row r="27" spans="1:12" x14ac:dyDescent="0.2">
      <c r="A27" s="111"/>
      <c r="B27" s="112" t="s">
        <v>31</v>
      </c>
      <c r="C27" s="113"/>
      <c r="D27" s="113"/>
      <c r="E27" s="113"/>
      <c r="F27" s="113"/>
      <c r="G27" s="115"/>
      <c r="H27" s="113"/>
      <c r="I27" s="115"/>
      <c r="J27" s="113"/>
      <c r="K27" s="113"/>
      <c r="L27" s="114"/>
    </row>
    <row r="28" spans="1:12" x14ac:dyDescent="0.2">
      <c r="A28" s="111"/>
      <c r="B28" s="119">
        <v>0.5</v>
      </c>
      <c r="C28" s="113" t="s">
        <v>63</v>
      </c>
      <c r="D28" s="113"/>
      <c r="E28" s="120">
        <f>+C24/C25</f>
        <v>3069.5057234288765</v>
      </c>
      <c r="F28" s="113" t="s">
        <v>64</v>
      </c>
      <c r="G28" s="115" t="s">
        <v>14</v>
      </c>
      <c r="H28" s="113"/>
      <c r="I28" s="115"/>
      <c r="J28" s="113"/>
      <c r="K28" s="113">
        <f>+B28*E28</f>
        <v>1534.7528617144383</v>
      </c>
      <c r="L28" s="114" t="s">
        <v>13</v>
      </c>
    </row>
    <row r="29" spans="1:12" x14ac:dyDescent="0.2">
      <c r="A29" s="111"/>
      <c r="B29" s="113"/>
      <c r="C29" s="113"/>
      <c r="D29" s="113"/>
      <c r="E29" s="120"/>
      <c r="F29" s="113"/>
      <c r="G29" s="115"/>
      <c r="H29" s="113"/>
      <c r="I29" s="115"/>
      <c r="J29" s="113"/>
      <c r="K29" s="113"/>
      <c r="L29" s="114"/>
    </row>
    <row r="30" spans="1:12" x14ac:dyDescent="0.2">
      <c r="A30" s="111"/>
      <c r="B30" s="112" t="s">
        <v>19</v>
      </c>
      <c r="C30" s="113"/>
      <c r="D30" s="113"/>
      <c r="E30" s="120"/>
      <c r="F30" s="113"/>
      <c r="G30" s="115"/>
      <c r="H30" s="113"/>
      <c r="I30" s="115"/>
      <c r="J30" s="113"/>
      <c r="K30" s="113"/>
      <c r="L30" s="114"/>
    </row>
    <row r="31" spans="1:12" x14ac:dyDescent="0.2">
      <c r="A31" s="111"/>
      <c r="B31" s="115" t="s">
        <v>15</v>
      </c>
      <c r="C31" s="113">
        <v>0.16</v>
      </c>
      <c r="D31" s="113" t="s">
        <v>16</v>
      </c>
      <c r="E31" s="115">
        <f>+F21</f>
        <v>1095</v>
      </c>
      <c r="F31" s="113" t="s">
        <v>17</v>
      </c>
      <c r="G31" s="115" t="s">
        <v>11</v>
      </c>
      <c r="H31" s="113">
        <f>+Datos!F10</f>
        <v>23.56</v>
      </c>
      <c r="I31" s="115" t="s">
        <v>18</v>
      </c>
      <c r="J31" s="115" t="s">
        <v>10</v>
      </c>
      <c r="K31" s="113">
        <f>+C31*E31*H31</f>
        <v>4127.7120000000004</v>
      </c>
      <c r="L31" s="114" t="s">
        <v>13</v>
      </c>
    </row>
    <row r="32" spans="1:12" x14ac:dyDescent="0.2">
      <c r="A32" s="111"/>
      <c r="B32" s="113"/>
      <c r="C32" s="113"/>
      <c r="D32" s="113"/>
      <c r="E32" s="120"/>
      <c r="F32" s="113"/>
      <c r="G32" s="115"/>
      <c r="H32" s="113"/>
      <c r="I32" s="115"/>
      <c r="J32" s="113"/>
      <c r="K32" s="113"/>
      <c r="L32" s="114"/>
    </row>
    <row r="33" spans="1:12" x14ac:dyDescent="0.2">
      <c r="A33" s="111"/>
      <c r="B33" s="112" t="s">
        <v>20</v>
      </c>
      <c r="C33" s="113"/>
      <c r="D33" s="113"/>
      <c r="E33" s="120"/>
      <c r="F33" s="113"/>
      <c r="G33" s="115"/>
      <c r="H33" s="113"/>
      <c r="I33" s="115"/>
      <c r="J33" s="113"/>
      <c r="K33" s="113"/>
      <c r="L33" s="114"/>
    </row>
    <row r="34" spans="1:12" x14ac:dyDescent="0.2">
      <c r="A34" s="111"/>
      <c r="B34" s="119">
        <v>0.3</v>
      </c>
      <c r="C34" s="113" t="s">
        <v>21</v>
      </c>
      <c r="D34" s="113"/>
      <c r="E34" s="120">
        <f>+K31</f>
        <v>4127.7120000000004</v>
      </c>
      <c r="F34" s="113" t="s">
        <v>13</v>
      </c>
      <c r="G34" s="115" t="s">
        <v>14</v>
      </c>
      <c r="H34" s="113"/>
      <c r="I34" s="115"/>
      <c r="J34" s="113"/>
      <c r="K34" s="113">
        <f>+B34*E34</f>
        <v>1238.3136000000002</v>
      </c>
      <c r="L34" s="114" t="s">
        <v>13</v>
      </c>
    </row>
    <row r="35" spans="1:12" x14ac:dyDescent="0.2">
      <c r="A35" s="111"/>
      <c r="B35" s="113"/>
      <c r="C35" s="113"/>
      <c r="D35" s="113"/>
      <c r="E35" s="113"/>
      <c r="F35" s="113"/>
      <c r="G35" s="113"/>
      <c r="H35" s="113"/>
      <c r="I35" s="115"/>
      <c r="J35" s="113"/>
      <c r="K35" s="113"/>
      <c r="L35" s="114"/>
    </row>
    <row r="36" spans="1:12" x14ac:dyDescent="0.2">
      <c r="A36" s="111"/>
      <c r="B36" s="112" t="s">
        <v>22</v>
      </c>
      <c r="C36" s="113"/>
      <c r="D36" s="113"/>
      <c r="E36" s="113"/>
      <c r="F36" s="113"/>
      <c r="G36" s="113"/>
      <c r="H36" s="113"/>
      <c r="I36" s="115"/>
      <c r="J36" s="113"/>
      <c r="K36" s="113"/>
      <c r="L36" s="114"/>
    </row>
    <row r="37" spans="1:12" x14ac:dyDescent="0.2">
      <c r="A37" s="111"/>
      <c r="B37" s="113"/>
      <c r="C37" s="113"/>
      <c r="D37" s="113"/>
      <c r="E37" s="113"/>
      <c r="F37" s="113"/>
      <c r="G37" s="113"/>
      <c r="H37" s="113"/>
      <c r="I37" s="115"/>
      <c r="J37" s="113"/>
      <c r="K37" s="113"/>
      <c r="L37" s="114"/>
    </row>
    <row r="38" spans="1:12" x14ac:dyDescent="0.2">
      <c r="A38" s="111"/>
      <c r="B38" s="113" t="s">
        <v>23</v>
      </c>
      <c r="C38" s="113"/>
      <c r="D38" s="120">
        <v>1</v>
      </c>
      <c r="E38" s="115" t="s">
        <v>11</v>
      </c>
      <c r="F38" s="1">
        <f>+Datos!$F$5</f>
        <v>224.79</v>
      </c>
      <c r="G38" s="113" t="s">
        <v>13</v>
      </c>
      <c r="H38" s="115" t="s">
        <v>14</v>
      </c>
      <c r="I38" s="120">
        <f>+D38*F38</f>
        <v>224.79</v>
      </c>
      <c r="J38" s="113" t="s">
        <v>13</v>
      </c>
      <c r="K38" s="113"/>
      <c r="L38" s="114"/>
    </row>
    <row r="39" spans="1:12" x14ac:dyDescent="0.2">
      <c r="A39" s="111"/>
      <c r="B39" s="113" t="s">
        <v>25</v>
      </c>
      <c r="C39" s="113"/>
      <c r="D39" s="120">
        <v>10</v>
      </c>
      <c r="E39" s="115" t="s">
        <v>11</v>
      </c>
      <c r="F39" s="1">
        <f>+Datos!$F$6</f>
        <v>191.66</v>
      </c>
      <c r="G39" s="113" t="s">
        <v>13</v>
      </c>
      <c r="H39" s="115" t="s">
        <v>14</v>
      </c>
      <c r="I39" s="120">
        <f>+D39*F39</f>
        <v>1916.6</v>
      </c>
      <c r="J39" s="113" t="s">
        <v>13</v>
      </c>
      <c r="K39" s="113"/>
      <c r="L39" s="114"/>
    </row>
    <row r="40" spans="1:12" x14ac:dyDescent="0.2">
      <c r="A40" s="111"/>
      <c r="B40" s="113" t="s">
        <v>37</v>
      </c>
      <c r="C40" s="113"/>
      <c r="D40" s="120">
        <v>0</v>
      </c>
      <c r="E40" s="115" t="s">
        <v>11</v>
      </c>
      <c r="F40" s="1">
        <f>+Datos!$F$7</f>
        <v>176.37</v>
      </c>
      <c r="G40" s="113" t="s">
        <v>13</v>
      </c>
      <c r="H40" s="115" t="s">
        <v>14</v>
      </c>
      <c r="I40" s="120">
        <f>+D40*F40</f>
        <v>0</v>
      </c>
      <c r="J40" s="113" t="s">
        <v>13</v>
      </c>
      <c r="K40" s="113"/>
      <c r="L40" s="114"/>
    </row>
    <row r="41" spans="1:12" x14ac:dyDescent="0.2">
      <c r="A41" s="111"/>
      <c r="B41" s="113" t="s">
        <v>24</v>
      </c>
      <c r="C41" s="113"/>
      <c r="D41" s="120">
        <v>3</v>
      </c>
      <c r="E41" s="115" t="s">
        <v>11</v>
      </c>
      <c r="F41" s="1">
        <f>+Datos!$F$8</f>
        <v>162.9</v>
      </c>
      <c r="G41" s="113" t="s">
        <v>13</v>
      </c>
      <c r="H41" s="117" t="s">
        <v>14</v>
      </c>
      <c r="I41" s="121">
        <f>+D41*F41</f>
        <v>488.70000000000005</v>
      </c>
      <c r="J41" s="118" t="s">
        <v>13</v>
      </c>
      <c r="K41" s="113"/>
      <c r="L41" s="114"/>
    </row>
    <row r="42" spans="1:12" x14ac:dyDescent="0.2">
      <c r="A42" s="111"/>
      <c r="B42" s="113"/>
      <c r="C42" s="113"/>
      <c r="D42" s="113"/>
      <c r="E42" s="113"/>
      <c r="F42" s="113"/>
      <c r="G42" s="113"/>
      <c r="H42" s="113"/>
      <c r="I42" s="120">
        <f>SUM(I38:I41)</f>
        <v>2630.09</v>
      </c>
      <c r="J42" s="113" t="s">
        <v>13</v>
      </c>
      <c r="K42" s="113"/>
      <c r="L42" s="114"/>
    </row>
    <row r="43" spans="1:12" x14ac:dyDescent="0.2">
      <c r="A43" s="111"/>
      <c r="B43" s="113" t="s">
        <v>40</v>
      </c>
      <c r="C43" s="113"/>
      <c r="D43" s="122">
        <v>0.05</v>
      </c>
      <c r="E43" s="113"/>
      <c r="F43" s="113"/>
      <c r="G43" s="113"/>
      <c r="H43" s="113"/>
      <c r="I43" s="120">
        <f>+I42*D43</f>
        <v>131.50450000000001</v>
      </c>
      <c r="J43" s="113" t="s">
        <v>13</v>
      </c>
      <c r="K43" s="113"/>
      <c r="L43" s="114"/>
    </row>
    <row r="44" spans="1:12" x14ac:dyDescent="0.2">
      <c r="A44" s="111"/>
      <c r="B44" s="113"/>
      <c r="C44" s="113"/>
      <c r="D44" s="113"/>
      <c r="E44" s="113"/>
      <c r="F44" s="113"/>
      <c r="G44" s="113"/>
      <c r="H44" s="113"/>
      <c r="I44" s="115"/>
      <c r="J44" s="113"/>
      <c r="K44" s="113"/>
      <c r="L44" s="114"/>
    </row>
    <row r="45" spans="1:12" x14ac:dyDescent="0.2">
      <c r="A45" s="111"/>
      <c r="B45" s="113" t="s">
        <v>26</v>
      </c>
      <c r="C45" s="113"/>
      <c r="D45" s="113"/>
      <c r="E45" s="113"/>
      <c r="F45" s="113"/>
      <c r="G45" s="113"/>
      <c r="H45" s="113"/>
      <c r="I45" s="115"/>
      <c r="J45" s="113"/>
      <c r="K45" s="118">
        <f>+I42+I43</f>
        <v>2761.5945000000002</v>
      </c>
      <c r="L45" s="123" t="s">
        <v>13</v>
      </c>
    </row>
    <row r="46" spans="1:12" x14ac:dyDescent="0.2">
      <c r="A46" s="111"/>
      <c r="B46" s="113"/>
      <c r="C46" s="113"/>
      <c r="D46" s="113"/>
      <c r="E46" s="113"/>
      <c r="F46" s="113"/>
      <c r="G46" s="113"/>
      <c r="H46" s="113"/>
      <c r="I46" s="115"/>
      <c r="J46" s="113"/>
      <c r="K46" s="113"/>
      <c r="L46" s="114"/>
    </row>
    <row r="47" spans="1:12" x14ac:dyDescent="0.2">
      <c r="A47" s="111"/>
      <c r="B47" s="124" t="s">
        <v>44</v>
      </c>
      <c r="C47" s="125"/>
      <c r="D47" s="125"/>
      <c r="E47" s="125"/>
      <c r="F47" s="125"/>
      <c r="G47" s="125"/>
      <c r="H47" s="125"/>
      <c r="I47" s="126"/>
      <c r="J47" s="125"/>
      <c r="K47" s="125">
        <f>SUM(K24:K45)</f>
        <v>13652.730402171979</v>
      </c>
      <c r="L47" s="127" t="s">
        <v>13</v>
      </c>
    </row>
    <row r="48" spans="1:12" x14ac:dyDescent="0.2">
      <c r="A48" s="111"/>
      <c r="B48" s="113"/>
      <c r="C48" s="113"/>
      <c r="D48" s="113"/>
      <c r="E48" s="113"/>
      <c r="F48" s="113"/>
      <c r="G48" s="113"/>
      <c r="H48" s="113"/>
      <c r="I48" s="115"/>
      <c r="J48" s="113"/>
      <c r="K48" s="113"/>
      <c r="L48" s="114"/>
    </row>
    <row r="49" spans="1:12" x14ac:dyDescent="0.2">
      <c r="A49" s="111"/>
      <c r="B49" s="113" t="s">
        <v>27</v>
      </c>
      <c r="C49" s="113"/>
      <c r="D49" s="120">
        <v>60</v>
      </c>
      <c r="E49" s="115" t="s">
        <v>28</v>
      </c>
      <c r="F49" s="113"/>
      <c r="G49" s="113"/>
      <c r="H49" s="113"/>
      <c r="I49" s="115"/>
      <c r="J49" s="113"/>
      <c r="K49" s="113"/>
      <c r="L49" s="114"/>
    </row>
    <row r="50" spans="1:12" x14ac:dyDescent="0.2">
      <c r="A50" s="111"/>
      <c r="B50" s="112"/>
      <c r="C50" s="113"/>
      <c r="D50" s="120"/>
      <c r="E50" s="113"/>
      <c r="F50" s="113"/>
      <c r="G50" s="113"/>
      <c r="H50" s="113"/>
      <c r="I50" s="115"/>
      <c r="J50" s="113"/>
      <c r="K50" s="113"/>
      <c r="L50" s="114"/>
    </row>
    <row r="51" spans="1:12" x14ac:dyDescent="0.2">
      <c r="A51" s="128"/>
      <c r="B51" s="129" t="s">
        <v>45</v>
      </c>
      <c r="C51" s="118"/>
      <c r="D51" s="121">
        <f>+K47</f>
        <v>13652.730402171979</v>
      </c>
      <c r="E51" s="117" t="s">
        <v>13</v>
      </c>
      <c r="F51" s="117" t="s">
        <v>29</v>
      </c>
      <c r="G51" s="121">
        <f>+D49</f>
        <v>60</v>
      </c>
      <c r="H51" s="117" t="s">
        <v>28</v>
      </c>
      <c r="I51" s="117" t="s">
        <v>14</v>
      </c>
      <c r="J51" s="118"/>
      <c r="K51" s="130">
        <f>+D51/G51</f>
        <v>227.54550670286633</v>
      </c>
      <c r="L51" s="127" t="s">
        <v>30</v>
      </c>
    </row>
    <row r="52" spans="1:12" ht="13.5" thickBot="1" x14ac:dyDescent="0.25">
      <c r="G52" s="131"/>
    </row>
    <row r="53" spans="1:12" x14ac:dyDescent="0.2">
      <c r="A53" s="105"/>
      <c r="B53" s="106" t="s">
        <v>46</v>
      </c>
      <c r="C53" s="99"/>
      <c r="D53" s="99"/>
      <c r="E53" s="99"/>
      <c r="F53" s="99"/>
      <c r="G53" s="99"/>
      <c r="H53" s="99"/>
      <c r="I53" s="99"/>
      <c r="J53" s="99"/>
      <c r="K53" s="99"/>
      <c r="L53" s="100"/>
    </row>
    <row r="54" spans="1:12" x14ac:dyDescent="0.2">
      <c r="A54" s="135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9"/>
    </row>
    <row r="55" spans="1:12" x14ac:dyDescent="0.2">
      <c r="A55" s="111"/>
      <c r="B55" s="113" t="s">
        <v>181</v>
      </c>
      <c r="C55" s="113"/>
      <c r="D55" s="113"/>
      <c r="E55" s="113">
        <f>+Datos!F41</f>
        <v>387.80404248030152</v>
      </c>
      <c r="F55" s="113" t="s">
        <v>49</v>
      </c>
      <c r="G55" s="146">
        <v>1</v>
      </c>
      <c r="H55" s="113" t="s">
        <v>51</v>
      </c>
      <c r="I55" s="115" t="s">
        <v>10</v>
      </c>
      <c r="J55" s="113"/>
      <c r="K55" s="113">
        <f>+E55*G55</f>
        <v>387.80404248030152</v>
      </c>
      <c r="L55" s="114" t="s">
        <v>30</v>
      </c>
    </row>
    <row r="56" spans="1:12" x14ac:dyDescent="0.2">
      <c r="A56" s="111"/>
      <c r="B56" s="113"/>
      <c r="C56" s="113"/>
      <c r="D56" s="113"/>
      <c r="E56" s="113"/>
      <c r="F56" s="113"/>
      <c r="G56" s="146"/>
      <c r="H56" s="113"/>
      <c r="I56" s="115"/>
      <c r="J56" s="113"/>
      <c r="K56" s="113"/>
      <c r="L56" s="114"/>
    </row>
    <row r="57" spans="1:12" x14ac:dyDescent="0.2">
      <c r="A57" s="111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4"/>
    </row>
    <row r="58" spans="1:12" x14ac:dyDescent="0.2">
      <c r="A58" s="128"/>
      <c r="B58" s="129" t="s">
        <v>52</v>
      </c>
      <c r="C58" s="118"/>
      <c r="D58" s="118"/>
      <c r="E58" s="118"/>
      <c r="F58" s="118"/>
      <c r="G58" s="118"/>
      <c r="H58" s="118"/>
      <c r="I58" s="118"/>
      <c r="J58" s="118"/>
      <c r="K58" s="130">
        <f>+K55+K56</f>
        <v>387.80404248030152</v>
      </c>
      <c r="L58" s="127" t="s">
        <v>30</v>
      </c>
    </row>
    <row r="60" spans="1:12" x14ac:dyDescent="0.2">
      <c r="A60" s="130"/>
      <c r="B60" s="125" t="s">
        <v>53</v>
      </c>
      <c r="C60" s="125"/>
      <c r="D60" s="125"/>
      <c r="E60" s="125"/>
      <c r="F60" s="125"/>
      <c r="G60" s="125"/>
      <c r="H60" s="125"/>
      <c r="I60" s="125"/>
      <c r="J60" s="125"/>
      <c r="K60" s="130">
        <f>+K51+K58</f>
        <v>615.34954918316782</v>
      </c>
      <c r="L60" s="127" t="s">
        <v>30</v>
      </c>
    </row>
    <row r="62" spans="1:12" x14ac:dyDescent="0.2">
      <c r="A62" s="130"/>
      <c r="B62" s="125" t="s">
        <v>54</v>
      </c>
      <c r="C62" s="125"/>
      <c r="D62" s="125"/>
      <c r="E62" s="140">
        <f>[1]Coeficiente!E22</f>
        <v>1.7627404950000001</v>
      </c>
      <c r="F62" s="125"/>
      <c r="G62" s="125"/>
      <c r="H62" s="125"/>
      <c r="I62" s="125"/>
      <c r="J62" s="125"/>
      <c r="K62" s="125"/>
      <c r="L62" s="127"/>
    </row>
    <row r="64" spans="1:12" ht="13.5" thickBot="1" x14ac:dyDescent="0.25">
      <c r="A64" s="141"/>
      <c r="B64" s="142" t="s">
        <v>55</v>
      </c>
      <c r="C64" s="143"/>
      <c r="D64" s="143"/>
      <c r="E64" s="143"/>
      <c r="F64" s="143"/>
      <c r="G64" s="143"/>
      <c r="H64" s="143"/>
      <c r="I64" s="143"/>
      <c r="J64" s="143"/>
      <c r="K64" s="144">
        <f>ROUND((+K60*E62),2)</f>
        <v>1084.7</v>
      </c>
      <c r="L64" s="145" t="s">
        <v>30</v>
      </c>
    </row>
  </sheetData>
  <sheetProtection selectLockedCells="1" selectUnlockedCells="1"/>
  <printOptions horizontalCentered="1" verticalCentered="1"/>
  <pageMargins left="0.98425196850393704" right="0.19685039370078741" top="0.59055118110236227" bottom="0.19685039370078741" header="0" footer="0"/>
  <pageSetup paperSize="9" scale="80" firstPageNumber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S45"/>
  <sheetViews>
    <sheetView topLeftCell="A34" zoomScaleNormal="10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1.42578125" style="1"/>
    <col min="4" max="4" width="7.7109375" style="1" customWidth="1"/>
    <col min="5" max="5" width="10.5703125" style="1" customWidth="1"/>
    <col min="6" max="6" width="10.140625" style="1" customWidth="1"/>
    <col min="7" max="7" width="11.42578125" style="1"/>
    <col min="8" max="8" width="8" style="1" customWidth="1"/>
    <col min="9" max="9" width="8.140625" style="1" bestFit="1" customWidth="1"/>
    <col min="10" max="10" width="4" style="1" customWidth="1"/>
    <col min="11" max="11" width="8.140625" style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190</v>
      </c>
      <c r="C5" s="237" t="s">
        <v>126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61</v>
      </c>
      <c r="D6" s="47"/>
      <c r="E6" s="47"/>
      <c r="F6" s="47"/>
      <c r="G6" s="47"/>
      <c r="H6" s="47"/>
      <c r="I6" s="50" t="s">
        <v>57</v>
      </c>
      <c r="J6" s="238"/>
      <c r="K6" s="239">
        <v>43282</v>
      </c>
      <c r="L6" s="236"/>
    </row>
    <row r="7" spans="1:12" ht="16.5" thickBot="1" x14ac:dyDescent="0.3">
      <c r="A7" s="240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52"/>
      <c r="B9" s="53" t="s">
        <v>43</v>
      </c>
      <c r="C9" s="54"/>
      <c r="D9" s="54"/>
      <c r="E9" s="54"/>
      <c r="F9" s="54"/>
      <c r="G9" s="54"/>
      <c r="H9" s="54"/>
      <c r="I9" s="54"/>
      <c r="J9" s="54"/>
      <c r="K9" s="54"/>
      <c r="L9" s="5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22</v>
      </c>
      <c r="C11" s="10"/>
      <c r="D11" s="10"/>
      <c r="E11" s="10"/>
      <c r="F11" s="10"/>
      <c r="G11" s="10"/>
      <c r="H11" s="10"/>
      <c r="I11" s="19"/>
      <c r="J11" s="10"/>
      <c r="K11" s="10"/>
      <c r="L11" s="20"/>
    </row>
    <row r="12" spans="1:12" x14ac:dyDescent="0.2">
      <c r="A12" s="18"/>
      <c r="B12" s="10" t="s">
        <v>81</v>
      </c>
      <c r="C12" s="10"/>
      <c r="D12" s="10"/>
      <c r="E12" s="10"/>
      <c r="F12" s="10"/>
      <c r="G12" s="10"/>
      <c r="H12" s="10"/>
      <c r="I12" s="19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0"/>
      <c r="G13" s="10"/>
      <c r="H13" s="10"/>
      <c r="I13" s="19"/>
      <c r="J13" s="10"/>
      <c r="K13" s="10"/>
      <c r="L13" s="20"/>
    </row>
    <row r="14" spans="1:12" x14ac:dyDescent="0.2">
      <c r="A14" s="18"/>
      <c r="B14" s="10" t="s">
        <v>23</v>
      </c>
      <c r="C14" s="10"/>
      <c r="D14" s="22">
        <v>2</v>
      </c>
      <c r="E14" s="19" t="s">
        <v>11</v>
      </c>
      <c r="F14" s="1">
        <f>+Datos!$F$5</f>
        <v>224.79</v>
      </c>
      <c r="G14" s="10" t="s">
        <v>13</v>
      </c>
      <c r="H14" s="19" t="s">
        <v>14</v>
      </c>
      <c r="I14" s="22">
        <f>+D14*F14</f>
        <v>449.58</v>
      </c>
      <c r="J14" s="10" t="s">
        <v>13</v>
      </c>
      <c r="K14" s="10"/>
      <c r="L14" s="20"/>
    </row>
    <row r="15" spans="1:12" x14ac:dyDescent="0.2">
      <c r="A15" s="18"/>
      <c r="B15" s="10" t="s">
        <v>25</v>
      </c>
      <c r="C15" s="10"/>
      <c r="D15" s="22">
        <v>3</v>
      </c>
      <c r="E15" s="19" t="s">
        <v>11</v>
      </c>
      <c r="F15" s="1">
        <f>+Datos!$F$6</f>
        <v>191.66</v>
      </c>
      <c r="G15" s="10" t="s">
        <v>13</v>
      </c>
      <c r="H15" s="19" t="s">
        <v>14</v>
      </c>
      <c r="I15" s="22">
        <f>+D15*F15</f>
        <v>574.98</v>
      </c>
      <c r="J15" s="10" t="s">
        <v>13</v>
      </c>
      <c r="K15" s="10"/>
      <c r="L15" s="20"/>
    </row>
    <row r="16" spans="1:12" x14ac:dyDescent="0.2">
      <c r="A16" s="18"/>
      <c r="B16" s="10" t="s">
        <v>37</v>
      </c>
      <c r="C16" s="10"/>
      <c r="D16" s="22">
        <v>0</v>
      </c>
      <c r="E16" s="19" t="s">
        <v>11</v>
      </c>
      <c r="F16" s="1">
        <f>+Datos!$F$7</f>
        <v>176.37</v>
      </c>
      <c r="G16" s="10" t="s">
        <v>13</v>
      </c>
      <c r="H16" s="19" t="s">
        <v>14</v>
      </c>
      <c r="I16" s="22">
        <f>+D16*F16</f>
        <v>0</v>
      </c>
      <c r="J16" s="10" t="s">
        <v>13</v>
      </c>
      <c r="K16" s="10"/>
      <c r="L16" s="20"/>
    </row>
    <row r="17" spans="1:19" x14ac:dyDescent="0.2">
      <c r="A17" s="18"/>
      <c r="B17" s="10" t="s">
        <v>24</v>
      </c>
      <c r="C17" s="10"/>
      <c r="D17" s="22">
        <v>8</v>
      </c>
      <c r="E17" s="19" t="s">
        <v>11</v>
      </c>
      <c r="F17" s="1">
        <f>+Datos!$F$8</f>
        <v>162.9</v>
      </c>
      <c r="G17" s="10" t="s">
        <v>13</v>
      </c>
      <c r="H17" s="3" t="s">
        <v>14</v>
      </c>
      <c r="I17" s="5">
        <f>+D17*F17</f>
        <v>1303.2</v>
      </c>
      <c r="J17" s="2" t="s">
        <v>13</v>
      </c>
      <c r="K17" s="10"/>
      <c r="L17" s="20"/>
    </row>
    <row r="18" spans="1:19" x14ac:dyDescent="0.2">
      <c r="A18" s="18"/>
      <c r="B18" s="10"/>
      <c r="C18" s="10"/>
      <c r="D18" s="10"/>
      <c r="E18" s="10"/>
      <c r="F18" s="10"/>
      <c r="G18" s="10"/>
      <c r="H18" s="10"/>
      <c r="I18" s="22">
        <f>SUM(I14:I17)</f>
        <v>2327.7600000000002</v>
      </c>
      <c r="J18" s="10" t="s">
        <v>13</v>
      </c>
      <c r="K18" s="10"/>
      <c r="L18" s="20"/>
    </row>
    <row r="19" spans="1:19" x14ac:dyDescent="0.2">
      <c r="A19" s="18"/>
      <c r="B19" s="10" t="s">
        <v>40</v>
      </c>
      <c r="C19" s="10"/>
      <c r="D19" s="23">
        <v>0.01</v>
      </c>
      <c r="E19" s="10"/>
      <c r="F19" s="10"/>
      <c r="G19" s="10"/>
      <c r="H19" s="3" t="s">
        <v>14</v>
      </c>
      <c r="I19" s="5">
        <f>+I18*D19</f>
        <v>23.277600000000003</v>
      </c>
      <c r="J19" s="2" t="s">
        <v>13</v>
      </c>
      <c r="K19" s="10"/>
      <c r="L19" s="20"/>
    </row>
    <row r="20" spans="1:19" x14ac:dyDescent="0.2">
      <c r="A20" s="18"/>
      <c r="B20" s="10"/>
      <c r="C20" s="10"/>
      <c r="D20" s="23"/>
      <c r="E20" s="10"/>
      <c r="F20" s="10"/>
      <c r="G20" s="10"/>
      <c r="H20" s="10"/>
      <c r="I20" s="22">
        <f>SUM(I18:I19)</f>
        <v>2351.0376000000001</v>
      </c>
      <c r="J20" s="16" t="s">
        <v>13</v>
      </c>
      <c r="K20" s="10"/>
      <c r="L20" s="20"/>
    </row>
    <row r="21" spans="1:19" x14ac:dyDescent="0.2">
      <c r="A21" s="18"/>
      <c r="B21" s="10" t="s">
        <v>83</v>
      </c>
      <c r="C21" s="10"/>
      <c r="D21" s="10"/>
      <c r="E21" s="10"/>
      <c r="F21" s="10"/>
      <c r="G21" s="29">
        <v>0.4</v>
      </c>
      <c r="H21" s="3" t="s">
        <v>14</v>
      </c>
      <c r="I21" s="5">
        <f>+I20*G21</f>
        <v>940.41504000000009</v>
      </c>
      <c r="J21" s="2" t="s">
        <v>13</v>
      </c>
      <c r="K21" s="10"/>
      <c r="L21" s="20"/>
    </row>
    <row r="22" spans="1:19" x14ac:dyDescent="0.2">
      <c r="A22" s="18"/>
      <c r="B22" s="10"/>
      <c r="C22" s="10"/>
      <c r="D22" s="10"/>
      <c r="E22" s="10"/>
      <c r="F22" s="10"/>
      <c r="G22" s="10"/>
      <c r="H22" s="16"/>
      <c r="I22" s="44"/>
      <c r="J22" s="16"/>
      <c r="K22" s="10"/>
      <c r="L22" s="20"/>
    </row>
    <row r="23" spans="1:19" x14ac:dyDescent="0.2">
      <c r="A23" s="18"/>
      <c r="B23" s="10" t="s">
        <v>82</v>
      </c>
      <c r="C23" s="10"/>
      <c r="D23" s="10"/>
      <c r="E23" s="10"/>
      <c r="F23" s="10"/>
      <c r="G23" s="10"/>
      <c r="H23" s="10"/>
      <c r="I23" s="22"/>
      <c r="J23" s="10"/>
      <c r="K23" s="33">
        <f>+I20+I21</f>
        <v>3291.4526400000004</v>
      </c>
      <c r="L23" s="24" t="s">
        <v>13</v>
      </c>
    </row>
    <row r="24" spans="1:19" x14ac:dyDescent="0.2">
      <c r="A24" s="18"/>
      <c r="B24" s="10"/>
      <c r="C24" s="10"/>
      <c r="D24" s="10"/>
      <c r="E24" s="10"/>
      <c r="F24" s="10"/>
      <c r="G24" s="10"/>
      <c r="H24" s="10"/>
      <c r="I24" s="22"/>
      <c r="J24" s="10"/>
      <c r="K24" s="10"/>
      <c r="L24" s="20"/>
    </row>
    <row r="25" spans="1:19" x14ac:dyDescent="0.2">
      <c r="A25" s="18"/>
      <c r="B25" s="10" t="s">
        <v>27</v>
      </c>
      <c r="C25" s="10"/>
      <c r="D25" s="10"/>
      <c r="E25" s="10">
        <v>2</v>
      </c>
      <c r="F25" s="10" t="s">
        <v>28</v>
      </c>
      <c r="G25" s="10"/>
      <c r="H25" s="10"/>
      <c r="I25" s="22"/>
      <c r="J25" s="10"/>
      <c r="K25" s="10"/>
      <c r="L25" s="20"/>
    </row>
    <row r="26" spans="1:19" x14ac:dyDescent="0.2">
      <c r="A26" s="18"/>
      <c r="B26" s="10"/>
      <c r="C26" s="10"/>
      <c r="D26" s="10"/>
      <c r="E26" s="10"/>
      <c r="F26" s="10"/>
      <c r="G26" s="10"/>
      <c r="H26" s="10"/>
      <c r="I26" s="22"/>
      <c r="J26" s="10"/>
      <c r="K26" s="10"/>
      <c r="L26" s="20"/>
    </row>
    <row r="27" spans="1:19" x14ac:dyDescent="0.2">
      <c r="A27" s="25"/>
      <c r="B27" s="33" t="s">
        <v>80</v>
      </c>
      <c r="C27" s="2"/>
      <c r="D27" s="2"/>
      <c r="E27" s="2"/>
      <c r="F27" s="2"/>
      <c r="G27" s="2"/>
      <c r="H27" s="2"/>
      <c r="I27" s="3"/>
      <c r="J27" s="2"/>
      <c r="K27" s="33">
        <f>+K23/E25</f>
        <v>1645.7263200000002</v>
      </c>
      <c r="L27" s="24" t="s">
        <v>30</v>
      </c>
    </row>
    <row r="28" spans="1:19" ht="13.5" thickBot="1" x14ac:dyDescent="0.25">
      <c r="G28" s="4"/>
    </row>
    <row r="29" spans="1:19" x14ac:dyDescent="0.2">
      <c r="A29" s="13"/>
      <c r="B29" s="32" t="s">
        <v>46</v>
      </c>
      <c r="C29" s="14"/>
      <c r="D29" s="14"/>
      <c r="E29" s="14"/>
      <c r="F29" s="14"/>
      <c r="G29" s="14"/>
      <c r="H29" s="14"/>
      <c r="I29" s="14"/>
      <c r="J29" s="14"/>
      <c r="K29" s="14"/>
      <c r="L29" s="15"/>
    </row>
    <row r="30" spans="1:19" x14ac:dyDescent="0.2">
      <c r="A30" s="2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</row>
    <row r="31" spans="1:19" x14ac:dyDescent="0.2">
      <c r="A31" s="18"/>
      <c r="B31" s="10" t="s">
        <v>71</v>
      </c>
      <c r="C31" s="10"/>
      <c r="D31" s="10"/>
      <c r="E31" s="91">
        <f>+Datos!F43</f>
        <v>729.00696585588685</v>
      </c>
      <c r="F31" s="91" t="s">
        <v>68</v>
      </c>
      <c r="G31" s="92">
        <v>0.34</v>
      </c>
      <c r="H31" s="93" t="s">
        <v>72</v>
      </c>
      <c r="I31" s="91" t="s">
        <v>10</v>
      </c>
      <c r="J31" s="47"/>
      <c r="K31" s="47">
        <f t="shared" ref="K31:K36" si="0">+E31*G31</f>
        <v>247.86236839100155</v>
      </c>
      <c r="L31" s="20" t="s">
        <v>30</v>
      </c>
      <c r="N31" s="96"/>
      <c r="O31" s="96"/>
      <c r="P31" s="96"/>
      <c r="Q31" s="96"/>
      <c r="R31" s="96"/>
      <c r="S31" s="96"/>
    </row>
    <row r="32" spans="1:19" x14ac:dyDescent="0.2">
      <c r="A32" s="18"/>
      <c r="B32" s="10" t="s">
        <v>73</v>
      </c>
      <c r="C32" s="10"/>
      <c r="D32" s="10"/>
      <c r="E32" s="91">
        <f>+Datos!F44</f>
        <v>46.859655133036433</v>
      </c>
      <c r="F32" s="91" t="s">
        <v>49</v>
      </c>
      <c r="G32" s="92">
        <v>0.6</v>
      </c>
      <c r="H32" s="93" t="s">
        <v>51</v>
      </c>
      <c r="I32" s="91" t="s">
        <v>10</v>
      </c>
      <c r="J32" s="47"/>
      <c r="K32" s="47">
        <f t="shared" si="0"/>
        <v>28.115793079821859</v>
      </c>
      <c r="L32" s="20" t="s">
        <v>30</v>
      </c>
    </row>
    <row r="33" spans="1:12" x14ac:dyDescent="0.2">
      <c r="A33" s="18"/>
      <c r="B33" s="10" t="s">
        <v>74</v>
      </c>
      <c r="C33" s="10"/>
      <c r="D33" s="10"/>
      <c r="E33" s="91">
        <f>+Datos!F45</f>
        <v>46.859655133036433</v>
      </c>
      <c r="F33" s="91" t="s">
        <v>49</v>
      </c>
      <c r="G33" s="92">
        <v>0.65</v>
      </c>
      <c r="H33" s="93" t="s">
        <v>51</v>
      </c>
      <c r="I33" s="91" t="s">
        <v>10</v>
      </c>
      <c r="J33" s="47"/>
      <c r="K33" s="47">
        <f t="shared" si="0"/>
        <v>30.458775836473684</v>
      </c>
      <c r="L33" s="20" t="s">
        <v>30</v>
      </c>
    </row>
    <row r="34" spans="1:12" x14ac:dyDescent="0.2">
      <c r="A34" s="18"/>
      <c r="B34" s="10" t="s">
        <v>75</v>
      </c>
      <c r="C34" s="10"/>
      <c r="D34" s="10"/>
      <c r="E34" s="91">
        <f>+Datos!F46</f>
        <v>12.926801416010051</v>
      </c>
      <c r="F34" s="91" t="s">
        <v>49</v>
      </c>
      <c r="G34" s="92">
        <v>0.15</v>
      </c>
      <c r="H34" s="93" t="s">
        <v>51</v>
      </c>
      <c r="I34" s="91" t="s">
        <v>10</v>
      </c>
      <c r="J34" s="47"/>
      <c r="K34" s="47">
        <f t="shared" si="0"/>
        <v>1.9390202124015075</v>
      </c>
      <c r="L34" s="20" t="s">
        <v>30</v>
      </c>
    </row>
    <row r="35" spans="1:12" x14ac:dyDescent="0.2">
      <c r="A35" s="18"/>
      <c r="B35" s="10" t="s">
        <v>76</v>
      </c>
      <c r="C35" s="10"/>
      <c r="D35" s="10"/>
      <c r="E35" s="91">
        <f>+Datos!F47</f>
        <v>4207.6738609112717</v>
      </c>
      <c r="F35" s="91" t="s">
        <v>49</v>
      </c>
      <c r="G35" s="92">
        <v>8.0000000000000002E-3</v>
      </c>
      <c r="H35" s="93" t="s">
        <v>51</v>
      </c>
      <c r="I35" s="91" t="s">
        <v>10</v>
      </c>
      <c r="J35" s="47"/>
      <c r="K35" s="47">
        <f t="shared" si="0"/>
        <v>33.661390887290175</v>
      </c>
      <c r="L35" s="20" t="s">
        <v>30</v>
      </c>
    </row>
    <row r="36" spans="1:12" x14ac:dyDescent="0.2">
      <c r="A36" s="18"/>
      <c r="B36" s="10" t="s">
        <v>77</v>
      </c>
      <c r="C36" s="10"/>
      <c r="D36" s="10"/>
      <c r="E36" s="91">
        <f>+Datos!F48</f>
        <v>12.926801416010051</v>
      </c>
      <c r="F36" s="91" t="s">
        <v>78</v>
      </c>
      <c r="G36" s="92">
        <v>0.2</v>
      </c>
      <c r="H36" s="93" t="s">
        <v>79</v>
      </c>
      <c r="I36" s="94" t="s">
        <v>10</v>
      </c>
      <c r="J36" s="95"/>
      <c r="K36" s="95">
        <f t="shared" si="0"/>
        <v>2.5853602832020104</v>
      </c>
      <c r="L36" s="24" t="s">
        <v>30</v>
      </c>
    </row>
    <row r="37" spans="1:12" x14ac:dyDescent="0.2">
      <c r="A37" s="18"/>
      <c r="B37" s="10"/>
      <c r="C37" s="10"/>
      <c r="D37" s="10"/>
      <c r="E37" s="10"/>
      <c r="F37" s="19"/>
      <c r="G37" s="45"/>
      <c r="H37" s="46"/>
      <c r="I37" s="19"/>
      <c r="J37" s="10"/>
      <c r="K37" s="10"/>
      <c r="L37" s="20"/>
    </row>
    <row r="38" spans="1:12" x14ac:dyDescent="0.2">
      <c r="A38" s="25"/>
      <c r="B38" s="33" t="s">
        <v>52</v>
      </c>
      <c r="C38" s="2"/>
      <c r="D38" s="2"/>
      <c r="E38" s="2"/>
      <c r="F38" s="2"/>
      <c r="G38" s="2"/>
      <c r="H38" s="2"/>
      <c r="I38" s="2"/>
      <c r="J38" s="2"/>
      <c r="K38" s="33">
        <f>SUM(K31:K37)</f>
        <v>344.62270869019079</v>
      </c>
      <c r="L38" s="24" t="s">
        <v>30</v>
      </c>
    </row>
    <row r="41" spans="1:12" x14ac:dyDescent="0.2">
      <c r="A41" s="7"/>
      <c r="B41" s="35" t="s">
        <v>53</v>
      </c>
      <c r="C41" s="35"/>
      <c r="D41" s="35"/>
      <c r="E41" s="35"/>
      <c r="F41" s="35"/>
      <c r="G41" s="35"/>
      <c r="H41" s="35"/>
      <c r="I41" s="35"/>
      <c r="J41" s="35"/>
      <c r="K41" s="34">
        <f>SUM(K27,K38)</f>
        <v>1990.3490286901911</v>
      </c>
      <c r="L41" s="8" t="s">
        <v>30</v>
      </c>
    </row>
    <row r="43" spans="1:12" x14ac:dyDescent="0.2">
      <c r="A43" s="7"/>
      <c r="B43" s="35" t="s">
        <v>54</v>
      </c>
      <c r="C43" s="35"/>
      <c r="D43" s="35"/>
      <c r="E43" s="37">
        <v>1.7627404950000001</v>
      </c>
      <c r="F43" s="35"/>
      <c r="G43" s="35"/>
      <c r="H43" s="35"/>
      <c r="I43" s="35"/>
      <c r="J43" s="35"/>
      <c r="K43" s="35"/>
      <c r="L43" s="8"/>
    </row>
    <row r="44" spans="1:12" ht="13.5" thickBot="1" x14ac:dyDescent="0.25"/>
    <row r="45" spans="1:12" ht="20.100000000000001" customHeight="1" thickBot="1" x14ac:dyDescent="0.25">
      <c r="A45" s="11"/>
      <c r="B45" s="12" t="s">
        <v>55</v>
      </c>
      <c r="C45" s="30"/>
      <c r="D45" s="30"/>
      <c r="E45" s="30"/>
      <c r="F45" s="30"/>
      <c r="G45" s="30"/>
      <c r="H45" s="30"/>
      <c r="I45" s="30"/>
      <c r="J45" s="30"/>
      <c r="K45" s="11">
        <f>ROUND((+K41*E43),2)</f>
        <v>3508.47</v>
      </c>
      <c r="L45" s="31" t="s">
        <v>30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66"/>
  <sheetViews>
    <sheetView topLeftCell="A49" zoomScaleNormal="9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2.7109375" style="1" customWidth="1"/>
    <col min="4" max="4" width="8.140625" style="1" bestFit="1" customWidth="1"/>
    <col min="5" max="5" width="10.5703125" style="1" customWidth="1"/>
    <col min="6" max="7" width="12.5703125" style="1" bestFit="1" customWidth="1"/>
    <col min="8" max="8" width="8" style="1" customWidth="1"/>
    <col min="9" max="9" width="8.140625" style="1" bestFit="1" customWidth="1"/>
    <col min="10" max="10" width="4" style="1" customWidth="1"/>
    <col min="11" max="11" width="8.140625" style="1" bestFit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149</v>
      </c>
      <c r="C5" s="237" t="s">
        <v>156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95</v>
      </c>
      <c r="D6" s="47"/>
      <c r="E6" s="47"/>
      <c r="F6" s="47"/>
      <c r="G6" s="47"/>
      <c r="H6" s="47"/>
      <c r="I6" s="50" t="s">
        <v>57</v>
      </c>
      <c r="J6" s="238"/>
      <c r="K6" s="239">
        <v>43282</v>
      </c>
      <c r="L6" s="236"/>
    </row>
    <row r="7" spans="1:12" ht="16.5" thickBot="1" x14ac:dyDescent="0.3">
      <c r="A7" s="240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2</v>
      </c>
      <c r="C14" s="10"/>
      <c r="D14" s="10"/>
      <c r="E14" s="42">
        <v>0.3</v>
      </c>
      <c r="F14" s="22">
        <f>+Datos!C15*E14</f>
        <v>36</v>
      </c>
      <c r="G14" s="22">
        <f>+Datos!F15*E14</f>
        <v>1654625.8047961632</v>
      </c>
      <c r="H14" s="10"/>
      <c r="I14" s="10"/>
      <c r="J14" s="10"/>
      <c r="K14" s="10"/>
      <c r="L14" s="20"/>
    </row>
    <row r="15" spans="1:12" x14ac:dyDescent="0.2">
      <c r="A15" s="18"/>
      <c r="B15" s="10" t="s">
        <v>60</v>
      </c>
      <c r="C15" s="10"/>
      <c r="D15" s="10"/>
      <c r="E15" s="19">
        <v>0.5</v>
      </c>
      <c r="F15" s="5">
        <f>+Datos!C18*E15</f>
        <v>60</v>
      </c>
      <c r="G15" s="5">
        <f>+Datos!F18*E15</f>
        <v>761625.03460089082</v>
      </c>
      <c r="H15" s="10"/>
      <c r="I15" s="10"/>
      <c r="J15" s="10"/>
      <c r="K15" s="10"/>
      <c r="L15" s="20"/>
    </row>
    <row r="16" spans="1:12" x14ac:dyDescent="0.2">
      <c r="A16" s="18"/>
      <c r="B16" s="10"/>
      <c r="C16" s="10"/>
      <c r="D16" s="10"/>
      <c r="E16" s="10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81">
        <f>ROUND(SUM(F14:F15),2)</f>
        <v>96</v>
      </c>
      <c r="G17" s="81">
        <f>SUM(G14:G15)</f>
        <v>2416250.8393970542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28" t="s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2">
        <f>+G17</f>
        <v>2416250.8393970542</v>
      </c>
      <c r="D21" s="2" t="s">
        <v>6</v>
      </c>
      <c r="E21" s="19" t="s">
        <v>7</v>
      </c>
      <c r="F21" s="2">
        <f>+G17</f>
        <v>2416250.8393970542</v>
      </c>
      <c r="G21" s="3" t="s">
        <v>48</v>
      </c>
      <c r="H21" s="2">
        <v>0.12</v>
      </c>
      <c r="I21" s="3" t="s">
        <v>9</v>
      </c>
      <c r="J21" s="19" t="s">
        <v>10</v>
      </c>
      <c r="K21" s="28">
        <f>+C21/C22+F21*H21/4000</f>
        <v>314.11260912161703</v>
      </c>
      <c r="L21" s="20" t="s">
        <v>13</v>
      </c>
    </row>
    <row r="22" spans="1:12" x14ac:dyDescent="0.2">
      <c r="A22" s="18"/>
      <c r="B22" s="10"/>
      <c r="C22" s="10">
        <v>10000</v>
      </c>
      <c r="D22" s="10" t="s">
        <v>34</v>
      </c>
      <c r="E22" s="10"/>
      <c r="F22" s="10"/>
      <c r="G22" s="19" t="s">
        <v>8</v>
      </c>
      <c r="H22" s="10"/>
      <c r="I22" s="19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28" t="s">
        <v>31</v>
      </c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9">
        <v>0.5</v>
      </c>
      <c r="C26" s="10" t="s">
        <v>12</v>
      </c>
      <c r="D26" s="10"/>
      <c r="E26" s="22">
        <f>+C21/C22</f>
        <v>241.62508393970541</v>
      </c>
      <c r="F26" s="10" t="s">
        <v>13</v>
      </c>
      <c r="G26" s="19" t="s">
        <v>14</v>
      </c>
      <c r="H26" s="10"/>
      <c r="I26" s="19"/>
      <c r="J26" s="10"/>
      <c r="K26" s="28">
        <f>+B26*E26</f>
        <v>120.8125419698527</v>
      </c>
      <c r="L26" s="20" t="s">
        <v>13</v>
      </c>
    </row>
    <row r="27" spans="1:12" x14ac:dyDescent="0.2">
      <c r="A27" s="18"/>
      <c r="B27" s="10"/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8" t="s">
        <v>19</v>
      </c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0" t="s">
        <v>15</v>
      </c>
      <c r="C30" s="10">
        <v>0.12</v>
      </c>
      <c r="D30" s="10" t="s">
        <v>16</v>
      </c>
      <c r="E30" s="22">
        <f>+F17</f>
        <v>96</v>
      </c>
      <c r="F30" s="10" t="s">
        <v>17</v>
      </c>
      <c r="G30" s="19" t="s">
        <v>11</v>
      </c>
      <c r="H30" s="10">
        <f>+Datos!F10</f>
        <v>23.56</v>
      </c>
      <c r="I30" s="19" t="s">
        <v>18</v>
      </c>
      <c r="J30" s="19" t="s">
        <v>10</v>
      </c>
      <c r="K30" s="28">
        <f>+C30*E30*H30</f>
        <v>271.41119999999995</v>
      </c>
      <c r="L30" s="20" t="s">
        <v>13</v>
      </c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8" t="s">
        <v>20</v>
      </c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9">
        <v>0.3</v>
      </c>
      <c r="C34" s="10" t="s">
        <v>21</v>
      </c>
      <c r="D34" s="10"/>
      <c r="E34" s="22">
        <f>+K30</f>
        <v>271.41119999999995</v>
      </c>
      <c r="F34" s="10" t="s">
        <v>13</v>
      </c>
      <c r="G34" s="19" t="s">
        <v>14</v>
      </c>
      <c r="H34" s="10"/>
      <c r="I34" s="19"/>
      <c r="J34" s="10"/>
      <c r="K34" s="28">
        <f>+B34*E34</f>
        <v>81.423359999999988</v>
      </c>
      <c r="L34" s="20" t="s">
        <v>13</v>
      </c>
    </row>
    <row r="35" spans="1:12" x14ac:dyDescent="0.2">
      <c r="A35" s="18"/>
      <c r="B35" s="10"/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28" t="s">
        <v>22</v>
      </c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 t="s">
        <v>23</v>
      </c>
      <c r="C38" s="10"/>
      <c r="D38" s="22">
        <v>1</v>
      </c>
      <c r="E38" s="19" t="s">
        <v>11</v>
      </c>
      <c r="F38" s="1">
        <f>+Datos!$F$5</f>
        <v>224.79</v>
      </c>
      <c r="G38" s="10" t="s">
        <v>13</v>
      </c>
      <c r="H38" s="19" t="s">
        <v>14</v>
      </c>
      <c r="I38" s="22">
        <f>+D38*F38</f>
        <v>224.79</v>
      </c>
      <c r="J38" s="10" t="s">
        <v>13</v>
      </c>
      <c r="K38" s="10"/>
      <c r="L38" s="20"/>
    </row>
    <row r="39" spans="1:12" x14ac:dyDescent="0.2">
      <c r="A39" s="18"/>
      <c r="B39" s="10" t="s">
        <v>25</v>
      </c>
      <c r="C39" s="10"/>
      <c r="D39" s="22">
        <v>2</v>
      </c>
      <c r="E39" s="19" t="s">
        <v>11</v>
      </c>
      <c r="F39" s="1">
        <f>+Datos!$F$6</f>
        <v>191.66</v>
      </c>
      <c r="G39" s="10" t="s">
        <v>13</v>
      </c>
      <c r="H39" s="19" t="s">
        <v>14</v>
      </c>
      <c r="I39" s="22">
        <f>+D39*F39</f>
        <v>383.32</v>
      </c>
      <c r="J39" s="10" t="s">
        <v>13</v>
      </c>
      <c r="K39" s="10"/>
      <c r="L39" s="20"/>
    </row>
    <row r="40" spans="1:12" x14ac:dyDescent="0.2">
      <c r="A40" s="18"/>
      <c r="B40" s="10" t="s">
        <v>37</v>
      </c>
      <c r="C40" s="10"/>
      <c r="D40" s="22">
        <v>0</v>
      </c>
      <c r="E40" s="19" t="s">
        <v>11</v>
      </c>
      <c r="F40" s="1">
        <f>+Datos!$F$7</f>
        <v>176.37</v>
      </c>
      <c r="G40" s="10" t="s">
        <v>13</v>
      </c>
      <c r="H40" s="19" t="s">
        <v>14</v>
      </c>
      <c r="I40" s="22">
        <f>+D40*F40</f>
        <v>0</v>
      </c>
      <c r="J40" s="10" t="s">
        <v>13</v>
      </c>
      <c r="K40" s="10"/>
      <c r="L40" s="20"/>
    </row>
    <row r="41" spans="1:12" x14ac:dyDescent="0.2">
      <c r="A41" s="18"/>
      <c r="B41" s="10" t="s">
        <v>24</v>
      </c>
      <c r="C41" s="10"/>
      <c r="D41" s="22">
        <v>4</v>
      </c>
      <c r="E41" s="19" t="s">
        <v>11</v>
      </c>
      <c r="F41" s="1">
        <f>+Datos!$F$8</f>
        <v>162.9</v>
      </c>
      <c r="G41" s="10" t="s">
        <v>13</v>
      </c>
      <c r="H41" s="3" t="s">
        <v>14</v>
      </c>
      <c r="I41" s="5">
        <f>+D41*F41</f>
        <v>651.6</v>
      </c>
      <c r="J41" s="2" t="s">
        <v>13</v>
      </c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22">
        <f>SUM(I38:I41)</f>
        <v>1259.71</v>
      </c>
      <c r="J42" s="10" t="s">
        <v>13</v>
      </c>
      <c r="K42" s="10"/>
      <c r="L42" s="20"/>
    </row>
    <row r="43" spans="1:12" x14ac:dyDescent="0.2">
      <c r="A43" s="18"/>
      <c r="B43" s="10" t="s">
        <v>40</v>
      </c>
      <c r="C43" s="10"/>
      <c r="D43" s="23">
        <v>0.1</v>
      </c>
      <c r="E43" s="10"/>
      <c r="F43" s="10"/>
      <c r="G43" s="10"/>
      <c r="H43" s="10"/>
      <c r="I43" s="22">
        <f>+I42*D43</f>
        <v>125.971</v>
      </c>
      <c r="J43" s="10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19"/>
      <c r="J44" s="10"/>
      <c r="K44" s="10"/>
      <c r="L44" s="20"/>
    </row>
    <row r="45" spans="1:12" x14ac:dyDescent="0.2">
      <c r="A45" s="18"/>
      <c r="B45" s="10" t="s">
        <v>26</v>
      </c>
      <c r="C45" s="10"/>
      <c r="D45" s="10"/>
      <c r="E45" s="10"/>
      <c r="F45" s="10"/>
      <c r="G45" s="10"/>
      <c r="H45" s="10"/>
      <c r="I45" s="19"/>
      <c r="J45" s="10"/>
      <c r="K45" s="33">
        <f>+I42+I43</f>
        <v>1385.681</v>
      </c>
      <c r="L45" s="24" t="s">
        <v>13</v>
      </c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34" t="s">
        <v>44</v>
      </c>
      <c r="C47" s="35"/>
      <c r="D47" s="35"/>
      <c r="E47" s="35"/>
      <c r="F47" s="35"/>
      <c r="G47" s="35"/>
      <c r="H47" s="35"/>
      <c r="I47" s="36"/>
      <c r="J47" s="35"/>
      <c r="K47" s="82">
        <f>SUM(K21:K45)</f>
        <v>2173.4407110914699</v>
      </c>
      <c r="L47" s="8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10" t="s">
        <v>27</v>
      </c>
      <c r="C49" s="10"/>
      <c r="D49" s="22">
        <v>4</v>
      </c>
      <c r="E49" s="10" t="s">
        <v>109</v>
      </c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28"/>
      <c r="C50" s="10"/>
      <c r="D50" s="22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25"/>
      <c r="B51" s="33" t="s">
        <v>45</v>
      </c>
      <c r="C51" s="2"/>
      <c r="D51" s="5">
        <f>+K47</f>
        <v>2173.4407110914699</v>
      </c>
      <c r="E51" s="2" t="s">
        <v>13</v>
      </c>
      <c r="F51" s="3" t="s">
        <v>29</v>
      </c>
      <c r="G51" s="5">
        <f>+D49</f>
        <v>4</v>
      </c>
      <c r="H51" s="2" t="s">
        <v>109</v>
      </c>
      <c r="I51" s="3" t="s">
        <v>14</v>
      </c>
      <c r="J51" s="2"/>
      <c r="K51" s="34">
        <f>+D51/G51</f>
        <v>543.36017777286747</v>
      </c>
      <c r="L51" s="8" t="s">
        <v>98</v>
      </c>
    </row>
    <row r="52" spans="1:12" ht="13.5" thickBot="1" x14ac:dyDescent="0.25">
      <c r="G52" s="4"/>
    </row>
    <row r="53" spans="1:12" x14ac:dyDescent="0.2">
      <c r="A53" s="13"/>
      <c r="B53" s="32" t="s">
        <v>46</v>
      </c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x14ac:dyDescent="0.2">
      <c r="A54" s="2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spans="1:12" x14ac:dyDescent="0.2">
      <c r="A55" s="18"/>
      <c r="B55" s="10" t="s">
        <v>122</v>
      </c>
      <c r="C55" s="10"/>
      <c r="D55" s="10"/>
      <c r="E55" s="10">
        <f>+Datos!F50</f>
        <v>342.56023752426631</v>
      </c>
      <c r="F55" s="10" t="s">
        <v>110</v>
      </c>
      <c r="G55" s="27">
        <v>1</v>
      </c>
      <c r="H55" s="10" t="s">
        <v>111</v>
      </c>
      <c r="I55" s="19" t="s">
        <v>10</v>
      </c>
      <c r="J55" s="10"/>
      <c r="K55" s="28">
        <f>+E55*G55</f>
        <v>342.56023752426631</v>
      </c>
      <c r="L55" s="20" t="s">
        <v>98</v>
      </c>
    </row>
    <row r="56" spans="1:12" x14ac:dyDescent="0.2">
      <c r="A56" s="18"/>
      <c r="B56" s="10" t="s">
        <v>116</v>
      </c>
      <c r="C56" s="10"/>
      <c r="D56" s="10"/>
      <c r="E56" s="10">
        <f>+Datos!F51</f>
        <v>219.75562407217086</v>
      </c>
      <c r="F56" s="10" t="s">
        <v>117</v>
      </c>
      <c r="G56" s="27">
        <v>7.0000000000000007E-2</v>
      </c>
      <c r="H56" s="10" t="s">
        <v>118</v>
      </c>
      <c r="I56" s="19" t="s">
        <v>10</v>
      </c>
      <c r="J56" s="10"/>
      <c r="K56" s="28">
        <f>+E56*G56</f>
        <v>15.382893685051961</v>
      </c>
      <c r="L56" s="20" t="s">
        <v>98</v>
      </c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+K55+K56</f>
        <v>357.94313120931827</v>
      </c>
      <c r="L58" s="8" t="s">
        <v>98</v>
      </c>
    </row>
    <row r="60" spans="1:12" x14ac:dyDescent="0.2">
      <c r="A60" s="7"/>
      <c r="B60" s="35" t="s">
        <v>119</v>
      </c>
      <c r="C60" s="35"/>
      <c r="D60" s="35"/>
      <c r="E60" s="188">
        <v>1400</v>
      </c>
      <c r="F60" s="35" t="s">
        <v>120</v>
      </c>
      <c r="G60" s="35">
        <f>+Datos!F53</f>
        <v>5.1707205664040204E-2</v>
      </c>
      <c r="H60" s="35" t="s">
        <v>121</v>
      </c>
      <c r="I60" s="36" t="s">
        <v>10</v>
      </c>
      <c r="J60" s="35"/>
      <c r="K60" s="34">
        <f>+E60*G60</f>
        <v>72.390087929656289</v>
      </c>
      <c r="L60" s="8" t="s">
        <v>98</v>
      </c>
    </row>
    <row r="62" spans="1:12" x14ac:dyDescent="0.2">
      <c r="A62" s="7"/>
      <c r="B62" s="35" t="s">
        <v>53</v>
      </c>
      <c r="C62" s="35"/>
      <c r="D62" s="35"/>
      <c r="E62" s="35"/>
      <c r="F62" s="35"/>
      <c r="G62" s="35"/>
      <c r="H62" s="35"/>
      <c r="I62" s="35"/>
      <c r="J62" s="35"/>
      <c r="K62" s="34">
        <f>+K51+K58+K60</f>
        <v>973.693396911842</v>
      </c>
      <c r="L62" s="8" t="s">
        <v>98</v>
      </c>
    </row>
    <row r="63" spans="1:12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2">
      <c r="A64" s="7"/>
      <c r="B64" s="35" t="s">
        <v>54</v>
      </c>
      <c r="C64" s="35"/>
      <c r="D64" s="35"/>
      <c r="E64" s="37">
        <f>Coeficiente!D22</f>
        <v>1.7627404950000001</v>
      </c>
      <c r="F64" s="35"/>
      <c r="G64" s="35"/>
      <c r="H64" s="35"/>
      <c r="I64" s="35"/>
      <c r="J64" s="35"/>
      <c r="K64" s="35"/>
      <c r="L64" s="8"/>
    </row>
    <row r="65" spans="1:12" ht="13.5" thickBot="1" x14ac:dyDescent="0.25"/>
    <row r="66" spans="1:12" ht="20.100000000000001" customHeight="1" thickBot="1" x14ac:dyDescent="0.25">
      <c r="A66" s="11"/>
      <c r="B66" s="12" t="s">
        <v>55</v>
      </c>
      <c r="C66" s="30"/>
      <c r="D66" s="30"/>
      <c r="E66" s="30"/>
      <c r="F66" s="30"/>
      <c r="G66" s="30"/>
      <c r="H66" s="30"/>
      <c r="I66" s="30"/>
      <c r="J66" s="30"/>
      <c r="K66" s="11">
        <f>ROUND((+K62*E64),2)</f>
        <v>1716.37</v>
      </c>
      <c r="L66" s="31" t="s">
        <v>98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64"/>
  <sheetViews>
    <sheetView topLeftCell="A55" zoomScaleNormal="9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5.7109375" style="1" bestFit="1" customWidth="1"/>
    <col min="4" max="4" width="8.140625" style="1" bestFit="1" customWidth="1"/>
    <col min="5" max="5" width="10.5703125" style="1" customWidth="1"/>
    <col min="6" max="7" width="12.5703125" style="1" bestFit="1" customWidth="1"/>
    <col min="8" max="8" width="8" style="1" customWidth="1"/>
    <col min="9" max="9" width="8.140625" style="1" bestFit="1" customWidth="1"/>
    <col min="10" max="10" width="4" style="1" customWidth="1"/>
    <col min="11" max="11" width="8.140625" style="1" bestFit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191</v>
      </c>
      <c r="C5" s="237" t="s">
        <v>148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61</v>
      </c>
      <c r="D6" s="47"/>
      <c r="E6" s="47"/>
      <c r="F6" s="47"/>
      <c r="G6" s="47"/>
      <c r="H6" s="47"/>
      <c r="I6" s="50" t="s">
        <v>57</v>
      </c>
      <c r="J6" s="238"/>
      <c r="K6" s="239">
        <v>43282</v>
      </c>
      <c r="L6" s="236"/>
    </row>
    <row r="7" spans="1:12" ht="16.5" thickBot="1" x14ac:dyDescent="0.3">
      <c r="A7" s="240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2</v>
      </c>
      <c r="C14" s="10"/>
      <c r="D14" s="10"/>
      <c r="E14" s="42">
        <v>0.5</v>
      </c>
      <c r="F14" s="19">
        <f>+Datos!C15*E14</f>
        <v>60</v>
      </c>
      <c r="G14" s="19">
        <f>+Datos!F15*E14</f>
        <v>2757709.674660272</v>
      </c>
      <c r="H14" s="10"/>
      <c r="I14" s="10"/>
      <c r="J14" s="10"/>
      <c r="K14" s="10"/>
      <c r="L14" s="20"/>
    </row>
    <row r="15" spans="1:12" x14ac:dyDescent="0.2">
      <c r="A15" s="18"/>
      <c r="B15" s="10" t="s">
        <v>60</v>
      </c>
      <c r="C15" s="10"/>
      <c r="D15" s="10"/>
      <c r="E15" s="19">
        <v>1</v>
      </c>
      <c r="F15" s="3">
        <f>+Datos!C18*E15</f>
        <v>120</v>
      </c>
      <c r="G15" s="3">
        <f>+Datos!F18*E15</f>
        <v>1523250.0692017816</v>
      </c>
      <c r="H15" s="10"/>
      <c r="I15" s="10"/>
      <c r="J15" s="10"/>
      <c r="K15" s="10"/>
      <c r="L15" s="20"/>
    </row>
    <row r="16" spans="1:12" x14ac:dyDescent="0.2">
      <c r="A16" s="18"/>
      <c r="B16" s="10"/>
      <c r="C16" s="10"/>
      <c r="D16" s="10"/>
      <c r="E16" s="10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81">
        <f>ROUND(SUM(F14:F15),2)</f>
        <v>180</v>
      </c>
      <c r="G17" s="81">
        <f>SUM(G14:G15)</f>
        <v>4280959.7438620534</v>
      </c>
      <c r="H17" s="10"/>
      <c r="I17" s="10"/>
      <c r="J17" s="10"/>
      <c r="K17" s="10"/>
      <c r="L17" s="20"/>
    </row>
    <row r="18" spans="1:12" x14ac:dyDescent="0.2">
      <c r="A18" s="18"/>
      <c r="B18" s="28" t="s">
        <v>5</v>
      </c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2">
        <f>+G17</f>
        <v>4280959.7438620534</v>
      </c>
      <c r="D20" s="2" t="s">
        <v>6</v>
      </c>
      <c r="E20" s="19" t="s">
        <v>7</v>
      </c>
      <c r="F20" s="2">
        <f>+G17</f>
        <v>4280959.7438620534</v>
      </c>
      <c r="G20" s="3" t="s">
        <v>48</v>
      </c>
      <c r="H20" s="2">
        <v>0.12</v>
      </c>
      <c r="I20" s="3" t="s">
        <v>9</v>
      </c>
      <c r="J20" s="19" t="s">
        <v>10</v>
      </c>
      <c r="K20" s="28">
        <f>+C20/C21+F20*H20/4000</f>
        <v>556.52476670206693</v>
      </c>
      <c r="L20" s="20" t="s">
        <v>13</v>
      </c>
    </row>
    <row r="21" spans="1:12" x14ac:dyDescent="0.2">
      <c r="A21" s="18"/>
      <c r="B21" s="10"/>
      <c r="C21" s="10">
        <v>10000</v>
      </c>
      <c r="D21" s="10" t="s">
        <v>34</v>
      </c>
      <c r="E21" s="10"/>
      <c r="F21" s="10"/>
      <c r="G21" s="19" t="s">
        <v>8</v>
      </c>
      <c r="H21" s="10"/>
      <c r="I21" s="19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10"/>
      <c r="G22" s="19"/>
      <c r="H22" s="10"/>
      <c r="I22" s="19"/>
      <c r="J22" s="10"/>
      <c r="K22" s="10"/>
      <c r="L22" s="20"/>
    </row>
    <row r="23" spans="1:12" x14ac:dyDescent="0.2">
      <c r="A23" s="18"/>
      <c r="B23" s="28" t="s">
        <v>31</v>
      </c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29">
        <v>0.5</v>
      </c>
      <c r="C25" s="10" t="s">
        <v>12</v>
      </c>
      <c r="D25" s="10"/>
      <c r="E25" s="22">
        <f>+C20/C21</f>
        <v>428.09597438620534</v>
      </c>
      <c r="F25" s="10" t="s">
        <v>13</v>
      </c>
      <c r="G25" s="19" t="s">
        <v>14</v>
      </c>
      <c r="H25" s="10"/>
      <c r="I25" s="19"/>
      <c r="J25" s="10"/>
      <c r="K25" s="28">
        <f>+B25*E25</f>
        <v>214.04798719310267</v>
      </c>
      <c r="L25" s="20" t="s">
        <v>13</v>
      </c>
    </row>
    <row r="26" spans="1:12" x14ac:dyDescent="0.2">
      <c r="A26" s="18"/>
      <c r="B26" s="10"/>
      <c r="C26" s="10"/>
      <c r="D26" s="10"/>
      <c r="E26" s="22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8" t="s">
        <v>19</v>
      </c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 t="s">
        <v>15</v>
      </c>
      <c r="C29" s="10">
        <v>0.12</v>
      </c>
      <c r="D29" s="10" t="s">
        <v>16</v>
      </c>
      <c r="E29" s="22">
        <f>+F17</f>
        <v>180</v>
      </c>
      <c r="F29" s="10" t="s">
        <v>17</v>
      </c>
      <c r="G29" s="19" t="s">
        <v>11</v>
      </c>
      <c r="H29" s="10">
        <f>+Datos!F10</f>
        <v>23.56</v>
      </c>
      <c r="I29" s="19" t="s">
        <v>18</v>
      </c>
      <c r="J29" s="19" t="s">
        <v>10</v>
      </c>
      <c r="K29" s="28">
        <f>+C29*E29*H29</f>
        <v>508.8959999999999</v>
      </c>
      <c r="L29" s="20" t="s">
        <v>13</v>
      </c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8" t="s">
        <v>20</v>
      </c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9">
        <v>0.3</v>
      </c>
      <c r="C33" s="10" t="s">
        <v>21</v>
      </c>
      <c r="D33" s="10"/>
      <c r="E33" s="22">
        <f>+K29</f>
        <v>508.8959999999999</v>
      </c>
      <c r="F33" s="10" t="s">
        <v>13</v>
      </c>
      <c r="G33" s="19" t="s">
        <v>14</v>
      </c>
      <c r="H33" s="10"/>
      <c r="I33" s="19"/>
      <c r="J33" s="10"/>
      <c r="K33" s="28">
        <f>+B33*E33</f>
        <v>152.66879999999998</v>
      </c>
      <c r="L33" s="20" t="s">
        <v>13</v>
      </c>
    </row>
    <row r="34" spans="1:12" x14ac:dyDescent="0.2">
      <c r="A34" s="18"/>
      <c r="B34" s="10"/>
      <c r="C34" s="10"/>
      <c r="D34" s="10"/>
      <c r="E34" s="10"/>
      <c r="F34" s="10"/>
      <c r="G34" s="10"/>
      <c r="H34" s="10"/>
      <c r="I34" s="19"/>
      <c r="J34" s="10"/>
      <c r="K34" s="10"/>
      <c r="L34" s="20"/>
    </row>
    <row r="35" spans="1:12" x14ac:dyDescent="0.2">
      <c r="A35" s="18"/>
      <c r="B35" s="28" t="s">
        <v>22</v>
      </c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10"/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 t="s">
        <v>23</v>
      </c>
      <c r="C37" s="10"/>
      <c r="D37" s="22">
        <v>1</v>
      </c>
      <c r="E37" s="19" t="s">
        <v>11</v>
      </c>
      <c r="F37" s="1">
        <f>+Datos!$F$5</f>
        <v>224.79</v>
      </c>
      <c r="G37" s="10" t="s">
        <v>13</v>
      </c>
      <c r="H37" s="19" t="s">
        <v>14</v>
      </c>
      <c r="I37" s="22">
        <f>+D37*F37</f>
        <v>224.79</v>
      </c>
      <c r="J37" s="10" t="s">
        <v>13</v>
      </c>
      <c r="K37" s="10"/>
      <c r="L37" s="20"/>
    </row>
    <row r="38" spans="1:12" x14ac:dyDescent="0.2">
      <c r="A38" s="18"/>
      <c r="B38" s="10" t="s">
        <v>25</v>
      </c>
      <c r="C38" s="10"/>
      <c r="D38" s="22">
        <v>2</v>
      </c>
      <c r="E38" s="19" t="s">
        <v>11</v>
      </c>
      <c r="F38" s="1">
        <f>+Datos!$F$6</f>
        <v>191.66</v>
      </c>
      <c r="G38" s="10" t="s">
        <v>13</v>
      </c>
      <c r="H38" s="19" t="s">
        <v>14</v>
      </c>
      <c r="I38" s="22">
        <f>+D38*F38</f>
        <v>383.32</v>
      </c>
      <c r="J38" s="10" t="s">
        <v>13</v>
      </c>
      <c r="K38" s="10"/>
      <c r="L38" s="20"/>
    </row>
    <row r="39" spans="1:12" x14ac:dyDescent="0.2">
      <c r="A39" s="18"/>
      <c r="B39" s="10" t="s">
        <v>37</v>
      </c>
      <c r="C39" s="10"/>
      <c r="D39" s="22">
        <v>0</v>
      </c>
      <c r="E39" s="19" t="s">
        <v>11</v>
      </c>
      <c r="F39" s="1">
        <f>+Datos!$F$7</f>
        <v>176.37</v>
      </c>
      <c r="G39" s="10" t="s">
        <v>13</v>
      </c>
      <c r="H39" s="19" t="s">
        <v>14</v>
      </c>
      <c r="I39" s="22">
        <f>+D39*F39</f>
        <v>0</v>
      </c>
      <c r="J39" s="10" t="s">
        <v>13</v>
      </c>
      <c r="K39" s="10"/>
      <c r="L39" s="20"/>
    </row>
    <row r="40" spans="1:12" x14ac:dyDescent="0.2">
      <c r="A40" s="18"/>
      <c r="B40" s="10" t="s">
        <v>24</v>
      </c>
      <c r="C40" s="10"/>
      <c r="D40" s="22">
        <v>8</v>
      </c>
      <c r="E40" s="19" t="s">
        <v>11</v>
      </c>
      <c r="F40" s="1">
        <f>+Datos!$F$8</f>
        <v>162.9</v>
      </c>
      <c r="G40" s="10" t="s">
        <v>13</v>
      </c>
      <c r="H40" s="3" t="s">
        <v>14</v>
      </c>
      <c r="I40" s="5">
        <f>+D40*F40</f>
        <v>1303.2</v>
      </c>
      <c r="J40" s="2" t="s">
        <v>13</v>
      </c>
      <c r="K40" s="10"/>
      <c r="L40" s="20"/>
    </row>
    <row r="41" spans="1:12" x14ac:dyDescent="0.2">
      <c r="A41" s="18"/>
      <c r="B41" s="10"/>
      <c r="C41" s="10"/>
      <c r="D41" s="10"/>
      <c r="E41" s="10"/>
      <c r="F41" s="10"/>
      <c r="G41" s="10"/>
      <c r="H41" s="10"/>
      <c r="I41" s="22">
        <f>SUM(I37:I40)</f>
        <v>1911.31</v>
      </c>
      <c r="J41" s="10" t="s">
        <v>13</v>
      </c>
      <c r="K41" s="10"/>
      <c r="L41" s="20"/>
    </row>
    <row r="42" spans="1:12" x14ac:dyDescent="0.2">
      <c r="A42" s="18"/>
      <c r="B42" s="10" t="s">
        <v>40</v>
      </c>
      <c r="C42" s="10"/>
      <c r="D42" s="23">
        <v>0.05</v>
      </c>
      <c r="E42" s="10"/>
      <c r="F42" s="10"/>
      <c r="G42" s="10"/>
      <c r="H42" s="10"/>
      <c r="I42" s="22">
        <f>+I41*D42</f>
        <v>95.5655</v>
      </c>
      <c r="J42" s="10" t="s">
        <v>13</v>
      </c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G43" s="10"/>
      <c r="H43" s="10"/>
      <c r="I43" s="19"/>
      <c r="J43" s="10"/>
      <c r="K43" s="10"/>
      <c r="L43" s="20"/>
    </row>
    <row r="44" spans="1:12" x14ac:dyDescent="0.2">
      <c r="A44" s="18"/>
      <c r="B44" s="10" t="s">
        <v>26</v>
      </c>
      <c r="C44" s="10"/>
      <c r="D44" s="10"/>
      <c r="E44" s="10"/>
      <c r="F44" s="10"/>
      <c r="G44" s="10"/>
      <c r="H44" s="10"/>
      <c r="I44" s="19"/>
      <c r="J44" s="10"/>
      <c r="K44" s="33">
        <f>+I41+I42</f>
        <v>2006.8754999999999</v>
      </c>
      <c r="L44" s="24" t="s">
        <v>13</v>
      </c>
    </row>
    <row r="45" spans="1:12" x14ac:dyDescent="0.2">
      <c r="A45" s="18"/>
      <c r="B45" s="10"/>
      <c r="C45" s="10"/>
      <c r="D45" s="10"/>
      <c r="E45" s="10"/>
      <c r="F45" s="10"/>
      <c r="G45" s="10"/>
      <c r="H45" s="10"/>
      <c r="I45" s="19"/>
      <c r="J45" s="10"/>
      <c r="K45" s="10"/>
      <c r="L45" s="20"/>
    </row>
    <row r="46" spans="1:12" x14ac:dyDescent="0.2">
      <c r="A46" s="18"/>
      <c r="B46" s="34" t="s">
        <v>44</v>
      </c>
      <c r="C46" s="35"/>
      <c r="D46" s="35"/>
      <c r="E46" s="35"/>
      <c r="F46" s="35"/>
      <c r="G46" s="35"/>
      <c r="H46" s="35"/>
      <c r="I46" s="36"/>
      <c r="J46" s="35"/>
      <c r="K46" s="82">
        <f>SUM(K20:K44)</f>
        <v>3439.0130538951694</v>
      </c>
      <c r="L46" s="8" t="s">
        <v>13</v>
      </c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19"/>
      <c r="J47" s="10"/>
      <c r="K47" s="10"/>
      <c r="L47" s="20"/>
    </row>
    <row r="48" spans="1:12" x14ac:dyDescent="0.2">
      <c r="A48" s="18"/>
      <c r="B48" s="10" t="s">
        <v>27</v>
      </c>
      <c r="C48" s="10"/>
      <c r="D48" s="22">
        <v>3.5</v>
      </c>
      <c r="E48" s="10" t="s">
        <v>28</v>
      </c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28"/>
      <c r="C49" s="10"/>
      <c r="D49" s="22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25"/>
      <c r="B50" s="33" t="s">
        <v>45</v>
      </c>
      <c r="C50" s="2"/>
      <c r="D50" s="5">
        <f>+K46</f>
        <v>3439.0130538951694</v>
      </c>
      <c r="E50" s="2" t="s">
        <v>13</v>
      </c>
      <c r="F50" s="3" t="s">
        <v>29</v>
      </c>
      <c r="G50" s="5">
        <f>+D48</f>
        <v>3.5</v>
      </c>
      <c r="H50" s="2" t="s">
        <v>28</v>
      </c>
      <c r="I50" s="3" t="s">
        <v>14</v>
      </c>
      <c r="J50" s="2"/>
      <c r="K50" s="34">
        <f>+D50/G50</f>
        <v>982.57515825576263</v>
      </c>
      <c r="L50" s="8" t="s">
        <v>30</v>
      </c>
    </row>
    <row r="51" spans="1:12" ht="13.5" thickBot="1" x14ac:dyDescent="0.25">
      <c r="G51" s="4"/>
    </row>
    <row r="52" spans="1:12" x14ac:dyDescent="0.2">
      <c r="A52" s="13"/>
      <c r="B52" s="32" t="s">
        <v>46</v>
      </c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x14ac:dyDescent="0.2">
      <c r="A53" s="2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</row>
    <row r="54" spans="1:12" x14ac:dyDescent="0.2">
      <c r="A54" s="18"/>
      <c r="B54" s="10" t="s">
        <v>112</v>
      </c>
      <c r="C54" s="10"/>
      <c r="D54" s="10"/>
      <c r="E54" s="10">
        <f>+Datos!F55</f>
        <v>226.21902478017589</v>
      </c>
      <c r="F54" s="10" t="s">
        <v>49</v>
      </c>
      <c r="G54" s="27">
        <v>1</v>
      </c>
      <c r="H54" s="10" t="s">
        <v>51</v>
      </c>
      <c r="I54" s="19" t="s">
        <v>10</v>
      </c>
      <c r="J54" s="10"/>
      <c r="K54" s="10">
        <f>+E54*G54</f>
        <v>226.21902478017589</v>
      </c>
      <c r="L54" s="20" t="s">
        <v>30</v>
      </c>
    </row>
    <row r="55" spans="1:12" x14ac:dyDescent="0.2">
      <c r="A55" s="18"/>
      <c r="B55" s="10" t="s">
        <v>113</v>
      </c>
      <c r="C55" s="10"/>
      <c r="D55" s="10"/>
      <c r="E55" s="10">
        <f>+Datos!F56</f>
        <v>12.926801416010051</v>
      </c>
      <c r="F55" s="10" t="s">
        <v>49</v>
      </c>
      <c r="G55" s="27">
        <v>1.3</v>
      </c>
      <c r="H55" s="10" t="s">
        <v>51</v>
      </c>
      <c r="I55" s="19" t="s">
        <v>10</v>
      </c>
      <c r="J55" s="10"/>
      <c r="K55" s="10">
        <f>+E55*G55</f>
        <v>16.804841840813065</v>
      </c>
      <c r="L55" s="20" t="s">
        <v>30</v>
      </c>
    </row>
    <row r="56" spans="1:12" x14ac:dyDescent="0.2">
      <c r="A56" s="18"/>
      <c r="B56" s="10" t="s">
        <v>114</v>
      </c>
      <c r="C56" s="10"/>
      <c r="D56" s="10"/>
      <c r="E56" s="10">
        <f>+Datos!F57</f>
        <v>10.341441132808042</v>
      </c>
      <c r="F56" s="10" t="s">
        <v>108</v>
      </c>
      <c r="G56" s="27">
        <v>1.3</v>
      </c>
      <c r="H56" s="10" t="s">
        <v>115</v>
      </c>
      <c r="I56" s="19" t="s">
        <v>10</v>
      </c>
      <c r="J56" s="10"/>
      <c r="K56" s="10">
        <f>+E56*G56</f>
        <v>13.443873472650454</v>
      </c>
      <c r="L56" s="20" t="s">
        <v>30</v>
      </c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+K54+K55+K56</f>
        <v>256.46774009363941</v>
      </c>
      <c r="L58" s="8" t="s">
        <v>30</v>
      </c>
    </row>
    <row r="60" spans="1:12" x14ac:dyDescent="0.2">
      <c r="A60" s="7"/>
      <c r="B60" s="35" t="s">
        <v>53</v>
      </c>
      <c r="C60" s="35"/>
      <c r="D60" s="35"/>
      <c r="E60" s="35"/>
      <c r="F60" s="35"/>
      <c r="G60" s="35"/>
      <c r="H60" s="35"/>
      <c r="I60" s="35"/>
      <c r="J60" s="35"/>
      <c r="K60" s="34">
        <f>+K50+K58</f>
        <v>1239.0428983494021</v>
      </c>
      <c r="L60" s="8" t="s">
        <v>30</v>
      </c>
    </row>
    <row r="61" spans="1:12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">
      <c r="A62" s="7"/>
      <c r="B62" s="35" t="s">
        <v>54</v>
      </c>
      <c r="C62" s="35"/>
      <c r="D62" s="35"/>
      <c r="E62" s="37">
        <f>Coeficiente!D22</f>
        <v>1.7627404950000001</v>
      </c>
      <c r="F62" s="35"/>
      <c r="G62" s="35"/>
      <c r="H62" s="35"/>
      <c r="I62" s="35"/>
      <c r="J62" s="35"/>
      <c r="K62" s="35"/>
      <c r="L62" s="8"/>
    </row>
    <row r="63" spans="1:12" ht="13.5" thickBot="1" x14ac:dyDescent="0.25"/>
    <row r="64" spans="1:12" ht="20.100000000000001" customHeight="1" thickBot="1" x14ac:dyDescent="0.25">
      <c r="A64" s="11"/>
      <c r="B64" s="12" t="s">
        <v>55</v>
      </c>
      <c r="C64" s="30"/>
      <c r="D64" s="30"/>
      <c r="E64" s="30"/>
      <c r="F64" s="30"/>
      <c r="G64" s="30"/>
      <c r="H64" s="30"/>
      <c r="I64" s="30"/>
      <c r="J64" s="30"/>
      <c r="K64" s="11">
        <f>ROUND((+K60*E62),2)</f>
        <v>2184.11</v>
      </c>
      <c r="L64" s="31" t="s">
        <v>30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65"/>
  <sheetViews>
    <sheetView topLeftCell="A58" zoomScaleNormal="10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1.42578125" style="1"/>
    <col min="4" max="4" width="8.140625" style="1" bestFit="1" customWidth="1"/>
    <col min="5" max="5" width="10.5703125" style="1" customWidth="1"/>
    <col min="6" max="7" width="11.7109375" style="1" bestFit="1" customWidth="1"/>
    <col min="8" max="8" width="8" style="1" customWidth="1"/>
    <col min="9" max="9" width="7.7109375" style="1" customWidth="1"/>
    <col min="10" max="10" width="4" style="1" customWidth="1"/>
    <col min="11" max="11" width="8.140625" style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192</v>
      </c>
      <c r="C5" s="237" t="s">
        <v>157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58</v>
      </c>
      <c r="D6" s="47"/>
      <c r="E6" s="47"/>
      <c r="F6" s="47"/>
      <c r="G6" s="47"/>
      <c r="H6" s="47"/>
      <c r="I6" s="50" t="s">
        <v>57</v>
      </c>
      <c r="J6" s="247"/>
      <c r="K6" s="239">
        <v>43282</v>
      </c>
      <c r="L6" s="236"/>
    </row>
    <row r="7" spans="1:12" ht="13.5" thickBot="1" x14ac:dyDescent="0.25">
      <c r="A7" s="240"/>
      <c r="B7" s="244"/>
      <c r="C7" s="245"/>
      <c r="D7" s="245"/>
      <c r="E7" s="245"/>
      <c r="F7" s="245"/>
      <c r="G7" s="245"/>
      <c r="H7" s="245"/>
      <c r="I7" s="244"/>
      <c r="J7" s="245"/>
      <c r="K7" s="245"/>
      <c r="L7" s="246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69</v>
      </c>
      <c r="C14" s="10"/>
      <c r="D14" s="10"/>
      <c r="E14" s="42">
        <v>1</v>
      </c>
      <c r="F14" s="19">
        <f>+Datos!C24*E14</f>
        <v>140</v>
      </c>
      <c r="G14" s="19">
        <f>+Datos!F24*E14</f>
        <v>4366737.9956467738</v>
      </c>
      <c r="H14" s="10"/>
      <c r="I14" s="10"/>
      <c r="J14" s="10"/>
      <c r="K14" s="10"/>
      <c r="L14" s="20"/>
    </row>
    <row r="15" spans="1:12" x14ac:dyDescent="0.2">
      <c r="A15" s="18"/>
      <c r="B15" s="10"/>
      <c r="C15" s="10"/>
      <c r="D15" s="10"/>
      <c r="E15" s="42"/>
      <c r="F15" s="19"/>
      <c r="G15" s="19"/>
      <c r="H15" s="10"/>
      <c r="I15" s="10"/>
      <c r="J15" s="10"/>
      <c r="K15" s="10"/>
      <c r="L15" s="20"/>
    </row>
    <row r="16" spans="1:12" x14ac:dyDescent="0.2">
      <c r="A16" s="18"/>
      <c r="B16" s="10"/>
      <c r="C16" s="10"/>
      <c r="D16" s="10"/>
      <c r="E16" s="10"/>
      <c r="F16" s="97"/>
      <c r="G16" s="97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81">
        <f>SUM(F14:F16)</f>
        <v>140</v>
      </c>
      <c r="G17" s="81">
        <f>SUM(G14:G16)</f>
        <v>4366737.9956467738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28" t="s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2">
        <f>+G17</f>
        <v>4366737.9956467738</v>
      </c>
      <c r="D21" s="3" t="s">
        <v>6</v>
      </c>
      <c r="E21" s="19" t="s">
        <v>7</v>
      </c>
      <c r="F21" s="2">
        <f>+G17</f>
        <v>4366737.9956467738</v>
      </c>
      <c r="G21" s="3" t="s">
        <v>62</v>
      </c>
      <c r="H21" s="2">
        <v>0.12</v>
      </c>
      <c r="I21" s="3" t="s">
        <v>9</v>
      </c>
      <c r="J21" s="19" t="s">
        <v>10</v>
      </c>
      <c r="K21" s="28">
        <f>+C21/C22+F21*H21/4000</f>
        <v>567.67593943408065</v>
      </c>
      <c r="L21" s="20" t="s">
        <v>13</v>
      </c>
    </row>
    <row r="22" spans="1:12" x14ac:dyDescent="0.2">
      <c r="A22" s="18"/>
      <c r="B22" s="10"/>
      <c r="C22" s="10">
        <v>10000</v>
      </c>
      <c r="D22" s="10" t="s">
        <v>34</v>
      </c>
      <c r="E22" s="10"/>
      <c r="F22" s="10"/>
      <c r="G22" s="19" t="s">
        <v>8</v>
      </c>
      <c r="H22" s="10"/>
      <c r="I22" s="19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28" t="s">
        <v>31</v>
      </c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9">
        <v>0.5</v>
      </c>
      <c r="C26" s="10" t="s">
        <v>63</v>
      </c>
      <c r="D26" s="10"/>
      <c r="E26" s="22">
        <f>+C21/C22</f>
        <v>436.67379956467738</v>
      </c>
      <c r="F26" s="10" t="s">
        <v>64</v>
      </c>
      <c r="G26" s="19" t="s">
        <v>14</v>
      </c>
      <c r="H26" s="10"/>
      <c r="I26" s="19"/>
      <c r="J26" s="10"/>
      <c r="K26" s="28">
        <f>+B26*E26</f>
        <v>218.33689978233869</v>
      </c>
      <c r="L26" s="20" t="s">
        <v>13</v>
      </c>
    </row>
    <row r="27" spans="1:12" x14ac:dyDescent="0.2">
      <c r="A27" s="18"/>
      <c r="B27" s="10"/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8" t="s">
        <v>19</v>
      </c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9" t="s">
        <v>15</v>
      </c>
      <c r="C30" s="10">
        <v>0.12</v>
      </c>
      <c r="D30" s="10" t="s">
        <v>16</v>
      </c>
      <c r="E30" s="19">
        <f>+F17</f>
        <v>140</v>
      </c>
      <c r="F30" s="10" t="s">
        <v>17</v>
      </c>
      <c r="G30" s="19" t="s">
        <v>11</v>
      </c>
      <c r="H30" s="10">
        <f>+Datos!F10</f>
        <v>23.56</v>
      </c>
      <c r="I30" s="19" t="s">
        <v>18</v>
      </c>
      <c r="J30" s="19" t="s">
        <v>10</v>
      </c>
      <c r="K30" s="28">
        <f>+C30*E30*H30</f>
        <v>395.80799999999999</v>
      </c>
      <c r="L30" s="20" t="s">
        <v>13</v>
      </c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8" t="s">
        <v>20</v>
      </c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9">
        <v>0.3</v>
      </c>
      <c r="C34" s="10" t="s">
        <v>21</v>
      </c>
      <c r="D34" s="10"/>
      <c r="E34" s="22">
        <f>+K30</f>
        <v>395.80799999999999</v>
      </c>
      <c r="F34" s="10" t="s">
        <v>13</v>
      </c>
      <c r="G34" s="19" t="s">
        <v>14</v>
      </c>
      <c r="H34" s="10"/>
      <c r="I34" s="19"/>
      <c r="J34" s="10"/>
      <c r="K34" s="28">
        <f>+B34*E34</f>
        <v>118.74239999999999</v>
      </c>
      <c r="L34" s="20" t="s">
        <v>13</v>
      </c>
    </row>
    <row r="35" spans="1:12" x14ac:dyDescent="0.2">
      <c r="A35" s="18"/>
      <c r="B35" s="10"/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28" t="s">
        <v>22</v>
      </c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 t="s">
        <v>23</v>
      </c>
      <c r="C38" s="10"/>
      <c r="D38" s="22">
        <v>1</v>
      </c>
      <c r="E38" s="19" t="s">
        <v>11</v>
      </c>
      <c r="F38" s="1">
        <f>+Datos!$F$5</f>
        <v>224.79</v>
      </c>
      <c r="G38" s="10" t="s">
        <v>13</v>
      </c>
      <c r="H38" s="19" t="s">
        <v>14</v>
      </c>
      <c r="I38" s="22">
        <f>+D38*F38</f>
        <v>224.79</v>
      </c>
      <c r="J38" s="10" t="s">
        <v>13</v>
      </c>
      <c r="K38" s="10"/>
      <c r="L38" s="20"/>
    </row>
    <row r="39" spans="1:12" x14ac:dyDescent="0.2">
      <c r="A39" s="18"/>
      <c r="B39" s="10" t="s">
        <v>25</v>
      </c>
      <c r="C39" s="10"/>
      <c r="D39" s="22">
        <v>1</v>
      </c>
      <c r="E39" s="19" t="s">
        <v>11</v>
      </c>
      <c r="F39" s="1">
        <f>+Datos!$F$6</f>
        <v>191.66</v>
      </c>
      <c r="G39" s="10" t="s">
        <v>13</v>
      </c>
      <c r="H39" s="19" t="s">
        <v>14</v>
      </c>
      <c r="I39" s="22">
        <f>+D39*F39</f>
        <v>191.66</v>
      </c>
      <c r="J39" s="10" t="s">
        <v>13</v>
      </c>
      <c r="K39" s="10"/>
      <c r="L39" s="20"/>
    </row>
    <row r="40" spans="1:12" x14ac:dyDescent="0.2">
      <c r="A40" s="18"/>
      <c r="B40" s="10" t="s">
        <v>37</v>
      </c>
      <c r="C40" s="10"/>
      <c r="D40" s="22">
        <v>0</v>
      </c>
      <c r="E40" s="19" t="s">
        <v>11</v>
      </c>
      <c r="F40" s="1">
        <f>+Datos!$F$7</f>
        <v>176.37</v>
      </c>
      <c r="G40" s="10" t="s">
        <v>13</v>
      </c>
      <c r="H40" s="19" t="s">
        <v>14</v>
      </c>
      <c r="I40" s="22">
        <f>+D40*F40</f>
        <v>0</v>
      </c>
      <c r="J40" s="10" t="s">
        <v>13</v>
      </c>
      <c r="K40" s="10"/>
      <c r="L40" s="20"/>
    </row>
    <row r="41" spans="1:12" x14ac:dyDescent="0.2">
      <c r="A41" s="18"/>
      <c r="B41" s="10" t="s">
        <v>24</v>
      </c>
      <c r="C41" s="10"/>
      <c r="D41" s="22">
        <v>1</v>
      </c>
      <c r="E41" s="19" t="s">
        <v>11</v>
      </c>
      <c r="F41" s="1">
        <f>+Datos!$F$8</f>
        <v>162.9</v>
      </c>
      <c r="G41" s="10" t="s">
        <v>13</v>
      </c>
      <c r="H41" s="3" t="s">
        <v>14</v>
      </c>
      <c r="I41" s="5">
        <f>+D41*F41</f>
        <v>162.9</v>
      </c>
      <c r="J41" s="2" t="s">
        <v>13</v>
      </c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22">
        <f>SUM(I38:I41)</f>
        <v>579.35</v>
      </c>
      <c r="J42" s="10" t="s">
        <v>13</v>
      </c>
      <c r="K42" s="10"/>
      <c r="L42" s="20"/>
    </row>
    <row r="43" spans="1:12" x14ac:dyDescent="0.2">
      <c r="A43" s="18"/>
      <c r="B43" s="10" t="s">
        <v>40</v>
      </c>
      <c r="C43" s="10"/>
      <c r="D43" s="23">
        <v>0.05</v>
      </c>
      <c r="E43" s="10"/>
      <c r="F43" s="10"/>
      <c r="G43" s="10"/>
      <c r="H43" s="10"/>
      <c r="I43" s="22">
        <f>+I42*D43</f>
        <v>28.967500000000001</v>
      </c>
      <c r="J43" s="10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19"/>
      <c r="J44" s="10"/>
      <c r="K44" s="10"/>
      <c r="L44" s="20"/>
    </row>
    <row r="45" spans="1:12" x14ac:dyDescent="0.2">
      <c r="A45" s="18"/>
      <c r="B45" s="10" t="s">
        <v>26</v>
      </c>
      <c r="C45" s="10"/>
      <c r="D45" s="10"/>
      <c r="E45" s="10"/>
      <c r="F45" s="10"/>
      <c r="G45" s="10"/>
      <c r="H45" s="10"/>
      <c r="I45" s="19"/>
      <c r="J45" s="10"/>
      <c r="K45" s="33">
        <f>+I42+I43</f>
        <v>608.3175</v>
      </c>
      <c r="L45" s="24" t="s">
        <v>13</v>
      </c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34" t="s">
        <v>44</v>
      </c>
      <c r="C47" s="35"/>
      <c r="D47" s="35"/>
      <c r="E47" s="35"/>
      <c r="F47" s="35"/>
      <c r="G47" s="35"/>
      <c r="H47" s="35"/>
      <c r="I47" s="36"/>
      <c r="J47" s="35"/>
      <c r="K47" s="82">
        <f>SUM(K21:K45)</f>
        <v>1908.8807392164194</v>
      </c>
      <c r="L47" s="8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10" t="s">
        <v>27</v>
      </c>
      <c r="C49" s="10"/>
      <c r="D49" s="22">
        <v>625</v>
      </c>
      <c r="E49" s="19" t="s">
        <v>41</v>
      </c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28"/>
      <c r="C50" s="10"/>
      <c r="D50" s="22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25"/>
      <c r="B51" s="33" t="s">
        <v>45</v>
      </c>
      <c r="C51" s="2"/>
      <c r="D51" s="5">
        <f>+K47</f>
        <v>1908.8807392164194</v>
      </c>
      <c r="E51" s="3" t="s">
        <v>13</v>
      </c>
      <c r="F51" s="3" t="s">
        <v>29</v>
      </c>
      <c r="G51" s="5">
        <f>+D49</f>
        <v>625</v>
      </c>
      <c r="H51" s="19" t="s">
        <v>41</v>
      </c>
      <c r="I51" s="3" t="s">
        <v>14</v>
      </c>
      <c r="J51" s="2"/>
      <c r="K51" s="34">
        <f>+D51/G51</f>
        <v>3.0542091827462712</v>
      </c>
      <c r="L51" s="8" t="s">
        <v>42</v>
      </c>
    </row>
    <row r="52" spans="1:12" ht="13.5" thickBot="1" x14ac:dyDescent="0.25">
      <c r="G52" s="4"/>
    </row>
    <row r="53" spans="1:12" x14ac:dyDescent="0.2">
      <c r="A53" s="13"/>
      <c r="B53" s="32" t="s">
        <v>46</v>
      </c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x14ac:dyDescent="0.2">
      <c r="A54" s="2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spans="1:12" x14ac:dyDescent="0.2">
      <c r="A55" s="18"/>
      <c r="B55" s="10" t="s">
        <v>70</v>
      </c>
      <c r="C55" s="10"/>
      <c r="D55" s="10"/>
      <c r="E55" s="10">
        <f>+Datos!F59</f>
        <v>2132.9222336416583</v>
      </c>
      <c r="F55" s="10" t="s">
        <v>102</v>
      </c>
      <c r="G55" s="27">
        <v>2E-3</v>
      </c>
      <c r="H55" s="10" t="s">
        <v>47</v>
      </c>
      <c r="I55" s="19" t="s">
        <v>10</v>
      </c>
      <c r="J55" s="10"/>
      <c r="K55" s="10">
        <f>E55*G55</f>
        <v>4.2658444672833165</v>
      </c>
      <c r="L55" s="20" t="s">
        <v>42</v>
      </c>
    </row>
    <row r="56" spans="1:12" x14ac:dyDescent="0.2">
      <c r="A56" s="18"/>
      <c r="B56" s="10"/>
      <c r="C56" s="10"/>
      <c r="D56" s="10"/>
      <c r="E56" s="10"/>
      <c r="F56" s="10"/>
      <c r="G56" s="27"/>
      <c r="H56" s="10"/>
      <c r="I56" s="19"/>
      <c r="J56" s="10"/>
      <c r="K56" s="10"/>
      <c r="L56" s="20"/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7">
        <f>+K55+K56</f>
        <v>4.2658444672833165</v>
      </c>
      <c r="L58" s="8" t="s">
        <v>42</v>
      </c>
    </row>
    <row r="61" spans="1:12" x14ac:dyDescent="0.2">
      <c r="A61" s="7"/>
      <c r="B61" s="35" t="s">
        <v>53</v>
      </c>
      <c r="C61" s="35"/>
      <c r="D61" s="35"/>
      <c r="E61" s="35"/>
      <c r="F61" s="35"/>
      <c r="G61" s="35"/>
      <c r="H61" s="35"/>
      <c r="I61" s="35"/>
      <c r="J61" s="35"/>
      <c r="K61" s="34">
        <f>+K51+K58</f>
        <v>7.3200536500295872</v>
      </c>
      <c r="L61" s="8" t="s">
        <v>42</v>
      </c>
    </row>
    <row r="63" spans="1:12" x14ac:dyDescent="0.2">
      <c r="A63" s="7"/>
      <c r="B63" s="35" t="s">
        <v>54</v>
      </c>
      <c r="C63" s="35"/>
      <c r="D63" s="35"/>
      <c r="E63" s="37">
        <f>Coeficiente!D22</f>
        <v>1.7627404950000001</v>
      </c>
      <c r="F63" s="35"/>
      <c r="G63" s="35"/>
      <c r="H63" s="35"/>
      <c r="I63" s="35"/>
      <c r="J63" s="35"/>
      <c r="K63" s="35"/>
      <c r="L63" s="8"/>
    </row>
    <row r="64" spans="1:12" ht="13.5" thickBot="1" x14ac:dyDescent="0.25"/>
    <row r="65" spans="1:12" ht="20.100000000000001" customHeight="1" thickBot="1" x14ac:dyDescent="0.25">
      <c r="A65" s="11"/>
      <c r="B65" s="12" t="s">
        <v>55</v>
      </c>
      <c r="C65" s="30"/>
      <c r="D65" s="30"/>
      <c r="E65" s="30"/>
      <c r="F65" s="30"/>
      <c r="G65" s="30"/>
      <c r="H65" s="30"/>
      <c r="I65" s="30"/>
      <c r="J65" s="30"/>
      <c r="K65" s="11">
        <f>ROUND((+K61*E63),2)</f>
        <v>12.9</v>
      </c>
      <c r="L65" s="31" t="s">
        <v>42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65"/>
  <sheetViews>
    <sheetView topLeftCell="A61" zoomScaleNormal="11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9.85546875" style="1" customWidth="1"/>
    <col min="3" max="3" width="11.42578125" style="1"/>
    <col min="4" max="4" width="8.140625" style="1" bestFit="1" customWidth="1"/>
    <col min="5" max="5" width="10.5703125" style="1" customWidth="1"/>
    <col min="6" max="7" width="11.7109375" style="1" bestFit="1" customWidth="1"/>
    <col min="8" max="8" width="8" style="1" customWidth="1"/>
    <col min="9" max="9" width="7.7109375" style="1" customWidth="1"/>
    <col min="10" max="10" width="4" style="1" customWidth="1"/>
    <col min="11" max="11" width="8.140625" style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193</v>
      </c>
      <c r="C5" s="237" t="s">
        <v>158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58</v>
      </c>
      <c r="D6" s="47"/>
      <c r="E6" s="47"/>
      <c r="F6" s="47"/>
      <c r="G6" s="47"/>
      <c r="H6" s="47"/>
      <c r="I6" s="50" t="s">
        <v>57</v>
      </c>
      <c r="J6" s="247"/>
      <c r="K6" s="239">
        <v>43282</v>
      </c>
      <c r="L6" s="236"/>
    </row>
    <row r="7" spans="1:12" ht="13.5" thickBot="1" x14ac:dyDescent="0.25">
      <c r="A7" s="240"/>
      <c r="B7" s="244"/>
      <c r="C7" s="245"/>
      <c r="D7" s="245"/>
      <c r="E7" s="245"/>
      <c r="F7" s="245"/>
      <c r="G7" s="245"/>
      <c r="H7" s="245"/>
      <c r="I7" s="244"/>
      <c r="J7" s="248"/>
      <c r="K7" s="245"/>
      <c r="L7" s="246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69</v>
      </c>
      <c r="C14" s="10"/>
      <c r="D14" s="10"/>
      <c r="E14" s="42">
        <v>1</v>
      </c>
      <c r="F14" s="22">
        <f>+Datos!C24*E14</f>
        <v>140</v>
      </c>
      <c r="G14" s="22">
        <f>+Datos!F24*E14</f>
        <v>4366737.9956467738</v>
      </c>
      <c r="H14" s="10"/>
      <c r="I14" s="10"/>
      <c r="J14" s="10"/>
      <c r="K14" s="10"/>
      <c r="L14" s="20"/>
    </row>
    <row r="15" spans="1:12" x14ac:dyDescent="0.2">
      <c r="A15" s="18"/>
      <c r="B15" s="10"/>
      <c r="C15" s="10"/>
      <c r="D15" s="10"/>
      <c r="E15" s="42"/>
      <c r="F15" s="22"/>
      <c r="G15" s="22"/>
      <c r="H15" s="10"/>
      <c r="I15" s="10"/>
      <c r="J15" s="10"/>
      <c r="K15" s="10"/>
      <c r="L15" s="20"/>
    </row>
    <row r="16" spans="1:12" x14ac:dyDescent="0.2">
      <c r="A16" s="18"/>
      <c r="B16" s="10"/>
      <c r="C16" s="10"/>
      <c r="D16" s="10"/>
      <c r="E16" s="10"/>
      <c r="F16" s="44"/>
      <c r="G16" s="44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81">
        <f>SUM(F14:F16)</f>
        <v>140</v>
      </c>
      <c r="G17" s="81">
        <f>SUM(G14:G16)</f>
        <v>4366737.9956467738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28" t="s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2">
        <f>+G17</f>
        <v>4366737.9956467738</v>
      </c>
      <c r="D21" s="3" t="s">
        <v>6</v>
      </c>
      <c r="E21" s="19" t="s">
        <v>7</v>
      </c>
      <c r="F21" s="2">
        <f>+G17</f>
        <v>4366737.9956467738</v>
      </c>
      <c r="G21" s="3" t="s">
        <v>62</v>
      </c>
      <c r="H21" s="2">
        <v>0.12</v>
      </c>
      <c r="I21" s="3" t="s">
        <v>9</v>
      </c>
      <c r="J21" s="19" t="s">
        <v>10</v>
      </c>
      <c r="K21" s="28">
        <f>+C21/C22+F21*H21/4000</f>
        <v>567.67593943408065</v>
      </c>
      <c r="L21" s="20" t="s">
        <v>13</v>
      </c>
    </row>
    <row r="22" spans="1:12" x14ac:dyDescent="0.2">
      <c r="A22" s="18"/>
      <c r="B22" s="10"/>
      <c r="C22" s="10">
        <v>10000</v>
      </c>
      <c r="D22" s="10" t="s">
        <v>34</v>
      </c>
      <c r="E22" s="10"/>
      <c r="F22" s="10"/>
      <c r="G22" s="19" t="s">
        <v>8</v>
      </c>
      <c r="H22" s="10"/>
      <c r="I22" s="19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28" t="s">
        <v>31</v>
      </c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9">
        <v>0.5</v>
      </c>
      <c r="C26" s="10" t="s">
        <v>63</v>
      </c>
      <c r="D26" s="10"/>
      <c r="E26" s="22">
        <f>+C21/C22</f>
        <v>436.67379956467738</v>
      </c>
      <c r="F26" s="10" t="s">
        <v>64</v>
      </c>
      <c r="G26" s="19" t="s">
        <v>14</v>
      </c>
      <c r="H26" s="10"/>
      <c r="I26" s="19"/>
      <c r="J26" s="10"/>
      <c r="K26" s="28">
        <f>+B26*E26</f>
        <v>218.33689978233869</v>
      </c>
      <c r="L26" s="20" t="s">
        <v>13</v>
      </c>
    </row>
    <row r="27" spans="1:12" x14ac:dyDescent="0.2">
      <c r="A27" s="18"/>
      <c r="B27" s="10"/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8" t="s">
        <v>19</v>
      </c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9" t="s">
        <v>15</v>
      </c>
      <c r="C30" s="10">
        <v>0.12</v>
      </c>
      <c r="D30" s="10" t="s">
        <v>16</v>
      </c>
      <c r="E30" s="19">
        <f>+F17</f>
        <v>140</v>
      </c>
      <c r="F30" s="10" t="s">
        <v>17</v>
      </c>
      <c r="G30" s="19" t="s">
        <v>11</v>
      </c>
      <c r="H30" s="10">
        <f>+Datos!F10</f>
        <v>23.56</v>
      </c>
      <c r="I30" s="19" t="s">
        <v>18</v>
      </c>
      <c r="J30" s="19" t="s">
        <v>10</v>
      </c>
      <c r="K30" s="28">
        <f>+C30*E30*H30</f>
        <v>395.80799999999999</v>
      </c>
      <c r="L30" s="20" t="s">
        <v>13</v>
      </c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8" t="s">
        <v>20</v>
      </c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9">
        <v>0.3</v>
      </c>
      <c r="C34" s="10" t="s">
        <v>21</v>
      </c>
      <c r="D34" s="10"/>
      <c r="E34" s="22">
        <f>+K30</f>
        <v>395.80799999999999</v>
      </c>
      <c r="F34" s="10" t="s">
        <v>13</v>
      </c>
      <c r="G34" s="19" t="s">
        <v>14</v>
      </c>
      <c r="H34" s="10"/>
      <c r="I34" s="19"/>
      <c r="J34" s="10"/>
      <c r="K34" s="28">
        <f>+B34*E34</f>
        <v>118.74239999999999</v>
      </c>
      <c r="L34" s="20" t="s">
        <v>13</v>
      </c>
    </row>
    <row r="35" spans="1:12" x14ac:dyDescent="0.2">
      <c r="A35" s="18"/>
      <c r="B35" s="10"/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28" t="s">
        <v>22</v>
      </c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 t="s">
        <v>23</v>
      </c>
      <c r="C38" s="10"/>
      <c r="D38" s="22">
        <v>1</v>
      </c>
      <c r="E38" s="19" t="s">
        <v>11</v>
      </c>
      <c r="F38" s="1">
        <f>+Datos!$F$5</f>
        <v>224.79</v>
      </c>
      <c r="G38" s="10" t="s">
        <v>13</v>
      </c>
      <c r="H38" s="19" t="s">
        <v>14</v>
      </c>
      <c r="I38" s="22">
        <f>+D38*F38</f>
        <v>224.79</v>
      </c>
      <c r="J38" s="10" t="s">
        <v>13</v>
      </c>
      <c r="K38" s="10"/>
      <c r="L38" s="20"/>
    </row>
    <row r="39" spans="1:12" x14ac:dyDescent="0.2">
      <c r="A39" s="18"/>
      <c r="B39" s="10" t="s">
        <v>25</v>
      </c>
      <c r="C39" s="10"/>
      <c r="D39" s="22">
        <v>1</v>
      </c>
      <c r="E39" s="19" t="s">
        <v>11</v>
      </c>
      <c r="F39" s="1">
        <f>+Datos!$F$6</f>
        <v>191.66</v>
      </c>
      <c r="G39" s="10" t="s">
        <v>13</v>
      </c>
      <c r="H39" s="19" t="s">
        <v>14</v>
      </c>
      <c r="I39" s="22">
        <f>+D39*F39</f>
        <v>191.66</v>
      </c>
      <c r="J39" s="10" t="s">
        <v>13</v>
      </c>
      <c r="K39" s="10"/>
      <c r="L39" s="20"/>
    </row>
    <row r="40" spans="1:12" x14ac:dyDescent="0.2">
      <c r="A40" s="18"/>
      <c r="B40" s="10" t="s">
        <v>37</v>
      </c>
      <c r="C40" s="10"/>
      <c r="D40" s="22">
        <v>0</v>
      </c>
      <c r="E40" s="19" t="s">
        <v>11</v>
      </c>
      <c r="F40" s="1">
        <f>+Datos!$F$7</f>
        <v>176.37</v>
      </c>
      <c r="G40" s="10" t="s">
        <v>13</v>
      </c>
      <c r="H40" s="19" t="s">
        <v>14</v>
      </c>
      <c r="I40" s="22">
        <f>+D40*F40</f>
        <v>0</v>
      </c>
      <c r="J40" s="10" t="s">
        <v>13</v>
      </c>
      <c r="K40" s="10"/>
      <c r="L40" s="20"/>
    </row>
    <row r="41" spans="1:12" x14ac:dyDescent="0.2">
      <c r="A41" s="18"/>
      <c r="B41" s="10" t="s">
        <v>24</v>
      </c>
      <c r="C41" s="10"/>
      <c r="D41" s="22">
        <v>1</v>
      </c>
      <c r="E41" s="19" t="s">
        <v>11</v>
      </c>
      <c r="F41" s="1">
        <f>+Datos!$F$8</f>
        <v>162.9</v>
      </c>
      <c r="G41" s="10" t="s">
        <v>13</v>
      </c>
      <c r="H41" s="3" t="s">
        <v>14</v>
      </c>
      <c r="I41" s="5">
        <f>+D41*F41</f>
        <v>162.9</v>
      </c>
      <c r="J41" s="2" t="s">
        <v>13</v>
      </c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22">
        <f>SUM(I38:I41)</f>
        <v>579.35</v>
      </c>
      <c r="J42" s="10" t="s">
        <v>13</v>
      </c>
      <c r="K42" s="10"/>
      <c r="L42" s="20"/>
    </row>
    <row r="43" spans="1:12" x14ac:dyDescent="0.2">
      <c r="A43" s="18"/>
      <c r="B43" s="10" t="s">
        <v>40</v>
      </c>
      <c r="C43" s="10"/>
      <c r="D43" s="23">
        <v>0.05</v>
      </c>
      <c r="E43" s="10"/>
      <c r="F43" s="10"/>
      <c r="G43" s="10"/>
      <c r="H43" s="10"/>
      <c r="I43" s="22">
        <f>+I42*D43</f>
        <v>28.967500000000001</v>
      </c>
      <c r="J43" s="10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19"/>
      <c r="J44" s="10"/>
      <c r="K44" s="10"/>
      <c r="L44" s="20"/>
    </row>
    <row r="45" spans="1:12" x14ac:dyDescent="0.2">
      <c r="A45" s="18"/>
      <c r="B45" s="10" t="s">
        <v>26</v>
      </c>
      <c r="C45" s="10"/>
      <c r="D45" s="10"/>
      <c r="E45" s="10"/>
      <c r="F45" s="10"/>
      <c r="G45" s="10"/>
      <c r="H45" s="10"/>
      <c r="I45" s="19"/>
      <c r="J45" s="10"/>
      <c r="K45" s="28">
        <f>+I42+I43</f>
        <v>608.3175</v>
      </c>
      <c r="L45" s="20" t="s">
        <v>13</v>
      </c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34" t="s">
        <v>44</v>
      </c>
      <c r="C47" s="35"/>
      <c r="D47" s="35"/>
      <c r="E47" s="35"/>
      <c r="F47" s="35"/>
      <c r="G47" s="35"/>
      <c r="H47" s="35"/>
      <c r="I47" s="36"/>
      <c r="J47" s="35"/>
      <c r="K47" s="82">
        <f>SUM(K21:K45)</f>
        <v>1908.8807392164194</v>
      </c>
      <c r="L47" s="8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10" t="s">
        <v>27</v>
      </c>
      <c r="C49" s="10"/>
      <c r="D49" s="22">
        <v>400</v>
      </c>
      <c r="E49" s="19" t="s">
        <v>41</v>
      </c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28"/>
      <c r="C50" s="10"/>
      <c r="D50" s="22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25"/>
      <c r="B51" s="33" t="s">
        <v>45</v>
      </c>
      <c r="C51" s="2"/>
      <c r="D51" s="5">
        <f>+K47</f>
        <v>1908.8807392164194</v>
      </c>
      <c r="E51" s="3" t="s">
        <v>13</v>
      </c>
      <c r="F51" s="3" t="s">
        <v>29</v>
      </c>
      <c r="G51" s="5">
        <f>+D49</f>
        <v>400</v>
      </c>
      <c r="H51" s="19" t="s">
        <v>28</v>
      </c>
      <c r="I51" s="3" t="s">
        <v>14</v>
      </c>
      <c r="J51" s="2"/>
      <c r="K51" s="34">
        <f>+D51/G51</f>
        <v>4.7722018480410489</v>
      </c>
      <c r="L51" s="8" t="s">
        <v>42</v>
      </c>
    </row>
    <row r="52" spans="1:12" ht="13.5" thickBot="1" x14ac:dyDescent="0.25">
      <c r="G52" s="4"/>
    </row>
    <row r="53" spans="1:12" x14ac:dyDescent="0.2">
      <c r="A53" s="13"/>
      <c r="B53" s="32" t="s">
        <v>46</v>
      </c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x14ac:dyDescent="0.2">
      <c r="A54" s="2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spans="1:12" x14ac:dyDescent="0.2">
      <c r="A55" s="18"/>
      <c r="B55" s="10" t="s">
        <v>125</v>
      </c>
      <c r="C55" s="10"/>
      <c r="D55" s="10"/>
      <c r="E55" s="10">
        <f>+Datos!F60</f>
        <v>2132.9222336416583</v>
      </c>
      <c r="F55" s="10" t="s">
        <v>103</v>
      </c>
      <c r="G55" s="58">
        <v>5.0000000000000001E-4</v>
      </c>
      <c r="H55" s="10" t="s">
        <v>47</v>
      </c>
      <c r="I55" s="19" t="s">
        <v>10</v>
      </c>
      <c r="J55" s="10"/>
      <c r="K55" s="28">
        <f>E55*G55</f>
        <v>1.0664611168208291</v>
      </c>
      <c r="L55" s="20" t="s">
        <v>42</v>
      </c>
    </row>
    <row r="56" spans="1:12" x14ac:dyDescent="0.2">
      <c r="A56" s="18"/>
      <c r="B56" s="10"/>
      <c r="C56" s="10"/>
      <c r="D56" s="10"/>
      <c r="E56" s="10"/>
      <c r="F56" s="10"/>
      <c r="G56" s="27"/>
      <c r="H56" s="10"/>
      <c r="I56" s="19"/>
      <c r="J56" s="10"/>
      <c r="K56" s="10"/>
      <c r="L56" s="20"/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+K55+K56</f>
        <v>1.0664611168208291</v>
      </c>
      <c r="L58" s="8" t="s">
        <v>42</v>
      </c>
    </row>
    <row r="61" spans="1:12" x14ac:dyDescent="0.2">
      <c r="A61" s="7"/>
      <c r="B61" s="35" t="s">
        <v>53</v>
      </c>
      <c r="C61" s="35"/>
      <c r="D61" s="35"/>
      <c r="E61" s="35"/>
      <c r="F61" s="35"/>
      <c r="G61" s="35"/>
      <c r="H61" s="35"/>
      <c r="I61" s="35"/>
      <c r="J61" s="35"/>
      <c r="K61" s="34">
        <f>+K51+K58</f>
        <v>5.8386629648618777</v>
      </c>
      <c r="L61" s="8" t="s">
        <v>42</v>
      </c>
    </row>
    <row r="63" spans="1:12" x14ac:dyDescent="0.2">
      <c r="A63" s="7"/>
      <c r="B63" s="35" t="s">
        <v>54</v>
      </c>
      <c r="C63" s="35"/>
      <c r="D63" s="35"/>
      <c r="E63" s="37">
        <f>Coeficiente!D22</f>
        <v>1.7627404950000001</v>
      </c>
      <c r="F63" s="35"/>
      <c r="G63" s="35"/>
      <c r="H63" s="35"/>
      <c r="I63" s="35"/>
      <c r="J63" s="35"/>
      <c r="K63" s="35"/>
      <c r="L63" s="8"/>
    </row>
    <row r="64" spans="1:12" ht="13.5" thickBot="1" x14ac:dyDescent="0.25"/>
    <row r="65" spans="1:12" ht="20.100000000000001" customHeight="1" thickBot="1" x14ac:dyDescent="0.25">
      <c r="A65" s="11"/>
      <c r="B65" s="12" t="s">
        <v>55</v>
      </c>
      <c r="C65" s="30"/>
      <c r="D65" s="30"/>
      <c r="E65" s="30"/>
      <c r="F65" s="30"/>
      <c r="G65" s="30"/>
      <c r="H65" s="30"/>
      <c r="I65" s="30"/>
      <c r="J65" s="30"/>
      <c r="K65" s="11">
        <f>ROUND((+K61*E63),2)</f>
        <v>10.29</v>
      </c>
      <c r="L65" s="31" t="s">
        <v>42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75"/>
  <sheetViews>
    <sheetView topLeftCell="A67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10.85546875" style="1" customWidth="1"/>
    <col min="3" max="3" width="12.42578125" style="1" bestFit="1" customWidth="1"/>
    <col min="4" max="4" width="8.7109375" style="1" bestFit="1" customWidth="1"/>
    <col min="5" max="5" width="10.5703125" style="1" customWidth="1"/>
    <col min="6" max="6" width="12.42578125" style="1" customWidth="1"/>
    <col min="7" max="7" width="12.7109375" style="1" bestFit="1" customWidth="1"/>
    <col min="8" max="8" width="8" style="1" customWidth="1"/>
    <col min="9" max="9" width="8.140625" style="1" bestFit="1" customWidth="1"/>
    <col min="10" max="10" width="3.140625" style="1" customWidth="1"/>
    <col min="11" max="11" width="9.140625" style="1" bestFit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194</v>
      </c>
      <c r="C5" s="237" t="s">
        <v>150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58</v>
      </c>
      <c r="D6" s="47"/>
      <c r="E6" s="47"/>
      <c r="F6" s="47"/>
      <c r="G6" s="47"/>
      <c r="H6" s="47"/>
      <c r="I6" s="50" t="s">
        <v>57</v>
      </c>
      <c r="J6" s="237"/>
      <c r="K6" s="239">
        <v>43282</v>
      </c>
      <c r="L6" s="236"/>
    </row>
    <row r="7" spans="1:12" ht="13.5" thickBot="1" x14ac:dyDescent="0.25">
      <c r="A7" s="240"/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6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170</v>
      </c>
      <c r="C14" s="10"/>
      <c r="D14" s="10"/>
      <c r="E14" s="21">
        <v>1</v>
      </c>
      <c r="F14" s="22">
        <f>+Datos!C15*E14</f>
        <v>120</v>
      </c>
      <c r="G14" s="22">
        <f>+Datos!F15*E14</f>
        <v>5515419.3493205439</v>
      </c>
      <c r="H14" s="10"/>
      <c r="I14" s="10"/>
      <c r="J14" s="10"/>
      <c r="K14" s="10"/>
      <c r="L14" s="20"/>
    </row>
    <row r="15" spans="1:12" x14ac:dyDescent="0.2">
      <c r="A15" s="18"/>
      <c r="B15" s="10" t="s">
        <v>164</v>
      </c>
      <c r="C15" s="10"/>
      <c r="D15" s="10"/>
      <c r="E15" s="21">
        <v>1</v>
      </c>
      <c r="F15" s="22">
        <f>+Datos!C25*E15</f>
        <v>125</v>
      </c>
      <c r="G15" s="22">
        <f>+Datos!F25*E15</f>
        <v>2161535.3078451524</v>
      </c>
      <c r="H15" s="10"/>
      <c r="I15" s="10"/>
      <c r="J15" s="10"/>
      <c r="K15" s="10"/>
      <c r="L15" s="20"/>
    </row>
    <row r="16" spans="1:12" x14ac:dyDescent="0.2">
      <c r="A16" s="18"/>
      <c r="B16" s="10" t="s">
        <v>165</v>
      </c>
      <c r="C16" s="10"/>
      <c r="D16" s="10"/>
      <c r="E16" s="21">
        <v>2</v>
      </c>
      <c r="F16" s="22">
        <f>+Datos!C20*E16</f>
        <v>180</v>
      </c>
      <c r="G16" s="22">
        <f>+Datos!F20*E16</f>
        <v>11109716.101861369</v>
      </c>
      <c r="H16" s="10"/>
      <c r="I16" s="10"/>
      <c r="J16" s="10"/>
      <c r="K16" s="10"/>
      <c r="L16" s="20"/>
    </row>
    <row r="17" spans="1:12" x14ac:dyDescent="0.2">
      <c r="A17" s="18"/>
      <c r="B17" s="10" t="s">
        <v>166</v>
      </c>
      <c r="C17" s="10"/>
      <c r="D17" s="10"/>
      <c r="E17" s="21">
        <v>1</v>
      </c>
      <c r="F17" s="43">
        <f>+Datos!C21*E17</f>
        <v>80</v>
      </c>
      <c r="G17" s="43">
        <f>+Datos!F21*E17</f>
        <v>2401705.8976057251</v>
      </c>
      <c r="H17" s="10"/>
      <c r="I17" s="10"/>
      <c r="J17" s="10"/>
      <c r="K17" s="10"/>
      <c r="L17" s="20"/>
    </row>
    <row r="18" spans="1:12" x14ac:dyDescent="0.2">
      <c r="A18" s="18"/>
      <c r="B18" s="10" t="s">
        <v>167</v>
      </c>
      <c r="C18" s="10"/>
      <c r="D18" s="10"/>
      <c r="E18" s="21">
        <v>1</v>
      </c>
      <c r="F18" s="22">
        <f>+Datos!C26*E18</f>
        <v>300</v>
      </c>
      <c r="G18" s="22">
        <f>+Datos!F26*E18</f>
        <v>17364333.639689393</v>
      </c>
      <c r="H18" s="10"/>
      <c r="I18" s="10"/>
      <c r="J18" s="10"/>
      <c r="K18" s="10"/>
      <c r="L18" s="20"/>
    </row>
    <row r="19" spans="1:12" x14ac:dyDescent="0.2">
      <c r="A19" s="18"/>
      <c r="B19" s="10" t="s">
        <v>168</v>
      </c>
      <c r="C19" s="10"/>
      <c r="D19" s="10"/>
      <c r="E19" s="21">
        <v>1</v>
      </c>
      <c r="F19" s="22">
        <f>+Datos!C27*E19</f>
        <v>120</v>
      </c>
      <c r="G19" s="22">
        <f>+Datos!F27*E19</f>
        <v>7565373.5774580352</v>
      </c>
      <c r="H19" s="10"/>
      <c r="I19" s="10"/>
      <c r="J19" s="10"/>
      <c r="K19" s="10"/>
      <c r="L19" s="20"/>
    </row>
    <row r="20" spans="1:12" x14ac:dyDescent="0.2">
      <c r="A20" s="18"/>
      <c r="B20" s="10" t="s">
        <v>169</v>
      </c>
      <c r="C20" s="10"/>
      <c r="D20" s="10"/>
      <c r="E20" s="21">
        <v>1</v>
      </c>
      <c r="F20" s="22">
        <f>+Datos!C28*E20</f>
        <v>110</v>
      </c>
      <c r="G20" s="22">
        <f>+Datos!F28*E20</f>
        <v>1441023.5385634352</v>
      </c>
      <c r="H20" s="10"/>
      <c r="I20" s="10"/>
      <c r="J20" s="10"/>
      <c r="K20" s="10"/>
      <c r="L20" s="20"/>
    </row>
    <row r="21" spans="1:12" x14ac:dyDescent="0.2">
      <c r="A21" s="18"/>
      <c r="B21" s="10" t="s">
        <v>38</v>
      </c>
      <c r="C21" s="10"/>
      <c r="D21" s="10"/>
      <c r="E21" s="21">
        <v>5</v>
      </c>
      <c r="F21" s="5">
        <f>+Datos!C18*E21</f>
        <v>600</v>
      </c>
      <c r="G21" s="5">
        <f>+Datos!F18*E21</f>
        <v>7616250.346008908</v>
      </c>
      <c r="H21" s="10"/>
      <c r="I21" s="10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H22" s="10"/>
      <c r="I22" s="10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81">
        <f>SUM(F14:F21)</f>
        <v>1635</v>
      </c>
      <c r="G23" s="81">
        <f>SUM(G14:G21)</f>
        <v>55175357.758352563</v>
      </c>
      <c r="H23" s="10"/>
      <c r="I23" s="10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0"/>
    </row>
    <row r="25" spans="1:12" x14ac:dyDescent="0.2">
      <c r="A25" s="18"/>
      <c r="B25" s="28" t="s">
        <v>5</v>
      </c>
      <c r="C25" s="10"/>
      <c r="D25" s="10"/>
      <c r="E25" s="10"/>
      <c r="F25" s="10"/>
      <c r="G25" s="10"/>
      <c r="H25" s="10"/>
      <c r="I25" s="10"/>
      <c r="J25" s="10"/>
      <c r="K25" s="10"/>
      <c r="L25" s="20"/>
    </row>
    <row r="26" spans="1:12" x14ac:dyDescent="0.2">
      <c r="A26" s="18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0"/>
    </row>
    <row r="27" spans="1:12" x14ac:dyDescent="0.2">
      <c r="A27" s="18"/>
      <c r="B27" s="10"/>
      <c r="C27" s="2">
        <f>+G23</f>
        <v>55175357.758352563</v>
      </c>
      <c r="D27" s="2" t="s">
        <v>6</v>
      </c>
      <c r="E27" s="19" t="s">
        <v>7</v>
      </c>
      <c r="F27" s="2">
        <f>+G23</f>
        <v>55175357.758352563</v>
      </c>
      <c r="G27" s="3" t="s">
        <v>48</v>
      </c>
      <c r="H27" s="2">
        <v>0.12</v>
      </c>
      <c r="I27" s="3" t="s">
        <v>9</v>
      </c>
      <c r="J27" s="19" t="s">
        <v>10</v>
      </c>
      <c r="K27" s="28">
        <f>+C27/C28+F27*H27/4000</f>
        <v>7172.7965085858332</v>
      </c>
      <c r="L27" s="20" t="s">
        <v>13</v>
      </c>
    </row>
    <row r="28" spans="1:12" x14ac:dyDescent="0.2">
      <c r="A28" s="18"/>
      <c r="B28" s="10"/>
      <c r="C28" s="10">
        <v>10000</v>
      </c>
      <c r="D28" s="10" t="s">
        <v>34</v>
      </c>
      <c r="E28" s="10"/>
      <c r="F28" s="10"/>
      <c r="G28" s="19" t="s">
        <v>8</v>
      </c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10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28" t="s">
        <v>31</v>
      </c>
      <c r="C30" s="10"/>
      <c r="D30" s="10"/>
      <c r="E30" s="10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10"/>
      <c r="C31" s="10"/>
      <c r="D31" s="10"/>
      <c r="E31" s="10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9">
        <v>0.5</v>
      </c>
      <c r="C32" s="10" t="s">
        <v>12</v>
      </c>
      <c r="D32" s="10"/>
      <c r="E32" s="22">
        <f>+C27/C28</f>
        <v>5517.5357758352566</v>
      </c>
      <c r="F32" s="10" t="s">
        <v>13</v>
      </c>
      <c r="G32" s="19" t="s">
        <v>14</v>
      </c>
      <c r="H32" s="10"/>
      <c r="I32" s="19"/>
      <c r="J32" s="10"/>
      <c r="K32" s="28">
        <f>+B32*E32</f>
        <v>2758.7678879176283</v>
      </c>
      <c r="L32" s="20" t="s">
        <v>13</v>
      </c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8" t="s">
        <v>19</v>
      </c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10"/>
      <c r="C35" s="10"/>
      <c r="D35" s="10"/>
      <c r="E35" s="22"/>
      <c r="F35" s="10"/>
      <c r="G35" s="19"/>
      <c r="H35" s="10"/>
      <c r="I35" s="19"/>
      <c r="J35" s="10"/>
      <c r="K35" s="10"/>
      <c r="L35" s="20"/>
    </row>
    <row r="36" spans="1:12" x14ac:dyDescent="0.2">
      <c r="A36" s="18"/>
      <c r="B36" s="10" t="s">
        <v>15</v>
      </c>
      <c r="C36" s="10">
        <v>0.12</v>
      </c>
      <c r="D36" s="10" t="s">
        <v>16</v>
      </c>
      <c r="E36" s="22">
        <f>+F23</f>
        <v>1635</v>
      </c>
      <c r="F36" s="10" t="s">
        <v>17</v>
      </c>
      <c r="G36" s="19" t="s">
        <v>11</v>
      </c>
      <c r="H36" s="10">
        <f>+Datos!F10</f>
        <v>23.56</v>
      </c>
      <c r="I36" s="19" t="s">
        <v>18</v>
      </c>
      <c r="J36" s="19" t="s">
        <v>10</v>
      </c>
      <c r="K36" s="28">
        <f>+C36*E36*H36</f>
        <v>4622.4719999999998</v>
      </c>
      <c r="L36" s="20" t="s">
        <v>13</v>
      </c>
    </row>
    <row r="37" spans="1:12" x14ac:dyDescent="0.2">
      <c r="A37" s="18"/>
      <c r="B37" s="10"/>
      <c r="C37" s="10"/>
      <c r="D37" s="10"/>
      <c r="E37" s="22"/>
      <c r="F37" s="10"/>
      <c r="G37" s="19"/>
      <c r="H37" s="10"/>
      <c r="I37" s="19"/>
      <c r="J37" s="10"/>
      <c r="K37" s="10"/>
      <c r="L37" s="20"/>
    </row>
    <row r="38" spans="1:12" x14ac:dyDescent="0.2">
      <c r="A38" s="18"/>
      <c r="B38" s="28" t="s">
        <v>20</v>
      </c>
      <c r="C38" s="10"/>
      <c r="D38" s="10"/>
      <c r="E38" s="22"/>
      <c r="F38" s="10"/>
      <c r="G38" s="19"/>
      <c r="H38" s="10"/>
      <c r="I38" s="19"/>
      <c r="J38" s="10"/>
      <c r="K38" s="10"/>
      <c r="L38" s="20"/>
    </row>
    <row r="39" spans="1:12" x14ac:dyDescent="0.2">
      <c r="A39" s="18"/>
      <c r="B39" s="10"/>
      <c r="C39" s="10"/>
      <c r="D39" s="10"/>
      <c r="E39" s="22"/>
      <c r="F39" s="10"/>
      <c r="G39" s="19"/>
      <c r="H39" s="10"/>
      <c r="I39" s="19"/>
      <c r="J39" s="10"/>
      <c r="K39" s="10"/>
      <c r="L39" s="20"/>
    </row>
    <row r="40" spans="1:12" x14ac:dyDescent="0.2">
      <c r="A40" s="18"/>
      <c r="B40" s="29">
        <v>0.3</v>
      </c>
      <c r="C40" s="10" t="s">
        <v>21</v>
      </c>
      <c r="D40" s="10"/>
      <c r="E40" s="22">
        <f>+K36</f>
        <v>4622.4719999999998</v>
      </c>
      <c r="F40" s="10" t="s">
        <v>13</v>
      </c>
      <c r="G40" s="19" t="s">
        <v>14</v>
      </c>
      <c r="H40" s="10"/>
      <c r="I40" s="19"/>
      <c r="J40" s="10"/>
      <c r="K40" s="28">
        <f>+B40*E40</f>
        <v>1386.7415999999998</v>
      </c>
      <c r="L40" s="20" t="s">
        <v>13</v>
      </c>
    </row>
    <row r="41" spans="1:12" x14ac:dyDescent="0.2">
      <c r="A41" s="18"/>
      <c r="B41" s="10"/>
      <c r="C41" s="10"/>
      <c r="D41" s="10"/>
      <c r="E41" s="10"/>
      <c r="F41" s="10"/>
      <c r="G41" s="10"/>
      <c r="H41" s="10"/>
      <c r="I41" s="19"/>
      <c r="J41" s="10"/>
      <c r="K41" s="10"/>
      <c r="L41" s="20"/>
    </row>
    <row r="42" spans="1:12" x14ac:dyDescent="0.2">
      <c r="A42" s="18"/>
      <c r="B42" s="28" t="s">
        <v>22</v>
      </c>
      <c r="C42" s="10"/>
      <c r="D42" s="10"/>
      <c r="E42" s="10"/>
      <c r="F42" s="10"/>
      <c r="G42" s="10"/>
      <c r="H42" s="10"/>
      <c r="I42" s="19"/>
      <c r="J42" s="10"/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G43" s="10"/>
      <c r="H43" s="10"/>
      <c r="I43" s="19"/>
      <c r="J43" s="10"/>
      <c r="K43" s="10"/>
      <c r="L43" s="20"/>
    </row>
    <row r="44" spans="1:12" x14ac:dyDescent="0.2">
      <c r="A44" s="18"/>
      <c r="B44" s="10" t="s">
        <v>23</v>
      </c>
      <c r="C44" s="10"/>
      <c r="D44" s="22">
        <v>3</v>
      </c>
      <c r="E44" s="19" t="s">
        <v>11</v>
      </c>
      <c r="F44" s="1">
        <f>+Datos!$F$5</f>
        <v>224.79</v>
      </c>
      <c r="G44" s="10" t="s">
        <v>13</v>
      </c>
      <c r="H44" s="19" t="s">
        <v>14</v>
      </c>
      <c r="I44" s="22">
        <f>+D44*F44</f>
        <v>674.37</v>
      </c>
      <c r="J44" s="10" t="s">
        <v>13</v>
      </c>
      <c r="K44" s="10"/>
      <c r="L44" s="20"/>
    </row>
    <row r="45" spans="1:12" x14ac:dyDescent="0.2">
      <c r="A45" s="18"/>
      <c r="B45" s="10" t="s">
        <v>25</v>
      </c>
      <c r="C45" s="10"/>
      <c r="D45" s="22">
        <v>9</v>
      </c>
      <c r="E45" s="19" t="s">
        <v>11</v>
      </c>
      <c r="F45" s="1">
        <f>+Datos!$F$6</f>
        <v>191.66</v>
      </c>
      <c r="G45" s="10" t="s">
        <v>13</v>
      </c>
      <c r="H45" s="19" t="s">
        <v>14</v>
      </c>
      <c r="I45" s="22">
        <f>+D45*F45</f>
        <v>1724.94</v>
      </c>
      <c r="J45" s="10" t="s">
        <v>13</v>
      </c>
      <c r="K45" s="10"/>
      <c r="L45" s="20"/>
    </row>
    <row r="46" spans="1:12" x14ac:dyDescent="0.2">
      <c r="A46" s="18"/>
      <c r="B46" s="10" t="s">
        <v>37</v>
      </c>
      <c r="C46" s="10"/>
      <c r="D46" s="22">
        <v>3</v>
      </c>
      <c r="E46" s="19" t="s">
        <v>11</v>
      </c>
      <c r="F46" s="1">
        <f>+Datos!$F$7</f>
        <v>176.37</v>
      </c>
      <c r="G46" s="10" t="s">
        <v>13</v>
      </c>
      <c r="H46" s="19" t="s">
        <v>14</v>
      </c>
      <c r="I46" s="22">
        <f>+D46*F46</f>
        <v>529.11</v>
      </c>
      <c r="J46" s="10" t="s">
        <v>13</v>
      </c>
      <c r="K46" s="10"/>
      <c r="L46" s="20"/>
    </row>
    <row r="47" spans="1:12" x14ac:dyDescent="0.2">
      <c r="A47" s="18"/>
      <c r="B47" s="10" t="s">
        <v>24</v>
      </c>
      <c r="C47" s="10"/>
      <c r="D47" s="22">
        <v>6</v>
      </c>
      <c r="E47" s="19" t="s">
        <v>11</v>
      </c>
      <c r="F47" s="1">
        <f>+Datos!$F$8</f>
        <v>162.9</v>
      </c>
      <c r="G47" s="10" t="s">
        <v>13</v>
      </c>
      <c r="H47" s="3" t="s">
        <v>14</v>
      </c>
      <c r="I47" s="5">
        <f>+D47*F47</f>
        <v>977.40000000000009</v>
      </c>
      <c r="J47" s="2" t="s">
        <v>13</v>
      </c>
      <c r="K47" s="10"/>
      <c r="L47" s="20"/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22">
        <f>SUM(I44:I47)</f>
        <v>3905.82</v>
      </c>
      <c r="J48" s="10" t="s">
        <v>13</v>
      </c>
      <c r="K48" s="10"/>
      <c r="L48" s="20"/>
    </row>
    <row r="49" spans="1:12" x14ac:dyDescent="0.2">
      <c r="A49" s="18"/>
      <c r="B49" s="10" t="s">
        <v>40</v>
      </c>
      <c r="C49" s="10"/>
      <c r="D49" s="23">
        <v>0.05</v>
      </c>
      <c r="E49" s="10"/>
      <c r="F49" s="10"/>
      <c r="G49" s="10"/>
      <c r="H49" s="10"/>
      <c r="I49" s="22">
        <f>+I48*D49</f>
        <v>195.29100000000003</v>
      </c>
      <c r="J49" s="10" t="s">
        <v>13</v>
      </c>
      <c r="K49" s="10"/>
      <c r="L49" s="20"/>
    </row>
    <row r="50" spans="1:12" x14ac:dyDescent="0.2">
      <c r="A50" s="18"/>
      <c r="B50" s="10"/>
      <c r="C50" s="10"/>
      <c r="D50" s="10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18"/>
      <c r="B51" s="10" t="s">
        <v>26</v>
      </c>
      <c r="C51" s="10"/>
      <c r="D51" s="10"/>
      <c r="E51" s="10"/>
      <c r="F51" s="10"/>
      <c r="G51" s="10"/>
      <c r="H51" s="10"/>
      <c r="I51" s="19"/>
      <c r="J51" s="10"/>
      <c r="K51" s="33">
        <f>+I48+I49</f>
        <v>4101.1109999999999</v>
      </c>
      <c r="L51" s="24" t="s">
        <v>13</v>
      </c>
    </row>
    <row r="52" spans="1:12" x14ac:dyDescent="0.2">
      <c r="A52" s="18"/>
      <c r="B52" s="10"/>
      <c r="C52" s="10"/>
      <c r="D52" s="10"/>
      <c r="E52" s="10"/>
      <c r="F52" s="10"/>
      <c r="G52" s="10"/>
      <c r="H52" s="10"/>
      <c r="I52" s="19"/>
      <c r="J52" s="10"/>
      <c r="K52" s="10"/>
      <c r="L52" s="20"/>
    </row>
    <row r="53" spans="1:12" x14ac:dyDescent="0.2">
      <c r="A53" s="18"/>
      <c r="B53" s="34" t="s">
        <v>44</v>
      </c>
      <c r="C53" s="35"/>
      <c r="D53" s="35"/>
      <c r="E53" s="35"/>
      <c r="F53" s="35"/>
      <c r="G53" s="35"/>
      <c r="H53" s="35"/>
      <c r="I53" s="36"/>
      <c r="J53" s="35"/>
      <c r="K53" s="82">
        <f>SUM(K27:K51)</f>
        <v>20041.888996503461</v>
      </c>
      <c r="L53" s="8" t="s">
        <v>13</v>
      </c>
    </row>
    <row r="54" spans="1:12" ht="6.75" customHeight="1" x14ac:dyDescent="0.2">
      <c r="A54" s="18"/>
      <c r="B54" s="10"/>
      <c r="C54" s="10"/>
      <c r="D54" s="10"/>
      <c r="E54" s="10"/>
      <c r="F54" s="10"/>
      <c r="G54" s="10"/>
      <c r="H54" s="10"/>
      <c r="I54" s="19"/>
      <c r="J54" s="10"/>
      <c r="K54" s="10"/>
      <c r="L54" s="20"/>
    </row>
    <row r="55" spans="1:12" x14ac:dyDescent="0.2">
      <c r="A55" s="18"/>
      <c r="B55" s="10" t="s">
        <v>27</v>
      </c>
      <c r="C55" s="10"/>
      <c r="D55" s="22">
        <v>30</v>
      </c>
      <c r="E55" s="10" t="s">
        <v>84</v>
      </c>
      <c r="F55" s="10"/>
      <c r="G55" s="10"/>
      <c r="H55" s="10"/>
      <c r="I55" s="19"/>
      <c r="J55" s="10"/>
      <c r="K55" s="10"/>
      <c r="L55" s="20"/>
    </row>
    <row r="56" spans="1:12" x14ac:dyDescent="0.2">
      <c r="A56" s="18"/>
      <c r="B56" s="28"/>
      <c r="C56" s="10"/>
      <c r="D56" s="22"/>
      <c r="E56" s="10"/>
      <c r="F56" s="10"/>
      <c r="G56" s="10"/>
      <c r="H56" s="10"/>
      <c r="I56" s="19"/>
      <c r="J56" s="10"/>
      <c r="K56" s="10"/>
      <c r="L56" s="20"/>
    </row>
    <row r="57" spans="1:12" x14ac:dyDescent="0.2">
      <c r="A57" s="25"/>
      <c r="B57" s="33" t="s">
        <v>45</v>
      </c>
      <c r="C57" s="2"/>
      <c r="D57" s="5">
        <f>+K53</f>
        <v>20041.888996503461</v>
      </c>
      <c r="E57" s="2" t="s">
        <v>13</v>
      </c>
      <c r="F57" s="3" t="s">
        <v>29</v>
      </c>
      <c r="G57" s="5">
        <f>+D55</f>
        <v>30</v>
      </c>
      <c r="H57" s="2" t="s">
        <v>84</v>
      </c>
      <c r="I57" s="3" t="s">
        <v>14</v>
      </c>
      <c r="J57" s="2"/>
      <c r="K57" s="34">
        <f>+D57/G57</f>
        <v>668.06296655011533</v>
      </c>
      <c r="L57" s="8" t="s">
        <v>85</v>
      </c>
    </row>
    <row r="58" spans="1:12" ht="13.5" thickBot="1" x14ac:dyDescent="0.25">
      <c r="G58" s="4"/>
    </row>
    <row r="59" spans="1:12" x14ac:dyDescent="0.2">
      <c r="A59" s="13"/>
      <c r="B59" s="32" t="s">
        <v>46</v>
      </c>
      <c r="C59" s="14"/>
      <c r="D59" s="14"/>
      <c r="E59" s="14"/>
      <c r="F59" s="14"/>
      <c r="G59" s="14"/>
      <c r="H59" s="14"/>
      <c r="I59" s="14"/>
      <c r="J59" s="14"/>
      <c r="K59" s="14"/>
      <c r="L59" s="15"/>
    </row>
    <row r="60" spans="1:12" x14ac:dyDescent="0.2">
      <c r="A60" s="2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</row>
    <row r="61" spans="1:12" x14ac:dyDescent="0.2">
      <c r="A61" s="18"/>
      <c r="B61" s="10" t="s">
        <v>86</v>
      </c>
      <c r="C61" s="10"/>
      <c r="D61" s="10"/>
      <c r="E61" s="1">
        <f>+Datos!F62</f>
        <v>38.974306269270308</v>
      </c>
      <c r="F61" s="10" t="s">
        <v>87</v>
      </c>
      <c r="G61" s="27">
        <v>0.51</v>
      </c>
      <c r="H61" s="10" t="s">
        <v>88</v>
      </c>
      <c r="I61" s="19" t="s">
        <v>10</v>
      </c>
      <c r="J61" s="10"/>
      <c r="K61" s="10">
        <f>+E61*G61</f>
        <v>19.876896197327856</v>
      </c>
      <c r="L61" s="20" t="s">
        <v>85</v>
      </c>
    </row>
    <row r="62" spans="1:12" x14ac:dyDescent="0.2">
      <c r="A62" s="18"/>
      <c r="B62" s="10" t="s">
        <v>89</v>
      </c>
      <c r="C62" s="10"/>
      <c r="D62" s="10"/>
      <c r="E62" s="1">
        <f>+Datos!F63</f>
        <v>142.19481557611056</v>
      </c>
      <c r="F62" s="10" t="s">
        <v>87</v>
      </c>
      <c r="G62" s="27">
        <v>0.4</v>
      </c>
      <c r="H62" s="10" t="s">
        <v>88</v>
      </c>
      <c r="I62" s="19" t="s">
        <v>10</v>
      </c>
      <c r="J62" s="10"/>
      <c r="K62" s="10">
        <f>+E62*G62</f>
        <v>56.877926230444224</v>
      </c>
      <c r="L62" s="20" t="s">
        <v>85</v>
      </c>
    </row>
    <row r="63" spans="1:12" x14ac:dyDescent="0.2">
      <c r="A63" s="18"/>
      <c r="B63" s="10" t="s">
        <v>90</v>
      </c>
      <c r="C63" s="10"/>
      <c r="D63" s="10"/>
      <c r="E63" s="1">
        <f>+Datos!F64</f>
        <v>1486.5821628411559</v>
      </c>
      <c r="F63" s="10" t="s">
        <v>87</v>
      </c>
      <c r="G63" s="27">
        <v>8.0000000000000002E-3</v>
      </c>
      <c r="H63" s="10" t="s">
        <v>88</v>
      </c>
      <c r="I63" s="19" t="s">
        <v>10</v>
      </c>
      <c r="J63" s="10"/>
      <c r="K63" s="10">
        <f>+E63*G63</f>
        <v>11.892657302729248</v>
      </c>
      <c r="L63" s="20" t="s">
        <v>85</v>
      </c>
    </row>
    <row r="64" spans="1:12" x14ac:dyDescent="0.2">
      <c r="A64" s="18"/>
      <c r="B64" s="10" t="s">
        <v>104</v>
      </c>
      <c r="C64" s="10"/>
      <c r="D64" s="10"/>
      <c r="E64" s="1">
        <f>+Datos!F65</f>
        <v>1758.0449925773669</v>
      </c>
      <c r="F64" s="10" t="s">
        <v>87</v>
      </c>
      <c r="G64" s="27">
        <v>6.5000000000000002E-2</v>
      </c>
      <c r="H64" s="10" t="s">
        <v>88</v>
      </c>
      <c r="I64" s="19" t="s">
        <v>10</v>
      </c>
      <c r="J64" s="10"/>
      <c r="K64" s="10">
        <f>E64*G64</f>
        <v>114.27292451752885</v>
      </c>
      <c r="L64" s="20" t="s">
        <v>85</v>
      </c>
    </row>
    <row r="65" spans="1:12" x14ac:dyDescent="0.2">
      <c r="A65" s="18"/>
      <c r="B65" s="10" t="s">
        <v>105</v>
      </c>
      <c r="C65" s="10"/>
      <c r="D65" s="10"/>
      <c r="E65" s="1">
        <f>+Datos!F66</f>
        <v>588.49263446385748</v>
      </c>
      <c r="F65" s="10" t="s">
        <v>87</v>
      </c>
      <c r="G65" s="27">
        <v>2.5000000000000001E-2</v>
      </c>
      <c r="H65" s="10" t="s">
        <v>88</v>
      </c>
      <c r="I65" s="19" t="s">
        <v>10</v>
      </c>
      <c r="J65" s="10"/>
      <c r="K65" s="10">
        <f>E65*G65</f>
        <v>14.712315861596437</v>
      </c>
      <c r="L65" s="20" t="s">
        <v>85</v>
      </c>
    </row>
    <row r="66" spans="1:12" x14ac:dyDescent="0.2">
      <c r="A66" s="18"/>
      <c r="B66" s="10"/>
      <c r="C66" s="10"/>
      <c r="D66" s="10"/>
      <c r="E66" s="10"/>
      <c r="F66" s="10"/>
      <c r="G66" s="27"/>
      <c r="H66" s="10"/>
      <c r="I66" s="19"/>
      <c r="J66" s="10"/>
      <c r="K66" s="10"/>
      <c r="L66" s="20"/>
    </row>
    <row r="67" spans="1:12" x14ac:dyDescent="0.2">
      <c r="A67" s="25"/>
      <c r="B67" s="33" t="s">
        <v>52</v>
      </c>
      <c r="C67" s="2"/>
      <c r="D67" s="2"/>
      <c r="E67" s="2"/>
      <c r="F67" s="2"/>
      <c r="G67" s="2"/>
      <c r="H67" s="2"/>
      <c r="I67" s="2"/>
      <c r="J67" s="2"/>
      <c r="K67" s="34">
        <f>+K61+K62+K63+K64+K65</f>
        <v>217.63272010962663</v>
      </c>
      <c r="L67" s="8" t="s">
        <v>85</v>
      </c>
    </row>
    <row r="69" spans="1:12" x14ac:dyDescent="0.2">
      <c r="A69" s="7"/>
      <c r="B69" s="35" t="s">
        <v>92</v>
      </c>
      <c r="C69" s="35"/>
      <c r="D69" s="35"/>
      <c r="E69" s="35"/>
      <c r="F69" s="35"/>
      <c r="G69" s="35"/>
      <c r="H69" s="35"/>
      <c r="I69" s="35"/>
      <c r="J69" s="35"/>
      <c r="K69" s="34">
        <f>+K57+K67</f>
        <v>885.69568665974202</v>
      </c>
      <c r="L69" s="8" t="s">
        <v>85</v>
      </c>
    </row>
    <row r="70" spans="1:12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">
      <c r="A71" s="10"/>
      <c r="B71" s="35" t="s">
        <v>93</v>
      </c>
      <c r="C71" s="35"/>
      <c r="D71" s="35"/>
      <c r="E71" s="35">
        <f>+K69</f>
        <v>885.69568665974202</v>
      </c>
      <c r="F71" s="35" t="s">
        <v>85</v>
      </c>
      <c r="G71" s="36" t="s">
        <v>29</v>
      </c>
      <c r="H71" s="37">
        <v>0.12</v>
      </c>
      <c r="I71" s="35" t="s">
        <v>91</v>
      </c>
      <c r="J71" s="36" t="s">
        <v>10</v>
      </c>
      <c r="K71" s="34">
        <f>+E71*H71</f>
        <v>106.28348239916905</v>
      </c>
      <c r="L71" s="8" t="s">
        <v>42</v>
      </c>
    </row>
    <row r="73" spans="1:12" x14ac:dyDescent="0.2">
      <c r="A73" s="7"/>
      <c r="B73" s="35" t="s">
        <v>54</v>
      </c>
      <c r="C73" s="35"/>
      <c r="D73" s="35"/>
      <c r="E73" s="37">
        <f>Coeficiente!D22</f>
        <v>1.7627404950000001</v>
      </c>
      <c r="F73" s="35"/>
      <c r="G73" s="35"/>
      <c r="H73" s="35"/>
      <c r="I73" s="35"/>
      <c r="J73" s="35"/>
      <c r="K73" s="35"/>
      <c r="L73" s="8"/>
    </row>
    <row r="74" spans="1:12" ht="13.5" thickBot="1" x14ac:dyDescent="0.25"/>
    <row r="75" spans="1:12" ht="20.100000000000001" customHeight="1" thickBot="1" x14ac:dyDescent="0.25">
      <c r="A75" s="11"/>
      <c r="B75" s="12" t="s">
        <v>55</v>
      </c>
      <c r="C75" s="30"/>
      <c r="D75" s="30"/>
      <c r="E75" s="30"/>
      <c r="F75" s="30"/>
      <c r="G75" s="30"/>
      <c r="H75" s="30"/>
      <c r="I75" s="30"/>
      <c r="J75" s="30"/>
      <c r="K75" s="11">
        <f>ROUND((+K71*E73),2)</f>
        <v>187.35</v>
      </c>
      <c r="L75" s="31" t="s">
        <v>42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71"/>
  <sheetViews>
    <sheetView topLeftCell="A64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10.28515625" style="1" customWidth="1"/>
    <col min="3" max="3" width="13.42578125" style="1" customWidth="1"/>
    <col min="4" max="4" width="8.85546875" style="1" customWidth="1"/>
    <col min="5" max="5" width="10.5703125" style="1" customWidth="1"/>
    <col min="6" max="6" width="12.7109375" style="1" bestFit="1" customWidth="1"/>
    <col min="7" max="7" width="13.28515625" style="1" bestFit="1" customWidth="1"/>
    <col min="8" max="8" width="8" style="1" customWidth="1"/>
    <col min="9" max="9" width="8.140625" style="1" bestFit="1" customWidth="1"/>
    <col min="10" max="10" width="4" style="1" customWidth="1"/>
    <col min="11" max="11" width="8.140625" style="1" bestFit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195</v>
      </c>
      <c r="C5" s="237" t="s">
        <v>151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58</v>
      </c>
      <c r="D6" s="47"/>
      <c r="E6" s="47"/>
      <c r="F6" s="47"/>
      <c r="G6" s="47"/>
      <c r="H6" s="47"/>
      <c r="I6" s="50" t="s">
        <v>57</v>
      </c>
      <c r="J6" s="247"/>
      <c r="K6" s="239">
        <v>43282</v>
      </c>
      <c r="L6" s="236"/>
    </row>
    <row r="7" spans="1:12" ht="16.5" thickBot="1" x14ac:dyDescent="0.3">
      <c r="A7" s="240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173</v>
      </c>
      <c r="C14" s="10"/>
      <c r="D14" s="10"/>
      <c r="E14" s="21">
        <v>1</v>
      </c>
      <c r="F14" s="22">
        <f>+Datos!C15*E14</f>
        <v>120</v>
      </c>
      <c r="G14" s="22">
        <f>+Datos!F15*E14</f>
        <v>5515419.3493205439</v>
      </c>
      <c r="H14" s="10"/>
      <c r="I14" s="10"/>
      <c r="J14" s="10"/>
      <c r="K14" s="10"/>
      <c r="L14" s="20"/>
    </row>
    <row r="15" spans="1:12" x14ac:dyDescent="0.2">
      <c r="A15" s="18"/>
      <c r="B15" s="10" t="s">
        <v>38</v>
      </c>
      <c r="C15" s="10"/>
      <c r="D15" s="10"/>
      <c r="E15" s="21">
        <v>1</v>
      </c>
      <c r="F15" s="22">
        <f>+Datos!C18*E15</f>
        <v>120</v>
      </c>
      <c r="G15" s="22">
        <f>+Datos!F18*E15</f>
        <v>1523250.0692017816</v>
      </c>
      <c r="H15" s="10"/>
      <c r="I15" s="10"/>
      <c r="J15" s="10"/>
      <c r="K15" s="10"/>
      <c r="L15" s="20"/>
    </row>
    <row r="16" spans="1:12" x14ac:dyDescent="0.2">
      <c r="A16" s="18"/>
      <c r="B16" s="10" t="s">
        <v>174</v>
      </c>
      <c r="C16" s="10"/>
      <c r="D16" s="10"/>
      <c r="E16" s="21">
        <v>1</v>
      </c>
      <c r="F16" s="22">
        <f>+Datos!C20*E16</f>
        <v>90</v>
      </c>
      <c r="G16" s="22">
        <f>+Datos!F20*E16</f>
        <v>5554858.0509306844</v>
      </c>
      <c r="H16" s="10"/>
      <c r="I16" s="10"/>
      <c r="J16" s="10"/>
      <c r="K16" s="10"/>
      <c r="L16" s="20"/>
    </row>
    <row r="17" spans="1:12" x14ac:dyDescent="0.2">
      <c r="A17" s="18"/>
      <c r="B17" s="10" t="s">
        <v>175</v>
      </c>
      <c r="C17" s="10"/>
      <c r="D17" s="10"/>
      <c r="E17" s="21">
        <v>1</v>
      </c>
      <c r="F17" s="22">
        <f>+Datos!C21*E17</f>
        <v>80</v>
      </c>
      <c r="G17" s="22">
        <f>+Datos!F21*E17</f>
        <v>2401705.8976057251</v>
      </c>
      <c r="H17" s="10"/>
      <c r="I17" s="10"/>
      <c r="J17" s="10"/>
      <c r="K17" s="10"/>
      <c r="L17" s="20"/>
    </row>
    <row r="18" spans="1:12" x14ac:dyDescent="0.2">
      <c r="A18" s="18"/>
      <c r="B18" s="10" t="s">
        <v>69</v>
      </c>
      <c r="C18" s="10"/>
      <c r="D18" s="10"/>
      <c r="E18" s="21">
        <v>1</v>
      </c>
      <c r="F18" s="43">
        <f>+Datos!C24*E18</f>
        <v>140</v>
      </c>
      <c r="G18" s="43">
        <f>+Datos!F24*E18</f>
        <v>4366737.9956467738</v>
      </c>
      <c r="H18" s="10"/>
      <c r="I18" s="10"/>
      <c r="J18" s="10"/>
      <c r="K18" s="10"/>
      <c r="L18" s="20"/>
    </row>
    <row r="19" spans="1:12" x14ac:dyDescent="0.2">
      <c r="A19" s="18"/>
      <c r="B19" s="10" t="s">
        <v>171</v>
      </c>
      <c r="C19" s="10"/>
      <c r="D19" s="10"/>
      <c r="E19" s="21">
        <v>1</v>
      </c>
      <c r="F19" s="22">
        <f>+Datos!C29*E19</f>
        <v>45</v>
      </c>
      <c r="G19" s="22">
        <f>+Datos!F29*E19</f>
        <v>936665.3000662328</v>
      </c>
      <c r="H19" s="10"/>
      <c r="I19" s="10"/>
      <c r="J19" s="10"/>
      <c r="K19" s="10"/>
      <c r="L19" s="20"/>
    </row>
    <row r="20" spans="1:12" x14ac:dyDescent="0.2">
      <c r="A20" s="18"/>
      <c r="B20" s="10" t="s">
        <v>172</v>
      </c>
      <c r="C20" s="10"/>
      <c r="D20" s="10"/>
      <c r="E20" s="21">
        <v>1</v>
      </c>
      <c r="F20" s="5">
        <f>+Datos!C30*E20</f>
        <v>0</v>
      </c>
      <c r="G20" s="5">
        <f>+Datos!F30*E20</f>
        <v>216153.53078451529</v>
      </c>
      <c r="H20" s="10"/>
      <c r="I20" s="10"/>
      <c r="J20" s="10"/>
      <c r="K20" s="10"/>
      <c r="L20" s="20"/>
    </row>
    <row r="21" spans="1:12" x14ac:dyDescent="0.2">
      <c r="A21" s="18"/>
      <c r="B21" s="10"/>
      <c r="C21" s="10"/>
      <c r="D21" s="10"/>
      <c r="E21" s="10"/>
      <c r="F21" s="22"/>
      <c r="G21" s="22"/>
      <c r="H21" s="10"/>
      <c r="I21" s="10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81">
        <f>SUM(F14:F21)</f>
        <v>595</v>
      </c>
      <c r="G22" s="81">
        <f>SUM(G14:G21)</f>
        <v>20514790.193556257</v>
      </c>
      <c r="H22" s="10"/>
      <c r="I22" s="10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0"/>
    </row>
    <row r="24" spans="1:12" x14ac:dyDescent="0.2">
      <c r="A24" s="18"/>
      <c r="B24" s="28" t="s">
        <v>5</v>
      </c>
      <c r="C24" s="10"/>
      <c r="D24" s="10"/>
      <c r="E24" s="10"/>
      <c r="F24" s="10"/>
      <c r="G24" s="10"/>
      <c r="H24" s="10"/>
      <c r="I24" s="10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20"/>
    </row>
    <row r="26" spans="1:12" x14ac:dyDescent="0.2">
      <c r="A26" s="18"/>
      <c r="B26" s="10"/>
      <c r="C26" s="2">
        <f>+G22</f>
        <v>20514790.193556257</v>
      </c>
      <c r="D26" s="2" t="s">
        <v>6</v>
      </c>
      <c r="E26" s="19" t="s">
        <v>7</v>
      </c>
      <c r="F26" s="2">
        <f>+G22</f>
        <v>20514790.193556257</v>
      </c>
      <c r="G26" s="3" t="s">
        <v>48</v>
      </c>
      <c r="H26" s="2">
        <v>0.12</v>
      </c>
      <c r="I26" s="3" t="s">
        <v>9</v>
      </c>
      <c r="J26" s="19" t="s">
        <v>10</v>
      </c>
      <c r="K26" s="28">
        <f>+C26/C27+F26*H26/4000</f>
        <v>2666.9227251623133</v>
      </c>
      <c r="L26" s="20" t="s">
        <v>13</v>
      </c>
    </row>
    <row r="27" spans="1:12" x14ac:dyDescent="0.2">
      <c r="A27" s="18"/>
      <c r="B27" s="10"/>
      <c r="C27" s="10">
        <v>10000</v>
      </c>
      <c r="D27" s="10" t="s">
        <v>34</v>
      </c>
      <c r="E27" s="10"/>
      <c r="F27" s="10"/>
      <c r="G27" s="19" t="s">
        <v>8</v>
      </c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10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28" t="s">
        <v>31</v>
      </c>
      <c r="C29" s="10"/>
      <c r="D29" s="10"/>
      <c r="E29" s="10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0"/>
      <c r="C30" s="10"/>
      <c r="D30" s="10"/>
      <c r="E30" s="10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9">
        <v>0.5</v>
      </c>
      <c r="C31" s="10" t="s">
        <v>12</v>
      </c>
      <c r="D31" s="10"/>
      <c r="E31" s="22">
        <f>+C26/C27</f>
        <v>2051.4790193556255</v>
      </c>
      <c r="F31" s="10" t="s">
        <v>13</v>
      </c>
      <c r="G31" s="19" t="s">
        <v>14</v>
      </c>
      <c r="H31" s="10"/>
      <c r="I31" s="19"/>
      <c r="J31" s="10"/>
      <c r="K31" s="28">
        <f>+B31*E31</f>
        <v>1025.7395096778127</v>
      </c>
      <c r="L31" s="20" t="s">
        <v>13</v>
      </c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8" t="s">
        <v>19</v>
      </c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10"/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10" t="s">
        <v>15</v>
      </c>
      <c r="C35" s="10">
        <v>0.12</v>
      </c>
      <c r="D35" s="10" t="s">
        <v>16</v>
      </c>
      <c r="E35" s="22">
        <f>+F22</f>
        <v>595</v>
      </c>
      <c r="F35" s="10" t="s">
        <v>17</v>
      </c>
      <c r="G35" s="19" t="s">
        <v>11</v>
      </c>
      <c r="H35" s="10">
        <f>+Datos!F10</f>
        <v>23.56</v>
      </c>
      <c r="I35" s="19" t="s">
        <v>18</v>
      </c>
      <c r="J35" s="19" t="s">
        <v>10</v>
      </c>
      <c r="K35" s="28">
        <f>+C35*E35*H35</f>
        <v>1682.1839999999997</v>
      </c>
      <c r="L35" s="20" t="s">
        <v>13</v>
      </c>
    </row>
    <row r="36" spans="1:12" x14ac:dyDescent="0.2">
      <c r="A36" s="18"/>
      <c r="B36" s="10"/>
      <c r="C36" s="10"/>
      <c r="D36" s="10"/>
      <c r="E36" s="22"/>
      <c r="F36" s="10"/>
      <c r="G36" s="19"/>
      <c r="H36" s="10"/>
      <c r="I36" s="19"/>
      <c r="J36" s="10"/>
      <c r="K36" s="10"/>
      <c r="L36" s="20"/>
    </row>
    <row r="37" spans="1:12" x14ac:dyDescent="0.2">
      <c r="A37" s="18"/>
      <c r="B37" s="28" t="s">
        <v>20</v>
      </c>
      <c r="C37" s="10"/>
      <c r="D37" s="10"/>
      <c r="E37" s="22"/>
      <c r="F37" s="10"/>
      <c r="G37" s="19"/>
      <c r="H37" s="10"/>
      <c r="I37" s="19"/>
      <c r="J37" s="10"/>
      <c r="K37" s="10"/>
      <c r="L37" s="20"/>
    </row>
    <row r="38" spans="1:12" x14ac:dyDescent="0.2">
      <c r="A38" s="18"/>
      <c r="B38" s="10"/>
      <c r="C38" s="10"/>
      <c r="D38" s="10"/>
      <c r="E38" s="22"/>
      <c r="F38" s="10"/>
      <c r="G38" s="19"/>
      <c r="H38" s="10"/>
      <c r="I38" s="19"/>
      <c r="J38" s="10"/>
      <c r="K38" s="10"/>
      <c r="L38" s="20"/>
    </row>
    <row r="39" spans="1:12" x14ac:dyDescent="0.2">
      <c r="A39" s="18"/>
      <c r="B39" s="29">
        <v>0.3</v>
      </c>
      <c r="C39" s="10" t="s">
        <v>21</v>
      </c>
      <c r="D39" s="10"/>
      <c r="E39" s="22">
        <f>+K35</f>
        <v>1682.1839999999997</v>
      </c>
      <c r="F39" s="10" t="s">
        <v>13</v>
      </c>
      <c r="G39" s="19" t="s">
        <v>14</v>
      </c>
      <c r="H39" s="10"/>
      <c r="I39" s="19"/>
      <c r="J39" s="10"/>
      <c r="K39" s="28">
        <f>+B39*E39</f>
        <v>504.65519999999992</v>
      </c>
      <c r="L39" s="20" t="s">
        <v>13</v>
      </c>
    </row>
    <row r="40" spans="1:12" x14ac:dyDescent="0.2">
      <c r="A40" s="18"/>
      <c r="B40" s="10"/>
      <c r="C40" s="10"/>
      <c r="D40" s="10"/>
      <c r="E40" s="10"/>
      <c r="F40" s="10"/>
      <c r="G40" s="10"/>
      <c r="H40" s="10"/>
      <c r="I40" s="19"/>
      <c r="J40" s="10"/>
      <c r="K40" s="10"/>
      <c r="L40" s="20"/>
    </row>
    <row r="41" spans="1:12" x14ac:dyDescent="0.2">
      <c r="A41" s="18"/>
      <c r="B41" s="28" t="s">
        <v>22</v>
      </c>
      <c r="C41" s="10"/>
      <c r="D41" s="10"/>
      <c r="E41" s="10"/>
      <c r="F41" s="10"/>
      <c r="G41" s="10"/>
      <c r="H41" s="10"/>
      <c r="I41" s="19"/>
      <c r="J41" s="10"/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20"/>
    </row>
    <row r="43" spans="1:12" x14ac:dyDescent="0.2">
      <c r="A43" s="18"/>
      <c r="B43" s="10" t="s">
        <v>23</v>
      </c>
      <c r="C43" s="10"/>
      <c r="D43" s="22">
        <v>2</v>
      </c>
      <c r="E43" s="19" t="s">
        <v>11</v>
      </c>
      <c r="F43" s="1">
        <f>+Datos!$F$5</f>
        <v>224.79</v>
      </c>
      <c r="G43" s="10" t="s">
        <v>13</v>
      </c>
      <c r="H43" s="19" t="s">
        <v>14</v>
      </c>
      <c r="I43" s="22">
        <f>+D43*F43</f>
        <v>449.58</v>
      </c>
      <c r="J43" s="10" t="s">
        <v>13</v>
      </c>
      <c r="K43" s="10"/>
      <c r="L43" s="20"/>
    </row>
    <row r="44" spans="1:12" x14ac:dyDescent="0.2">
      <c r="A44" s="18"/>
      <c r="B44" s="10" t="s">
        <v>25</v>
      </c>
      <c r="C44" s="10"/>
      <c r="D44" s="22">
        <v>10</v>
      </c>
      <c r="E44" s="19" t="s">
        <v>11</v>
      </c>
      <c r="F44" s="1">
        <f>+Datos!$F$6</f>
        <v>191.66</v>
      </c>
      <c r="G44" s="10" t="s">
        <v>13</v>
      </c>
      <c r="H44" s="19" t="s">
        <v>14</v>
      </c>
      <c r="I44" s="22">
        <f>+D44*F44</f>
        <v>1916.6</v>
      </c>
      <c r="J44" s="10" t="s">
        <v>13</v>
      </c>
      <c r="K44" s="10"/>
      <c r="L44" s="20"/>
    </row>
    <row r="45" spans="1:12" x14ac:dyDescent="0.2">
      <c r="A45" s="18"/>
      <c r="B45" s="10" t="s">
        <v>37</v>
      </c>
      <c r="C45" s="10"/>
      <c r="D45" s="22">
        <v>0</v>
      </c>
      <c r="E45" s="19" t="s">
        <v>11</v>
      </c>
      <c r="F45" s="1">
        <f>+Datos!$F$7</f>
        <v>176.37</v>
      </c>
      <c r="G45" s="10" t="s">
        <v>13</v>
      </c>
      <c r="H45" s="19" t="s">
        <v>14</v>
      </c>
      <c r="I45" s="22">
        <f>+D45*F45</f>
        <v>0</v>
      </c>
      <c r="J45" s="10" t="s">
        <v>13</v>
      </c>
      <c r="K45" s="10"/>
      <c r="L45" s="20"/>
    </row>
    <row r="46" spans="1:12" x14ac:dyDescent="0.2">
      <c r="A46" s="18"/>
      <c r="B46" s="10" t="s">
        <v>24</v>
      </c>
      <c r="C46" s="10"/>
      <c r="D46" s="22">
        <v>8</v>
      </c>
      <c r="E46" s="19" t="s">
        <v>11</v>
      </c>
      <c r="F46" s="1">
        <f>+Datos!$F$8</f>
        <v>162.9</v>
      </c>
      <c r="G46" s="10" t="s">
        <v>13</v>
      </c>
      <c r="H46" s="3" t="s">
        <v>14</v>
      </c>
      <c r="I46" s="5">
        <f>+D46*F46</f>
        <v>1303.2</v>
      </c>
      <c r="J46" s="2" t="s">
        <v>13</v>
      </c>
      <c r="K46" s="10"/>
      <c r="L46" s="20"/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22">
        <f>SUM(I43:I46)</f>
        <v>3669.38</v>
      </c>
      <c r="J47" s="10" t="s">
        <v>13</v>
      </c>
      <c r="K47" s="10"/>
      <c r="L47" s="20"/>
    </row>
    <row r="48" spans="1:12" x14ac:dyDescent="0.2">
      <c r="A48" s="18"/>
      <c r="B48" s="10" t="s">
        <v>40</v>
      </c>
      <c r="C48" s="10"/>
      <c r="D48" s="23">
        <v>0.05</v>
      </c>
      <c r="E48" s="10"/>
      <c r="F48" s="10"/>
      <c r="G48" s="10"/>
      <c r="H48" s="10"/>
      <c r="I48" s="22">
        <f>+I47*D48</f>
        <v>183.46900000000002</v>
      </c>
      <c r="J48" s="10" t="s">
        <v>13</v>
      </c>
      <c r="K48" s="10"/>
      <c r="L48" s="20"/>
    </row>
    <row r="49" spans="1:12" x14ac:dyDescent="0.2">
      <c r="A49" s="18"/>
      <c r="B49" s="10"/>
      <c r="C49" s="10"/>
      <c r="D49" s="10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10" t="s">
        <v>26</v>
      </c>
      <c r="C50" s="10"/>
      <c r="D50" s="10"/>
      <c r="E50" s="10"/>
      <c r="F50" s="10"/>
      <c r="G50" s="10"/>
      <c r="H50" s="10"/>
      <c r="I50" s="19"/>
      <c r="J50" s="10"/>
      <c r="K50" s="33">
        <f>+I47+I48</f>
        <v>3852.8490000000002</v>
      </c>
      <c r="L50" s="24" t="s">
        <v>13</v>
      </c>
    </row>
    <row r="51" spans="1:12" x14ac:dyDescent="0.2">
      <c r="A51" s="18"/>
      <c r="B51" s="10"/>
      <c r="C51" s="10"/>
      <c r="D51" s="10"/>
      <c r="E51" s="10"/>
      <c r="F51" s="10"/>
      <c r="G51" s="10"/>
      <c r="H51" s="10"/>
      <c r="I51" s="19"/>
      <c r="J51" s="10"/>
      <c r="K51" s="10"/>
      <c r="L51" s="20"/>
    </row>
    <row r="52" spans="1:12" x14ac:dyDescent="0.2">
      <c r="A52" s="18"/>
      <c r="B52" s="34" t="s">
        <v>44</v>
      </c>
      <c r="C52" s="35"/>
      <c r="D52" s="35"/>
      <c r="E52" s="35"/>
      <c r="F52" s="35"/>
      <c r="G52" s="35"/>
      <c r="H52" s="35"/>
      <c r="I52" s="36"/>
      <c r="J52" s="35"/>
      <c r="K52" s="82">
        <f>SUM(K26:K50)</f>
        <v>9732.3504348401257</v>
      </c>
      <c r="L52" s="8" t="s">
        <v>13</v>
      </c>
    </row>
    <row r="53" spans="1:12" x14ac:dyDescent="0.2">
      <c r="A53" s="18"/>
      <c r="B53" s="10"/>
      <c r="C53" s="10"/>
      <c r="D53" s="10"/>
      <c r="E53" s="10"/>
      <c r="F53" s="10"/>
      <c r="G53" s="10"/>
      <c r="H53" s="10"/>
      <c r="I53" s="19"/>
      <c r="J53" s="10"/>
      <c r="K53" s="10"/>
      <c r="L53" s="20"/>
    </row>
    <row r="54" spans="1:12" x14ac:dyDescent="0.2">
      <c r="A54" s="18"/>
      <c r="B54" s="10" t="s">
        <v>27</v>
      </c>
      <c r="C54" s="10"/>
      <c r="D54" s="22">
        <v>600</v>
      </c>
      <c r="E54" s="10" t="s">
        <v>41</v>
      </c>
      <c r="F54" s="10"/>
      <c r="G54" s="10"/>
      <c r="H54" s="10"/>
      <c r="I54" s="19"/>
      <c r="J54" s="10"/>
      <c r="K54" s="10"/>
      <c r="L54" s="20"/>
    </row>
    <row r="55" spans="1:12" x14ac:dyDescent="0.2">
      <c r="A55" s="18"/>
      <c r="B55" s="28"/>
      <c r="C55" s="10"/>
      <c r="D55" s="22"/>
      <c r="E55" s="10"/>
      <c r="F55" s="10"/>
      <c r="G55" s="10"/>
      <c r="H55" s="10"/>
      <c r="I55" s="19"/>
      <c r="J55" s="10"/>
      <c r="K55" s="10"/>
      <c r="L55" s="20"/>
    </row>
    <row r="56" spans="1:12" x14ac:dyDescent="0.2">
      <c r="A56" s="25"/>
      <c r="B56" s="33" t="s">
        <v>45</v>
      </c>
      <c r="C56" s="2"/>
      <c r="D56" s="5">
        <f>+K52</f>
        <v>9732.3504348401257</v>
      </c>
      <c r="E56" s="2" t="s">
        <v>13</v>
      </c>
      <c r="F56" s="3" t="s">
        <v>29</v>
      </c>
      <c r="G56" s="5">
        <f>+D54</f>
        <v>600</v>
      </c>
      <c r="H56" s="2" t="s">
        <v>41</v>
      </c>
      <c r="I56" s="3" t="s">
        <v>14</v>
      </c>
      <c r="J56" s="2"/>
      <c r="K56" s="34">
        <f>+D56/G56</f>
        <v>16.220584058066876</v>
      </c>
      <c r="L56" s="8" t="s">
        <v>42</v>
      </c>
    </row>
    <row r="57" spans="1:12" ht="13.5" thickBot="1" x14ac:dyDescent="0.25">
      <c r="G57" s="4"/>
    </row>
    <row r="58" spans="1:12" x14ac:dyDescent="0.2">
      <c r="A58" s="13"/>
      <c r="B58" s="32" t="s">
        <v>46</v>
      </c>
      <c r="C58" s="14"/>
      <c r="D58" s="14"/>
      <c r="E58" s="14"/>
      <c r="F58" s="14"/>
      <c r="G58" s="14"/>
      <c r="H58" s="14"/>
      <c r="I58" s="14"/>
      <c r="J58" s="14"/>
      <c r="K58" s="14"/>
      <c r="L58" s="15"/>
    </row>
    <row r="59" spans="1:12" x14ac:dyDescent="0.2">
      <c r="A59" s="2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</row>
    <row r="60" spans="1:12" x14ac:dyDescent="0.2">
      <c r="A60" s="18"/>
      <c r="B60" s="10" t="s">
        <v>127</v>
      </c>
      <c r="C60" s="10"/>
      <c r="D60" s="10"/>
      <c r="E60" s="1">
        <f>+Datos!F68</f>
        <v>1874.3862053214573</v>
      </c>
      <c r="F60" s="10" t="s">
        <v>103</v>
      </c>
      <c r="G60" s="58">
        <v>3.8E-3</v>
      </c>
      <c r="H60" s="10" t="s">
        <v>47</v>
      </c>
      <c r="I60" s="19" t="s">
        <v>10</v>
      </c>
      <c r="J60" s="10"/>
      <c r="K60" s="10">
        <f>+E60*G60</f>
        <v>7.1226675802215373</v>
      </c>
      <c r="L60" s="20" t="s">
        <v>42</v>
      </c>
    </row>
    <row r="61" spans="1:12" x14ac:dyDescent="0.2">
      <c r="A61" s="18"/>
      <c r="B61" s="10" t="s">
        <v>128</v>
      </c>
      <c r="C61" s="10"/>
      <c r="D61" s="10"/>
      <c r="E61" s="1">
        <f>+Datos!F69</f>
        <v>226.21902478017589</v>
      </c>
      <c r="F61" s="10" t="s">
        <v>103</v>
      </c>
      <c r="G61" s="58">
        <v>0.01</v>
      </c>
      <c r="H61" s="10" t="s">
        <v>47</v>
      </c>
      <c r="I61" s="19" t="s">
        <v>10</v>
      </c>
      <c r="J61" s="10"/>
      <c r="K61" s="10">
        <f>+E61*G61</f>
        <v>2.262190247801759</v>
      </c>
      <c r="L61" s="20" t="s">
        <v>42</v>
      </c>
    </row>
    <row r="62" spans="1:12" x14ac:dyDescent="0.2">
      <c r="A62" s="18"/>
      <c r="B62" s="10" t="s">
        <v>129</v>
      </c>
      <c r="C62" s="10"/>
      <c r="D62" s="10"/>
      <c r="E62" s="1">
        <f>+Datos!F70</f>
        <v>226.21902478017589</v>
      </c>
      <c r="F62" s="10" t="s">
        <v>103</v>
      </c>
      <c r="G62" s="58">
        <v>4.0000000000000001E-3</v>
      </c>
      <c r="H62" s="10" t="s">
        <v>47</v>
      </c>
      <c r="I62" s="19" t="s">
        <v>10</v>
      </c>
      <c r="J62" s="10"/>
      <c r="K62" s="10">
        <f>+E62*G62</f>
        <v>0.90487609912070355</v>
      </c>
      <c r="L62" s="20" t="s">
        <v>42</v>
      </c>
    </row>
    <row r="63" spans="1:12" x14ac:dyDescent="0.2">
      <c r="A63" s="18"/>
      <c r="B63" s="10" t="s">
        <v>50</v>
      </c>
      <c r="C63" s="10"/>
      <c r="D63" s="10"/>
      <c r="E63" s="1">
        <f>+Datos!F71</f>
        <v>226.21902478017589</v>
      </c>
      <c r="F63" s="10" t="s">
        <v>103</v>
      </c>
      <c r="G63" s="58">
        <v>4.0000000000000001E-3</v>
      </c>
      <c r="H63" s="10" t="s">
        <v>47</v>
      </c>
      <c r="I63" s="19" t="s">
        <v>10</v>
      </c>
      <c r="J63" s="10"/>
      <c r="K63" s="10">
        <f>+E63*G63</f>
        <v>0.90487609912070355</v>
      </c>
      <c r="L63" s="20" t="s">
        <v>42</v>
      </c>
    </row>
    <row r="64" spans="1:12" x14ac:dyDescent="0.2">
      <c r="A64" s="18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20"/>
    </row>
    <row r="65" spans="1:12" x14ac:dyDescent="0.2">
      <c r="A65" s="25"/>
      <c r="B65" s="33" t="s">
        <v>52</v>
      </c>
      <c r="C65" s="2"/>
      <c r="D65" s="2"/>
      <c r="E65" s="2"/>
      <c r="F65" s="2"/>
      <c r="G65" s="59"/>
      <c r="H65" s="2"/>
      <c r="I65" s="2"/>
      <c r="J65" s="2"/>
      <c r="K65" s="34">
        <f>SUM(K60:K64)</f>
        <v>11.194610026264705</v>
      </c>
      <c r="L65" s="8" t="s">
        <v>42</v>
      </c>
    </row>
    <row r="67" spans="1:12" x14ac:dyDescent="0.2">
      <c r="A67" s="7"/>
      <c r="B67" s="35" t="s">
        <v>53</v>
      </c>
      <c r="C67" s="35"/>
      <c r="D67" s="35"/>
      <c r="E67" s="35"/>
      <c r="F67" s="35"/>
      <c r="G67" s="35"/>
      <c r="H67" s="35"/>
      <c r="I67" s="35"/>
      <c r="J67" s="35"/>
      <c r="K67" s="34">
        <f>+K56+K65</f>
        <v>27.415194084331581</v>
      </c>
      <c r="L67" s="8" t="s">
        <v>42</v>
      </c>
    </row>
    <row r="69" spans="1:12" x14ac:dyDescent="0.2">
      <c r="A69" s="7"/>
      <c r="B69" s="35" t="s">
        <v>54</v>
      </c>
      <c r="C69" s="35"/>
      <c r="D69" s="35"/>
      <c r="E69" s="37">
        <f>Coeficiente!D22</f>
        <v>1.7627404950000001</v>
      </c>
      <c r="F69" s="35"/>
      <c r="G69" s="35"/>
      <c r="H69" s="35"/>
      <c r="I69" s="35"/>
      <c r="J69" s="35"/>
      <c r="K69" s="35"/>
      <c r="L69" s="8"/>
    </row>
    <row r="70" spans="1:12" ht="13.5" thickBot="1" x14ac:dyDescent="0.25"/>
    <row r="71" spans="1:12" ht="20.100000000000001" customHeight="1" thickBot="1" x14ac:dyDescent="0.25">
      <c r="A71" s="11"/>
      <c r="B71" s="12" t="s">
        <v>55</v>
      </c>
      <c r="C71" s="30"/>
      <c r="D71" s="30"/>
      <c r="E71" s="30"/>
      <c r="F71" s="30"/>
      <c r="G71" s="30"/>
      <c r="H71" s="30"/>
      <c r="I71" s="30"/>
      <c r="J71" s="30"/>
      <c r="K71" s="11">
        <f>ROUND((+K67*E69),2)</f>
        <v>48.33</v>
      </c>
      <c r="L71" s="31" t="s">
        <v>42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65"/>
  <sheetViews>
    <sheetView topLeftCell="A49" zoomScale="8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10.85546875" style="1" customWidth="1"/>
    <col min="3" max="3" width="13" style="1" customWidth="1"/>
    <col min="4" max="4" width="8.7109375" style="1" bestFit="1" customWidth="1"/>
    <col min="5" max="5" width="10.5703125" style="1" customWidth="1"/>
    <col min="6" max="6" width="12.42578125" style="1" bestFit="1" customWidth="1"/>
    <col min="7" max="7" width="12.42578125" style="10" bestFit="1" customWidth="1"/>
    <col min="8" max="8" width="8" style="1" customWidth="1"/>
    <col min="9" max="9" width="8.7109375" style="1" bestFit="1" customWidth="1"/>
    <col min="10" max="10" width="4" style="1" customWidth="1"/>
    <col min="11" max="11" width="8.7109375" style="1" bestFit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196</v>
      </c>
      <c r="C5" s="237" t="s">
        <v>152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95</v>
      </c>
      <c r="D6" s="47"/>
      <c r="E6" s="47"/>
      <c r="F6" s="47"/>
      <c r="G6" s="47"/>
      <c r="H6" s="47"/>
      <c r="I6" s="50" t="s">
        <v>57</v>
      </c>
      <c r="J6" s="237"/>
      <c r="K6" s="239">
        <v>43282</v>
      </c>
      <c r="L6" s="236"/>
    </row>
    <row r="7" spans="1:12" ht="13.5" thickBot="1" x14ac:dyDescent="0.25">
      <c r="A7" s="240"/>
      <c r="B7" s="244"/>
      <c r="C7" s="245"/>
      <c r="D7" s="245"/>
      <c r="E7" s="245"/>
      <c r="F7" s="245"/>
      <c r="G7" s="245"/>
      <c r="H7" s="245"/>
      <c r="I7" s="244"/>
      <c r="J7" s="245"/>
      <c r="K7" s="245"/>
      <c r="L7" s="246"/>
    </row>
    <row r="8" spans="1:12" ht="16.5" thickBot="1" x14ac:dyDescent="0.3">
      <c r="B8" s="9"/>
      <c r="C8" s="6"/>
      <c r="D8" s="6"/>
      <c r="E8" s="6"/>
      <c r="F8" s="6"/>
      <c r="G8" s="48"/>
      <c r="H8" s="6"/>
      <c r="I8" s="6"/>
      <c r="J8" s="6"/>
      <c r="K8" s="6"/>
      <c r="L8" s="6"/>
    </row>
    <row r="9" spans="1:12" ht="13.5" thickBot="1" x14ac:dyDescent="0.25">
      <c r="A9" s="52"/>
      <c r="B9" s="53" t="s">
        <v>43</v>
      </c>
      <c r="C9" s="54"/>
      <c r="D9" s="54"/>
      <c r="E9" s="54"/>
      <c r="F9" s="54"/>
      <c r="G9" s="54"/>
      <c r="H9" s="54"/>
      <c r="I9" s="54"/>
      <c r="J9" s="54"/>
      <c r="K9" s="54"/>
      <c r="L9" s="55"/>
    </row>
    <row r="10" spans="1:12" x14ac:dyDescent="0.2">
      <c r="A10" s="49"/>
      <c r="B10" s="50"/>
      <c r="C10" s="47"/>
      <c r="D10" s="47"/>
      <c r="E10" s="47"/>
      <c r="F10" s="47"/>
      <c r="G10" s="47"/>
      <c r="H10" s="47"/>
      <c r="I10" s="47"/>
      <c r="J10" s="47"/>
      <c r="K10" s="47"/>
      <c r="L10" s="51"/>
    </row>
    <row r="11" spans="1:12" x14ac:dyDescent="0.2">
      <c r="A11" s="18"/>
      <c r="B11" s="28" t="s">
        <v>0</v>
      </c>
      <c r="C11" s="10"/>
      <c r="D11" s="10"/>
      <c r="E11" s="10"/>
      <c r="F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60</v>
      </c>
      <c r="C14" s="10"/>
      <c r="D14" s="10"/>
      <c r="E14" s="21">
        <v>1</v>
      </c>
      <c r="F14" s="5">
        <f>+Datos!C18*E14</f>
        <v>120</v>
      </c>
      <c r="G14" s="5">
        <f>+Datos!F18*E14</f>
        <v>1523250.0692017816</v>
      </c>
      <c r="H14" s="10"/>
      <c r="I14" s="10"/>
      <c r="J14" s="10"/>
      <c r="K14" s="10"/>
      <c r="L14" s="20"/>
    </row>
    <row r="15" spans="1:12" x14ac:dyDescent="0.2">
      <c r="A15" s="18"/>
      <c r="B15" s="10"/>
      <c r="C15" s="10"/>
      <c r="D15" s="10"/>
      <c r="E15" s="10"/>
      <c r="F15" s="22"/>
      <c r="G15" s="22"/>
      <c r="H15" s="10"/>
      <c r="I15" s="10"/>
      <c r="J15" s="10"/>
      <c r="K15" s="10"/>
      <c r="L15" s="20"/>
    </row>
    <row r="16" spans="1:12" x14ac:dyDescent="0.2">
      <c r="A16" s="18"/>
      <c r="B16" s="10"/>
      <c r="C16" s="10"/>
      <c r="D16" s="10"/>
      <c r="E16" s="10"/>
      <c r="F16" s="81">
        <f>SUM(F14:F15)</f>
        <v>120</v>
      </c>
      <c r="G16" s="81">
        <f>G14</f>
        <v>1523250.0692017816</v>
      </c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10"/>
      <c r="H17" s="10"/>
      <c r="I17" s="10"/>
      <c r="J17" s="10"/>
      <c r="K17" s="10"/>
      <c r="L17" s="20"/>
    </row>
    <row r="18" spans="1:12" x14ac:dyDescent="0.2">
      <c r="A18" s="18"/>
      <c r="B18" s="28" t="s">
        <v>5</v>
      </c>
      <c r="C18" s="10"/>
      <c r="D18" s="10"/>
      <c r="E18" s="10"/>
      <c r="F18" s="10"/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10"/>
      <c r="H19" s="10"/>
      <c r="I19" s="10"/>
      <c r="J19" s="10"/>
      <c r="K19" s="10"/>
      <c r="L19" s="20"/>
    </row>
    <row r="20" spans="1:12" x14ac:dyDescent="0.2">
      <c r="A20" s="18"/>
      <c r="B20" s="10"/>
      <c r="C20" s="2">
        <f>+G16</f>
        <v>1523250.0692017816</v>
      </c>
      <c r="D20" s="2" t="s">
        <v>6</v>
      </c>
      <c r="E20" s="19" t="s">
        <v>7</v>
      </c>
      <c r="F20" s="2">
        <f>+G16</f>
        <v>1523250.0692017816</v>
      </c>
      <c r="G20" s="3" t="s">
        <v>48</v>
      </c>
      <c r="H20" s="2">
        <v>0.12</v>
      </c>
      <c r="I20" s="3" t="s">
        <v>9</v>
      </c>
      <c r="J20" s="19" t="s">
        <v>10</v>
      </c>
      <c r="K20" s="28">
        <f>+C20/C21+F20*H20/4000</f>
        <v>198.02250899623161</v>
      </c>
      <c r="L20" s="20" t="s">
        <v>13</v>
      </c>
    </row>
    <row r="21" spans="1:12" x14ac:dyDescent="0.2">
      <c r="A21" s="18"/>
      <c r="B21" s="10"/>
      <c r="C21" s="10">
        <v>10000</v>
      </c>
      <c r="D21" s="10" t="s">
        <v>34</v>
      </c>
      <c r="E21" s="10"/>
      <c r="F21" s="10"/>
      <c r="G21" s="19" t="s">
        <v>8</v>
      </c>
      <c r="H21" s="10"/>
      <c r="I21" s="19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10"/>
      <c r="G22" s="19"/>
      <c r="H22" s="10"/>
      <c r="I22" s="19"/>
      <c r="J22" s="10"/>
      <c r="K22" s="10"/>
      <c r="L22" s="20"/>
    </row>
    <row r="23" spans="1:12" x14ac:dyDescent="0.2">
      <c r="A23" s="18"/>
      <c r="B23" s="28" t="s">
        <v>31</v>
      </c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29">
        <v>0.5</v>
      </c>
      <c r="C25" s="10" t="s">
        <v>12</v>
      </c>
      <c r="D25" s="10"/>
      <c r="E25" s="22">
        <f>+C20/C21</f>
        <v>152.32500692017817</v>
      </c>
      <c r="F25" s="10" t="s">
        <v>13</v>
      </c>
      <c r="G25" s="19" t="s">
        <v>14</v>
      </c>
      <c r="H25" s="10"/>
      <c r="I25" s="19"/>
      <c r="J25" s="10"/>
      <c r="K25" s="28">
        <f>+B25*E25</f>
        <v>76.162503460089084</v>
      </c>
      <c r="L25" s="20" t="s">
        <v>13</v>
      </c>
    </row>
    <row r="26" spans="1:12" x14ac:dyDescent="0.2">
      <c r="A26" s="18"/>
      <c r="B26" s="10"/>
      <c r="C26" s="10"/>
      <c r="D26" s="10"/>
      <c r="E26" s="22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8" t="s">
        <v>19</v>
      </c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 t="s">
        <v>15</v>
      </c>
      <c r="C29" s="10">
        <v>0.12</v>
      </c>
      <c r="D29" s="10" t="s">
        <v>16</v>
      </c>
      <c r="E29" s="22">
        <f>+F16</f>
        <v>120</v>
      </c>
      <c r="F29" s="10" t="s">
        <v>17</v>
      </c>
      <c r="G29" s="19" t="s">
        <v>11</v>
      </c>
      <c r="H29" s="10">
        <f>+Datos!F10</f>
        <v>23.56</v>
      </c>
      <c r="I29" s="19" t="s">
        <v>18</v>
      </c>
      <c r="J29" s="19" t="s">
        <v>10</v>
      </c>
      <c r="K29" s="28">
        <f>+C29*E29*H29</f>
        <v>339.26399999999995</v>
      </c>
      <c r="L29" s="20" t="s">
        <v>13</v>
      </c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8" t="s">
        <v>20</v>
      </c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9">
        <v>0.3</v>
      </c>
      <c r="C33" s="10" t="s">
        <v>21</v>
      </c>
      <c r="D33" s="10"/>
      <c r="E33" s="22">
        <f>+K29</f>
        <v>339.26399999999995</v>
      </c>
      <c r="F33" s="10" t="s">
        <v>13</v>
      </c>
      <c r="G33" s="19" t="s">
        <v>14</v>
      </c>
      <c r="H33" s="10"/>
      <c r="I33" s="19"/>
      <c r="J33" s="10"/>
      <c r="K33" s="28">
        <f>+B33*E33</f>
        <v>101.77919999999999</v>
      </c>
      <c r="L33" s="20" t="s">
        <v>13</v>
      </c>
    </row>
    <row r="34" spans="1:12" x14ac:dyDescent="0.2">
      <c r="A34" s="18"/>
      <c r="B34" s="10"/>
      <c r="C34" s="10"/>
      <c r="D34" s="10"/>
      <c r="E34" s="10"/>
      <c r="F34" s="10"/>
      <c r="H34" s="10"/>
      <c r="I34" s="19"/>
      <c r="J34" s="10"/>
      <c r="K34" s="10"/>
      <c r="L34" s="20"/>
    </row>
    <row r="35" spans="1:12" x14ac:dyDescent="0.2">
      <c r="A35" s="18"/>
      <c r="B35" s="28" t="s">
        <v>22</v>
      </c>
      <c r="C35" s="10"/>
      <c r="D35" s="10"/>
      <c r="E35" s="10"/>
      <c r="F35" s="10"/>
      <c r="H35" s="10"/>
      <c r="I35" s="19"/>
      <c r="J35" s="10"/>
      <c r="K35" s="10"/>
      <c r="L35" s="20"/>
    </row>
    <row r="36" spans="1:12" x14ac:dyDescent="0.2">
      <c r="A36" s="18"/>
      <c r="B36" s="10"/>
      <c r="C36" s="10"/>
      <c r="D36" s="10"/>
      <c r="E36" s="10"/>
      <c r="F36" s="10"/>
      <c r="H36" s="10"/>
      <c r="I36" s="19"/>
      <c r="J36" s="10"/>
      <c r="K36" s="10"/>
      <c r="L36" s="20"/>
    </row>
    <row r="37" spans="1:12" x14ac:dyDescent="0.2">
      <c r="A37" s="18"/>
      <c r="B37" s="10" t="s">
        <v>23</v>
      </c>
      <c r="C37" s="10"/>
      <c r="D37" s="22">
        <v>1</v>
      </c>
      <c r="E37" s="19" t="s">
        <v>11</v>
      </c>
      <c r="F37" s="1">
        <f>+Datos!$F$5</f>
        <v>224.79</v>
      </c>
      <c r="G37" s="10" t="s">
        <v>13</v>
      </c>
      <c r="H37" s="19" t="s">
        <v>14</v>
      </c>
      <c r="I37" s="22">
        <f>+D37*F37</f>
        <v>224.79</v>
      </c>
      <c r="J37" s="10" t="s">
        <v>13</v>
      </c>
      <c r="K37" s="10"/>
      <c r="L37" s="20"/>
    </row>
    <row r="38" spans="1:12" x14ac:dyDescent="0.2">
      <c r="A38" s="18"/>
      <c r="B38" s="10" t="s">
        <v>25</v>
      </c>
      <c r="C38" s="10"/>
      <c r="D38" s="22">
        <v>1</v>
      </c>
      <c r="E38" s="19" t="s">
        <v>11</v>
      </c>
      <c r="F38" s="1">
        <f>+Datos!$F$6</f>
        <v>191.66</v>
      </c>
      <c r="G38" s="10" t="s">
        <v>13</v>
      </c>
      <c r="H38" s="19" t="s">
        <v>14</v>
      </c>
      <c r="I38" s="22">
        <f>+D38*F38</f>
        <v>191.66</v>
      </c>
      <c r="J38" s="10" t="s">
        <v>13</v>
      </c>
      <c r="K38" s="10"/>
      <c r="L38" s="20"/>
    </row>
    <row r="39" spans="1:12" x14ac:dyDescent="0.2">
      <c r="A39" s="18"/>
      <c r="B39" s="10" t="s">
        <v>37</v>
      </c>
      <c r="C39" s="10"/>
      <c r="D39" s="22">
        <v>1</v>
      </c>
      <c r="E39" s="19" t="s">
        <v>11</v>
      </c>
      <c r="F39" s="1">
        <f>+Datos!$F$7</f>
        <v>176.37</v>
      </c>
      <c r="G39" s="10" t="s">
        <v>13</v>
      </c>
      <c r="H39" s="19" t="s">
        <v>14</v>
      </c>
      <c r="I39" s="22">
        <f>+D39*F39</f>
        <v>176.37</v>
      </c>
      <c r="J39" s="10" t="s">
        <v>13</v>
      </c>
      <c r="K39" s="10"/>
      <c r="L39" s="20"/>
    </row>
    <row r="40" spans="1:12" x14ac:dyDescent="0.2">
      <c r="A40" s="18"/>
      <c r="B40" s="10" t="s">
        <v>24</v>
      </c>
      <c r="C40" s="10"/>
      <c r="D40" s="22">
        <v>5</v>
      </c>
      <c r="E40" s="19" t="s">
        <v>11</v>
      </c>
      <c r="F40" s="1">
        <f>+Datos!$F$8</f>
        <v>162.9</v>
      </c>
      <c r="G40" s="10" t="s">
        <v>13</v>
      </c>
      <c r="H40" s="3" t="s">
        <v>14</v>
      </c>
      <c r="I40" s="5">
        <f>+D40*F40</f>
        <v>814.5</v>
      </c>
      <c r="J40" s="2" t="s">
        <v>13</v>
      </c>
      <c r="K40" s="10"/>
      <c r="L40" s="20"/>
    </row>
    <row r="41" spans="1:12" x14ac:dyDescent="0.2">
      <c r="A41" s="18"/>
      <c r="B41" s="10"/>
      <c r="C41" s="10"/>
      <c r="D41" s="10"/>
      <c r="E41" s="10"/>
      <c r="F41" s="10"/>
      <c r="H41" s="10"/>
      <c r="I41" s="22">
        <f>SUM(I37:I40)</f>
        <v>1407.32</v>
      </c>
      <c r="J41" s="10" t="s">
        <v>13</v>
      </c>
      <c r="K41" s="10"/>
      <c r="L41" s="20"/>
    </row>
    <row r="42" spans="1:12" x14ac:dyDescent="0.2">
      <c r="A42" s="18"/>
      <c r="B42" s="10" t="s">
        <v>40</v>
      </c>
      <c r="C42" s="10"/>
      <c r="D42" s="23">
        <v>0.05</v>
      </c>
      <c r="E42" s="10"/>
      <c r="F42" s="10"/>
      <c r="H42" s="10"/>
      <c r="I42" s="22">
        <f>+I41*D42</f>
        <v>70.366</v>
      </c>
      <c r="J42" s="10" t="s">
        <v>13</v>
      </c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H43" s="10"/>
      <c r="I43" s="19"/>
      <c r="J43" s="10"/>
      <c r="K43" s="10"/>
      <c r="L43" s="20"/>
    </row>
    <row r="44" spans="1:12" x14ac:dyDescent="0.2">
      <c r="A44" s="18"/>
      <c r="B44" s="10" t="s">
        <v>26</v>
      </c>
      <c r="C44" s="10"/>
      <c r="D44" s="10"/>
      <c r="E44" s="10"/>
      <c r="F44" s="10"/>
      <c r="H44" s="10"/>
      <c r="I44" s="19"/>
      <c r="J44" s="10"/>
      <c r="K44" s="33">
        <f>+I41+I42</f>
        <v>1477.6859999999999</v>
      </c>
      <c r="L44" s="24" t="s">
        <v>13</v>
      </c>
    </row>
    <row r="45" spans="1:12" x14ac:dyDescent="0.2">
      <c r="A45" s="18"/>
      <c r="B45" s="10"/>
      <c r="C45" s="10"/>
      <c r="D45" s="10"/>
      <c r="E45" s="10"/>
      <c r="F45" s="10"/>
      <c r="H45" s="10"/>
      <c r="I45" s="19"/>
      <c r="J45" s="10"/>
      <c r="K45" s="10"/>
      <c r="L45" s="20"/>
    </row>
    <row r="46" spans="1:12" x14ac:dyDescent="0.2">
      <c r="A46" s="18"/>
      <c r="B46" s="34" t="s">
        <v>44</v>
      </c>
      <c r="C46" s="35"/>
      <c r="D46" s="35"/>
      <c r="E46" s="35"/>
      <c r="F46" s="35"/>
      <c r="G46" s="35"/>
      <c r="H46" s="35"/>
      <c r="I46" s="36"/>
      <c r="J46" s="35"/>
      <c r="K46" s="82">
        <f>SUM(K20:K44)</f>
        <v>2192.9142124563205</v>
      </c>
      <c r="L46" s="8" t="s">
        <v>13</v>
      </c>
    </row>
    <row r="47" spans="1:12" x14ac:dyDescent="0.2">
      <c r="A47" s="18"/>
      <c r="B47" s="10"/>
      <c r="C47" s="10"/>
      <c r="D47" s="10"/>
      <c r="E47" s="10"/>
      <c r="F47" s="10"/>
      <c r="H47" s="10"/>
      <c r="I47" s="19"/>
      <c r="J47" s="10"/>
      <c r="K47" s="10"/>
      <c r="L47" s="20"/>
    </row>
    <row r="48" spans="1:12" x14ac:dyDescent="0.2">
      <c r="A48" s="18"/>
      <c r="B48" s="10" t="s">
        <v>27</v>
      </c>
      <c r="C48" s="10"/>
      <c r="D48" s="22">
        <v>7.62</v>
      </c>
      <c r="E48" s="10" t="s">
        <v>96</v>
      </c>
      <c r="F48" s="10"/>
      <c r="H48" s="10"/>
      <c r="I48" s="19"/>
      <c r="J48" s="10"/>
      <c r="K48" s="10"/>
      <c r="L48" s="20"/>
    </row>
    <row r="49" spans="1:12" x14ac:dyDescent="0.2">
      <c r="A49" s="18"/>
      <c r="B49" s="28"/>
      <c r="C49" s="10"/>
      <c r="D49" s="22"/>
      <c r="E49" s="10"/>
      <c r="F49" s="10"/>
      <c r="H49" s="10"/>
      <c r="I49" s="19"/>
      <c r="J49" s="10"/>
      <c r="K49" s="10"/>
      <c r="L49" s="20"/>
    </row>
    <row r="50" spans="1:12" x14ac:dyDescent="0.2">
      <c r="A50" s="25"/>
      <c r="B50" s="33" t="s">
        <v>45</v>
      </c>
      <c r="C50" s="2"/>
      <c r="D50" s="5">
        <f>+K46</f>
        <v>2192.9142124563205</v>
      </c>
      <c r="E50" s="2" t="s">
        <v>13</v>
      </c>
      <c r="F50" s="3" t="s">
        <v>29</v>
      </c>
      <c r="G50" s="5">
        <f>+D48</f>
        <v>7.62</v>
      </c>
      <c r="H50" s="2" t="s">
        <v>96</v>
      </c>
      <c r="I50" s="3" t="s">
        <v>14</v>
      </c>
      <c r="J50" s="2"/>
      <c r="K50" s="34">
        <f>+D50/G50</f>
        <v>287.78401738271924</v>
      </c>
      <c r="L50" s="8" t="s">
        <v>98</v>
      </c>
    </row>
    <row r="51" spans="1:12" ht="13.5" thickBot="1" x14ac:dyDescent="0.25">
      <c r="G51" s="22"/>
    </row>
    <row r="52" spans="1:12" ht="13.5" thickBot="1" x14ac:dyDescent="0.25">
      <c r="A52" s="52"/>
      <c r="B52" s="53" t="s">
        <v>46</v>
      </c>
      <c r="C52" s="54"/>
      <c r="D52" s="54"/>
      <c r="E52" s="54"/>
      <c r="F52" s="54"/>
      <c r="G52" s="54"/>
      <c r="H52" s="54"/>
      <c r="I52" s="54"/>
      <c r="J52" s="54"/>
      <c r="K52" s="54"/>
      <c r="L52" s="55"/>
    </row>
    <row r="53" spans="1:12" x14ac:dyDescent="0.2">
      <c r="A53" s="18"/>
      <c r="B53" s="10"/>
      <c r="C53" s="10"/>
      <c r="D53" s="10"/>
      <c r="E53" s="10"/>
      <c r="F53" s="10"/>
      <c r="H53" s="10"/>
      <c r="I53" s="10"/>
      <c r="J53" s="10"/>
      <c r="K53" s="10"/>
      <c r="L53" s="20"/>
    </row>
    <row r="54" spans="1:12" x14ac:dyDescent="0.2">
      <c r="A54" s="18"/>
      <c r="B54" s="10" t="s">
        <v>176</v>
      </c>
      <c r="C54" s="10"/>
      <c r="D54" s="10"/>
      <c r="E54" s="10"/>
      <c r="F54" s="1">
        <f>+Datos!F73</f>
        <v>4718.2825168436684</v>
      </c>
      <c r="G54" s="10" t="s">
        <v>177</v>
      </c>
      <c r="H54" s="27">
        <v>0.13123360000000001</v>
      </c>
      <c r="I54" s="19" t="s">
        <v>10</v>
      </c>
      <c r="J54" s="10"/>
      <c r="K54" s="10">
        <f>+H54*F54</f>
        <v>619.1972005024553</v>
      </c>
      <c r="L54" s="20" t="s">
        <v>98</v>
      </c>
    </row>
    <row r="55" spans="1:12" x14ac:dyDescent="0.2">
      <c r="A55" s="18"/>
      <c r="B55" s="10" t="s">
        <v>97</v>
      </c>
      <c r="C55" s="10"/>
      <c r="D55" s="10"/>
      <c r="E55" s="10"/>
      <c r="F55" s="1">
        <f>+Datos!F74</f>
        <v>639.87667009249753</v>
      </c>
      <c r="G55" s="10" t="s">
        <v>177</v>
      </c>
      <c r="H55" s="27">
        <v>0.26746740000000002</v>
      </c>
      <c r="I55" s="19" t="s">
        <v>10</v>
      </c>
      <c r="J55" s="10"/>
      <c r="K55" s="10">
        <f>+H55*F55</f>
        <v>171.14614927029808</v>
      </c>
      <c r="L55" s="20" t="s">
        <v>98</v>
      </c>
    </row>
    <row r="56" spans="1:12" x14ac:dyDescent="0.2">
      <c r="A56" s="18"/>
      <c r="B56" s="10" t="s">
        <v>178</v>
      </c>
      <c r="C56" s="10"/>
      <c r="D56" s="10"/>
      <c r="E56" s="10"/>
      <c r="F56" s="1">
        <f>+Datos!F75</f>
        <v>736.82768071257283</v>
      </c>
      <c r="G56" s="10" t="s">
        <v>177</v>
      </c>
      <c r="H56" s="27">
        <v>0.05</v>
      </c>
      <c r="I56" s="19" t="s">
        <v>10</v>
      </c>
      <c r="J56" s="10"/>
      <c r="K56" s="10">
        <f>+H56*F56</f>
        <v>36.841384035628643</v>
      </c>
      <c r="L56" s="20" t="s">
        <v>98</v>
      </c>
    </row>
    <row r="57" spans="1:12" x14ac:dyDescent="0.2">
      <c r="A57" s="18"/>
      <c r="B57" s="10"/>
      <c r="C57" s="10"/>
      <c r="D57" s="10"/>
      <c r="E57" s="10"/>
      <c r="F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+K54+K55+K56</f>
        <v>827.18473380838202</v>
      </c>
      <c r="L58" s="8" t="s">
        <v>98</v>
      </c>
    </row>
    <row r="59" spans="1:12" x14ac:dyDescent="0.2">
      <c r="G59" s="35"/>
    </row>
    <row r="60" spans="1:12" x14ac:dyDescent="0.2">
      <c r="A60" s="7"/>
      <c r="B60" s="35" t="s">
        <v>99</v>
      </c>
      <c r="C60" s="35"/>
      <c r="D60" s="35"/>
      <c r="E60" s="35"/>
      <c r="F60" s="35"/>
      <c r="G60" s="35"/>
      <c r="H60" s="35"/>
      <c r="I60" s="35"/>
      <c r="J60" s="35"/>
      <c r="K60" s="34">
        <f>+K50+K58</f>
        <v>1114.9687511911013</v>
      </c>
      <c r="L60" s="8" t="s">
        <v>98</v>
      </c>
    </row>
    <row r="61" spans="1:12" x14ac:dyDescent="0.2">
      <c r="A61" s="10"/>
      <c r="B61" s="10"/>
      <c r="C61" s="10"/>
      <c r="D61" s="10"/>
      <c r="E61" s="10"/>
      <c r="F61" s="10"/>
      <c r="G61" s="1"/>
      <c r="H61" s="10"/>
      <c r="I61" s="10"/>
      <c r="J61" s="10"/>
      <c r="K61" s="10"/>
      <c r="L61" s="10"/>
    </row>
    <row r="63" spans="1:12" x14ac:dyDescent="0.2">
      <c r="A63" s="7"/>
      <c r="B63" s="35" t="s">
        <v>54</v>
      </c>
      <c r="C63" s="35"/>
      <c r="D63" s="35"/>
      <c r="E63" s="37">
        <f>Coeficiente!D22</f>
        <v>1.7627404950000001</v>
      </c>
      <c r="F63" s="35"/>
      <c r="G63" s="35"/>
      <c r="H63" s="35"/>
      <c r="I63" s="35"/>
      <c r="J63" s="35"/>
      <c r="K63" s="35"/>
      <c r="L63" s="8"/>
    </row>
    <row r="64" spans="1:12" ht="13.5" thickBot="1" x14ac:dyDescent="0.25"/>
    <row r="65" spans="1:12" ht="20.100000000000001" customHeight="1" thickBot="1" x14ac:dyDescent="0.25">
      <c r="A65" s="11"/>
      <c r="B65" s="12" t="s">
        <v>55</v>
      </c>
      <c r="C65" s="30"/>
      <c r="D65" s="30"/>
      <c r="E65" s="30"/>
      <c r="F65" s="30"/>
      <c r="G65" s="30"/>
      <c r="H65" s="30"/>
      <c r="I65" s="30"/>
      <c r="J65" s="30"/>
      <c r="K65" s="11">
        <f>ROUND((K60*E63),2)</f>
        <v>1965.4</v>
      </c>
      <c r="L65" s="31" t="s">
        <v>98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zoomScale="70" zoomScaleNormal="70" workbookViewId="0"/>
  </sheetViews>
  <sheetFormatPr baseColWidth="10" defaultColWidth="11.5703125" defaultRowHeight="15" x14ac:dyDescent="0.25"/>
  <cols>
    <col min="1" max="1" width="17.85546875" style="155" customWidth="1"/>
    <col min="2" max="2" width="29.140625" style="155" customWidth="1"/>
    <col min="3" max="3" width="22" style="155" customWidth="1"/>
    <col min="4" max="4" width="17.7109375" style="155" bestFit="1" customWidth="1"/>
    <col min="5" max="5" width="11.5703125" style="155"/>
    <col min="6" max="6" width="27.42578125" style="155" bestFit="1" customWidth="1"/>
    <col min="7" max="7" width="28.140625" style="155" bestFit="1" customWidth="1"/>
    <col min="8" max="16384" width="11.5703125" style="155"/>
  </cols>
  <sheetData>
    <row r="2" spans="1:7" ht="15.75" thickBot="1" x14ac:dyDescent="0.3">
      <c r="A2" s="154"/>
      <c r="B2" s="154"/>
      <c r="C2" s="154"/>
      <c r="D2" s="154"/>
    </row>
    <row r="3" spans="1:7" ht="33" customHeight="1" thickBot="1" x14ac:dyDescent="0.3">
      <c r="A3" s="156" t="s">
        <v>198</v>
      </c>
      <c r="B3" s="157" t="s">
        <v>22</v>
      </c>
      <c r="C3" s="157" t="s">
        <v>199</v>
      </c>
      <c r="D3" s="158" t="s">
        <v>214</v>
      </c>
      <c r="F3" s="172" t="s">
        <v>220</v>
      </c>
      <c r="G3" s="172" t="s">
        <v>221</v>
      </c>
    </row>
    <row r="4" spans="1:7" s="163" customFormat="1" ht="24.95" customHeight="1" x14ac:dyDescent="0.2">
      <c r="A4" s="159" t="s">
        <v>200</v>
      </c>
      <c r="B4" s="160" t="s">
        <v>201</v>
      </c>
      <c r="C4" s="161" t="s">
        <v>202</v>
      </c>
      <c r="D4" s="162">
        <v>228.12</v>
      </c>
      <c r="F4" s="173">
        <f>Datos!B5*'Actualizacion '!$D$13</f>
        <v>233.27641457750948</v>
      </c>
      <c r="G4" s="173">
        <f>Datos!B5*$C$18</f>
        <v>318.11565604659137</v>
      </c>
    </row>
    <row r="5" spans="1:7" s="163" customFormat="1" ht="24.95" customHeight="1" x14ac:dyDescent="0.2">
      <c r="A5" s="159" t="s">
        <v>203</v>
      </c>
      <c r="B5" s="160" t="s">
        <v>25</v>
      </c>
      <c r="C5" s="161" t="s">
        <v>202</v>
      </c>
      <c r="D5" s="162">
        <v>194.51</v>
      </c>
      <c r="F5" s="173">
        <f>Datos!B6*'Actualizacion '!$D$13</f>
        <v>198.7527564893592</v>
      </c>
      <c r="G5" s="173">
        <f>Datos!B6*$C$18</f>
        <v>271.03624528948274</v>
      </c>
    </row>
    <row r="6" spans="1:7" s="163" customFormat="1" ht="24.95" customHeight="1" x14ac:dyDescent="0.2">
      <c r="A6" s="159" t="s">
        <v>204</v>
      </c>
      <c r="B6" s="160" t="s">
        <v>205</v>
      </c>
      <c r="C6" s="161" t="s">
        <v>202</v>
      </c>
      <c r="D6" s="162">
        <v>178.97</v>
      </c>
      <c r="F6" s="173">
        <f>Datos!B7*'Actualizacion '!$D$13</f>
        <v>182.7516760794752</v>
      </c>
      <c r="G6" s="173">
        <f>Datos!B7*$C$18</f>
        <v>249.21580449925776</v>
      </c>
    </row>
    <row r="7" spans="1:7" s="163" customFormat="1" ht="24.95" customHeight="1" x14ac:dyDescent="0.2">
      <c r="A7" s="159" t="s">
        <v>206</v>
      </c>
      <c r="B7" s="160" t="s">
        <v>24</v>
      </c>
      <c r="C7" s="161" t="s">
        <v>202</v>
      </c>
      <c r="D7" s="162">
        <v>165.31</v>
      </c>
      <c r="F7" s="173">
        <f>Datos!B8*'Actualizacion '!$D$13</f>
        <v>169.04458942503661</v>
      </c>
      <c r="G7" s="173">
        <f>Datos!B8*$C$18</f>
        <v>230.52364965170722</v>
      </c>
    </row>
    <row r="8" spans="1:7" x14ac:dyDescent="0.25">
      <c r="A8" s="154"/>
      <c r="B8" s="154"/>
      <c r="C8" s="154"/>
      <c r="D8" s="154"/>
    </row>
    <row r="10" spans="1:7" x14ac:dyDescent="0.25">
      <c r="A10" s="220" t="s">
        <v>207</v>
      </c>
      <c r="B10" s="220"/>
    </row>
    <row r="11" spans="1:7" x14ac:dyDescent="0.25">
      <c r="A11" s="164">
        <v>40969</v>
      </c>
      <c r="B11" s="165">
        <v>919.1</v>
      </c>
      <c r="C11" s="221">
        <f>+B12/B11</f>
        <v>2.1819170928081819</v>
      </c>
    </row>
    <row r="12" spans="1:7" ht="15.75" thickBot="1" x14ac:dyDescent="0.3">
      <c r="A12" s="164">
        <v>41974</v>
      </c>
      <c r="B12" s="165">
        <v>2005.4</v>
      </c>
      <c r="C12" s="221"/>
    </row>
    <row r="13" spans="1:7" ht="15.75" thickBot="1" x14ac:dyDescent="0.3">
      <c r="D13" s="169">
        <f>+C11*C14</f>
        <v>4.7396565195154103</v>
      </c>
      <c r="E13" s="155" t="s">
        <v>208</v>
      </c>
    </row>
    <row r="14" spans="1:7" x14ac:dyDescent="0.25">
      <c r="A14" s="164">
        <v>42005</v>
      </c>
      <c r="B14" s="166">
        <v>101.6</v>
      </c>
      <c r="C14" s="221">
        <f>+B15/B14</f>
        <v>2.1722440944881889</v>
      </c>
    </row>
    <row r="15" spans="1:7" x14ac:dyDescent="0.25">
      <c r="A15" s="164">
        <v>43160</v>
      </c>
      <c r="B15" s="166">
        <v>220.7</v>
      </c>
      <c r="C15" s="221"/>
    </row>
    <row r="16" spans="1:7" x14ac:dyDescent="0.25">
      <c r="B16" s="167"/>
      <c r="C16" s="167"/>
    </row>
    <row r="17" spans="1:7" ht="15.75" thickBot="1" x14ac:dyDescent="0.3"/>
    <row r="18" spans="1:7" x14ac:dyDescent="0.25">
      <c r="A18" s="155" t="s">
        <v>209</v>
      </c>
      <c r="B18" s="155">
        <v>4.3784999999999998</v>
      </c>
      <c r="C18" s="222">
        <f>+B19/B18</f>
        <v>6.4634007080050253</v>
      </c>
      <c r="D18" s="219" t="s">
        <v>208</v>
      </c>
      <c r="G18" s="177">
        <f>C18</f>
        <v>6.4634007080050253</v>
      </c>
    </row>
    <row r="19" spans="1:7" ht="15.75" thickBot="1" x14ac:dyDescent="0.3">
      <c r="A19" s="155" t="s">
        <v>222</v>
      </c>
      <c r="B19" s="155">
        <v>28.3</v>
      </c>
      <c r="C19" s="223"/>
      <c r="D19" s="219"/>
    </row>
    <row r="20" spans="1:7" x14ac:dyDescent="0.25">
      <c r="E20" s="220" t="s">
        <v>213</v>
      </c>
      <c r="F20" s="220"/>
    </row>
    <row r="21" spans="1:7" x14ac:dyDescent="0.25">
      <c r="A21" s="170" t="s">
        <v>210</v>
      </c>
      <c r="B21" s="155" t="s">
        <v>211</v>
      </c>
      <c r="D21" s="168">
        <v>1199271</v>
      </c>
      <c r="E21" s="218">
        <f>+D22/D21</f>
        <v>4.6963530344684399</v>
      </c>
      <c r="F21" s="218"/>
    </row>
    <row r="22" spans="1:7" x14ac:dyDescent="0.25">
      <c r="B22" s="155" t="s">
        <v>212</v>
      </c>
      <c r="D22" s="168">
        <v>5632200</v>
      </c>
      <c r="E22" s="218"/>
      <c r="F22" s="218"/>
    </row>
    <row r="23" spans="1:7" x14ac:dyDescent="0.25">
      <c r="D23" s="176">
        <f>D21*E21</f>
        <v>5632200</v>
      </c>
    </row>
    <row r="24" spans="1:7" ht="13.9" customHeight="1" x14ac:dyDescent="0.25"/>
  </sheetData>
  <mergeCells count="7">
    <mergeCell ref="E21:F22"/>
    <mergeCell ref="D18:D19"/>
    <mergeCell ref="A10:B10"/>
    <mergeCell ref="C11:C12"/>
    <mergeCell ref="C14:C15"/>
    <mergeCell ref="C18:C19"/>
    <mergeCell ref="E20:F20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2"/>
  <sheetViews>
    <sheetView zoomScaleNormal="100" workbookViewId="0">
      <selection activeCell="N14" sqref="N14"/>
    </sheetView>
  </sheetViews>
  <sheetFormatPr baseColWidth="10" defaultRowHeight="12.75" x14ac:dyDescent="0.2"/>
  <cols>
    <col min="1" max="1" width="42.42578125" bestFit="1" customWidth="1"/>
    <col min="3" max="3" width="7" bestFit="1" customWidth="1"/>
    <col min="4" max="4" width="7.5703125" bestFit="1" customWidth="1"/>
  </cols>
  <sheetData>
    <row r="5" spans="1:4" s="1" customFormat="1" x14ac:dyDescent="0.2">
      <c r="A5" s="60" t="s">
        <v>100</v>
      </c>
      <c r="B5"/>
      <c r="C5"/>
      <c r="D5"/>
    </row>
    <row r="6" spans="1:4" s="1" customFormat="1" x14ac:dyDescent="0.2">
      <c r="A6"/>
      <c r="B6"/>
      <c r="C6"/>
      <c r="D6"/>
    </row>
    <row r="7" spans="1:4" s="1" customFormat="1" x14ac:dyDescent="0.2">
      <c r="A7"/>
      <c r="B7"/>
      <c r="C7"/>
      <c r="D7"/>
    </row>
    <row r="8" spans="1:4" s="1" customFormat="1" x14ac:dyDescent="0.2">
      <c r="A8"/>
      <c r="B8"/>
      <c r="C8"/>
      <c r="D8"/>
    </row>
    <row r="9" spans="1:4" s="1" customFormat="1" x14ac:dyDescent="0.2">
      <c r="A9" s="61" t="s">
        <v>130</v>
      </c>
      <c r="B9" s="62"/>
      <c r="C9" s="63"/>
      <c r="D9" s="64">
        <v>1</v>
      </c>
    </row>
    <row r="10" spans="1:4" s="1" customFormat="1" x14ac:dyDescent="0.2">
      <c r="A10" s="65"/>
      <c r="B10" s="66"/>
      <c r="C10" s="67"/>
      <c r="D10" s="68"/>
    </row>
    <row r="11" spans="1:4" x14ac:dyDescent="0.2">
      <c r="A11" s="65" t="s">
        <v>131</v>
      </c>
      <c r="B11" s="66"/>
      <c r="C11" s="67">
        <v>0.25</v>
      </c>
      <c r="D11" s="68">
        <f>D9*C11</f>
        <v>0.25</v>
      </c>
    </row>
    <row r="12" spans="1:4" s="56" customFormat="1" x14ac:dyDescent="0.2">
      <c r="A12" s="65" t="s">
        <v>132</v>
      </c>
      <c r="B12" s="66"/>
      <c r="C12" s="67">
        <v>0.1</v>
      </c>
      <c r="D12" s="68">
        <f>D9*C12</f>
        <v>0.1</v>
      </c>
    </row>
    <row r="13" spans="1:4" x14ac:dyDescent="0.2">
      <c r="A13" s="65"/>
      <c r="B13" s="66"/>
      <c r="C13" s="67"/>
      <c r="D13" s="69">
        <f>SUM(D9:D12)</f>
        <v>1.35</v>
      </c>
    </row>
    <row r="14" spans="1:4" s="57" customFormat="1" ht="36.75" customHeight="1" x14ac:dyDescent="0.2">
      <c r="A14" s="65"/>
      <c r="B14" s="66"/>
      <c r="C14" s="67"/>
      <c r="D14" s="68"/>
    </row>
    <row r="15" spans="1:4" s="57" customFormat="1" ht="36.75" customHeight="1" x14ac:dyDescent="0.2">
      <c r="A15" s="65" t="s">
        <v>133</v>
      </c>
      <c r="B15" s="66"/>
      <c r="C15" s="67">
        <f>0.0157*3</f>
        <v>4.7099999999999996E-2</v>
      </c>
      <c r="D15" s="68">
        <f>D13*C15</f>
        <v>6.3585000000000003E-2</v>
      </c>
    </row>
    <row r="16" spans="1:4" s="57" customFormat="1" ht="36.75" customHeight="1" x14ac:dyDescent="0.2">
      <c r="A16" s="65" t="s">
        <v>134</v>
      </c>
      <c r="B16" s="66"/>
      <c r="C16" s="67"/>
      <c r="D16" s="69">
        <f>SUM(D13:D15)</f>
        <v>1.4135850000000001</v>
      </c>
    </row>
    <row r="17" spans="1:4" s="57" customFormat="1" ht="36.75" customHeight="1" x14ac:dyDescent="0.2">
      <c r="A17" s="65"/>
      <c r="B17" s="66"/>
      <c r="C17" s="67"/>
      <c r="D17" s="68"/>
    </row>
    <row r="18" spans="1:4" s="57" customFormat="1" ht="36.75" customHeight="1" x14ac:dyDescent="0.2">
      <c r="A18" s="70" t="s">
        <v>135</v>
      </c>
      <c r="B18" s="71"/>
      <c r="C18" s="72">
        <v>3.6999999999999998E-2</v>
      </c>
      <c r="D18" s="73">
        <f>D16*C18</f>
        <v>5.2302645000000002E-2</v>
      </c>
    </row>
    <row r="19" spans="1:4" s="57" customFormat="1" ht="36.75" customHeight="1" x14ac:dyDescent="0.2">
      <c r="A19" s="70" t="s">
        <v>136</v>
      </c>
      <c r="B19" s="71"/>
      <c r="C19" s="72"/>
      <c r="D19" s="73">
        <f>SUM(D16:D18)</f>
        <v>1.465887645</v>
      </c>
    </row>
    <row r="20" spans="1:4" ht="23.25" customHeight="1" x14ac:dyDescent="0.2">
      <c r="A20" s="70"/>
      <c r="B20" s="71"/>
      <c r="C20" s="72"/>
      <c r="D20" s="73"/>
    </row>
    <row r="21" spans="1:4" x14ac:dyDescent="0.2">
      <c r="A21" s="74" t="s">
        <v>137</v>
      </c>
      <c r="B21" s="75"/>
      <c r="C21" s="76">
        <v>0.21</v>
      </c>
      <c r="D21" s="77">
        <f>D16*C21</f>
        <v>0.29685285</v>
      </c>
    </row>
    <row r="22" spans="1:4" ht="13.5" thickBot="1" x14ac:dyDescent="0.25">
      <c r="A22" s="61"/>
      <c r="B22" s="78"/>
      <c r="C22" s="79"/>
      <c r="D22" s="80">
        <f>D19+D21</f>
        <v>1.7627404950000001</v>
      </c>
    </row>
  </sheetData>
  <phoneticPr fontId="0" type="noConversion"/>
  <printOptions horizontalCentered="1"/>
  <pageMargins left="1.3779527559055118" right="0.59055118110236227" top="0.59055118110236227" bottom="0.59055118110236227" header="0" footer="0"/>
  <pageSetup paperSize="9" scale="8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5"/>
  <sheetViews>
    <sheetView zoomScale="70" zoomScaleNormal="70" workbookViewId="0"/>
  </sheetViews>
  <sheetFormatPr baseColWidth="10" defaultRowHeight="12.75" x14ac:dyDescent="0.2"/>
  <cols>
    <col min="1" max="1" width="38.28515625" bestFit="1" customWidth="1"/>
    <col min="2" max="2" width="22.85546875" customWidth="1"/>
    <col min="4" max="4" width="12.7109375" bestFit="1" customWidth="1"/>
    <col min="5" max="5" width="16.42578125" customWidth="1"/>
    <col min="6" max="6" width="25.28515625" customWidth="1"/>
    <col min="7" max="7" width="19" style="83" customWidth="1"/>
  </cols>
  <sheetData>
    <row r="1" spans="1:7" ht="13.5" thickBot="1" x14ac:dyDescent="0.25">
      <c r="D1" s="224" t="s">
        <v>227</v>
      </c>
      <c r="E1" s="225"/>
      <c r="F1" s="226"/>
      <c r="G1" s="178">
        <f>+'Actualizacion '!G18</f>
        <v>6.4634007080050253</v>
      </c>
    </row>
    <row r="2" spans="1:7" ht="13.5" thickBot="1" x14ac:dyDescent="0.25">
      <c r="D2" s="224" t="s">
        <v>226</v>
      </c>
      <c r="E2" s="225"/>
      <c r="F2" s="226"/>
      <c r="G2" s="178">
        <f>+'Actualizacion '!D13</f>
        <v>4.7396565195154103</v>
      </c>
    </row>
    <row r="3" spans="1:7" ht="13.5" thickBot="1" x14ac:dyDescent="0.25">
      <c r="A3" t="s">
        <v>160</v>
      </c>
      <c r="B3" s="150">
        <v>40969</v>
      </c>
    </row>
    <row r="4" spans="1:7" ht="13.5" thickBot="1" x14ac:dyDescent="0.25">
      <c r="F4" s="179" t="s">
        <v>223</v>
      </c>
      <c r="G4" s="180" t="s">
        <v>225</v>
      </c>
    </row>
    <row r="5" spans="1:7" x14ac:dyDescent="0.2">
      <c r="A5" t="s">
        <v>23</v>
      </c>
      <c r="B5" s="148">
        <v>49.218000000000004</v>
      </c>
      <c r="E5">
        <f>B5*$G$2</f>
        <v>233.27641457750948</v>
      </c>
      <c r="F5" s="184">
        <v>224.79</v>
      </c>
      <c r="G5" s="181" t="s">
        <v>224</v>
      </c>
    </row>
    <row r="6" spans="1:7" x14ac:dyDescent="0.2">
      <c r="A6" t="s">
        <v>25</v>
      </c>
      <c r="B6" s="148">
        <v>41.933999999999997</v>
      </c>
      <c r="E6">
        <f>B6*$G$2</f>
        <v>198.7527564893592</v>
      </c>
      <c r="F6" s="185">
        <v>191.66</v>
      </c>
      <c r="G6" s="182" t="s">
        <v>224</v>
      </c>
    </row>
    <row r="7" spans="1:7" x14ac:dyDescent="0.2">
      <c r="A7" t="s">
        <v>37</v>
      </c>
      <c r="B7" s="148">
        <v>38.558</v>
      </c>
      <c r="E7">
        <f>B7*$G$2</f>
        <v>182.7516760794752</v>
      </c>
      <c r="F7" s="185">
        <v>176.37</v>
      </c>
      <c r="G7" s="182" t="s">
        <v>224</v>
      </c>
    </row>
    <row r="8" spans="1:7" ht="13.5" thickBot="1" x14ac:dyDescent="0.25">
      <c r="A8" t="s">
        <v>24</v>
      </c>
      <c r="B8" s="148">
        <v>35.665999999999997</v>
      </c>
      <c r="E8">
        <f>B8*$G$2</f>
        <v>169.04458942503661</v>
      </c>
      <c r="F8" s="186">
        <v>162.9</v>
      </c>
      <c r="G8" s="183" t="s">
        <v>224</v>
      </c>
    </row>
    <row r="9" spans="1:7" x14ac:dyDescent="0.2">
      <c r="B9" s="148"/>
    </row>
    <row r="10" spans="1:7" x14ac:dyDescent="0.2">
      <c r="A10" t="s">
        <v>161</v>
      </c>
      <c r="B10" s="149">
        <v>5</v>
      </c>
      <c r="F10" s="185">
        <v>23.56</v>
      </c>
      <c r="G10" s="182" t="s">
        <v>229</v>
      </c>
    </row>
    <row r="13" spans="1:7" ht="13.5" thickBot="1" x14ac:dyDescent="0.25">
      <c r="C13" s="84" t="s">
        <v>17</v>
      </c>
      <c r="D13" s="84" t="s">
        <v>162</v>
      </c>
    </row>
    <row r="14" spans="1:7" x14ac:dyDescent="0.2">
      <c r="A14" s="10" t="s">
        <v>35</v>
      </c>
      <c r="C14" s="83">
        <v>145</v>
      </c>
      <c r="D14" s="147">
        <v>1114756.46</v>
      </c>
      <c r="E14" s="171"/>
      <c r="F14" s="184">
        <f>D14*$G$1</f>
        <v>7205117.6928171758</v>
      </c>
      <c r="G14" s="187" t="s">
        <v>228</v>
      </c>
    </row>
    <row r="15" spans="1:7" x14ac:dyDescent="0.2">
      <c r="A15" s="10" t="s">
        <v>2</v>
      </c>
      <c r="C15" s="83">
        <v>120</v>
      </c>
      <c r="D15" s="147">
        <v>853330.87</v>
      </c>
      <c r="E15" s="171"/>
      <c r="F15" s="185">
        <f t="shared" ref="F15:F30" si="0">D15*$G$1</f>
        <v>5515419.3493205439</v>
      </c>
      <c r="G15" s="182" t="s">
        <v>228</v>
      </c>
    </row>
    <row r="16" spans="1:7" x14ac:dyDescent="0.2">
      <c r="A16" s="10" t="s">
        <v>1</v>
      </c>
      <c r="C16" s="83">
        <v>250</v>
      </c>
      <c r="D16" s="147">
        <v>3524044.66</v>
      </c>
      <c r="E16" s="171"/>
      <c r="F16" s="185">
        <f t="shared" si="0"/>
        <v>22777312.750485331</v>
      </c>
      <c r="G16" s="182" t="s">
        <v>228</v>
      </c>
    </row>
    <row r="17" spans="1:7" x14ac:dyDescent="0.2">
      <c r="A17" s="10" t="s">
        <v>59</v>
      </c>
      <c r="C17" s="83">
        <v>115</v>
      </c>
      <c r="D17" s="147">
        <v>743170.97333333327</v>
      </c>
      <c r="E17" s="171"/>
      <c r="F17" s="185">
        <f t="shared" si="0"/>
        <v>4803411.7952114502</v>
      </c>
      <c r="G17" s="182" t="s">
        <v>228</v>
      </c>
    </row>
    <row r="18" spans="1:7" x14ac:dyDescent="0.2">
      <c r="A18" s="10" t="s">
        <v>60</v>
      </c>
      <c r="C18" s="83">
        <v>120</v>
      </c>
      <c r="D18" s="147">
        <v>235673.16</v>
      </c>
      <c r="E18" s="171"/>
      <c r="F18" s="185">
        <f t="shared" si="0"/>
        <v>1523250.0692017816</v>
      </c>
      <c r="G18" s="182" t="s">
        <v>228</v>
      </c>
    </row>
    <row r="19" spans="1:7" x14ac:dyDescent="0.2">
      <c r="A19" t="s">
        <v>65</v>
      </c>
      <c r="C19" s="83">
        <v>60</v>
      </c>
      <c r="D19" s="147">
        <v>371585.48666666663</v>
      </c>
      <c r="E19" s="171"/>
      <c r="F19" s="185">
        <f t="shared" si="0"/>
        <v>2401705.8976057251</v>
      </c>
      <c r="G19" s="182" t="s">
        <v>228</v>
      </c>
    </row>
    <row r="20" spans="1:7" x14ac:dyDescent="0.2">
      <c r="A20" t="s">
        <v>67</v>
      </c>
      <c r="C20" s="83">
        <v>90</v>
      </c>
      <c r="D20" s="147">
        <v>859432.72</v>
      </c>
      <c r="E20" s="171"/>
      <c r="F20" s="185">
        <f t="shared" si="0"/>
        <v>5554858.0509306844</v>
      </c>
      <c r="G20" s="182" t="s">
        <v>228</v>
      </c>
    </row>
    <row r="21" spans="1:7" x14ac:dyDescent="0.2">
      <c r="A21" t="s">
        <v>66</v>
      </c>
      <c r="C21" s="83">
        <v>80</v>
      </c>
      <c r="D21" s="147">
        <v>371585.48666666663</v>
      </c>
      <c r="E21" s="171"/>
      <c r="F21" s="185">
        <f t="shared" si="0"/>
        <v>2401705.8976057251</v>
      </c>
      <c r="G21" s="182" t="s">
        <v>228</v>
      </c>
    </row>
    <row r="22" spans="1:7" x14ac:dyDescent="0.2">
      <c r="A22" t="s">
        <v>36</v>
      </c>
      <c r="C22" s="83">
        <v>120</v>
      </c>
      <c r="D22" s="147">
        <v>235673.16</v>
      </c>
      <c r="E22" s="171"/>
      <c r="F22" s="185">
        <f t="shared" si="0"/>
        <v>1523250.0692017816</v>
      </c>
      <c r="G22" s="182" t="s">
        <v>228</v>
      </c>
    </row>
    <row r="23" spans="1:7" x14ac:dyDescent="0.2">
      <c r="A23" s="10" t="s">
        <v>59</v>
      </c>
      <c r="C23" s="83">
        <v>75</v>
      </c>
      <c r="D23" s="147">
        <v>245375</v>
      </c>
      <c r="E23" s="171"/>
      <c r="F23" s="185">
        <f t="shared" si="0"/>
        <v>1585956.948726733</v>
      </c>
      <c r="G23" s="182" t="s">
        <v>228</v>
      </c>
    </row>
    <row r="24" spans="1:7" x14ac:dyDescent="0.2">
      <c r="A24" t="s">
        <v>69</v>
      </c>
      <c r="C24" s="83">
        <v>140</v>
      </c>
      <c r="D24" s="147">
        <v>675609.97575757583</v>
      </c>
      <c r="E24" s="171"/>
      <c r="F24" s="185">
        <f t="shared" si="0"/>
        <v>4366737.9956467738</v>
      </c>
      <c r="G24" s="182" t="s">
        <v>228</v>
      </c>
    </row>
    <row r="25" spans="1:7" x14ac:dyDescent="0.2">
      <c r="A25" t="s">
        <v>164</v>
      </c>
      <c r="C25" s="83">
        <v>125</v>
      </c>
      <c r="D25" s="147">
        <v>334426.93799999997</v>
      </c>
      <c r="E25" s="171"/>
      <c r="F25" s="185">
        <f t="shared" si="0"/>
        <v>2161535.3078451524</v>
      </c>
      <c r="G25" s="182" t="s">
        <v>228</v>
      </c>
    </row>
    <row r="26" spans="1:7" x14ac:dyDescent="0.2">
      <c r="A26" t="s">
        <v>167</v>
      </c>
      <c r="C26" s="83">
        <v>300</v>
      </c>
      <c r="D26" s="147">
        <v>2686563.0685999999</v>
      </c>
      <c r="E26" s="171"/>
      <c r="F26" s="185">
        <f t="shared" si="0"/>
        <v>17364333.639689393</v>
      </c>
      <c r="G26" s="182" t="s">
        <v>228</v>
      </c>
    </row>
    <row r="27" spans="1:7" x14ac:dyDescent="0.2">
      <c r="A27" t="s">
        <v>168</v>
      </c>
      <c r="C27" s="83">
        <v>120</v>
      </c>
      <c r="D27" s="147">
        <v>1170494.2830000001</v>
      </c>
      <c r="E27" s="171"/>
      <c r="F27" s="185">
        <f t="shared" si="0"/>
        <v>7565373.5774580352</v>
      </c>
      <c r="G27" s="182" t="s">
        <v>228</v>
      </c>
    </row>
    <row r="28" spans="1:7" x14ac:dyDescent="0.2">
      <c r="A28" t="s">
        <v>169</v>
      </c>
      <c r="C28" s="83">
        <v>110</v>
      </c>
      <c r="D28" s="147">
        <v>222951.29200000002</v>
      </c>
      <c r="E28" s="171"/>
      <c r="F28" s="185">
        <f t="shared" si="0"/>
        <v>1441023.5385634352</v>
      </c>
      <c r="G28" s="182" t="s">
        <v>228</v>
      </c>
    </row>
    <row r="29" spans="1:7" x14ac:dyDescent="0.2">
      <c r="A29" t="s">
        <v>171</v>
      </c>
      <c r="C29" s="83">
        <v>45</v>
      </c>
      <c r="D29" s="147">
        <v>144918.33979999999</v>
      </c>
      <c r="E29" s="171"/>
      <c r="F29" s="185">
        <f t="shared" si="0"/>
        <v>936665.3000662328</v>
      </c>
      <c r="G29" s="182" t="s">
        <v>228</v>
      </c>
    </row>
    <row r="30" spans="1:7" ht="13.5" thickBot="1" x14ac:dyDescent="0.25">
      <c r="A30" t="s">
        <v>172</v>
      </c>
      <c r="C30" s="83">
        <v>0</v>
      </c>
      <c r="D30" s="147">
        <v>33442.693800000001</v>
      </c>
      <c r="E30" s="171"/>
      <c r="F30" s="186">
        <f t="shared" si="0"/>
        <v>216153.53078451529</v>
      </c>
      <c r="G30" s="183" t="s">
        <v>228</v>
      </c>
    </row>
    <row r="34" spans="1:7" x14ac:dyDescent="0.2">
      <c r="A34" s="98" t="s">
        <v>197</v>
      </c>
      <c r="B34" s="98"/>
      <c r="C34" s="56"/>
    </row>
    <row r="40" spans="1:7" x14ac:dyDescent="0.2">
      <c r="A40" s="136" t="s">
        <v>180</v>
      </c>
      <c r="B40" s="136"/>
      <c r="C40" s="136"/>
      <c r="D40" s="151">
        <v>55</v>
      </c>
      <c r="E40" s="136" t="s">
        <v>49</v>
      </c>
      <c r="F40" s="185">
        <f>D40*$G$1</f>
        <v>355.48703894027642</v>
      </c>
      <c r="G40" s="182" t="s">
        <v>228</v>
      </c>
    </row>
    <row r="41" spans="1:7" x14ac:dyDescent="0.2">
      <c r="A41" s="113" t="s">
        <v>181</v>
      </c>
      <c r="B41" s="113"/>
      <c r="C41" s="113"/>
      <c r="D41" s="152">
        <v>60</v>
      </c>
      <c r="E41" s="113" t="s">
        <v>49</v>
      </c>
      <c r="F41" s="185">
        <f>D41*$G$1</f>
        <v>387.80404248030152</v>
      </c>
      <c r="G41" s="182" t="s">
        <v>228</v>
      </c>
    </row>
    <row r="43" spans="1:7" x14ac:dyDescent="0.2">
      <c r="A43" s="10" t="s">
        <v>71</v>
      </c>
      <c r="B43" s="10"/>
      <c r="C43" s="10"/>
      <c r="D43" s="87">
        <v>112.79</v>
      </c>
      <c r="E43" s="91" t="s">
        <v>68</v>
      </c>
      <c r="F43" s="185">
        <f>D43*$G$1</f>
        <v>729.00696585588685</v>
      </c>
      <c r="G43" s="182" t="s">
        <v>228</v>
      </c>
    </row>
    <row r="44" spans="1:7" x14ac:dyDescent="0.2">
      <c r="A44" s="10" t="s">
        <v>73</v>
      </c>
      <c r="B44" s="10"/>
      <c r="C44" s="10"/>
      <c r="D44" s="87">
        <v>7.25</v>
      </c>
      <c r="E44" s="91" t="s">
        <v>49</v>
      </c>
      <c r="F44" s="185">
        <f t="shared" ref="F44:F51" si="1">D44*$G$1</f>
        <v>46.859655133036433</v>
      </c>
      <c r="G44" s="182" t="s">
        <v>228</v>
      </c>
    </row>
    <row r="45" spans="1:7" x14ac:dyDescent="0.2">
      <c r="A45" s="10" t="s">
        <v>74</v>
      </c>
      <c r="B45" s="10"/>
      <c r="C45" s="10"/>
      <c r="D45" s="87">
        <v>7.25</v>
      </c>
      <c r="E45" s="91" t="s">
        <v>49</v>
      </c>
      <c r="F45" s="185">
        <f t="shared" si="1"/>
        <v>46.859655133036433</v>
      </c>
      <c r="G45" s="182" t="s">
        <v>228</v>
      </c>
    </row>
    <row r="46" spans="1:7" x14ac:dyDescent="0.2">
      <c r="A46" s="10" t="s">
        <v>75</v>
      </c>
      <c r="B46" s="10"/>
      <c r="C46" s="10"/>
      <c r="D46" s="87">
        <v>2</v>
      </c>
      <c r="E46" s="91" t="s">
        <v>49</v>
      </c>
      <c r="F46" s="185">
        <f t="shared" si="1"/>
        <v>12.926801416010051</v>
      </c>
      <c r="G46" s="182" t="s">
        <v>228</v>
      </c>
    </row>
    <row r="47" spans="1:7" x14ac:dyDescent="0.2">
      <c r="A47" s="10" t="s">
        <v>76</v>
      </c>
      <c r="B47" s="10"/>
      <c r="C47" s="10"/>
      <c r="D47" s="87">
        <v>651</v>
      </c>
      <c r="E47" s="91" t="s">
        <v>49</v>
      </c>
      <c r="F47" s="185">
        <f t="shared" si="1"/>
        <v>4207.6738609112717</v>
      </c>
      <c r="G47" s="182" t="s">
        <v>228</v>
      </c>
    </row>
    <row r="48" spans="1:7" x14ac:dyDescent="0.2">
      <c r="A48" s="10" t="s">
        <v>77</v>
      </c>
      <c r="B48" s="10"/>
      <c r="C48" s="10"/>
      <c r="D48" s="87">
        <v>2</v>
      </c>
      <c r="E48" s="91" t="s">
        <v>78</v>
      </c>
      <c r="F48" s="185">
        <f t="shared" si="1"/>
        <v>12.926801416010051</v>
      </c>
      <c r="G48" s="182" t="s">
        <v>228</v>
      </c>
    </row>
    <row r="50" spans="1:7" x14ac:dyDescent="0.2">
      <c r="A50" s="10" t="s">
        <v>122</v>
      </c>
      <c r="B50" s="10"/>
      <c r="C50" s="10"/>
      <c r="D50" s="87">
        <v>53</v>
      </c>
      <c r="E50" s="10" t="s">
        <v>110</v>
      </c>
      <c r="F50" s="185">
        <f t="shared" si="1"/>
        <v>342.56023752426631</v>
      </c>
      <c r="G50" s="182" t="s">
        <v>228</v>
      </c>
    </row>
    <row r="51" spans="1:7" x14ac:dyDescent="0.2">
      <c r="A51" s="10" t="s">
        <v>116</v>
      </c>
      <c r="B51" s="10"/>
      <c r="C51" s="10"/>
      <c r="D51" s="87">
        <v>34</v>
      </c>
      <c r="E51" s="10" t="s">
        <v>117</v>
      </c>
      <c r="F51" s="185">
        <f t="shared" si="1"/>
        <v>219.75562407217086</v>
      </c>
      <c r="G51" s="182" t="s">
        <v>228</v>
      </c>
    </row>
    <row r="53" spans="1:7" x14ac:dyDescent="0.2">
      <c r="A53" s="35" t="s">
        <v>119</v>
      </c>
      <c r="B53" s="90">
        <v>1400</v>
      </c>
      <c r="C53" s="36" t="s">
        <v>120</v>
      </c>
      <c r="D53" s="89">
        <v>8.0000000000000002E-3</v>
      </c>
      <c r="E53" s="35" t="s">
        <v>121</v>
      </c>
      <c r="F53" s="185">
        <f>D53*$G$1</f>
        <v>5.1707205664040204E-2</v>
      </c>
      <c r="G53" s="182" t="s">
        <v>228</v>
      </c>
    </row>
    <row r="55" spans="1:7" x14ac:dyDescent="0.2">
      <c r="A55" s="10" t="s">
        <v>112</v>
      </c>
      <c r="B55" s="10"/>
      <c r="C55" s="10"/>
      <c r="D55" s="87">
        <v>35</v>
      </c>
      <c r="E55" s="10" t="s">
        <v>49</v>
      </c>
      <c r="F55" s="185">
        <f t="shared" ref="F55:F75" si="2">D55*$G$1</f>
        <v>226.21902478017589</v>
      </c>
      <c r="G55" s="182" t="s">
        <v>228</v>
      </c>
    </row>
    <row r="56" spans="1:7" x14ac:dyDescent="0.2">
      <c r="A56" s="10" t="s">
        <v>113</v>
      </c>
      <c r="B56" s="10"/>
      <c r="C56" s="10"/>
      <c r="D56" s="87">
        <v>2</v>
      </c>
      <c r="E56" s="10" t="s">
        <v>49</v>
      </c>
      <c r="F56" s="185">
        <f t="shared" si="2"/>
        <v>12.926801416010051</v>
      </c>
      <c r="G56" s="182" t="s">
        <v>228</v>
      </c>
    </row>
    <row r="57" spans="1:7" x14ac:dyDescent="0.2">
      <c r="A57" s="10" t="s">
        <v>114</v>
      </c>
      <c r="B57" s="10"/>
      <c r="C57" s="10"/>
      <c r="D57" s="87">
        <v>1.6</v>
      </c>
      <c r="E57" s="10" t="s">
        <v>108</v>
      </c>
      <c r="F57" s="185">
        <f t="shared" si="2"/>
        <v>10.341441132808042</v>
      </c>
      <c r="G57" s="182" t="s">
        <v>228</v>
      </c>
    </row>
    <row r="59" spans="1:7" x14ac:dyDescent="0.2">
      <c r="A59" s="10" t="s">
        <v>70</v>
      </c>
      <c r="B59" s="10"/>
      <c r="C59" s="10"/>
      <c r="D59" s="87">
        <v>330</v>
      </c>
      <c r="E59" s="10" t="s">
        <v>102</v>
      </c>
      <c r="F59" s="185">
        <f t="shared" si="2"/>
        <v>2132.9222336416583</v>
      </c>
      <c r="G59" s="182" t="s">
        <v>228</v>
      </c>
    </row>
    <row r="60" spans="1:7" x14ac:dyDescent="0.2">
      <c r="A60" s="10" t="s">
        <v>125</v>
      </c>
      <c r="B60" s="10"/>
      <c r="C60" s="10"/>
      <c r="D60" s="87">
        <v>330</v>
      </c>
      <c r="E60" s="10" t="s">
        <v>103</v>
      </c>
      <c r="F60" s="185">
        <f t="shared" si="2"/>
        <v>2132.9222336416583</v>
      </c>
      <c r="G60" s="182" t="s">
        <v>228</v>
      </c>
    </row>
    <row r="62" spans="1:7" x14ac:dyDescent="0.2">
      <c r="A62" s="10" t="s">
        <v>86</v>
      </c>
      <c r="B62" s="10"/>
      <c r="C62" s="10"/>
      <c r="D62" s="87">
        <v>6.03</v>
      </c>
      <c r="E62" s="10" t="s">
        <v>87</v>
      </c>
      <c r="F62" s="185">
        <f t="shared" si="2"/>
        <v>38.974306269270308</v>
      </c>
      <c r="G62" s="182" t="s">
        <v>228</v>
      </c>
    </row>
    <row r="63" spans="1:7" x14ac:dyDescent="0.2">
      <c r="A63" s="10" t="s">
        <v>89</v>
      </c>
      <c r="B63" s="10"/>
      <c r="C63" s="10"/>
      <c r="D63" s="87">
        <v>22</v>
      </c>
      <c r="E63" s="10" t="s">
        <v>87</v>
      </c>
      <c r="F63" s="185">
        <f t="shared" si="2"/>
        <v>142.19481557611056</v>
      </c>
      <c r="G63" s="182" t="s">
        <v>228</v>
      </c>
    </row>
    <row r="64" spans="1:7" x14ac:dyDescent="0.2">
      <c r="A64" s="10" t="s">
        <v>90</v>
      </c>
      <c r="B64" s="10"/>
      <c r="C64" s="10"/>
      <c r="D64" s="87">
        <v>230</v>
      </c>
      <c r="E64" s="10" t="s">
        <v>87</v>
      </c>
      <c r="F64" s="185">
        <f t="shared" si="2"/>
        <v>1486.5821628411559</v>
      </c>
      <c r="G64" s="182" t="s">
        <v>228</v>
      </c>
    </row>
    <row r="65" spans="1:7" x14ac:dyDescent="0.2">
      <c r="A65" s="10" t="s">
        <v>104</v>
      </c>
      <c r="B65" s="10"/>
      <c r="C65" s="10"/>
      <c r="D65" s="87">
        <v>272</v>
      </c>
      <c r="E65" s="10" t="s">
        <v>87</v>
      </c>
      <c r="F65" s="185">
        <f t="shared" si="2"/>
        <v>1758.0449925773669</v>
      </c>
      <c r="G65" s="182" t="s">
        <v>228</v>
      </c>
    </row>
    <row r="66" spans="1:7" x14ac:dyDescent="0.2">
      <c r="A66" s="10" t="s">
        <v>105</v>
      </c>
      <c r="B66" s="10"/>
      <c r="C66" s="10"/>
      <c r="D66" s="87">
        <v>91.05</v>
      </c>
      <c r="E66" s="10" t="s">
        <v>87</v>
      </c>
      <c r="F66" s="185">
        <f t="shared" si="2"/>
        <v>588.49263446385748</v>
      </c>
      <c r="G66" s="182" t="s">
        <v>228</v>
      </c>
    </row>
    <row r="68" spans="1:7" x14ac:dyDescent="0.2">
      <c r="A68" s="10" t="s">
        <v>127</v>
      </c>
      <c r="B68" s="10"/>
      <c r="C68" s="10"/>
      <c r="D68" s="87">
        <v>290</v>
      </c>
      <c r="E68" s="10" t="s">
        <v>103</v>
      </c>
      <c r="F68" s="185">
        <f t="shared" si="2"/>
        <v>1874.3862053214573</v>
      </c>
      <c r="G68" s="182" t="s">
        <v>228</v>
      </c>
    </row>
    <row r="69" spans="1:7" x14ac:dyDescent="0.2">
      <c r="A69" s="10" t="s">
        <v>128</v>
      </c>
      <c r="B69" s="10"/>
      <c r="C69" s="10"/>
      <c r="D69" s="87">
        <v>35</v>
      </c>
      <c r="E69" s="10" t="s">
        <v>103</v>
      </c>
      <c r="F69" s="185">
        <f t="shared" si="2"/>
        <v>226.21902478017589</v>
      </c>
      <c r="G69" s="182" t="s">
        <v>228</v>
      </c>
    </row>
    <row r="70" spans="1:7" x14ac:dyDescent="0.2">
      <c r="A70" s="10" t="s">
        <v>129</v>
      </c>
      <c r="B70" s="10"/>
      <c r="C70" s="10"/>
      <c r="D70" s="87">
        <v>35</v>
      </c>
      <c r="E70" s="10" t="s">
        <v>103</v>
      </c>
      <c r="F70" s="185">
        <f t="shared" si="2"/>
        <v>226.21902478017589</v>
      </c>
      <c r="G70" s="182" t="s">
        <v>228</v>
      </c>
    </row>
    <row r="71" spans="1:7" x14ac:dyDescent="0.2">
      <c r="A71" s="10" t="s">
        <v>50</v>
      </c>
      <c r="B71" s="10"/>
      <c r="C71" s="10"/>
      <c r="D71" s="87">
        <v>35</v>
      </c>
      <c r="E71" s="10" t="s">
        <v>103</v>
      </c>
      <c r="F71" s="185">
        <f t="shared" si="2"/>
        <v>226.21902478017589</v>
      </c>
      <c r="G71" s="182" t="s">
        <v>228</v>
      </c>
    </row>
    <row r="73" spans="1:7" x14ac:dyDescent="0.2">
      <c r="A73" s="10" t="s">
        <v>176</v>
      </c>
      <c r="B73" s="10"/>
      <c r="C73" s="10"/>
      <c r="D73" s="88">
        <v>730</v>
      </c>
      <c r="E73" s="10" t="s">
        <v>177</v>
      </c>
      <c r="F73" s="185">
        <f t="shared" si="2"/>
        <v>4718.2825168436684</v>
      </c>
      <c r="G73" s="182" t="s">
        <v>228</v>
      </c>
    </row>
    <row r="74" spans="1:7" x14ac:dyDescent="0.2">
      <c r="A74" s="10" t="s">
        <v>97</v>
      </c>
      <c r="B74" s="10"/>
      <c r="C74" s="10"/>
      <c r="D74" s="87">
        <v>99</v>
      </c>
      <c r="E74" s="10" t="s">
        <v>177</v>
      </c>
      <c r="F74" s="185">
        <f t="shared" si="2"/>
        <v>639.87667009249753</v>
      </c>
      <c r="G74" s="182" t="s">
        <v>228</v>
      </c>
    </row>
    <row r="75" spans="1:7" x14ac:dyDescent="0.2">
      <c r="A75" s="10" t="s">
        <v>178</v>
      </c>
      <c r="B75" s="10"/>
      <c r="C75" s="10"/>
      <c r="D75" s="87">
        <v>114</v>
      </c>
      <c r="E75" s="10" t="s">
        <v>177</v>
      </c>
      <c r="F75" s="185">
        <f t="shared" si="2"/>
        <v>736.82768071257283</v>
      </c>
      <c r="G75" s="182" t="s">
        <v>228</v>
      </c>
    </row>
  </sheetData>
  <mergeCells count="2">
    <mergeCell ref="D1:F1"/>
    <mergeCell ref="D2:F2"/>
  </mergeCells>
  <phoneticPr fontId="0" type="noConversion"/>
  <pageMargins left="0.7" right="0.7" top="0.75" bottom="0.75" header="0.3" footer="0.3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zoomScale="85" zoomScaleNormal="85" workbookViewId="0">
      <selection activeCell="A2" sqref="A2:F2"/>
    </sheetView>
  </sheetViews>
  <sheetFormatPr baseColWidth="10" defaultRowHeight="12.75" x14ac:dyDescent="0.2"/>
  <cols>
    <col min="1" max="1" width="5" bestFit="1" customWidth="1"/>
    <col min="2" max="2" width="86.42578125" bestFit="1" customWidth="1"/>
    <col min="3" max="3" width="7.7109375" bestFit="1" customWidth="1"/>
    <col min="4" max="4" width="9.85546875" bestFit="1" customWidth="1"/>
    <col min="5" max="5" width="10.7109375" bestFit="1" customWidth="1"/>
    <col min="6" max="6" width="22.28515625" customWidth="1"/>
    <col min="7" max="7" width="19.140625" customWidth="1"/>
    <col min="8" max="8" width="15" customWidth="1"/>
    <col min="9" max="9" width="14.28515625" bestFit="1" customWidth="1"/>
    <col min="21" max="21" width="17.7109375" customWidth="1"/>
  </cols>
  <sheetData>
    <row r="1" spans="1:21" ht="15.75" thickBot="1" x14ac:dyDescent="0.25">
      <c r="A1" s="227"/>
      <c r="B1" s="227"/>
      <c r="C1" s="227"/>
      <c r="D1" s="227"/>
      <c r="E1" s="227"/>
      <c r="F1" s="227"/>
      <c r="J1" s="231" t="s">
        <v>217</v>
      </c>
      <c r="K1" s="231"/>
      <c r="L1" s="231"/>
      <c r="M1" s="231"/>
      <c r="N1" s="231"/>
      <c r="O1" s="231"/>
      <c r="P1" s="231"/>
      <c r="Q1" s="231"/>
    </row>
    <row r="2" spans="1:21" ht="13.5" thickBot="1" x14ac:dyDescent="0.25">
      <c r="A2" s="228" t="s">
        <v>159</v>
      </c>
      <c r="B2" s="229"/>
      <c r="C2" s="229"/>
      <c r="D2" s="229"/>
      <c r="E2" s="229"/>
      <c r="F2" s="230"/>
    </row>
    <row r="3" spans="1:21" ht="14.25" thickBot="1" x14ac:dyDescent="0.25">
      <c r="A3" s="190">
        <v>1</v>
      </c>
      <c r="B3" s="191">
        <v>2</v>
      </c>
      <c r="C3" s="191">
        <v>3</v>
      </c>
      <c r="D3" s="191">
        <v>4</v>
      </c>
      <c r="E3" s="191">
        <v>5</v>
      </c>
      <c r="F3" s="192">
        <v>6</v>
      </c>
      <c r="J3" s="174" t="s">
        <v>218</v>
      </c>
      <c r="K3">
        <v>13774.249</v>
      </c>
      <c r="L3" s="174" t="s">
        <v>219</v>
      </c>
    </row>
    <row r="4" spans="1:21" ht="39" thickBot="1" x14ac:dyDescent="0.25">
      <c r="A4" s="193" t="s">
        <v>138</v>
      </c>
      <c r="B4" s="194" t="s">
        <v>139</v>
      </c>
      <c r="C4" s="195" t="s">
        <v>140</v>
      </c>
      <c r="D4" s="195" t="s">
        <v>141</v>
      </c>
      <c r="E4" s="196" t="s">
        <v>142</v>
      </c>
      <c r="F4" s="197" t="s">
        <v>143</v>
      </c>
    </row>
    <row r="5" spans="1:21" ht="20.100000000000001" customHeight="1" x14ac:dyDescent="0.2">
      <c r="A5" s="198">
        <v>1</v>
      </c>
      <c r="B5" s="199" t="str">
        <f>Desbosque!C5</f>
        <v>Desbosque, Destronque y Limpieza del Terreno</v>
      </c>
      <c r="C5" s="200" t="str">
        <f>Desbosque!C6</f>
        <v>Ha.</v>
      </c>
      <c r="D5" s="201">
        <f>ROUND(O5,2)</f>
        <v>68.87</v>
      </c>
      <c r="E5" s="202">
        <f>Desbosque!K60</f>
        <v>23085.99</v>
      </c>
      <c r="F5" s="203">
        <f>D5*E5</f>
        <v>1589932.1313000002</v>
      </c>
      <c r="G5" t="s">
        <v>243</v>
      </c>
      <c r="K5">
        <f>K3*50</f>
        <v>688712.45</v>
      </c>
      <c r="L5" s="174" t="s">
        <v>58</v>
      </c>
      <c r="M5">
        <f>100*100</f>
        <v>10000</v>
      </c>
      <c r="O5">
        <f>+K5/M5</f>
        <v>68.871245000000002</v>
      </c>
    </row>
    <row r="6" spans="1:21" ht="20.100000000000001" customHeight="1" x14ac:dyDescent="0.2">
      <c r="A6" s="204">
        <f>+A5+1</f>
        <v>2</v>
      </c>
      <c r="B6" s="153" t="str">
        <f>'Excavación común'!C5</f>
        <v>Excavación Común</v>
      </c>
      <c r="C6" s="205" t="str">
        <f>'Excavación común'!C6</f>
        <v>m3</v>
      </c>
      <c r="D6" s="206">
        <f>+K7*0.5</f>
        <v>73892.06176200007</v>
      </c>
      <c r="E6" s="207">
        <f>'Excavación común'!K61</f>
        <v>482.89</v>
      </c>
      <c r="F6" s="208">
        <f t="shared" ref="F6:F19" si="0">D6*E6</f>
        <v>35681737.704252213</v>
      </c>
      <c r="G6" t="s">
        <v>243</v>
      </c>
    </row>
    <row r="7" spans="1:21" ht="20.100000000000001" customHeight="1" x14ac:dyDescent="0.2">
      <c r="A7" s="204">
        <f t="shared" ref="A7:A19" si="1">+A6+1</f>
        <v>3</v>
      </c>
      <c r="B7" s="153" t="str">
        <f>+'Excavación en ROCA'!B5</f>
        <v>Excavación en Roca sin explosivos</v>
      </c>
      <c r="C7" s="205" t="str">
        <f>+'Excavación en ROCA'!B6</f>
        <v>m3</v>
      </c>
      <c r="D7" s="206">
        <f>+K7*0.5</f>
        <v>73892.06176200007</v>
      </c>
      <c r="E7" s="207">
        <f>+'Excavación en ROCA'!J61</f>
        <v>1694.72</v>
      </c>
      <c r="F7" s="208">
        <f t="shared" si="0"/>
        <v>125226354.90929677</v>
      </c>
      <c r="G7" t="s">
        <v>243</v>
      </c>
      <c r="K7">
        <v>147784.12352400014</v>
      </c>
      <c r="L7" t="s">
        <v>237</v>
      </c>
    </row>
    <row r="8" spans="1:21" ht="20.100000000000001" customHeight="1" x14ac:dyDescent="0.25">
      <c r="A8" s="204">
        <f t="shared" si="1"/>
        <v>4</v>
      </c>
      <c r="B8" s="153" t="str">
        <f>Terraplenes!B5</f>
        <v xml:space="preserve">Terraplenes </v>
      </c>
      <c r="C8" s="209" t="str">
        <f>Terraplenes!B6</f>
        <v>m3</v>
      </c>
      <c r="D8" s="210">
        <f>K8</f>
        <v>53013.497665000003</v>
      </c>
      <c r="E8" s="211">
        <f>Terraplenes!J64</f>
        <v>363.18</v>
      </c>
      <c r="F8" s="208">
        <f t="shared" si="0"/>
        <v>19253442.0819747</v>
      </c>
      <c r="G8" t="s">
        <v>243</v>
      </c>
      <c r="K8" s="175">
        <v>53013.497665000003</v>
      </c>
      <c r="L8" t="s">
        <v>230</v>
      </c>
    </row>
    <row r="9" spans="1:21" ht="20.100000000000001" customHeight="1" x14ac:dyDescent="0.25">
      <c r="A9" s="204">
        <f t="shared" si="1"/>
        <v>5</v>
      </c>
      <c r="B9" s="153" t="str">
        <f>Excav.p.fundac.!C5</f>
        <v>Excavaciones para Fundaciones</v>
      </c>
      <c r="C9" s="209" t="str">
        <f>Excav.p.fundac.!C6</f>
        <v>m3</v>
      </c>
      <c r="D9" s="210">
        <v>0</v>
      </c>
      <c r="E9" s="211">
        <f>Excav.p.fundac.!K59</f>
        <v>283.92</v>
      </c>
      <c r="F9" s="208">
        <f t="shared" si="0"/>
        <v>0</v>
      </c>
      <c r="L9" s="175"/>
    </row>
    <row r="10" spans="1:21" ht="20.100000000000001" customHeight="1" x14ac:dyDescent="0.2">
      <c r="A10" s="204">
        <f t="shared" si="1"/>
        <v>6</v>
      </c>
      <c r="B10" s="212" t="str">
        <f>'SubBase Drenante.'!B5</f>
        <v>Construcción de SubBase Drenante</v>
      </c>
      <c r="C10" s="209" t="str">
        <f>+'SubBase Drenante.'!B6</f>
        <v>m3</v>
      </c>
      <c r="D10" s="210">
        <f>+U10</f>
        <v>22107.669644999998</v>
      </c>
      <c r="E10" s="211">
        <f>+'SubBase Drenante.'!J59</f>
        <v>996.88</v>
      </c>
      <c r="F10" s="208">
        <f t="shared" si="0"/>
        <v>22038693.715707596</v>
      </c>
      <c r="G10" t="s">
        <v>244</v>
      </c>
      <c r="K10" t="s">
        <v>231</v>
      </c>
      <c r="M10">
        <v>15</v>
      </c>
      <c r="N10" t="s">
        <v>232</v>
      </c>
      <c r="O10" t="s">
        <v>233</v>
      </c>
      <c r="P10">
        <f>3.35*2</f>
        <v>6.7</v>
      </c>
      <c r="Q10" t="s">
        <v>95</v>
      </c>
      <c r="R10" t="s">
        <v>234</v>
      </c>
      <c r="S10">
        <f>2*2</f>
        <v>4</v>
      </c>
      <c r="U10">
        <f>(S10+P10)*M10/100*K3</f>
        <v>22107.669644999998</v>
      </c>
    </row>
    <row r="11" spans="1:21" ht="20.100000000000001" customHeight="1" x14ac:dyDescent="0.2">
      <c r="A11" s="204">
        <f t="shared" si="1"/>
        <v>7</v>
      </c>
      <c r="B11" s="212" t="str">
        <f>+'Base Anticongelante'!C5</f>
        <v>Construcción de Base Anticongelante</v>
      </c>
      <c r="C11" s="209" t="str">
        <f>+'Base Anticongelante'!C6</f>
        <v>m3</v>
      </c>
      <c r="D11" s="210">
        <f>+U11</f>
        <v>32231.742659999996</v>
      </c>
      <c r="E11" s="211">
        <f>+'Base Anticongelante'!K64</f>
        <v>1084.7</v>
      </c>
      <c r="F11" s="208">
        <f t="shared" si="0"/>
        <v>34961771.263301998</v>
      </c>
      <c r="G11" t="s">
        <v>244</v>
      </c>
      <c r="K11" t="s">
        <v>235</v>
      </c>
      <c r="M11">
        <v>20</v>
      </c>
      <c r="N11" t="s">
        <v>232</v>
      </c>
      <c r="O11" t="s">
        <v>236</v>
      </c>
      <c r="Q11">
        <v>25</v>
      </c>
      <c r="R11" t="s">
        <v>232</v>
      </c>
      <c r="U11">
        <f>+((Q11/100*S10)+(M11/100*P10))*K3</f>
        <v>32231.742659999996</v>
      </c>
    </row>
    <row r="12" spans="1:21" ht="20.100000000000001" customHeight="1" x14ac:dyDescent="0.2">
      <c r="A12" s="204">
        <f t="shared" si="1"/>
        <v>8</v>
      </c>
      <c r="B12" s="153" t="str">
        <f>'Hormigón H-17'!C5</f>
        <v>Hormigón H-17</v>
      </c>
      <c r="C12" s="209" t="str">
        <f>'Hormigón H-17'!C6</f>
        <v>m3</v>
      </c>
      <c r="D12" s="210">
        <v>0</v>
      </c>
      <c r="E12" s="211">
        <f>'Hormigón H-17'!K45</f>
        <v>3508.47</v>
      </c>
      <c r="F12" s="208">
        <f t="shared" si="0"/>
        <v>0</v>
      </c>
    </row>
    <row r="13" spans="1:21" ht="20.100000000000001" customHeight="1" x14ac:dyDescent="0.2">
      <c r="A13" s="204">
        <f t="shared" si="1"/>
        <v>9</v>
      </c>
      <c r="B13" s="153" t="str">
        <f>'ARSA 0,80'!C5</f>
        <v>Caños Circulares de Chapas de Acero Galvanizadas Onduladas (diám. 0,80 - ond. 68 x 13)</v>
      </c>
      <c r="C13" s="209" t="str">
        <f>'ARSA 0,80'!C6</f>
        <v>m</v>
      </c>
      <c r="D13" s="210">
        <v>0</v>
      </c>
      <c r="E13" s="211">
        <f>'ARSA 0,80'!K66</f>
        <v>1716.37</v>
      </c>
      <c r="F13" s="208">
        <f t="shared" si="0"/>
        <v>0</v>
      </c>
    </row>
    <row r="14" spans="1:21" ht="20.100000000000001" customHeight="1" x14ac:dyDescent="0.2">
      <c r="A14" s="204">
        <f t="shared" si="1"/>
        <v>10</v>
      </c>
      <c r="B14" s="153" t="str">
        <f>GAVIONES!C5</f>
        <v>Gaviones y Colchones de Alambre Tejido Galvanizado, Colocado, con Filtro de Geotextil</v>
      </c>
      <c r="C14" s="209" t="str">
        <f>GAVIONES!C6</f>
        <v>m3</v>
      </c>
      <c r="D14" s="210">
        <v>0</v>
      </c>
      <c r="E14" s="211">
        <f>GAVIONES!K64</f>
        <v>2184.11</v>
      </c>
      <c r="F14" s="208">
        <f t="shared" si="0"/>
        <v>0</v>
      </c>
    </row>
    <row r="15" spans="1:21" ht="20.100000000000001" customHeight="1" x14ac:dyDescent="0.2">
      <c r="A15" s="204">
        <f t="shared" si="1"/>
        <v>11</v>
      </c>
      <c r="B15" s="153" t="str">
        <f>Imprimación!C5</f>
        <v>Imprimación con Material Bituminoso E.M.-1</v>
      </c>
      <c r="C15" s="209" t="str">
        <f>Imprimación!C6</f>
        <v>m2</v>
      </c>
      <c r="D15" s="210">
        <f>+D16</f>
        <v>97797.1679</v>
      </c>
      <c r="E15" s="211">
        <f>Imprimación!K65</f>
        <v>12.9</v>
      </c>
      <c r="F15" s="208">
        <f t="shared" si="0"/>
        <v>1261583.46591</v>
      </c>
      <c r="G15" t="s">
        <v>244</v>
      </c>
    </row>
    <row r="16" spans="1:21" ht="20.100000000000001" customHeight="1" x14ac:dyDescent="0.2">
      <c r="A16" s="204">
        <f t="shared" si="1"/>
        <v>12</v>
      </c>
      <c r="B16" s="153" t="str">
        <f>'Riego Liga'!C5</f>
        <v>Riego de Liga con Material Bituminoso E.R.-1</v>
      </c>
      <c r="C16" s="209" t="str">
        <f>'Riego Liga'!C6</f>
        <v>m2</v>
      </c>
      <c r="D16" s="210">
        <f>+U16</f>
        <v>97797.1679</v>
      </c>
      <c r="E16" s="211">
        <f>'Riego Liga'!K65</f>
        <v>10.29</v>
      </c>
      <c r="F16" s="208">
        <f t="shared" si="0"/>
        <v>1006332.8576909999</v>
      </c>
      <c r="G16" t="s">
        <v>244</v>
      </c>
      <c r="U16">
        <f>+(P10+0.4)*K3</f>
        <v>97797.1679</v>
      </c>
    </row>
    <row r="17" spans="1:21" ht="20.100000000000001" customHeight="1" x14ac:dyDescent="0.2">
      <c r="A17" s="204">
        <f t="shared" si="1"/>
        <v>13</v>
      </c>
      <c r="B17" s="153" t="str">
        <f>'Concreto asfáltico'!C5</f>
        <v>Ejecución de Carpeta con Mezcla Bituminosa, Preparada en Caliente</v>
      </c>
      <c r="C17" s="209" t="str">
        <f>'Concreto asfáltico'!C6</f>
        <v>m2</v>
      </c>
      <c r="D17" s="210">
        <v>28572.04</v>
      </c>
      <c r="E17" s="211">
        <f>'Concreto asfáltico'!K75</f>
        <v>187.35</v>
      </c>
      <c r="F17" s="208">
        <f t="shared" si="0"/>
        <v>5352971.6940000001</v>
      </c>
      <c r="G17" t="s">
        <v>244</v>
      </c>
      <c r="U17">
        <f>+P10*K3</f>
        <v>92287.468300000008</v>
      </c>
    </row>
    <row r="18" spans="1:21" ht="20.100000000000001" customHeight="1" x14ac:dyDescent="0.2">
      <c r="A18" s="204">
        <f t="shared" si="1"/>
        <v>14</v>
      </c>
      <c r="B18" s="153" t="str">
        <f>'TBS Doble'!C5</f>
        <v>Ejecución de Tratamiento Bituminoso Superficial  tipo Doble con Sellado de arena</v>
      </c>
      <c r="C18" s="209" t="str">
        <f>'TBS Doble'!C6</f>
        <v>m2</v>
      </c>
      <c r="D18" s="210">
        <f>+U18</f>
        <v>27548.498</v>
      </c>
      <c r="E18" s="211">
        <f>'TBS Doble'!K71</f>
        <v>48.33</v>
      </c>
      <c r="F18" s="208">
        <f t="shared" si="0"/>
        <v>1331418.9083399998</v>
      </c>
      <c r="G18" t="s">
        <v>244</v>
      </c>
      <c r="U18">
        <f>+S10/2*K3</f>
        <v>27548.498</v>
      </c>
    </row>
    <row r="19" spans="1:21" ht="20.100000000000001" customHeight="1" thickBot="1" x14ac:dyDescent="0.25">
      <c r="A19" s="322">
        <f t="shared" si="1"/>
        <v>15</v>
      </c>
      <c r="B19" s="213" t="str">
        <f>'barandas metalicas'!C5</f>
        <v>Barandas Metalica Cincada para Defensa</v>
      </c>
      <c r="C19" s="323" t="str">
        <f>'barandas metalicas'!C6</f>
        <v>m</v>
      </c>
      <c r="D19" s="324">
        <v>1000</v>
      </c>
      <c r="E19" s="325">
        <f>'barandas metalicas'!K65</f>
        <v>1965.4</v>
      </c>
      <c r="F19" s="326">
        <f t="shared" si="0"/>
        <v>1965400</v>
      </c>
      <c r="G19" t="s">
        <v>245</v>
      </c>
    </row>
    <row r="20" spans="1:21" ht="20.100000000000001" customHeight="1" thickBot="1" x14ac:dyDescent="0.25">
      <c r="A20" s="56"/>
      <c r="B20" s="56"/>
      <c r="C20" s="319" t="s">
        <v>155</v>
      </c>
      <c r="D20" s="320"/>
      <c r="E20" s="320"/>
      <c r="F20" s="321">
        <f>SUM(F5:F19)</f>
        <v>249669638.73177424</v>
      </c>
      <c r="I20" s="189">
        <f>F20/28.3</f>
        <v>8822248.7184372526</v>
      </c>
      <c r="J20" s="174" t="s">
        <v>238</v>
      </c>
    </row>
    <row r="21" spans="1:21" x14ac:dyDescent="0.2">
      <c r="I21" s="189">
        <f>+I20/13</f>
        <v>678634.51680286555</v>
      </c>
      <c r="J21" s="174" t="s">
        <v>239</v>
      </c>
    </row>
    <row r="22" spans="1:21" x14ac:dyDescent="0.2">
      <c r="B22" s="56"/>
    </row>
    <row r="26" spans="1:21" ht="15" x14ac:dyDescent="0.25">
      <c r="F26" s="214"/>
      <c r="G26" s="215" t="s">
        <v>248</v>
      </c>
      <c r="H26" s="215" t="s">
        <v>247</v>
      </c>
    </row>
    <row r="27" spans="1:21" ht="15" x14ac:dyDescent="0.25">
      <c r="F27" s="215" t="s">
        <v>240</v>
      </c>
      <c r="G27" s="216">
        <f>F8+F5+F6+F7</f>
        <v>181751466.82682368</v>
      </c>
      <c r="H27" s="217">
        <f>G27*100/G30</f>
        <v>72.79678368184905</v>
      </c>
    </row>
    <row r="28" spans="1:21" ht="15" x14ac:dyDescent="0.25">
      <c r="F28" s="215" t="s">
        <v>241</v>
      </c>
      <c r="G28" s="216">
        <f>+F10+F11+F15+F16+F17+F18</f>
        <v>65952771.904950596</v>
      </c>
      <c r="H28" s="217">
        <f>G28*100/G30</f>
        <v>26.416016076269955</v>
      </c>
    </row>
    <row r="29" spans="1:21" ht="15" x14ac:dyDescent="0.25">
      <c r="F29" s="215" t="s">
        <v>242</v>
      </c>
      <c r="G29" s="216">
        <f>F9+F12+F13+F14+F19</f>
        <v>1965400</v>
      </c>
      <c r="H29" s="217">
        <f>G29*100/G30</f>
        <v>0.78720024188102178</v>
      </c>
    </row>
    <row r="30" spans="1:21" ht="15" x14ac:dyDescent="0.25">
      <c r="F30" s="215" t="s">
        <v>246</v>
      </c>
      <c r="G30" s="216">
        <f>F20</f>
        <v>249669638.73177424</v>
      </c>
      <c r="H30" s="215">
        <f>H27+H28+H29</f>
        <v>100.00000000000003</v>
      </c>
    </row>
  </sheetData>
  <mergeCells count="4">
    <mergeCell ref="A1:F1"/>
    <mergeCell ref="C20:E20"/>
    <mergeCell ref="A2:F2"/>
    <mergeCell ref="J1:Q1"/>
  </mergeCells>
  <phoneticPr fontId="10" type="noConversion"/>
  <pageMargins left="0.98425196850393704" right="0.19685039370078741" top="0.74803149606299213" bottom="0.74803149606299213" header="0.31496062992125984" footer="0.31496062992125984"/>
  <pageSetup paperSize="9" scale="6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60"/>
  <sheetViews>
    <sheetView zoomScaleNormal="9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2.85546875" style="1" customWidth="1"/>
    <col min="4" max="4" width="9.28515625" style="1" customWidth="1"/>
    <col min="5" max="5" width="10.5703125" style="1" customWidth="1"/>
    <col min="6" max="6" width="12.7109375" style="1" bestFit="1" customWidth="1"/>
    <col min="7" max="7" width="12.42578125" style="1" customWidth="1"/>
    <col min="8" max="8" width="8" style="1" customWidth="1"/>
    <col min="9" max="9" width="8.140625" style="1" bestFit="1" customWidth="1"/>
    <col min="10" max="10" width="4" style="1" customWidth="1"/>
    <col min="11" max="11" width="9.140625" style="1" bestFit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144</v>
      </c>
      <c r="C5" s="237" t="s">
        <v>154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123</v>
      </c>
      <c r="D6" s="47"/>
      <c r="E6" s="47"/>
      <c r="F6" s="47"/>
      <c r="G6" s="47"/>
      <c r="H6" s="47"/>
      <c r="I6" s="50" t="s">
        <v>57</v>
      </c>
      <c r="J6" s="266"/>
      <c r="K6" s="239">
        <v>43282</v>
      </c>
      <c r="L6" s="236"/>
    </row>
    <row r="7" spans="1:12" ht="16.5" thickBot="1" x14ac:dyDescent="0.3">
      <c r="A7" s="240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35</v>
      </c>
      <c r="C14" s="10"/>
      <c r="D14" s="10"/>
      <c r="E14" s="42">
        <v>1</v>
      </c>
      <c r="F14" s="19">
        <f>+Datos!C14*E14</f>
        <v>145</v>
      </c>
      <c r="G14" s="19">
        <f>+Datos!F14*E14</f>
        <v>7205117.6928171758</v>
      </c>
      <c r="H14" s="10"/>
      <c r="I14" s="10"/>
      <c r="J14" s="10"/>
      <c r="K14" s="10"/>
      <c r="L14" s="20"/>
    </row>
    <row r="15" spans="1:12" x14ac:dyDescent="0.2">
      <c r="A15" s="18"/>
      <c r="B15" s="10" t="s">
        <v>1</v>
      </c>
      <c r="C15" s="10"/>
      <c r="D15" s="10"/>
      <c r="E15" s="42">
        <v>0.5</v>
      </c>
      <c r="F15" s="19">
        <f>+Datos!C16*E15</f>
        <v>125</v>
      </c>
      <c r="G15" s="19">
        <f>+Datos!F16*E15</f>
        <v>11388656.375242665</v>
      </c>
      <c r="H15" s="10"/>
      <c r="I15" s="10"/>
      <c r="J15" s="10"/>
      <c r="K15" s="10"/>
      <c r="L15" s="20"/>
    </row>
    <row r="16" spans="1:12" x14ac:dyDescent="0.2">
      <c r="A16" s="18"/>
      <c r="B16" s="10" t="s">
        <v>101</v>
      </c>
      <c r="C16" s="10"/>
      <c r="D16" s="10"/>
      <c r="E16" s="42"/>
      <c r="F16" s="19"/>
      <c r="G16" s="19">
        <v>6000</v>
      </c>
      <c r="H16" s="10"/>
      <c r="I16" s="10"/>
      <c r="J16" s="10"/>
      <c r="K16" s="10"/>
      <c r="L16" s="20"/>
    </row>
    <row r="17" spans="1:12" x14ac:dyDescent="0.2">
      <c r="A17" s="18"/>
      <c r="B17" s="10" t="s">
        <v>60</v>
      </c>
      <c r="C17" s="10"/>
      <c r="D17" s="10"/>
      <c r="E17" s="42">
        <v>1</v>
      </c>
      <c r="F17" s="3">
        <f>+Datos!C18*E17</f>
        <v>120</v>
      </c>
      <c r="G17" s="3">
        <f>+Datos!F18*E17</f>
        <v>1523250.0692017816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81">
        <f>SUM(F14:F18)</f>
        <v>390</v>
      </c>
      <c r="G19" s="81">
        <f>SUM(G14:G18)</f>
        <v>20123024.137261622</v>
      </c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28" t="s">
        <v>5</v>
      </c>
      <c r="C21" s="10"/>
      <c r="D21" s="10"/>
      <c r="E21" s="10"/>
      <c r="F21" s="10"/>
      <c r="G21" s="10"/>
      <c r="H21" s="10"/>
      <c r="I21" s="10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0"/>
    </row>
    <row r="23" spans="1:12" x14ac:dyDescent="0.2">
      <c r="A23" s="18"/>
      <c r="B23" s="10"/>
      <c r="C23" s="2">
        <f>+G19</f>
        <v>20123024.137261622</v>
      </c>
      <c r="D23" s="3" t="s">
        <v>6</v>
      </c>
      <c r="E23" s="19" t="s">
        <v>7</v>
      </c>
      <c r="F23" s="2">
        <f>+G19</f>
        <v>20123024.137261622</v>
      </c>
      <c r="G23" s="3" t="s">
        <v>62</v>
      </c>
      <c r="H23" s="2">
        <v>0.12</v>
      </c>
      <c r="I23" s="3" t="s">
        <v>9</v>
      </c>
      <c r="J23" s="19" t="s">
        <v>10</v>
      </c>
      <c r="K23" s="28">
        <f>+C23/C24+F23*H23/4000</f>
        <v>2615.9931378440106</v>
      </c>
      <c r="L23" s="20" t="s">
        <v>13</v>
      </c>
    </row>
    <row r="24" spans="1:12" x14ac:dyDescent="0.2">
      <c r="A24" s="18"/>
      <c r="B24" s="10"/>
      <c r="C24" s="10">
        <v>10000</v>
      </c>
      <c r="D24" s="10" t="s">
        <v>34</v>
      </c>
      <c r="E24" s="10"/>
      <c r="F24" s="10"/>
      <c r="G24" s="19" t="s">
        <v>8</v>
      </c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8" t="s">
        <v>31</v>
      </c>
      <c r="C26" s="10"/>
      <c r="D26" s="10"/>
      <c r="E26" s="10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10"/>
      <c r="C27" s="10"/>
      <c r="D27" s="10"/>
      <c r="E27" s="10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9">
        <v>0.5</v>
      </c>
      <c r="C28" s="10" t="s">
        <v>63</v>
      </c>
      <c r="D28" s="10"/>
      <c r="E28" s="22">
        <f>+C23/C24</f>
        <v>2012.3024137261621</v>
      </c>
      <c r="F28" s="10" t="s">
        <v>64</v>
      </c>
      <c r="G28" s="19" t="s">
        <v>14</v>
      </c>
      <c r="H28" s="10"/>
      <c r="I28" s="19"/>
      <c r="J28" s="10"/>
      <c r="K28" s="28">
        <f>+B28*E28</f>
        <v>1006.151206863081</v>
      </c>
      <c r="L28" s="20" t="s">
        <v>13</v>
      </c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28" t="s">
        <v>19</v>
      </c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9" t="s">
        <v>15</v>
      </c>
      <c r="C32" s="10">
        <v>0.12</v>
      </c>
      <c r="D32" s="10" t="s">
        <v>16</v>
      </c>
      <c r="E32" s="19">
        <f>+F19</f>
        <v>390</v>
      </c>
      <c r="F32" s="10" t="s">
        <v>17</v>
      </c>
      <c r="G32" s="19" t="s">
        <v>11</v>
      </c>
      <c r="H32" s="10">
        <f>+Datos!$F$10</f>
        <v>23.56</v>
      </c>
      <c r="I32" s="19" t="s">
        <v>18</v>
      </c>
      <c r="J32" s="19" t="s">
        <v>10</v>
      </c>
      <c r="K32" s="28">
        <f>+C32*E32*H32</f>
        <v>1102.6079999999999</v>
      </c>
      <c r="L32" s="20" t="s">
        <v>13</v>
      </c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8" t="s">
        <v>20</v>
      </c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10"/>
      <c r="C35" s="10"/>
      <c r="D35" s="10"/>
      <c r="E35" s="22"/>
      <c r="F35" s="10"/>
      <c r="G35" s="19"/>
      <c r="H35" s="10"/>
      <c r="I35" s="19"/>
      <c r="J35" s="10"/>
      <c r="K35" s="10"/>
      <c r="L35" s="20"/>
    </row>
    <row r="36" spans="1:12" x14ac:dyDescent="0.2">
      <c r="A36" s="18"/>
      <c r="B36" s="29">
        <v>0.3</v>
      </c>
      <c r="C36" s="10" t="s">
        <v>21</v>
      </c>
      <c r="D36" s="10"/>
      <c r="E36" s="22">
        <f>+K32</f>
        <v>1102.6079999999999</v>
      </c>
      <c r="F36" s="10" t="s">
        <v>13</v>
      </c>
      <c r="G36" s="19" t="s">
        <v>14</v>
      </c>
      <c r="H36" s="10"/>
      <c r="I36" s="19"/>
      <c r="J36" s="10"/>
      <c r="K36" s="28">
        <f>+B36*E36</f>
        <v>330.7824</v>
      </c>
      <c r="L36" s="20" t="s">
        <v>13</v>
      </c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28" t="s">
        <v>22</v>
      </c>
      <c r="C38" s="10"/>
      <c r="D38" s="10"/>
      <c r="E38" s="10"/>
      <c r="F38" s="10"/>
      <c r="G38" s="10"/>
      <c r="H38" s="10"/>
      <c r="I38" s="19"/>
      <c r="J38" s="10"/>
      <c r="K38" s="10"/>
      <c r="L38" s="20"/>
    </row>
    <row r="39" spans="1:12" x14ac:dyDescent="0.2">
      <c r="A39" s="18"/>
      <c r="B39" s="10"/>
      <c r="C39" s="10"/>
      <c r="D39" s="10"/>
      <c r="E39" s="10"/>
      <c r="F39" s="10"/>
      <c r="G39" s="10"/>
      <c r="H39" s="10"/>
      <c r="I39" s="19"/>
      <c r="J39" s="10"/>
      <c r="K39" s="10"/>
      <c r="L39" s="20"/>
    </row>
    <row r="40" spans="1:12" x14ac:dyDescent="0.2">
      <c r="A40" s="18"/>
      <c r="B40" s="10" t="s">
        <v>23</v>
      </c>
      <c r="C40" s="10"/>
      <c r="D40" s="22">
        <v>0</v>
      </c>
      <c r="E40" s="19" t="s">
        <v>11</v>
      </c>
      <c r="F40" s="1">
        <f>+Datos!$F$5</f>
        <v>224.79</v>
      </c>
      <c r="G40" s="10" t="s">
        <v>13</v>
      </c>
      <c r="H40" s="19" t="s">
        <v>14</v>
      </c>
      <c r="I40" s="22">
        <f>ROUND((+D40*F40),2)</f>
        <v>0</v>
      </c>
      <c r="J40" s="10" t="s">
        <v>13</v>
      </c>
      <c r="K40" s="10"/>
      <c r="L40" s="20"/>
    </row>
    <row r="41" spans="1:12" x14ac:dyDescent="0.2">
      <c r="A41" s="18"/>
      <c r="B41" s="10" t="s">
        <v>25</v>
      </c>
      <c r="C41" s="10"/>
      <c r="D41" s="22">
        <v>0</v>
      </c>
      <c r="E41" s="19" t="s">
        <v>11</v>
      </c>
      <c r="F41" s="1">
        <f>+Datos!$F$6</f>
        <v>191.66</v>
      </c>
      <c r="G41" s="10" t="s">
        <v>13</v>
      </c>
      <c r="H41" s="19" t="s">
        <v>14</v>
      </c>
      <c r="I41" s="22">
        <f>ROUND((+D41*F41),2)</f>
        <v>0</v>
      </c>
      <c r="J41" s="10" t="s">
        <v>13</v>
      </c>
      <c r="K41" s="10"/>
      <c r="L41" s="20"/>
    </row>
    <row r="42" spans="1:12" x14ac:dyDescent="0.2">
      <c r="A42" s="18"/>
      <c r="B42" s="10" t="s">
        <v>37</v>
      </c>
      <c r="C42" s="10"/>
      <c r="D42" s="22">
        <v>4</v>
      </c>
      <c r="E42" s="19" t="s">
        <v>11</v>
      </c>
      <c r="F42" s="1">
        <f>+Datos!$F$7</f>
        <v>176.37</v>
      </c>
      <c r="G42" s="10" t="s">
        <v>13</v>
      </c>
      <c r="H42" s="19" t="s">
        <v>14</v>
      </c>
      <c r="I42" s="22">
        <f>+D42*F42</f>
        <v>705.48</v>
      </c>
      <c r="J42" s="10" t="s">
        <v>13</v>
      </c>
      <c r="K42" s="10"/>
      <c r="L42" s="20"/>
    </row>
    <row r="43" spans="1:12" x14ac:dyDescent="0.2">
      <c r="A43" s="18"/>
      <c r="B43" s="10" t="s">
        <v>24</v>
      </c>
      <c r="C43" s="10"/>
      <c r="D43" s="22">
        <v>4</v>
      </c>
      <c r="E43" s="19" t="s">
        <v>11</v>
      </c>
      <c r="F43" s="1">
        <f>+Datos!$F$8</f>
        <v>162.9</v>
      </c>
      <c r="G43" s="10" t="s">
        <v>13</v>
      </c>
      <c r="H43" s="3" t="s">
        <v>14</v>
      </c>
      <c r="I43" s="5">
        <f>ROUND((+D43*F43),2)</f>
        <v>651.6</v>
      </c>
      <c r="J43" s="2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22">
        <f>SUM(I40:I43)</f>
        <v>1357.08</v>
      </c>
      <c r="J44" s="10" t="s">
        <v>13</v>
      </c>
      <c r="K44" s="10"/>
      <c r="L44" s="20"/>
    </row>
    <row r="45" spans="1:12" x14ac:dyDescent="0.2">
      <c r="A45" s="18"/>
      <c r="B45" s="10" t="s">
        <v>40</v>
      </c>
      <c r="C45" s="10"/>
      <c r="D45" s="23">
        <v>0.1</v>
      </c>
      <c r="E45" s="10"/>
      <c r="F45" s="10"/>
      <c r="G45" s="10"/>
      <c r="H45" s="10"/>
      <c r="I45" s="22">
        <f>+I44*D45</f>
        <v>135.708</v>
      </c>
      <c r="J45" s="10" t="s">
        <v>13</v>
      </c>
      <c r="K45" s="10"/>
      <c r="L45" s="20"/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10" t="s">
        <v>26</v>
      </c>
      <c r="C47" s="10"/>
      <c r="D47" s="10"/>
      <c r="E47" s="10"/>
      <c r="F47" s="10"/>
      <c r="G47" s="10"/>
      <c r="H47" s="10"/>
      <c r="I47" s="19"/>
      <c r="J47" s="10"/>
      <c r="K47" s="33">
        <f>+I44+I45</f>
        <v>1492.788</v>
      </c>
      <c r="L47" s="24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34" t="s">
        <v>44</v>
      </c>
      <c r="C49" s="35"/>
      <c r="D49" s="35"/>
      <c r="E49" s="35"/>
      <c r="F49" s="35"/>
      <c r="G49" s="35"/>
      <c r="H49" s="35"/>
      <c r="I49" s="36"/>
      <c r="J49" s="35"/>
      <c r="K49" s="82">
        <f>SUM(K23:K47)</f>
        <v>6548.3227447070913</v>
      </c>
      <c r="L49" s="8" t="s">
        <v>13</v>
      </c>
    </row>
    <row r="50" spans="1:12" x14ac:dyDescent="0.2">
      <c r="A50" s="18"/>
      <c r="B50" s="10"/>
      <c r="C50" s="10"/>
      <c r="D50" s="10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18"/>
      <c r="B51" s="10" t="s">
        <v>27</v>
      </c>
      <c r="C51" s="10"/>
      <c r="D51" s="22">
        <v>0.5</v>
      </c>
      <c r="E51" s="19" t="s">
        <v>106</v>
      </c>
      <c r="F51" s="10"/>
      <c r="G51" s="10"/>
      <c r="H51" s="10"/>
      <c r="I51" s="19"/>
      <c r="J51" s="10"/>
      <c r="K51" s="10"/>
      <c r="L51" s="20"/>
    </row>
    <row r="52" spans="1:12" x14ac:dyDescent="0.2">
      <c r="A52" s="18"/>
      <c r="B52" s="28"/>
      <c r="C52" s="10"/>
      <c r="D52" s="22"/>
      <c r="E52" s="10"/>
      <c r="F52" s="10"/>
      <c r="G52" s="10"/>
      <c r="H52" s="10"/>
      <c r="I52" s="19"/>
      <c r="J52" s="10"/>
      <c r="K52" s="10"/>
      <c r="L52" s="20"/>
    </row>
    <row r="53" spans="1:12" x14ac:dyDescent="0.2">
      <c r="A53" s="25"/>
      <c r="B53" s="33" t="s">
        <v>45</v>
      </c>
      <c r="C53" s="2"/>
      <c r="D53" s="5">
        <f>+K49</f>
        <v>6548.3227447070913</v>
      </c>
      <c r="E53" s="3" t="s">
        <v>13</v>
      </c>
      <c r="F53" s="3" t="s">
        <v>29</v>
      </c>
      <c r="G53" s="5">
        <f>+D51</f>
        <v>0.5</v>
      </c>
      <c r="H53" s="3" t="s">
        <v>106</v>
      </c>
      <c r="I53" s="3" t="s">
        <v>14</v>
      </c>
      <c r="J53" s="2"/>
      <c r="K53" s="7">
        <f>+D53/G53</f>
        <v>13096.645489414183</v>
      </c>
      <c r="L53" s="8" t="s">
        <v>107</v>
      </c>
    </row>
    <row r="54" spans="1:12" x14ac:dyDescent="0.2">
      <c r="G54" s="4"/>
    </row>
    <row r="56" spans="1:12" x14ac:dyDescent="0.2">
      <c r="A56" s="7"/>
      <c r="B56" s="35" t="s">
        <v>53</v>
      </c>
      <c r="C56" s="35"/>
      <c r="D56" s="35"/>
      <c r="E56" s="35"/>
      <c r="F56" s="35"/>
      <c r="G56" s="35"/>
      <c r="H56" s="35"/>
      <c r="I56" s="35"/>
      <c r="J56" s="35"/>
      <c r="K56" s="7">
        <f>+K53</f>
        <v>13096.645489414183</v>
      </c>
      <c r="L56" s="8" t="s">
        <v>107</v>
      </c>
    </row>
    <row r="58" spans="1:12" x14ac:dyDescent="0.2">
      <c r="A58" s="7"/>
      <c r="B58" s="35" t="s">
        <v>54</v>
      </c>
      <c r="C58" s="35"/>
      <c r="D58" s="35"/>
      <c r="E58" s="37">
        <f>Coeficiente!D22</f>
        <v>1.7627404950000001</v>
      </c>
      <c r="F58" s="35"/>
      <c r="G58" s="35"/>
      <c r="H58" s="35"/>
      <c r="I58" s="35"/>
      <c r="J58" s="35"/>
      <c r="K58" s="35"/>
      <c r="L58" s="8"/>
    </row>
    <row r="59" spans="1:12" ht="13.5" thickBot="1" x14ac:dyDescent="0.25"/>
    <row r="60" spans="1:12" ht="20.100000000000001" customHeight="1" thickBot="1" x14ac:dyDescent="0.25">
      <c r="A60" s="11"/>
      <c r="B60" s="12" t="s">
        <v>55</v>
      </c>
      <c r="C60" s="30"/>
      <c r="D60" s="30"/>
      <c r="E60" s="30"/>
      <c r="F60" s="30"/>
      <c r="G60" s="30"/>
      <c r="H60" s="30"/>
      <c r="I60" s="30"/>
      <c r="J60" s="30"/>
      <c r="K60" s="11">
        <f>ROUND((+K56*E58),2)</f>
        <v>23085.99</v>
      </c>
      <c r="L60" s="31" t="s">
        <v>107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61"/>
  <sheetViews>
    <sheetView zoomScaleNormal="9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2.5703125" style="1" customWidth="1"/>
    <col min="4" max="4" width="9" style="1" customWidth="1"/>
    <col min="5" max="5" width="10.5703125" style="1" customWidth="1"/>
    <col min="6" max="7" width="12.5703125" style="1" bestFit="1" customWidth="1"/>
    <col min="8" max="8" width="8" style="1" customWidth="1"/>
    <col min="9" max="9" width="8.140625" style="1" bestFit="1" customWidth="1"/>
    <col min="10" max="10" width="4" style="1" customWidth="1"/>
    <col min="11" max="11" width="9.85546875" style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145</v>
      </c>
      <c r="C5" s="237" t="s">
        <v>153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61</v>
      </c>
      <c r="D6" s="47"/>
      <c r="E6" s="47"/>
      <c r="F6" s="47"/>
      <c r="G6" s="47"/>
      <c r="H6" s="47"/>
      <c r="I6" s="50" t="s">
        <v>57</v>
      </c>
      <c r="J6" s="238"/>
      <c r="K6" s="239">
        <v>43282</v>
      </c>
      <c r="L6" s="236"/>
    </row>
    <row r="7" spans="1:12" ht="16.5" thickBot="1" x14ac:dyDescent="0.3">
      <c r="A7" s="240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163</v>
      </c>
      <c r="C14" s="10"/>
      <c r="D14" s="10"/>
      <c r="E14" s="42">
        <v>1</v>
      </c>
      <c r="F14" s="19">
        <f>+Datos!C14*E14</f>
        <v>145</v>
      </c>
      <c r="G14" s="19">
        <f>+Datos!F14*E14</f>
        <v>7205117.6928171758</v>
      </c>
      <c r="H14" s="10"/>
      <c r="I14" s="10"/>
      <c r="J14" s="10"/>
      <c r="K14" s="10"/>
      <c r="L14" s="20"/>
    </row>
    <row r="15" spans="1:12" x14ac:dyDescent="0.2">
      <c r="A15" s="18"/>
      <c r="B15" s="10" t="s">
        <v>2</v>
      </c>
      <c r="C15" s="10"/>
      <c r="D15" s="10"/>
      <c r="E15" s="42">
        <v>2</v>
      </c>
      <c r="F15" s="19">
        <f>+Datos!C15*E15</f>
        <v>240</v>
      </c>
      <c r="G15" s="19">
        <f>+Datos!F15*E15</f>
        <v>11030838.698641088</v>
      </c>
      <c r="H15" s="10"/>
      <c r="I15" s="10"/>
      <c r="J15" s="10"/>
      <c r="K15" s="10"/>
      <c r="L15" s="20"/>
    </row>
    <row r="16" spans="1:12" x14ac:dyDescent="0.2">
      <c r="A16" s="18"/>
      <c r="B16" s="10" t="s">
        <v>1</v>
      </c>
      <c r="C16" s="10"/>
      <c r="D16" s="10"/>
      <c r="E16" s="42">
        <v>0.5</v>
      </c>
      <c r="F16" s="19">
        <f>+Datos!C16*E16</f>
        <v>125</v>
      </c>
      <c r="G16" s="19">
        <f>+Datos!F16*E16</f>
        <v>11388656.375242665</v>
      </c>
      <c r="H16" s="10"/>
      <c r="I16" s="10"/>
      <c r="J16" s="10"/>
      <c r="K16" s="10"/>
      <c r="L16" s="20"/>
    </row>
    <row r="17" spans="1:12" x14ac:dyDescent="0.2">
      <c r="A17" s="18"/>
      <c r="B17" s="10" t="s">
        <v>59</v>
      </c>
      <c r="C17" s="10"/>
      <c r="D17" s="10"/>
      <c r="E17" s="42">
        <v>0.75</v>
      </c>
      <c r="F17" s="19">
        <f>+Datos!C17*E17</f>
        <v>86.25</v>
      </c>
      <c r="G17" s="19">
        <f>+Datos!F17*E17</f>
        <v>3602558.8464085879</v>
      </c>
      <c r="H17" s="10"/>
      <c r="I17" s="10"/>
      <c r="J17" s="10"/>
      <c r="K17" s="10"/>
      <c r="L17" s="20"/>
    </row>
    <row r="18" spans="1:12" x14ac:dyDescent="0.2">
      <c r="A18" s="18"/>
      <c r="B18" s="10" t="s">
        <v>60</v>
      </c>
      <c r="C18" s="10"/>
      <c r="D18" s="10"/>
      <c r="E18" s="42">
        <v>6</v>
      </c>
      <c r="F18" s="3">
        <f>+Datos!C18*E18</f>
        <v>720</v>
      </c>
      <c r="G18" s="3">
        <f>+Datos!F18*E18</f>
        <v>9139500.4152106903</v>
      </c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22"/>
      <c r="G19" s="22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81">
        <f>SUM(F14:F19)</f>
        <v>1316.25</v>
      </c>
      <c r="G20" s="81">
        <f>SUM(G14:G19)</f>
        <v>42366672.028320208</v>
      </c>
      <c r="H20" s="10"/>
      <c r="I20" s="10"/>
      <c r="J20" s="10"/>
      <c r="K20" s="10"/>
      <c r="L20" s="20"/>
    </row>
    <row r="21" spans="1:12" x14ac:dyDescent="0.2">
      <c r="A21" s="18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0"/>
    </row>
    <row r="22" spans="1:12" x14ac:dyDescent="0.2">
      <c r="A22" s="18"/>
      <c r="B22" s="28" t="s">
        <v>5</v>
      </c>
      <c r="C22" s="10"/>
      <c r="D22" s="10"/>
      <c r="E22" s="10"/>
      <c r="F22" s="10"/>
      <c r="G22" s="10"/>
      <c r="H22" s="10"/>
      <c r="I22" s="10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0"/>
    </row>
    <row r="24" spans="1:12" x14ac:dyDescent="0.2">
      <c r="A24" s="18"/>
      <c r="B24" s="10"/>
      <c r="C24" s="2">
        <f>+G20</f>
        <v>42366672.028320208</v>
      </c>
      <c r="D24" s="3" t="s">
        <v>6</v>
      </c>
      <c r="E24" s="19" t="s">
        <v>7</v>
      </c>
      <c r="F24" s="2">
        <f>+G20</f>
        <v>42366672.028320208</v>
      </c>
      <c r="G24" s="3" t="s">
        <v>62</v>
      </c>
      <c r="H24" s="2">
        <v>0.12</v>
      </c>
      <c r="I24" s="3" t="s">
        <v>9</v>
      </c>
      <c r="J24" s="19" t="s">
        <v>10</v>
      </c>
      <c r="K24" s="28">
        <f>+C24/C25+F24*H24/4000</f>
        <v>5507.6673636816267</v>
      </c>
      <c r="L24" s="20" t="s">
        <v>13</v>
      </c>
    </row>
    <row r="25" spans="1:12" x14ac:dyDescent="0.2">
      <c r="A25" s="18"/>
      <c r="B25" s="10"/>
      <c r="C25" s="10">
        <v>10000</v>
      </c>
      <c r="D25" s="10" t="s">
        <v>34</v>
      </c>
      <c r="E25" s="10"/>
      <c r="F25" s="10"/>
      <c r="G25" s="19" t="s">
        <v>8</v>
      </c>
      <c r="H25" s="10"/>
      <c r="I25" s="19"/>
      <c r="J25" s="10"/>
      <c r="K25" s="10"/>
      <c r="L25" s="20"/>
    </row>
    <row r="26" spans="1:12" x14ac:dyDescent="0.2">
      <c r="A26" s="18"/>
      <c r="B26" s="10"/>
      <c r="C26" s="10"/>
      <c r="D26" s="10"/>
      <c r="E26" s="10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8" t="s">
        <v>31</v>
      </c>
      <c r="C27" s="10"/>
      <c r="D27" s="10"/>
      <c r="E27" s="10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10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29">
        <v>0.5</v>
      </c>
      <c r="C29" s="10" t="s">
        <v>63</v>
      </c>
      <c r="D29" s="10"/>
      <c r="E29" s="22">
        <f>+C24/C25</f>
        <v>4236.6672028320208</v>
      </c>
      <c r="F29" s="10" t="s">
        <v>64</v>
      </c>
      <c r="G29" s="19" t="s">
        <v>14</v>
      </c>
      <c r="H29" s="10"/>
      <c r="I29" s="19"/>
      <c r="J29" s="10"/>
      <c r="K29" s="28">
        <f>+B29*E29</f>
        <v>2118.3336014160104</v>
      </c>
      <c r="L29" s="20" t="s">
        <v>13</v>
      </c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8" t="s">
        <v>19</v>
      </c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9" t="s">
        <v>15</v>
      </c>
      <c r="C33" s="10">
        <v>0.12</v>
      </c>
      <c r="D33" s="10" t="s">
        <v>16</v>
      </c>
      <c r="E33" s="19">
        <f>+F20</f>
        <v>1316.25</v>
      </c>
      <c r="F33" s="10" t="s">
        <v>17</v>
      </c>
      <c r="G33" s="19" t="s">
        <v>11</v>
      </c>
      <c r="H33" s="10">
        <f>+Datos!$F$10</f>
        <v>23.56</v>
      </c>
      <c r="I33" s="19" t="s">
        <v>18</v>
      </c>
      <c r="J33" s="19" t="s">
        <v>10</v>
      </c>
      <c r="K33" s="28">
        <f>+C33*E33*H33</f>
        <v>3721.3019999999997</v>
      </c>
      <c r="L33" s="20" t="s">
        <v>13</v>
      </c>
    </row>
    <row r="34" spans="1:12" x14ac:dyDescent="0.2">
      <c r="A34" s="18"/>
      <c r="B34" s="10"/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28" t="s">
        <v>20</v>
      </c>
      <c r="C35" s="10"/>
      <c r="D35" s="10"/>
      <c r="E35" s="22"/>
      <c r="F35" s="10"/>
      <c r="G35" s="19"/>
      <c r="H35" s="10"/>
      <c r="I35" s="19"/>
      <c r="J35" s="10"/>
      <c r="K35" s="10"/>
      <c r="L35" s="20"/>
    </row>
    <row r="36" spans="1:12" x14ac:dyDescent="0.2">
      <c r="A36" s="18"/>
      <c r="B36" s="10"/>
      <c r="C36" s="10"/>
      <c r="D36" s="10"/>
      <c r="E36" s="22"/>
      <c r="F36" s="10"/>
      <c r="G36" s="19"/>
      <c r="H36" s="10"/>
      <c r="I36" s="19"/>
      <c r="J36" s="10"/>
      <c r="K36" s="10"/>
      <c r="L36" s="20"/>
    </row>
    <row r="37" spans="1:12" x14ac:dyDescent="0.2">
      <c r="A37" s="18"/>
      <c r="B37" s="29">
        <v>0.3</v>
      </c>
      <c r="C37" s="10" t="s">
        <v>21</v>
      </c>
      <c r="D37" s="10"/>
      <c r="E37" s="22">
        <f>+K33</f>
        <v>3721.3019999999997</v>
      </c>
      <c r="F37" s="10" t="s">
        <v>13</v>
      </c>
      <c r="G37" s="19" t="s">
        <v>14</v>
      </c>
      <c r="H37" s="10"/>
      <c r="I37" s="19"/>
      <c r="J37" s="10"/>
      <c r="K37" s="28">
        <f>+B37*E37</f>
        <v>1116.3905999999999</v>
      </c>
      <c r="L37" s="20" t="s">
        <v>13</v>
      </c>
    </row>
    <row r="38" spans="1:12" x14ac:dyDescent="0.2">
      <c r="A38" s="18"/>
      <c r="B38" s="10"/>
      <c r="C38" s="10"/>
      <c r="D38" s="10"/>
      <c r="E38" s="10"/>
      <c r="F38" s="10"/>
      <c r="G38" s="10"/>
      <c r="H38" s="10"/>
      <c r="I38" s="19"/>
      <c r="J38" s="10"/>
      <c r="K38" s="10"/>
      <c r="L38" s="20"/>
    </row>
    <row r="39" spans="1:12" x14ac:dyDescent="0.2">
      <c r="A39" s="18"/>
      <c r="B39" s="28" t="s">
        <v>22</v>
      </c>
      <c r="C39" s="10"/>
      <c r="D39" s="10"/>
      <c r="E39" s="10"/>
      <c r="F39" s="10"/>
      <c r="G39" s="10"/>
      <c r="H39" s="10"/>
      <c r="I39" s="19"/>
      <c r="J39" s="10"/>
      <c r="K39" s="10"/>
      <c r="L39" s="20"/>
    </row>
    <row r="40" spans="1:12" x14ac:dyDescent="0.2">
      <c r="A40" s="18"/>
      <c r="B40" s="10"/>
      <c r="C40" s="10"/>
      <c r="D40" s="10"/>
      <c r="E40" s="10"/>
      <c r="F40" s="10"/>
      <c r="G40" s="10"/>
      <c r="H40" s="10"/>
      <c r="I40" s="19"/>
      <c r="J40" s="10"/>
      <c r="K40" s="10"/>
      <c r="L40" s="20"/>
    </row>
    <row r="41" spans="1:12" x14ac:dyDescent="0.2">
      <c r="A41" s="18"/>
      <c r="B41" s="10" t="s">
        <v>23</v>
      </c>
      <c r="C41" s="10"/>
      <c r="D41" s="22">
        <v>0</v>
      </c>
      <c r="E41" s="19" t="s">
        <v>11</v>
      </c>
      <c r="F41" s="1">
        <f>+Datos!$F$5</f>
        <v>224.79</v>
      </c>
      <c r="G41" s="10" t="s">
        <v>13</v>
      </c>
      <c r="H41" s="19" t="s">
        <v>14</v>
      </c>
      <c r="I41" s="22">
        <f>+D41*F41</f>
        <v>0</v>
      </c>
      <c r="J41" s="10" t="s">
        <v>13</v>
      </c>
      <c r="K41" s="10"/>
      <c r="L41" s="20"/>
    </row>
    <row r="42" spans="1:12" x14ac:dyDescent="0.2">
      <c r="A42" s="18"/>
      <c r="B42" s="10" t="s">
        <v>25</v>
      </c>
      <c r="C42" s="10"/>
      <c r="D42" s="22">
        <v>5</v>
      </c>
      <c r="E42" s="19" t="s">
        <v>11</v>
      </c>
      <c r="F42" s="1">
        <f>+Datos!$F$6</f>
        <v>191.66</v>
      </c>
      <c r="G42" s="10" t="s">
        <v>13</v>
      </c>
      <c r="H42" s="19" t="s">
        <v>14</v>
      </c>
      <c r="I42" s="22">
        <f>ROUND((+D42*F42),2)</f>
        <v>958.3</v>
      </c>
      <c r="J42" s="10" t="s">
        <v>13</v>
      </c>
      <c r="K42" s="10"/>
      <c r="L42" s="20"/>
    </row>
    <row r="43" spans="1:12" x14ac:dyDescent="0.2">
      <c r="A43" s="18"/>
      <c r="B43" s="10" t="s">
        <v>37</v>
      </c>
      <c r="C43" s="10"/>
      <c r="D43" s="22">
        <v>0</v>
      </c>
      <c r="E43" s="19" t="s">
        <v>11</v>
      </c>
      <c r="F43" s="1">
        <f>+Datos!$F$7</f>
        <v>176.37</v>
      </c>
      <c r="G43" s="10" t="s">
        <v>13</v>
      </c>
      <c r="H43" s="19" t="s">
        <v>14</v>
      </c>
      <c r="I43" s="22">
        <f>+D43*F43</f>
        <v>0</v>
      </c>
      <c r="J43" s="10" t="s">
        <v>13</v>
      </c>
      <c r="K43" s="10"/>
      <c r="L43" s="20"/>
    </row>
    <row r="44" spans="1:12" x14ac:dyDescent="0.2">
      <c r="A44" s="18"/>
      <c r="B44" s="10" t="s">
        <v>24</v>
      </c>
      <c r="C44" s="10"/>
      <c r="D44" s="22">
        <v>1</v>
      </c>
      <c r="E44" s="19" t="s">
        <v>11</v>
      </c>
      <c r="F44" s="1">
        <f>+Datos!$F$8</f>
        <v>162.9</v>
      </c>
      <c r="G44" s="10" t="s">
        <v>13</v>
      </c>
      <c r="H44" s="3" t="s">
        <v>14</v>
      </c>
      <c r="I44" s="5">
        <f>ROUND((+D44*F44),2)</f>
        <v>162.9</v>
      </c>
      <c r="J44" s="2" t="s">
        <v>13</v>
      </c>
      <c r="K44" s="10"/>
      <c r="L44" s="20"/>
    </row>
    <row r="45" spans="1:12" x14ac:dyDescent="0.2">
      <c r="A45" s="18"/>
      <c r="B45" s="10"/>
      <c r="C45" s="10"/>
      <c r="D45" s="10"/>
      <c r="E45" s="10"/>
      <c r="F45" s="10"/>
      <c r="G45" s="10"/>
      <c r="H45" s="10"/>
      <c r="I45" s="22">
        <f>SUM(I41:I44)</f>
        <v>1121.2</v>
      </c>
      <c r="J45" s="10" t="s">
        <v>13</v>
      </c>
      <c r="K45" s="10"/>
      <c r="L45" s="20"/>
    </row>
    <row r="46" spans="1:12" x14ac:dyDescent="0.2">
      <c r="A46" s="18"/>
      <c r="B46" s="10" t="s">
        <v>40</v>
      </c>
      <c r="C46" s="10"/>
      <c r="D46" s="23">
        <v>0.1</v>
      </c>
      <c r="E46" s="10"/>
      <c r="F46" s="10"/>
      <c r="G46" s="10"/>
      <c r="H46" s="10"/>
      <c r="I46" s="22">
        <f>+I45*D46</f>
        <v>112.12</v>
      </c>
      <c r="J46" s="10" t="s">
        <v>13</v>
      </c>
      <c r="K46" s="10"/>
      <c r="L46" s="20"/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19"/>
      <c r="J47" s="10"/>
      <c r="K47" s="10"/>
      <c r="L47" s="20"/>
    </row>
    <row r="48" spans="1:12" x14ac:dyDescent="0.2">
      <c r="A48" s="18"/>
      <c r="B48" s="10" t="s">
        <v>26</v>
      </c>
      <c r="C48" s="10"/>
      <c r="D48" s="10"/>
      <c r="E48" s="10"/>
      <c r="F48" s="10"/>
      <c r="G48" s="10"/>
      <c r="H48" s="10"/>
      <c r="I48" s="19"/>
      <c r="J48" s="10"/>
      <c r="K48" s="33">
        <f>+I45+I46</f>
        <v>1233.3200000000002</v>
      </c>
      <c r="L48" s="24" t="s">
        <v>13</v>
      </c>
    </row>
    <row r="49" spans="1:12" x14ac:dyDescent="0.2">
      <c r="A49" s="18"/>
      <c r="B49" s="10"/>
      <c r="C49" s="10"/>
      <c r="D49" s="10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34" t="s">
        <v>44</v>
      </c>
      <c r="C50" s="35"/>
      <c r="D50" s="35"/>
      <c r="E50" s="35"/>
      <c r="F50" s="35"/>
      <c r="G50" s="35"/>
      <c r="H50" s="35"/>
      <c r="I50" s="36"/>
      <c r="J50" s="35"/>
      <c r="K50" s="82">
        <f>SUM(K24:K48)</f>
        <v>13697.013565097637</v>
      </c>
      <c r="L50" s="8" t="s">
        <v>13</v>
      </c>
    </row>
    <row r="51" spans="1:12" x14ac:dyDescent="0.2">
      <c r="A51" s="18"/>
      <c r="B51" s="10"/>
      <c r="C51" s="10"/>
      <c r="D51" s="10"/>
      <c r="E51" s="10"/>
      <c r="F51" s="10"/>
      <c r="G51" s="10"/>
      <c r="H51" s="10"/>
      <c r="I51" s="19"/>
      <c r="J51" s="10"/>
      <c r="K51" s="10"/>
      <c r="L51" s="20"/>
    </row>
    <row r="52" spans="1:12" x14ac:dyDescent="0.2">
      <c r="A52" s="18"/>
      <c r="B52" s="10" t="s">
        <v>27</v>
      </c>
      <c r="C52" s="10"/>
      <c r="D52" s="86">
        <v>50</v>
      </c>
      <c r="E52" s="19" t="s">
        <v>28</v>
      </c>
      <c r="F52" s="10"/>
      <c r="G52" s="10"/>
      <c r="H52" s="10"/>
      <c r="I52" s="19"/>
      <c r="J52" s="10"/>
      <c r="K52" s="10"/>
      <c r="L52" s="20"/>
    </row>
    <row r="53" spans="1:12" x14ac:dyDescent="0.2">
      <c r="A53" s="18"/>
      <c r="B53" s="28"/>
      <c r="C53" s="10"/>
      <c r="D53" s="22"/>
      <c r="E53" s="10"/>
      <c r="F53" s="10"/>
      <c r="G53" s="10"/>
      <c r="H53" s="10"/>
      <c r="I53" s="19"/>
      <c r="J53" s="10"/>
      <c r="K53" s="10"/>
      <c r="L53" s="20"/>
    </row>
    <row r="54" spans="1:12" x14ac:dyDescent="0.2">
      <c r="A54" s="25"/>
      <c r="B54" s="33" t="s">
        <v>45</v>
      </c>
      <c r="C54" s="2"/>
      <c r="D54" s="5">
        <f>+K50</f>
        <v>13697.013565097637</v>
      </c>
      <c r="E54" s="3" t="s">
        <v>13</v>
      </c>
      <c r="F54" s="3" t="s">
        <v>29</v>
      </c>
      <c r="G54" s="5">
        <f>+D52</f>
        <v>50</v>
      </c>
      <c r="H54" s="3" t="s">
        <v>28</v>
      </c>
      <c r="I54" s="3" t="s">
        <v>14</v>
      </c>
      <c r="J54" s="2"/>
      <c r="K54" s="34">
        <f>+D54/G54</f>
        <v>273.94027130195275</v>
      </c>
      <c r="L54" s="8" t="s">
        <v>30</v>
      </c>
    </row>
    <row r="55" spans="1:12" x14ac:dyDescent="0.2">
      <c r="G55" s="4"/>
    </row>
    <row r="57" spans="1:12" x14ac:dyDescent="0.2">
      <c r="A57" s="7"/>
      <c r="B57" s="35" t="s">
        <v>53</v>
      </c>
      <c r="C57" s="35"/>
      <c r="D57" s="35"/>
      <c r="E57" s="35"/>
      <c r="F57" s="35"/>
      <c r="G57" s="35"/>
      <c r="H57" s="35"/>
      <c r="I57" s="35"/>
      <c r="J57" s="35"/>
      <c r="K57" s="34">
        <f>+K54</f>
        <v>273.94027130195275</v>
      </c>
      <c r="L57" s="8" t="s">
        <v>30</v>
      </c>
    </row>
    <row r="59" spans="1:12" x14ac:dyDescent="0.2">
      <c r="A59" s="7"/>
      <c r="B59" s="35" t="s">
        <v>54</v>
      </c>
      <c r="C59" s="35"/>
      <c r="D59" s="35"/>
      <c r="E59" s="37">
        <f>Coeficiente!D22</f>
        <v>1.7627404950000001</v>
      </c>
      <c r="F59" s="35"/>
      <c r="G59" s="35"/>
      <c r="H59" s="35"/>
      <c r="I59" s="35"/>
      <c r="J59" s="35"/>
      <c r="K59" s="35"/>
      <c r="L59" s="8"/>
    </row>
    <row r="60" spans="1:12" ht="13.5" thickBot="1" x14ac:dyDescent="0.25"/>
    <row r="61" spans="1:12" ht="20.100000000000001" customHeight="1" thickBot="1" x14ac:dyDescent="0.25">
      <c r="A61" s="11"/>
      <c r="B61" s="12" t="s">
        <v>55</v>
      </c>
      <c r="C61" s="30"/>
      <c r="D61" s="30"/>
      <c r="E61" s="30"/>
      <c r="F61" s="30"/>
      <c r="G61" s="30"/>
      <c r="H61" s="30"/>
      <c r="I61" s="30"/>
      <c r="J61" s="30"/>
      <c r="K61" s="11">
        <f>ROUND((+K57*E59),2)</f>
        <v>482.89</v>
      </c>
      <c r="L61" s="31" t="s">
        <v>30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61"/>
  <sheetViews>
    <sheetView zoomScaleNormal="100" workbookViewId="0">
      <selection activeCell="P11" sqref="P11"/>
    </sheetView>
  </sheetViews>
  <sheetFormatPr baseColWidth="10" defaultColWidth="11.140625" defaultRowHeight="12.75" x14ac:dyDescent="0.2"/>
  <cols>
    <col min="1" max="1" width="10.42578125" style="102" customWidth="1"/>
    <col min="2" max="2" width="14.140625" style="102" customWidth="1"/>
    <col min="3" max="3" width="8.5703125" style="102" customWidth="1"/>
    <col min="4" max="4" width="10.42578125" style="102" customWidth="1"/>
    <col min="5" max="6" width="12.7109375" style="102" bestFit="1" customWidth="1"/>
    <col min="7" max="7" width="5.42578125" style="102" customWidth="1"/>
    <col min="8" max="8" width="8.140625" style="102" bestFit="1" customWidth="1"/>
    <col min="9" max="9" width="3.85546875" style="102" customWidth="1"/>
    <col min="10" max="10" width="9.140625" style="102" bestFit="1" customWidth="1"/>
    <col min="11" max="11" width="5.42578125" style="102" customWidth="1"/>
    <col min="12" max="16384" width="11.140625" style="102"/>
  </cols>
  <sheetData>
    <row r="1" spans="1:11" x14ac:dyDescent="0.2">
      <c r="A1" s="302"/>
      <c r="B1" s="303"/>
      <c r="C1" s="303"/>
      <c r="D1" s="303"/>
      <c r="E1" s="303"/>
      <c r="F1" s="303"/>
      <c r="G1" s="303"/>
      <c r="H1" s="303"/>
      <c r="I1" s="303"/>
      <c r="J1" s="303"/>
      <c r="K1" s="304"/>
    </row>
    <row r="2" spans="1:11" x14ac:dyDescent="0.2">
      <c r="A2" s="305" t="s">
        <v>249</v>
      </c>
      <c r="B2" s="253"/>
      <c r="C2" s="253"/>
      <c r="D2" s="253"/>
      <c r="E2" s="253"/>
      <c r="F2" s="253"/>
      <c r="G2" s="253"/>
      <c r="H2" s="253"/>
      <c r="I2" s="253"/>
      <c r="J2" s="253"/>
      <c r="K2" s="306"/>
    </row>
    <row r="3" spans="1:11" x14ac:dyDescent="0.2">
      <c r="A3" s="305" t="s">
        <v>251</v>
      </c>
      <c r="B3" s="253"/>
      <c r="C3" s="253"/>
      <c r="D3" s="253"/>
      <c r="E3" s="253"/>
      <c r="F3" s="253"/>
      <c r="G3" s="253"/>
      <c r="H3" s="253"/>
      <c r="I3" s="253"/>
      <c r="J3" s="253"/>
      <c r="K3" s="306"/>
    </row>
    <row r="4" spans="1:11" x14ac:dyDescent="0.2">
      <c r="A4" s="305" t="s">
        <v>250</v>
      </c>
      <c r="B4" s="253"/>
      <c r="C4" s="253"/>
      <c r="D4" s="253"/>
      <c r="E4" s="253"/>
      <c r="F4" s="253"/>
      <c r="G4" s="253"/>
      <c r="H4" s="253"/>
      <c r="I4" s="253"/>
      <c r="J4" s="253"/>
      <c r="K4" s="306"/>
    </row>
    <row r="5" spans="1:11" x14ac:dyDescent="0.2">
      <c r="A5" s="305" t="s">
        <v>182</v>
      </c>
      <c r="B5" s="255" t="s">
        <v>183</v>
      </c>
      <c r="C5" s="253"/>
      <c r="D5" s="253"/>
      <c r="E5" s="253"/>
      <c r="F5" s="253"/>
      <c r="G5" s="253"/>
      <c r="H5" s="253"/>
      <c r="I5" s="253"/>
      <c r="J5" s="253"/>
      <c r="K5" s="306"/>
    </row>
    <row r="6" spans="1:11" x14ac:dyDescent="0.2">
      <c r="A6" s="305" t="s">
        <v>56</v>
      </c>
      <c r="B6" s="253" t="s">
        <v>61</v>
      </c>
      <c r="C6" s="253"/>
      <c r="D6" s="253"/>
      <c r="E6" s="253"/>
      <c r="F6" s="253"/>
      <c r="G6" s="253"/>
      <c r="H6" s="252" t="s">
        <v>57</v>
      </c>
      <c r="I6" s="265" t="s">
        <v>252</v>
      </c>
      <c r="J6" s="253">
        <v>43282</v>
      </c>
      <c r="K6" s="306"/>
    </row>
    <row r="7" spans="1:11" ht="16.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9"/>
    </row>
    <row r="8" spans="1:11" ht="16.5" thickBot="1" x14ac:dyDescent="0.3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</row>
    <row r="9" spans="1:11" ht="13.5" thickBot="1" x14ac:dyDescent="0.25">
      <c r="A9" s="299" t="s">
        <v>43</v>
      </c>
      <c r="B9" s="300"/>
      <c r="C9" s="300"/>
      <c r="D9" s="300"/>
      <c r="E9" s="300"/>
      <c r="F9" s="300"/>
      <c r="G9" s="300"/>
      <c r="H9" s="300"/>
      <c r="I9" s="300"/>
      <c r="J9" s="300"/>
      <c r="K9" s="301"/>
    </row>
    <row r="10" spans="1:11" x14ac:dyDescent="0.2">
      <c r="A10" s="297"/>
      <c r="B10" s="253"/>
      <c r="C10" s="253"/>
      <c r="D10" s="253"/>
      <c r="E10" s="253"/>
      <c r="F10" s="253"/>
      <c r="G10" s="253"/>
      <c r="H10" s="253"/>
      <c r="I10" s="253"/>
      <c r="J10" s="253"/>
      <c r="K10" s="298"/>
    </row>
    <row r="11" spans="1:11" x14ac:dyDescent="0.2">
      <c r="A11" s="278" t="s">
        <v>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279"/>
    </row>
    <row r="12" spans="1:11" x14ac:dyDescent="0.2">
      <c r="A12" s="280"/>
      <c r="B12" s="113"/>
      <c r="C12" s="113"/>
      <c r="D12" s="115" t="s">
        <v>39</v>
      </c>
      <c r="E12" s="115" t="s">
        <v>3</v>
      </c>
      <c r="F12" s="115" t="s">
        <v>4</v>
      </c>
      <c r="G12" s="113"/>
      <c r="H12" s="113"/>
      <c r="I12" s="113"/>
      <c r="J12" s="113"/>
      <c r="K12" s="279"/>
    </row>
    <row r="13" spans="1:11" x14ac:dyDescent="0.2">
      <c r="A13" s="280"/>
      <c r="B13" s="113"/>
      <c r="C13" s="113"/>
      <c r="D13" s="113"/>
      <c r="E13" s="115" t="s">
        <v>32</v>
      </c>
      <c r="F13" s="115" t="s">
        <v>33</v>
      </c>
      <c r="G13" s="113"/>
      <c r="H13" s="116"/>
      <c r="I13" s="120"/>
      <c r="J13" s="120"/>
      <c r="K13" s="279"/>
    </row>
    <row r="14" spans="1:11" ht="12.75" customHeight="1" x14ac:dyDescent="0.2">
      <c r="A14" s="281" t="s">
        <v>184</v>
      </c>
      <c r="B14" s="232"/>
      <c r="C14" s="232"/>
      <c r="D14" s="271"/>
      <c r="E14" s="271"/>
      <c r="F14" s="271"/>
      <c r="G14" s="113"/>
      <c r="H14" s="113"/>
      <c r="I14" s="113"/>
      <c r="J14" s="113"/>
      <c r="K14" s="279"/>
    </row>
    <row r="15" spans="1:11" x14ac:dyDescent="0.2">
      <c r="A15" s="281"/>
      <c r="B15" s="232"/>
      <c r="C15" s="232"/>
      <c r="D15" s="116">
        <v>1</v>
      </c>
      <c r="E15" s="19">
        <f>+Datos!C17*$D$15</f>
        <v>115</v>
      </c>
      <c r="F15" s="19">
        <f>+Datos!F17*$D$15</f>
        <v>4803411.7952114502</v>
      </c>
      <c r="G15" s="113"/>
      <c r="H15" s="113"/>
      <c r="I15" s="113"/>
      <c r="J15" s="113"/>
      <c r="K15" s="279"/>
    </row>
    <row r="16" spans="1:11" x14ac:dyDescent="0.2">
      <c r="A16" s="280" t="s">
        <v>2</v>
      </c>
      <c r="B16" s="113"/>
      <c r="C16" s="113"/>
      <c r="D16" s="116">
        <v>1</v>
      </c>
      <c r="E16" s="19">
        <f>+Datos!C15*$D$16</f>
        <v>120</v>
      </c>
      <c r="F16" s="19">
        <f>+Datos!F15*$D$16</f>
        <v>5515419.3493205439</v>
      </c>
      <c r="G16" s="113"/>
      <c r="H16" s="113"/>
      <c r="I16" s="113"/>
      <c r="J16" s="113"/>
      <c r="K16" s="279"/>
    </row>
    <row r="17" spans="1:11" x14ac:dyDescent="0.2">
      <c r="A17" s="280" t="s">
        <v>60</v>
      </c>
      <c r="B17" s="113"/>
      <c r="C17" s="113"/>
      <c r="D17" s="116">
        <v>4</v>
      </c>
      <c r="E17" s="3">
        <f>+Datos!C18*$D$17</f>
        <v>480</v>
      </c>
      <c r="F17" s="3">
        <f>+Datos!F18*$D$17</f>
        <v>6093000.2768071266</v>
      </c>
      <c r="G17" s="113"/>
      <c r="H17" s="113"/>
      <c r="I17" s="113"/>
      <c r="J17" s="113"/>
      <c r="K17" s="279"/>
    </row>
    <row r="18" spans="1:11" x14ac:dyDescent="0.2">
      <c r="A18" s="280"/>
      <c r="B18" s="113"/>
      <c r="C18" s="113"/>
      <c r="D18" s="113"/>
      <c r="E18" s="120"/>
      <c r="F18" s="120"/>
      <c r="G18" s="113"/>
      <c r="H18" s="113"/>
      <c r="I18" s="113"/>
      <c r="J18" s="113"/>
      <c r="K18" s="279"/>
    </row>
    <row r="19" spans="1:11" x14ac:dyDescent="0.2">
      <c r="A19" s="280"/>
      <c r="B19" s="113"/>
      <c r="C19" s="113"/>
      <c r="D19" s="113"/>
      <c r="E19" s="120">
        <f>SUM(E15:E18)</f>
        <v>715</v>
      </c>
      <c r="F19" s="120">
        <f>SUM(F15:F18)</f>
        <v>16411831.421339121</v>
      </c>
      <c r="G19" s="113"/>
      <c r="H19" s="113"/>
      <c r="I19" s="113"/>
      <c r="J19" s="113"/>
      <c r="K19" s="279"/>
    </row>
    <row r="20" spans="1:11" x14ac:dyDescent="0.2">
      <c r="A20" s="282"/>
      <c r="B20" s="271"/>
      <c r="C20" s="271"/>
      <c r="D20" s="271"/>
      <c r="E20" s="271"/>
      <c r="F20" s="271"/>
      <c r="G20" s="113"/>
      <c r="H20" s="113"/>
      <c r="I20" s="113"/>
      <c r="J20" s="113"/>
      <c r="K20" s="279"/>
    </row>
    <row r="21" spans="1:11" x14ac:dyDescent="0.2">
      <c r="A21" s="280"/>
      <c r="B21" s="113"/>
      <c r="C21" s="113"/>
      <c r="D21" s="113"/>
      <c r="E21" s="113"/>
      <c r="F21" s="113"/>
      <c r="G21" s="113"/>
      <c r="H21" s="113"/>
      <c r="I21" s="113"/>
      <c r="J21" s="113"/>
      <c r="K21" s="279"/>
    </row>
    <row r="22" spans="1:11" x14ac:dyDescent="0.2">
      <c r="A22" s="278" t="s">
        <v>5</v>
      </c>
      <c r="B22" s="113"/>
      <c r="C22" s="113"/>
      <c r="D22" s="113"/>
      <c r="E22" s="113"/>
      <c r="F22" s="113"/>
      <c r="G22" s="113"/>
      <c r="H22" s="113"/>
      <c r="I22" s="113"/>
      <c r="J22" s="113"/>
      <c r="K22" s="279"/>
    </row>
    <row r="23" spans="1:11" x14ac:dyDescent="0.2">
      <c r="A23" s="280"/>
      <c r="B23" s="113"/>
      <c r="C23" s="113"/>
      <c r="D23" s="113"/>
      <c r="E23" s="113"/>
      <c r="F23" s="113"/>
      <c r="G23" s="113"/>
      <c r="H23" s="113"/>
      <c r="I23" s="113"/>
      <c r="J23" s="113"/>
      <c r="K23" s="279"/>
    </row>
    <row r="24" spans="1:11" x14ac:dyDescent="0.2">
      <c r="A24" s="280"/>
      <c r="B24" s="118">
        <f>+F19</f>
        <v>16411831.421339121</v>
      </c>
      <c r="C24" s="117" t="s">
        <v>6</v>
      </c>
      <c r="D24" s="115" t="s">
        <v>7</v>
      </c>
      <c r="E24" s="118">
        <f>+F19</f>
        <v>16411831.421339121</v>
      </c>
      <c r="F24" s="117" t="s">
        <v>62</v>
      </c>
      <c r="G24" s="118">
        <v>0.12</v>
      </c>
      <c r="H24" s="117" t="s">
        <v>9</v>
      </c>
      <c r="I24" s="115" t="s">
        <v>10</v>
      </c>
      <c r="J24" s="113">
        <f>+B24/B25+E24*G24/4000</f>
        <v>2133.5380847740857</v>
      </c>
      <c r="K24" s="279" t="s">
        <v>13</v>
      </c>
    </row>
    <row r="25" spans="1:11" x14ac:dyDescent="0.2">
      <c r="A25" s="280"/>
      <c r="B25" s="113">
        <v>10000</v>
      </c>
      <c r="C25" s="113" t="s">
        <v>34</v>
      </c>
      <c r="D25" s="113"/>
      <c r="E25" s="113"/>
      <c r="F25" s="115" t="s">
        <v>8</v>
      </c>
      <c r="G25" s="113"/>
      <c r="H25" s="115"/>
      <c r="I25" s="113"/>
      <c r="J25" s="113"/>
      <c r="K25" s="279"/>
    </row>
    <row r="26" spans="1:11" x14ac:dyDescent="0.2">
      <c r="A26" s="280"/>
      <c r="B26" s="113"/>
      <c r="C26" s="113"/>
      <c r="D26" s="113"/>
      <c r="E26" s="113"/>
      <c r="F26" s="115"/>
      <c r="G26" s="113"/>
      <c r="H26" s="115"/>
      <c r="I26" s="113"/>
      <c r="J26" s="113"/>
      <c r="K26" s="279"/>
    </row>
    <row r="27" spans="1:11" x14ac:dyDescent="0.2">
      <c r="A27" s="278" t="s">
        <v>31</v>
      </c>
      <c r="B27" s="113"/>
      <c r="C27" s="113"/>
      <c r="D27" s="113"/>
      <c r="E27" s="113"/>
      <c r="F27" s="115"/>
      <c r="G27" s="113"/>
      <c r="H27" s="115"/>
      <c r="I27" s="113"/>
      <c r="J27" s="113"/>
      <c r="K27" s="279"/>
    </row>
    <row r="28" spans="1:11" x14ac:dyDescent="0.2">
      <c r="A28" s="280"/>
      <c r="B28" s="113"/>
      <c r="C28" s="113"/>
      <c r="D28" s="113"/>
      <c r="E28" s="113"/>
      <c r="F28" s="115"/>
      <c r="G28" s="113"/>
      <c r="H28" s="115"/>
      <c r="I28" s="113"/>
      <c r="J28" s="113"/>
      <c r="K28" s="279"/>
    </row>
    <row r="29" spans="1:11" x14ac:dyDescent="0.2">
      <c r="A29" s="283">
        <v>0.5</v>
      </c>
      <c r="B29" s="113" t="s">
        <v>63</v>
      </c>
      <c r="C29" s="113"/>
      <c r="D29" s="120">
        <f>+B24/B25</f>
        <v>1641.183142133912</v>
      </c>
      <c r="E29" s="113" t="s">
        <v>64</v>
      </c>
      <c r="F29" s="115" t="s">
        <v>14</v>
      </c>
      <c r="G29" s="113"/>
      <c r="H29" s="115"/>
      <c r="I29" s="113"/>
      <c r="J29" s="113">
        <f>+A29*D29</f>
        <v>820.59157106695602</v>
      </c>
      <c r="K29" s="279" t="s">
        <v>13</v>
      </c>
    </row>
    <row r="30" spans="1:11" x14ac:dyDescent="0.2">
      <c r="A30" s="280"/>
      <c r="B30" s="113"/>
      <c r="C30" s="113"/>
      <c r="D30" s="120"/>
      <c r="E30" s="113"/>
      <c r="F30" s="115"/>
      <c r="G30" s="113"/>
      <c r="H30" s="115"/>
      <c r="I30" s="113"/>
      <c r="J30" s="113"/>
      <c r="K30" s="279"/>
    </row>
    <row r="31" spans="1:11" x14ac:dyDescent="0.2">
      <c r="A31" s="278" t="s">
        <v>19</v>
      </c>
      <c r="B31" s="113"/>
      <c r="C31" s="113"/>
      <c r="D31" s="120"/>
      <c r="E31" s="113"/>
      <c r="F31" s="115"/>
      <c r="G31" s="113"/>
      <c r="H31" s="115"/>
      <c r="I31" s="113"/>
      <c r="J31" s="113"/>
      <c r="K31" s="279"/>
    </row>
    <row r="32" spans="1:11" x14ac:dyDescent="0.2">
      <c r="A32" s="280"/>
      <c r="B32" s="113"/>
      <c r="C32" s="113"/>
      <c r="D32" s="120"/>
      <c r="E32" s="113"/>
      <c r="F32" s="115"/>
      <c r="G32" s="113"/>
      <c r="H32" s="115"/>
      <c r="I32" s="113"/>
      <c r="J32" s="113"/>
      <c r="K32" s="279"/>
    </row>
    <row r="33" spans="1:11" x14ac:dyDescent="0.2">
      <c r="A33" s="284" t="s">
        <v>15</v>
      </c>
      <c r="B33" s="113">
        <v>0.16</v>
      </c>
      <c r="C33" s="113" t="s">
        <v>16</v>
      </c>
      <c r="D33" s="115">
        <f>+E19</f>
        <v>715</v>
      </c>
      <c r="E33" s="113" t="s">
        <v>17</v>
      </c>
      <c r="F33" s="115" t="s">
        <v>11</v>
      </c>
      <c r="G33" s="113">
        <f>Datos!F10</f>
        <v>23.56</v>
      </c>
      <c r="H33" s="115" t="s">
        <v>18</v>
      </c>
      <c r="I33" s="115" t="s">
        <v>10</v>
      </c>
      <c r="J33" s="113">
        <f>+B33*D33*G33</f>
        <v>2695.2640000000001</v>
      </c>
      <c r="K33" s="279" t="s">
        <v>13</v>
      </c>
    </row>
    <row r="34" spans="1:11" x14ac:dyDescent="0.2">
      <c r="A34" s="280"/>
      <c r="B34" s="113"/>
      <c r="C34" s="113"/>
      <c r="D34" s="120"/>
      <c r="E34" s="113"/>
      <c r="F34" s="115"/>
      <c r="G34" s="113"/>
      <c r="H34" s="115"/>
      <c r="I34" s="113"/>
      <c r="J34" s="113"/>
      <c r="K34" s="279"/>
    </row>
    <row r="35" spans="1:11" x14ac:dyDescent="0.2">
      <c r="A35" s="278" t="s">
        <v>20</v>
      </c>
      <c r="B35" s="113"/>
      <c r="C35" s="113"/>
      <c r="D35" s="120"/>
      <c r="E35" s="113"/>
      <c r="F35" s="115"/>
      <c r="G35" s="113"/>
      <c r="H35" s="115"/>
      <c r="I35" s="113"/>
      <c r="J35" s="113"/>
      <c r="K35" s="279"/>
    </row>
    <row r="36" spans="1:11" x14ac:dyDescent="0.2">
      <c r="A36" s="280"/>
      <c r="B36" s="113"/>
      <c r="C36" s="113"/>
      <c r="D36" s="120"/>
      <c r="E36" s="113"/>
      <c r="F36" s="115"/>
      <c r="G36" s="113"/>
      <c r="H36" s="115"/>
      <c r="I36" s="113"/>
      <c r="J36" s="113"/>
      <c r="K36" s="279"/>
    </row>
    <row r="37" spans="1:11" x14ac:dyDescent="0.2">
      <c r="A37" s="283">
        <v>0.3</v>
      </c>
      <c r="B37" s="113" t="s">
        <v>21</v>
      </c>
      <c r="C37" s="113"/>
      <c r="D37" s="120">
        <f>+J33</f>
        <v>2695.2640000000001</v>
      </c>
      <c r="E37" s="113" t="s">
        <v>13</v>
      </c>
      <c r="F37" s="115" t="s">
        <v>14</v>
      </c>
      <c r="G37" s="113"/>
      <c r="H37" s="115"/>
      <c r="I37" s="113"/>
      <c r="J37" s="113">
        <f>+A37*D37</f>
        <v>808.57920000000001</v>
      </c>
      <c r="K37" s="279" t="s">
        <v>13</v>
      </c>
    </row>
    <row r="38" spans="1:11" x14ac:dyDescent="0.2">
      <c r="A38" s="280"/>
      <c r="B38" s="113"/>
      <c r="C38" s="113"/>
      <c r="D38" s="113"/>
      <c r="E38" s="113"/>
      <c r="F38" s="113"/>
      <c r="G38" s="113"/>
      <c r="H38" s="115"/>
      <c r="I38" s="113"/>
      <c r="J38" s="113"/>
      <c r="K38" s="279"/>
    </row>
    <row r="39" spans="1:11" x14ac:dyDescent="0.2">
      <c r="A39" s="278" t="s">
        <v>22</v>
      </c>
      <c r="B39" s="113"/>
      <c r="C39" s="113"/>
      <c r="D39" s="113"/>
      <c r="E39" s="113"/>
      <c r="F39" s="113"/>
      <c r="G39" s="113"/>
      <c r="H39" s="115"/>
      <c r="I39" s="113"/>
      <c r="J39" s="113"/>
      <c r="K39" s="279"/>
    </row>
    <row r="40" spans="1:11" x14ac:dyDescent="0.2">
      <c r="A40" s="280"/>
      <c r="B40" s="113"/>
      <c r="C40" s="113"/>
      <c r="D40" s="113"/>
      <c r="E40" s="113"/>
      <c r="F40" s="113"/>
      <c r="G40" s="113"/>
      <c r="H40" s="115"/>
      <c r="I40" s="113"/>
      <c r="J40" s="113"/>
      <c r="K40" s="279"/>
    </row>
    <row r="41" spans="1:11" x14ac:dyDescent="0.2">
      <c r="A41" s="280" t="s">
        <v>23</v>
      </c>
      <c r="B41" s="113"/>
      <c r="C41" s="120">
        <v>0</v>
      </c>
      <c r="D41" s="115" t="s">
        <v>11</v>
      </c>
      <c r="E41" s="10">
        <f>+Datos!$F$5</f>
        <v>224.79</v>
      </c>
      <c r="F41" s="113" t="s">
        <v>13</v>
      </c>
      <c r="G41" s="115" t="s">
        <v>14</v>
      </c>
      <c r="H41" s="120">
        <f>+C41*E41</f>
        <v>0</v>
      </c>
      <c r="I41" s="113" t="s">
        <v>13</v>
      </c>
      <c r="J41" s="113"/>
      <c r="K41" s="279"/>
    </row>
    <row r="42" spans="1:11" x14ac:dyDescent="0.2">
      <c r="A42" s="280" t="s">
        <v>25</v>
      </c>
      <c r="B42" s="113"/>
      <c r="C42" s="120">
        <v>5</v>
      </c>
      <c r="D42" s="115" t="s">
        <v>11</v>
      </c>
      <c r="E42" s="10">
        <f>+Datos!$F$6</f>
        <v>191.66</v>
      </c>
      <c r="F42" s="113" t="s">
        <v>13</v>
      </c>
      <c r="G42" s="115" t="s">
        <v>14</v>
      </c>
      <c r="H42" s="120">
        <f>ROUND((+C42*E42),2)</f>
        <v>958.3</v>
      </c>
      <c r="I42" s="113" t="s">
        <v>13</v>
      </c>
      <c r="J42" s="113"/>
      <c r="K42" s="279"/>
    </row>
    <row r="43" spans="1:11" x14ac:dyDescent="0.2">
      <c r="A43" s="280" t="s">
        <v>37</v>
      </c>
      <c r="B43" s="113"/>
      <c r="C43" s="120">
        <v>0</v>
      </c>
      <c r="D43" s="115" t="s">
        <v>11</v>
      </c>
      <c r="E43" s="10">
        <f>+Datos!$F$7</f>
        <v>176.37</v>
      </c>
      <c r="F43" s="113" t="s">
        <v>13</v>
      </c>
      <c r="G43" s="115" t="s">
        <v>14</v>
      </c>
      <c r="H43" s="120">
        <f>+C43*E43</f>
        <v>0</v>
      </c>
      <c r="I43" s="113" t="s">
        <v>13</v>
      </c>
      <c r="J43" s="113"/>
      <c r="K43" s="279"/>
    </row>
    <row r="44" spans="1:11" x14ac:dyDescent="0.2">
      <c r="A44" s="280" t="s">
        <v>24</v>
      </c>
      <c r="B44" s="113"/>
      <c r="C44" s="120">
        <v>1</v>
      </c>
      <c r="D44" s="115" t="s">
        <v>11</v>
      </c>
      <c r="E44" s="10">
        <f>+Datos!$F$8</f>
        <v>162.9</v>
      </c>
      <c r="F44" s="113" t="s">
        <v>13</v>
      </c>
      <c r="G44" s="117" t="s">
        <v>14</v>
      </c>
      <c r="H44" s="121">
        <f>ROUND((+C44*E44),2)</f>
        <v>162.9</v>
      </c>
      <c r="I44" s="118" t="s">
        <v>13</v>
      </c>
      <c r="J44" s="113"/>
      <c r="K44" s="279"/>
    </row>
    <row r="45" spans="1:11" x14ac:dyDescent="0.2">
      <c r="A45" s="280"/>
      <c r="B45" s="113"/>
      <c r="C45" s="113"/>
      <c r="D45" s="113"/>
      <c r="E45" s="113"/>
      <c r="F45" s="113"/>
      <c r="G45" s="113"/>
      <c r="H45" s="120">
        <f>SUM(H41:H44)</f>
        <v>1121.2</v>
      </c>
      <c r="I45" s="113" t="s">
        <v>13</v>
      </c>
      <c r="J45" s="113"/>
      <c r="K45" s="279"/>
    </row>
    <row r="46" spans="1:11" x14ac:dyDescent="0.2">
      <c r="A46" s="280" t="s">
        <v>40</v>
      </c>
      <c r="B46" s="113"/>
      <c r="C46" s="122">
        <v>0.1</v>
      </c>
      <c r="D46" s="113"/>
      <c r="E46" s="113"/>
      <c r="F46" s="113"/>
      <c r="G46" s="113"/>
      <c r="H46" s="120">
        <f>+H45*C46</f>
        <v>112.12</v>
      </c>
      <c r="I46" s="113" t="s">
        <v>13</v>
      </c>
      <c r="J46" s="113"/>
      <c r="K46" s="279"/>
    </row>
    <row r="47" spans="1:11" x14ac:dyDescent="0.2">
      <c r="A47" s="280"/>
      <c r="B47" s="113"/>
      <c r="C47" s="113"/>
      <c r="D47" s="113"/>
      <c r="E47" s="113"/>
      <c r="F47" s="113"/>
      <c r="G47" s="113"/>
      <c r="H47" s="115"/>
      <c r="I47" s="113"/>
      <c r="J47" s="113"/>
      <c r="K47" s="279"/>
    </row>
    <row r="48" spans="1:11" x14ac:dyDescent="0.2">
      <c r="A48" s="280" t="s">
        <v>26</v>
      </c>
      <c r="B48" s="113"/>
      <c r="C48" s="113"/>
      <c r="D48" s="113"/>
      <c r="E48" s="113"/>
      <c r="F48" s="113"/>
      <c r="G48" s="113"/>
      <c r="H48" s="115"/>
      <c r="I48" s="113"/>
      <c r="J48" s="118">
        <f>+H45+H46</f>
        <v>1233.3200000000002</v>
      </c>
      <c r="K48" s="285" t="s">
        <v>13</v>
      </c>
    </row>
    <row r="49" spans="1:11" x14ac:dyDescent="0.2">
      <c r="A49" s="280"/>
      <c r="B49" s="113"/>
      <c r="C49" s="113"/>
      <c r="D49" s="113"/>
      <c r="E49" s="113"/>
      <c r="F49" s="113"/>
      <c r="G49" s="113"/>
      <c r="H49" s="115"/>
      <c r="I49" s="113"/>
      <c r="J49" s="113"/>
      <c r="K49" s="279"/>
    </row>
    <row r="50" spans="1:11" x14ac:dyDescent="0.2">
      <c r="A50" s="286" t="s">
        <v>44</v>
      </c>
      <c r="B50" s="125"/>
      <c r="C50" s="125"/>
      <c r="D50" s="125"/>
      <c r="E50" s="125"/>
      <c r="F50" s="125"/>
      <c r="G50" s="125"/>
      <c r="H50" s="126"/>
      <c r="I50" s="125"/>
      <c r="J50" s="125">
        <f>SUM(J24:J48)</f>
        <v>7691.2928558410422</v>
      </c>
      <c r="K50" s="287" t="s">
        <v>13</v>
      </c>
    </row>
    <row r="51" spans="1:11" x14ac:dyDescent="0.2">
      <c r="A51" s="280"/>
      <c r="B51" s="113"/>
      <c r="C51" s="113"/>
      <c r="D51" s="113"/>
      <c r="E51" s="113"/>
      <c r="F51" s="113"/>
      <c r="G51" s="113"/>
      <c r="H51" s="115"/>
      <c r="I51" s="113"/>
      <c r="J51" s="113"/>
      <c r="K51" s="279"/>
    </row>
    <row r="52" spans="1:11" x14ac:dyDescent="0.2">
      <c r="A52" s="280" t="s">
        <v>27</v>
      </c>
      <c r="B52" s="113"/>
      <c r="C52" s="120">
        <v>8</v>
      </c>
      <c r="D52" s="115" t="s">
        <v>28</v>
      </c>
      <c r="E52" s="113"/>
      <c r="F52" s="113"/>
      <c r="G52" s="113"/>
      <c r="H52" s="115"/>
      <c r="I52" s="113"/>
      <c r="J52" s="113"/>
      <c r="K52" s="279"/>
    </row>
    <row r="53" spans="1:11" x14ac:dyDescent="0.2">
      <c r="A53" s="278"/>
      <c r="B53" s="113"/>
      <c r="C53" s="120"/>
      <c r="D53" s="113"/>
      <c r="E53" s="113"/>
      <c r="F53" s="113"/>
      <c r="G53" s="113"/>
      <c r="H53" s="115"/>
      <c r="I53" s="113"/>
      <c r="J53" s="113"/>
      <c r="K53" s="279"/>
    </row>
    <row r="54" spans="1:11" x14ac:dyDescent="0.2">
      <c r="A54" s="288" t="s">
        <v>45</v>
      </c>
      <c r="B54" s="289"/>
      <c r="C54" s="290">
        <f>+J50</f>
        <v>7691.2928558410422</v>
      </c>
      <c r="D54" s="291" t="s">
        <v>13</v>
      </c>
      <c r="E54" s="291" t="s">
        <v>29</v>
      </c>
      <c r="F54" s="290">
        <f>+C52</f>
        <v>8</v>
      </c>
      <c r="G54" s="291" t="s">
        <v>28</v>
      </c>
      <c r="H54" s="291" t="s">
        <v>14</v>
      </c>
      <c r="I54" s="289"/>
      <c r="J54" s="292">
        <f>+C54/F54</f>
        <v>961.41160698013027</v>
      </c>
      <c r="K54" s="293" t="s">
        <v>30</v>
      </c>
    </row>
    <row r="55" spans="1:11" x14ac:dyDescent="0.2">
      <c r="F55" s="131"/>
    </row>
    <row r="57" spans="1:11" x14ac:dyDescent="0.2">
      <c r="A57" s="273" t="s">
        <v>53</v>
      </c>
      <c r="B57" s="274"/>
      <c r="C57" s="274"/>
      <c r="D57" s="274"/>
      <c r="E57" s="274"/>
      <c r="F57" s="274"/>
      <c r="G57" s="274"/>
      <c r="H57" s="274"/>
      <c r="I57" s="274"/>
      <c r="J57" s="277">
        <f>+J54</f>
        <v>961.41160698013027</v>
      </c>
      <c r="K57" s="276" t="s">
        <v>30</v>
      </c>
    </row>
    <row r="59" spans="1:11" x14ac:dyDescent="0.2">
      <c r="A59" s="273" t="s">
        <v>54</v>
      </c>
      <c r="B59" s="274"/>
      <c r="C59" s="274"/>
      <c r="D59" s="275">
        <f>[1]Coeficiente!E22</f>
        <v>1.7627404950000001</v>
      </c>
      <c r="E59" s="274"/>
      <c r="F59" s="274"/>
      <c r="G59" s="274"/>
      <c r="H59" s="274"/>
      <c r="I59" s="274"/>
      <c r="J59" s="274"/>
      <c r="K59" s="276"/>
    </row>
    <row r="61" spans="1:11" ht="20.100000000000001" customHeight="1" thickBot="1" x14ac:dyDescent="0.25">
      <c r="A61" s="267" t="s">
        <v>55</v>
      </c>
      <c r="B61" s="268"/>
      <c r="C61" s="268"/>
      <c r="D61" s="268"/>
      <c r="E61" s="268"/>
      <c r="F61" s="268"/>
      <c r="G61" s="268"/>
      <c r="H61" s="268"/>
      <c r="I61" s="268"/>
      <c r="J61" s="269">
        <f>ROUND((+J57*D59),2)</f>
        <v>1694.72</v>
      </c>
      <c r="K61" s="270" t="s">
        <v>30</v>
      </c>
    </row>
  </sheetData>
  <sheetProtection selectLockedCells="1" selectUnlockedCells="1"/>
  <mergeCells count="1">
    <mergeCell ref="A14:C15"/>
  </mergeCells>
  <printOptions horizontalCentered="1" verticalCentered="1"/>
  <pageMargins left="0.98425196850393704" right="0.19685039370078741" top="0.59055118110236227" bottom="0.19685039370078741" header="0" footer="0"/>
  <pageSetup paperSize="9" scale="80" firstPageNumber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K64"/>
  <sheetViews>
    <sheetView zoomScaleNormal="90" workbookViewId="0">
      <selection activeCell="P11" sqref="P11"/>
    </sheetView>
  </sheetViews>
  <sheetFormatPr baseColWidth="10" defaultRowHeight="12.75" x14ac:dyDescent="0.2"/>
  <cols>
    <col min="1" max="1" width="11.28515625" style="1" customWidth="1"/>
    <col min="2" max="2" width="12.85546875" style="1" customWidth="1"/>
    <col min="3" max="3" width="9" style="1" customWidth="1"/>
    <col min="4" max="4" width="10.5703125" style="1" customWidth="1"/>
    <col min="5" max="5" width="12.7109375" style="1" bestFit="1" customWidth="1"/>
    <col min="6" max="6" width="12.85546875" style="1" customWidth="1"/>
    <col min="7" max="7" width="5.5703125" style="1" bestFit="1" customWidth="1"/>
    <col min="8" max="8" width="8.140625" style="1" bestFit="1" customWidth="1"/>
    <col min="9" max="9" width="4" style="1" customWidth="1"/>
    <col min="10" max="10" width="9.140625" style="1" customWidth="1"/>
    <col min="11" max="11" width="5.140625" style="1" bestFit="1" customWidth="1"/>
    <col min="12" max="16384" width="11.42578125" style="1"/>
  </cols>
  <sheetData>
    <row r="1" spans="1:11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234"/>
    </row>
    <row r="2" spans="1:11" x14ac:dyDescent="0.2">
      <c r="A2" s="310" t="s">
        <v>249</v>
      </c>
      <c r="B2" s="47"/>
      <c r="C2" s="47"/>
      <c r="D2" s="47"/>
      <c r="E2" s="47"/>
      <c r="F2" s="47"/>
      <c r="G2" s="47"/>
      <c r="H2" s="47"/>
      <c r="I2" s="47"/>
      <c r="J2" s="47"/>
      <c r="K2" s="236"/>
    </row>
    <row r="3" spans="1:11" x14ac:dyDescent="0.2">
      <c r="A3" s="310" t="s">
        <v>251</v>
      </c>
      <c r="B3" s="47"/>
      <c r="C3" s="47"/>
      <c r="D3" s="47"/>
      <c r="E3" s="47"/>
      <c r="F3" s="47"/>
      <c r="G3" s="47"/>
      <c r="H3" s="47"/>
      <c r="I3" s="47"/>
      <c r="J3" s="47"/>
      <c r="K3" s="236"/>
    </row>
    <row r="4" spans="1:11" x14ac:dyDescent="0.2">
      <c r="A4" s="310" t="s">
        <v>250</v>
      </c>
      <c r="B4" s="47"/>
      <c r="C4" s="47"/>
      <c r="D4" s="47"/>
      <c r="E4" s="47"/>
      <c r="F4" s="47"/>
      <c r="G4" s="47"/>
      <c r="H4" s="47"/>
      <c r="I4" s="47"/>
      <c r="J4" s="47"/>
      <c r="K4" s="236"/>
    </row>
    <row r="5" spans="1:11" x14ac:dyDescent="0.2">
      <c r="A5" s="310" t="s">
        <v>187</v>
      </c>
      <c r="B5" s="47" t="s">
        <v>124</v>
      </c>
      <c r="C5" s="47"/>
      <c r="D5" s="47"/>
      <c r="E5" s="47"/>
      <c r="F5" s="47"/>
      <c r="G5" s="47"/>
      <c r="H5" s="47"/>
      <c r="I5" s="47"/>
      <c r="J5" s="47"/>
      <c r="K5" s="236"/>
    </row>
    <row r="6" spans="1:11" x14ac:dyDescent="0.2">
      <c r="A6" s="310" t="s">
        <v>56</v>
      </c>
      <c r="B6" s="47" t="s">
        <v>61</v>
      </c>
      <c r="C6" s="47"/>
      <c r="D6" s="47"/>
      <c r="E6" s="47"/>
      <c r="F6" s="47"/>
      <c r="G6" s="47"/>
      <c r="H6" s="50" t="s">
        <v>57</v>
      </c>
      <c r="I6" s="238"/>
      <c r="J6" s="311">
        <v>43282</v>
      </c>
      <c r="K6" s="236"/>
    </row>
    <row r="7" spans="1:11" ht="16.5" thickBot="1" x14ac:dyDescent="0.3">
      <c r="A7" s="312"/>
      <c r="B7" s="242"/>
      <c r="C7" s="242"/>
      <c r="D7" s="242"/>
      <c r="E7" s="242"/>
      <c r="F7" s="242"/>
      <c r="G7" s="242"/>
      <c r="H7" s="242"/>
      <c r="I7" s="242"/>
      <c r="J7" s="242"/>
      <c r="K7" s="243"/>
    </row>
    <row r="8" spans="1:11" ht="16.5" thickBot="1" x14ac:dyDescent="0.3">
      <c r="A8" s="9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3.5" thickBot="1" x14ac:dyDescent="0.25">
      <c r="A9" s="52" t="s">
        <v>43</v>
      </c>
      <c r="B9" s="54"/>
      <c r="C9" s="54"/>
      <c r="D9" s="54"/>
      <c r="E9" s="54"/>
      <c r="F9" s="54"/>
      <c r="G9" s="54"/>
      <c r="H9" s="54"/>
      <c r="I9" s="54"/>
      <c r="J9" s="54"/>
      <c r="K9" s="55"/>
    </row>
    <row r="10" spans="1:11" x14ac:dyDescent="0.2">
      <c r="A10" s="41"/>
      <c r="B10" s="39"/>
      <c r="C10" s="39"/>
      <c r="D10" s="39"/>
      <c r="E10" s="39"/>
      <c r="F10" s="39"/>
      <c r="G10" s="39"/>
      <c r="H10" s="39"/>
      <c r="I10" s="39"/>
      <c r="J10" s="39"/>
      <c r="K10" s="40"/>
    </row>
    <row r="11" spans="1:11" x14ac:dyDescent="0.2">
      <c r="A11" s="272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20"/>
    </row>
    <row r="12" spans="1:11" x14ac:dyDescent="0.2">
      <c r="A12" s="18"/>
      <c r="B12" s="10"/>
      <c r="C12" s="10"/>
      <c r="D12" s="19" t="s">
        <v>39</v>
      </c>
      <c r="E12" s="19" t="s">
        <v>3</v>
      </c>
      <c r="F12" s="19" t="s">
        <v>4</v>
      </c>
      <c r="G12" s="10"/>
      <c r="H12" s="10"/>
      <c r="I12" s="10"/>
      <c r="J12" s="10"/>
      <c r="K12" s="20"/>
    </row>
    <row r="13" spans="1:11" x14ac:dyDescent="0.2">
      <c r="A13" s="18"/>
      <c r="B13" s="10"/>
      <c r="C13" s="10"/>
      <c r="D13" s="10"/>
      <c r="E13" s="19" t="s">
        <v>32</v>
      </c>
      <c r="F13" s="19" t="s">
        <v>33</v>
      </c>
      <c r="G13" s="10"/>
      <c r="H13" s="10"/>
      <c r="I13" s="10"/>
      <c r="J13" s="10"/>
      <c r="K13" s="20"/>
    </row>
    <row r="14" spans="1:11" x14ac:dyDescent="0.2">
      <c r="A14" s="18" t="s">
        <v>35</v>
      </c>
      <c r="B14" s="10"/>
      <c r="C14" s="10"/>
      <c r="D14" s="42">
        <v>1</v>
      </c>
      <c r="E14" s="19">
        <f>+Datos!C14*D14</f>
        <v>145</v>
      </c>
      <c r="F14" s="19">
        <f>+Datos!F14*D14</f>
        <v>7205117.6928171758</v>
      </c>
      <c r="G14" s="10"/>
      <c r="H14" s="10"/>
      <c r="I14" s="10"/>
      <c r="J14" s="10"/>
      <c r="K14" s="20"/>
    </row>
    <row r="15" spans="1:11" x14ac:dyDescent="0.2">
      <c r="A15" s="18" t="s">
        <v>65</v>
      </c>
      <c r="B15" s="10"/>
      <c r="C15" s="10"/>
      <c r="D15" s="42">
        <v>1</v>
      </c>
      <c r="E15" s="19">
        <f>+Datos!C19*D15</f>
        <v>60</v>
      </c>
      <c r="F15" s="19">
        <f>+Datos!F19*D15</f>
        <v>2401705.8976057251</v>
      </c>
      <c r="G15" s="10"/>
      <c r="H15" s="10"/>
      <c r="I15" s="10"/>
      <c r="J15" s="10"/>
      <c r="K15" s="20"/>
    </row>
    <row r="16" spans="1:11" x14ac:dyDescent="0.2">
      <c r="A16" s="18" t="s">
        <v>67</v>
      </c>
      <c r="B16" s="10"/>
      <c r="C16" s="10"/>
      <c r="D16" s="42">
        <v>1</v>
      </c>
      <c r="E16" s="19">
        <f>+Datos!C20*D16</f>
        <v>90</v>
      </c>
      <c r="F16" s="19">
        <f>+Datos!F20*D16</f>
        <v>5554858.0509306844</v>
      </c>
      <c r="G16" s="10"/>
      <c r="H16" s="10"/>
      <c r="I16" s="10"/>
      <c r="J16" s="10"/>
      <c r="K16" s="20"/>
    </row>
    <row r="17" spans="1:11" x14ac:dyDescent="0.2">
      <c r="A17" s="18" t="s">
        <v>66</v>
      </c>
      <c r="B17" s="10"/>
      <c r="C17" s="10"/>
      <c r="D17" s="42">
        <v>1</v>
      </c>
      <c r="E17" s="19">
        <f>+Datos!C21*D17</f>
        <v>80</v>
      </c>
      <c r="F17" s="19">
        <f>+Datos!F21*D17</f>
        <v>2401705.8976057251</v>
      </c>
      <c r="G17" s="10"/>
      <c r="H17" s="10"/>
      <c r="I17" s="10"/>
      <c r="J17" s="10"/>
      <c r="K17" s="20"/>
    </row>
    <row r="18" spans="1:11" x14ac:dyDescent="0.2">
      <c r="A18" s="18" t="s">
        <v>94</v>
      </c>
      <c r="B18" s="10"/>
      <c r="C18" s="10"/>
      <c r="D18" s="42">
        <v>1</v>
      </c>
      <c r="E18" s="19">
        <f>+Datos!C15*D18</f>
        <v>120</v>
      </c>
      <c r="F18" s="19">
        <f>+Datos!F15*D18</f>
        <v>5515419.3493205439</v>
      </c>
      <c r="G18" s="10"/>
      <c r="H18" s="10"/>
      <c r="I18" s="10"/>
      <c r="J18" s="10"/>
      <c r="K18" s="20"/>
    </row>
    <row r="19" spans="1:11" x14ac:dyDescent="0.2">
      <c r="A19" s="18" t="s">
        <v>1</v>
      </c>
      <c r="B19" s="10"/>
      <c r="C19" s="10"/>
      <c r="D19" s="42">
        <v>0.5</v>
      </c>
      <c r="E19" s="19">
        <f>+Datos!C16*D19</f>
        <v>125</v>
      </c>
      <c r="F19" s="19">
        <f>+Datos!F16*D19</f>
        <v>11388656.375242665</v>
      </c>
      <c r="G19" s="10"/>
      <c r="H19" s="10"/>
      <c r="I19" s="10"/>
      <c r="J19" s="10"/>
      <c r="K19" s="20"/>
    </row>
    <row r="20" spans="1:11" x14ac:dyDescent="0.2">
      <c r="A20" s="18" t="s">
        <v>36</v>
      </c>
      <c r="B20" s="10"/>
      <c r="C20" s="10"/>
      <c r="D20" s="42">
        <v>1</v>
      </c>
      <c r="E20" s="19">
        <f>+Datos!C22*D20</f>
        <v>120</v>
      </c>
      <c r="F20" s="19">
        <f>+Datos!F22*D20</f>
        <v>1523250.0692017816</v>
      </c>
      <c r="G20" s="10"/>
      <c r="H20" s="10"/>
      <c r="I20" s="10"/>
      <c r="J20" s="10"/>
      <c r="K20" s="20"/>
    </row>
    <row r="21" spans="1:11" x14ac:dyDescent="0.2">
      <c r="A21" s="18" t="s">
        <v>60</v>
      </c>
      <c r="B21" s="10"/>
      <c r="C21" s="10"/>
      <c r="D21" s="42">
        <v>6</v>
      </c>
      <c r="E21" s="3">
        <f>+Datos!C18*D21</f>
        <v>720</v>
      </c>
      <c r="F21" s="3">
        <f>+Datos!F18*D21</f>
        <v>9139500.4152106903</v>
      </c>
      <c r="G21" s="10"/>
      <c r="H21" s="10"/>
      <c r="I21" s="10"/>
      <c r="J21" s="10"/>
      <c r="K21" s="20"/>
    </row>
    <row r="22" spans="1:11" x14ac:dyDescent="0.2">
      <c r="A22" s="18"/>
      <c r="B22" s="10"/>
      <c r="C22" s="10"/>
      <c r="D22" s="19"/>
      <c r="E22" s="19"/>
      <c r="F22" s="19"/>
      <c r="G22" s="10"/>
      <c r="H22" s="10"/>
      <c r="I22" s="10"/>
      <c r="J22" s="10"/>
      <c r="K22" s="20"/>
    </row>
    <row r="23" spans="1:11" x14ac:dyDescent="0.2">
      <c r="A23" s="18"/>
      <c r="B23" s="10"/>
      <c r="C23" s="10"/>
      <c r="D23" s="19"/>
      <c r="E23" s="81">
        <f>SUM(E14:E22)</f>
        <v>1460</v>
      </c>
      <c r="F23" s="81">
        <f>SUM(F14:F22)</f>
        <v>45130213.747934997</v>
      </c>
      <c r="G23" s="10"/>
      <c r="H23" s="10"/>
      <c r="I23" s="10"/>
      <c r="J23" s="10"/>
      <c r="K23" s="20"/>
    </row>
    <row r="24" spans="1:11" x14ac:dyDescent="0.2">
      <c r="A24" s="18"/>
      <c r="B24" s="10"/>
      <c r="C24" s="10"/>
      <c r="D24" s="10"/>
      <c r="E24" s="10"/>
      <c r="F24" s="10"/>
      <c r="G24" s="10"/>
      <c r="H24" s="10"/>
      <c r="I24" s="10"/>
      <c r="J24" s="10"/>
      <c r="K24" s="20"/>
    </row>
    <row r="25" spans="1:11" x14ac:dyDescent="0.2">
      <c r="A25" s="272" t="s">
        <v>5</v>
      </c>
      <c r="B25" s="10"/>
      <c r="C25" s="10"/>
      <c r="D25" s="10"/>
      <c r="E25" s="10"/>
      <c r="F25" s="10"/>
      <c r="G25" s="10"/>
      <c r="H25" s="10"/>
      <c r="I25" s="10"/>
      <c r="J25" s="10"/>
      <c r="K25" s="20"/>
    </row>
    <row r="26" spans="1:11" x14ac:dyDescent="0.2">
      <c r="A26" s="18"/>
      <c r="B26" s="10"/>
      <c r="C26" s="10"/>
      <c r="D26" s="10"/>
      <c r="E26" s="10"/>
      <c r="F26" s="10"/>
      <c r="G26" s="10"/>
      <c r="H26" s="10"/>
      <c r="I26" s="10"/>
      <c r="J26" s="10"/>
      <c r="K26" s="20"/>
    </row>
    <row r="27" spans="1:11" x14ac:dyDescent="0.2">
      <c r="A27" s="18"/>
      <c r="B27" s="2">
        <f>+F23</f>
        <v>45130213.747934997</v>
      </c>
      <c r="C27" s="3" t="s">
        <v>6</v>
      </c>
      <c r="D27" s="19" t="s">
        <v>7</v>
      </c>
      <c r="E27" s="2">
        <f>+F23</f>
        <v>45130213.747934997</v>
      </c>
      <c r="F27" s="3" t="s">
        <v>62</v>
      </c>
      <c r="G27" s="2">
        <v>0.12</v>
      </c>
      <c r="H27" s="3" t="s">
        <v>9</v>
      </c>
      <c r="I27" s="19" t="s">
        <v>10</v>
      </c>
      <c r="J27" s="28">
        <f>+B27/B28+E27*G27/4000</f>
        <v>5866.9277872315497</v>
      </c>
      <c r="K27" s="20" t="s">
        <v>13</v>
      </c>
    </row>
    <row r="28" spans="1:11" x14ac:dyDescent="0.2">
      <c r="A28" s="18"/>
      <c r="B28" s="10">
        <v>10000</v>
      </c>
      <c r="C28" s="10" t="s">
        <v>34</v>
      </c>
      <c r="D28" s="10"/>
      <c r="E28" s="10"/>
      <c r="F28" s="19" t="s">
        <v>8</v>
      </c>
      <c r="G28" s="10"/>
      <c r="H28" s="19"/>
      <c r="I28" s="10"/>
      <c r="J28" s="10"/>
      <c r="K28" s="20"/>
    </row>
    <row r="29" spans="1:11" x14ac:dyDescent="0.2">
      <c r="A29" s="18"/>
      <c r="B29" s="10"/>
      <c r="C29" s="10"/>
      <c r="D29" s="10"/>
      <c r="E29" s="10"/>
      <c r="F29" s="19"/>
      <c r="G29" s="10"/>
      <c r="H29" s="19"/>
      <c r="I29" s="10"/>
      <c r="J29" s="10"/>
      <c r="K29" s="20"/>
    </row>
    <row r="30" spans="1:11" x14ac:dyDescent="0.2">
      <c r="A30" s="272" t="s">
        <v>31</v>
      </c>
      <c r="B30" s="10"/>
      <c r="C30" s="10"/>
      <c r="D30" s="10"/>
      <c r="E30" s="10"/>
      <c r="F30" s="19"/>
      <c r="G30" s="10"/>
      <c r="H30" s="19"/>
      <c r="I30" s="10"/>
      <c r="J30" s="10"/>
      <c r="K30" s="20"/>
    </row>
    <row r="31" spans="1:11" x14ac:dyDescent="0.2">
      <c r="A31" s="18"/>
      <c r="B31" s="10"/>
      <c r="C31" s="10"/>
      <c r="D31" s="10"/>
      <c r="E31" s="10"/>
      <c r="F31" s="19"/>
      <c r="G31" s="10"/>
      <c r="H31" s="19"/>
      <c r="I31" s="10"/>
      <c r="J31" s="10"/>
      <c r="K31" s="20"/>
    </row>
    <row r="32" spans="1:11" x14ac:dyDescent="0.2">
      <c r="A32" s="295">
        <v>0.5</v>
      </c>
      <c r="B32" s="10" t="s">
        <v>63</v>
      </c>
      <c r="C32" s="10"/>
      <c r="D32" s="22">
        <f>+B27/B28</f>
        <v>4513.0213747934995</v>
      </c>
      <c r="E32" s="10" t="s">
        <v>64</v>
      </c>
      <c r="F32" s="19" t="s">
        <v>14</v>
      </c>
      <c r="G32" s="10"/>
      <c r="H32" s="19"/>
      <c r="I32" s="10"/>
      <c r="J32" s="28">
        <f>+A32*D32</f>
        <v>2256.5106873967497</v>
      </c>
      <c r="K32" s="20" t="s">
        <v>13</v>
      </c>
    </row>
    <row r="33" spans="1:11" x14ac:dyDescent="0.2">
      <c r="A33" s="18"/>
      <c r="B33" s="10"/>
      <c r="C33" s="10"/>
      <c r="D33" s="22"/>
      <c r="E33" s="10"/>
      <c r="F33" s="19"/>
      <c r="G33" s="10"/>
      <c r="H33" s="19"/>
      <c r="I33" s="10"/>
      <c r="J33" s="10"/>
      <c r="K33" s="20"/>
    </row>
    <row r="34" spans="1:11" x14ac:dyDescent="0.2">
      <c r="A34" s="272" t="s">
        <v>19</v>
      </c>
      <c r="B34" s="10"/>
      <c r="C34" s="10"/>
      <c r="D34" s="22"/>
      <c r="E34" s="10"/>
      <c r="F34" s="19"/>
      <c r="G34" s="10"/>
      <c r="H34" s="19"/>
      <c r="I34" s="10"/>
      <c r="J34" s="10"/>
      <c r="K34" s="20"/>
    </row>
    <row r="35" spans="1:11" x14ac:dyDescent="0.2">
      <c r="A35" s="18"/>
      <c r="B35" s="10"/>
      <c r="C35" s="10"/>
      <c r="D35" s="22"/>
      <c r="E35" s="10"/>
      <c r="F35" s="19"/>
      <c r="G35" s="10"/>
      <c r="H35" s="19"/>
      <c r="I35" s="10"/>
      <c r="J35" s="10"/>
      <c r="K35" s="20"/>
    </row>
    <row r="36" spans="1:11" x14ac:dyDescent="0.2">
      <c r="A36" s="296" t="s">
        <v>15</v>
      </c>
      <c r="B36" s="10">
        <v>0.12</v>
      </c>
      <c r="C36" s="10" t="s">
        <v>16</v>
      </c>
      <c r="D36" s="19">
        <f>+E23</f>
        <v>1460</v>
      </c>
      <c r="E36" s="10" t="s">
        <v>17</v>
      </c>
      <c r="F36" s="19" t="s">
        <v>11</v>
      </c>
      <c r="G36" s="10">
        <f>+Datos!F10</f>
        <v>23.56</v>
      </c>
      <c r="H36" s="19" t="s">
        <v>18</v>
      </c>
      <c r="I36" s="19" t="s">
        <v>10</v>
      </c>
      <c r="J36" s="28">
        <f>+B36*D36*G36</f>
        <v>4127.7119999999995</v>
      </c>
      <c r="K36" s="20" t="s">
        <v>13</v>
      </c>
    </row>
    <row r="37" spans="1:11" x14ac:dyDescent="0.2">
      <c r="A37" s="18"/>
      <c r="B37" s="10"/>
      <c r="C37" s="10"/>
      <c r="D37" s="22"/>
      <c r="E37" s="10"/>
      <c r="F37" s="19"/>
      <c r="G37" s="10"/>
      <c r="H37" s="19"/>
      <c r="I37" s="10"/>
      <c r="J37" s="10"/>
      <c r="K37" s="20"/>
    </row>
    <row r="38" spans="1:11" x14ac:dyDescent="0.2">
      <c r="A38" s="272" t="s">
        <v>20</v>
      </c>
      <c r="B38" s="10"/>
      <c r="C38" s="10"/>
      <c r="D38" s="22"/>
      <c r="E38" s="10"/>
      <c r="F38" s="19"/>
      <c r="G38" s="10"/>
      <c r="H38" s="19"/>
      <c r="I38" s="10"/>
      <c r="J38" s="10"/>
      <c r="K38" s="20"/>
    </row>
    <row r="39" spans="1:11" x14ac:dyDescent="0.2">
      <c r="A39" s="18"/>
      <c r="B39" s="10"/>
      <c r="C39" s="10"/>
      <c r="D39" s="22"/>
      <c r="E39" s="10"/>
      <c r="F39" s="19"/>
      <c r="G39" s="10"/>
      <c r="H39" s="19"/>
      <c r="I39" s="10"/>
      <c r="J39" s="10"/>
      <c r="K39" s="20"/>
    </row>
    <row r="40" spans="1:11" x14ac:dyDescent="0.2">
      <c r="A40" s="295">
        <v>0.3</v>
      </c>
      <c r="B40" s="10" t="s">
        <v>21</v>
      </c>
      <c r="C40" s="10"/>
      <c r="D40" s="22">
        <f>+J36</f>
        <v>4127.7119999999995</v>
      </c>
      <c r="E40" s="10" t="s">
        <v>13</v>
      </c>
      <c r="F40" s="19" t="s">
        <v>14</v>
      </c>
      <c r="G40" s="10"/>
      <c r="H40" s="19"/>
      <c r="I40" s="10"/>
      <c r="J40" s="28">
        <f>+A40*D40</f>
        <v>1238.3135999999997</v>
      </c>
      <c r="K40" s="20" t="s">
        <v>13</v>
      </c>
    </row>
    <row r="41" spans="1:11" x14ac:dyDescent="0.2">
      <c r="A41" s="18"/>
      <c r="B41" s="10"/>
      <c r="C41" s="10"/>
      <c r="D41" s="10"/>
      <c r="E41" s="10"/>
      <c r="F41" s="10"/>
      <c r="G41" s="10"/>
      <c r="H41" s="19"/>
      <c r="I41" s="10"/>
      <c r="J41" s="10"/>
      <c r="K41" s="20"/>
    </row>
    <row r="42" spans="1:11" x14ac:dyDescent="0.2">
      <c r="A42" s="272" t="s">
        <v>22</v>
      </c>
      <c r="B42" s="10"/>
      <c r="C42" s="10"/>
      <c r="D42" s="10"/>
      <c r="E42" s="10"/>
      <c r="F42" s="10"/>
      <c r="G42" s="10"/>
      <c r="H42" s="19"/>
      <c r="I42" s="10"/>
      <c r="J42" s="10"/>
      <c r="K42" s="20"/>
    </row>
    <row r="43" spans="1:11" x14ac:dyDescent="0.2">
      <c r="A43" s="18"/>
      <c r="B43" s="10"/>
      <c r="C43" s="10"/>
      <c r="D43" s="10"/>
      <c r="E43" s="10"/>
      <c r="F43" s="10"/>
      <c r="G43" s="10"/>
      <c r="H43" s="19"/>
      <c r="I43" s="10"/>
      <c r="J43" s="10"/>
      <c r="K43" s="20"/>
    </row>
    <row r="44" spans="1:11" x14ac:dyDescent="0.2">
      <c r="A44" s="18" t="s">
        <v>23</v>
      </c>
      <c r="B44" s="10"/>
      <c r="C44" s="22">
        <v>1</v>
      </c>
      <c r="D44" s="19" t="s">
        <v>11</v>
      </c>
      <c r="E44" s="10">
        <f>+Datos!$F$5</f>
        <v>224.79</v>
      </c>
      <c r="F44" s="10" t="s">
        <v>13</v>
      </c>
      <c r="G44" s="19" t="s">
        <v>14</v>
      </c>
      <c r="H44" s="22">
        <f>+C44*E44</f>
        <v>224.79</v>
      </c>
      <c r="I44" s="10" t="s">
        <v>13</v>
      </c>
      <c r="J44" s="10"/>
      <c r="K44" s="20"/>
    </row>
    <row r="45" spans="1:11" x14ac:dyDescent="0.2">
      <c r="A45" s="18" t="s">
        <v>25</v>
      </c>
      <c r="B45" s="10"/>
      <c r="C45" s="22">
        <v>12</v>
      </c>
      <c r="D45" s="19" t="s">
        <v>11</v>
      </c>
      <c r="E45" s="10">
        <f>+Datos!$F$6</f>
        <v>191.66</v>
      </c>
      <c r="F45" s="10" t="s">
        <v>13</v>
      </c>
      <c r="G45" s="19" t="s">
        <v>14</v>
      </c>
      <c r="H45" s="22">
        <f>+C45*E45</f>
        <v>2299.92</v>
      </c>
      <c r="I45" s="10" t="s">
        <v>13</v>
      </c>
      <c r="J45" s="10"/>
      <c r="K45" s="20"/>
    </row>
    <row r="46" spans="1:11" x14ac:dyDescent="0.2">
      <c r="A46" s="18" t="s">
        <v>37</v>
      </c>
      <c r="B46" s="10"/>
      <c r="C46" s="22">
        <v>0</v>
      </c>
      <c r="D46" s="19" t="s">
        <v>11</v>
      </c>
      <c r="E46" s="10">
        <f>+Datos!$F$7</f>
        <v>176.37</v>
      </c>
      <c r="F46" s="10" t="s">
        <v>13</v>
      </c>
      <c r="G46" s="19" t="s">
        <v>14</v>
      </c>
      <c r="H46" s="22">
        <f>+C46*E46</f>
        <v>0</v>
      </c>
      <c r="I46" s="10" t="s">
        <v>13</v>
      </c>
      <c r="J46" s="10"/>
      <c r="K46" s="20"/>
    </row>
    <row r="47" spans="1:11" x14ac:dyDescent="0.2">
      <c r="A47" s="18" t="s">
        <v>24</v>
      </c>
      <c r="B47" s="10"/>
      <c r="C47" s="22">
        <v>2</v>
      </c>
      <c r="D47" s="19" t="s">
        <v>11</v>
      </c>
      <c r="E47" s="10">
        <f>+Datos!$F$8</f>
        <v>162.9</v>
      </c>
      <c r="F47" s="10" t="s">
        <v>13</v>
      </c>
      <c r="G47" s="3" t="s">
        <v>14</v>
      </c>
      <c r="H47" s="5">
        <f>+C47*E47</f>
        <v>325.8</v>
      </c>
      <c r="I47" s="2" t="s">
        <v>13</v>
      </c>
      <c r="J47" s="10"/>
      <c r="K47" s="20"/>
    </row>
    <row r="48" spans="1:11" x14ac:dyDescent="0.2">
      <c r="A48" s="18"/>
      <c r="B48" s="10"/>
      <c r="C48" s="10"/>
      <c r="D48" s="10"/>
      <c r="E48" s="10"/>
      <c r="F48" s="10"/>
      <c r="G48" s="10"/>
      <c r="H48" s="22">
        <f>SUM(H44:H47)</f>
        <v>2850.51</v>
      </c>
      <c r="I48" s="10" t="s">
        <v>13</v>
      </c>
      <c r="J48" s="10"/>
      <c r="K48" s="20"/>
    </row>
    <row r="49" spans="1:11" x14ac:dyDescent="0.2">
      <c r="A49" s="18" t="s">
        <v>40</v>
      </c>
      <c r="B49" s="10"/>
      <c r="C49" s="23">
        <v>0.05</v>
      </c>
      <c r="D49" s="10"/>
      <c r="E49" s="10"/>
      <c r="F49" s="10"/>
      <c r="G49" s="10"/>
      <c r="H49" s="22">
        <f>+H48*C49</f>
        <v>142.52550000000002</v>
      </c>
      <c r="I49" s="10" t="s">
        <v>13</v>
      </c>
      <c r="J49" s="10"/>
      <c r="K49" s="20"/>
    </row>
    <row r="50" spans="1:11" x14ac:dyDescent="0.2">
      <c r="A50" s="18"/>
      <c r="B50" s="10"/>
      <c r="C50" s="10"/>
      <c r="D50" s="10"/>
      <c r="E50" s="10"/>
      <c r="F50" s="10"/>
      <c r="G50" s="10"/>
      <c r="H50" s="19"/>
      <c r="I50" s="10"/>
      <c r="J50" s="10"/>
      <c r="K50" s="20"/>
    </row>
    <row r="51" spans="1:11" x14ac:dyDescent="0.2">
      <c r="A51" s="18" t="s">
        <v>26</v>
      </c>
      <c r="B51" s="10"/>
      <c r="C51" s="10"/>
      <c r="D51" s="10"/>
      <c r="E51" s="10"/>
      <c r="F51" s="10"/>
      <c r="G51" s="10"/>
      <c r="H51" s="19"/>
      <c r="I51" s="10"/>
      <c r="J51" s="33">
        <f>+H48+H49</f>
        <v>2993.0355000000004</v>
      </c>
      <c r="K51" s="24" t="s">
        <v>13</v>
      </c>
    </row>
    <row r="52" spans="1:11" x14ac:dyDescent="0.2">
      <c r="A52" s="18"/>
      <c r="B52" s="10"/>
      <c r="C52" s="10"/>
      <c r="D52" s="10"/>
      <c r="E52" s="10"/>
      <c r="F52" s="10"/>
      <c r="G52" s="10"/>
      <c r="H52" s="19"/>
      <c r="I52" s="10"/>
      <c r="J52" s="10"/>
      <c r="K52" s="20"/>
    </row>
    <row r="53" spans="1:11" x14ac:dyDescent="0.2">
      <c r="A53" s="34" t="s">
        <v>44</v>
      </c>
      <c r="B53" s="35"/>
      <c r="C53" s="35"/>
      <c r="D53" s="35"/>
      <c r="E53" s="35"/>
      <c r="F53" s="35"/>
      <c r="G53" s="35"/>
      <c r="H53" s="36"/>
      <c r="I53" s="35"/>
      <c r="J53" s="82">
        <f>SUM(J27:J51)</f>
        <v>16482.499574628298</v>
      </c>
      <c r="K53" s="8" t="s">
        <v>13</v>
      </c>
    </row>
    <row r="54" spans="1:11" x14ac:dyDescent="0.2">
      <c r="A54" s="18"/>
      <c r="B54" s="10"/>
      <c r="C54" s="10"/>
      <c r="D54" s="10"/>
      <c r="E54" s="10"/>
      <c r="F54" s="10"/>
      <c r="G54" s="10"/>
      <c r="H54" s="19"/>
      <c r="I54" s="10"/>
      <c r="J54" s="10"/>
      <c r="K54" s="20"/>
    </row>
    <row r="55" spans="1:11" x14ac:dyDescent="0.2">
      <c r="A55" s="18" t="s">
        <v>27</v>
      </c>
      <c r="B55" s="10"/>
      <c r="C55" s="86">
        <v>80</v>
      </c>
      <c r="D55" s="19" t="s">
        <v>28</v>
      </c>
      <c r="E55" s="10"/>
      <c r="F55" s="10"/>
      <c r="G55" s="10"/>
      <c r="H55" s="19"/>
      <c r="I55" s="10"/>
      <c r="J55" s="10"/>
      <c r="K55" s="20"/>
    </row>
    <row r="56" spans="1:11" x14ac:dyDescent="0.2">
      <c r="A56" s="272"/>
      <c r="B56" s="10"/>
      <c r="C56" s="22"/>
      <c r="D56" s="10"/>
      <c r="E56" s="10"/>
      <c r="F56" s="10"/>
      <c r="G56" s="10"/>
      <c r="H56" s="19"/>
      <c r="I56" s="10"/>
      <c r="J56" s="10"/>
      <c r="K56" s="20"/>
    </row>
    <row r="57" spans="1:11" x14ac:dyDescent="0.2">
      <c r="A57" s="313" t="s">
        <v>45</v>
      </c>
      <c r="B57" s="2"/>
      <c r="C57" s="5">
        <f>+J53</f>
        <v>16482.499574628298</v>
      </c>
      <c r="D57" s="3" t="s">
        <v>13</v>
      </c>
      <c r="E57" s="3" t="s">
        <v>29</v>
      </c>
      <c r="F57" s="5">
        <f>+C55</f>
        <v>80</v>
      </c>
      <c r="G57" s="3" t="s">
        <v>28</v>
      </c>
      <c r="H57" s="3" t="s">
        <v>14</v>
      </c>
      <c r="I57" s="2"/>
      <c r="J57" s="34">
        <f>+C57/F57</f>
        <v>206.03124468285372</v>
      </c>
      <c r="K57" s="8" t="s">
        <v>30</v>
      </c>
    </row>
    <row r="58" spans="1:11" x14ac:dyDescent="0.2">
      <c r="F58" s="4"/>
    </row>
    <row r="60" spans="1:11" x14ac:dyDescent="0.2">
      <c r="A60" s="7" t="s">
        <v>53</v>
      </c>
      <c r="B60" s="35"/>
      <c r="C60" s="35"/>
      <c r="D60" s="35"/>
      <c r="E60" s="35"/>
      <c r="F60" s="35"/>
      <c r="G60" s="35"/>
      <c r="H60" s="35"/>
      <c r="I60" s="35"/>
      <c r="J60" s="34">
        <f>+J57</f>
        <v>206.03124468285372</v>
      </c>
      <c r="K60" s="8" t="s">
        <v>30</v>
      </c>
    </row>
    <row r="62" spans="1:11" x14ac:dyDescent="0.2">
      <c r="A62" s="7" t="s">
        <v>54</v>
      </c>
      <c r="B62" s="35"/>
      <c r="C62" s="35"/>
      <c r="D62" s="37">
        <f>Coeficiente!D22</f>
        <v>1.7627404950000001</v>
      </c>
      <c r="E62" s="35"/>
      <c r="F62" s="35"/>
      <c r="G62" s="35"/>
      <c r="H62" s="35"/>
      <c r="I62" s="35"/>
      <c r="J62" s="35"/>
      <c r="K62" s="8"/>
    </row>
    <row r="63" spans="1:11" ht="13.5" thickBot="1" x14ac:dyDescent="0.25"/>
    <row r="64" spans="1:11" ht="20.100000000000001" customHeight="1" thickBot="1" x14ac:dyDescent="0.25">
      <c r="A64" s="11" t="s">
        <v>55</v>
      </c>
      <c r="B64" s="30"/>
      <c r="C64" s="30"/>
      <c r="D64" s="30"/>
      <c r="E64" s="30"/>
      <c r="F64" s="30"/>
      <c r="G64" s="30"/>
      <c r="H64" s="30"/>
      <c r="I64" s="30"/>
      <c r="J64" s="11">
        <f>ROUND((+J60*D62),2)</f>
        <v>363.18</v>
      </c>
      <c r="K64" s="31" t="s">
        <v>30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59"/>
  <sheetViews>
    <sheetView zoomScaleNormal="90" workbookViewId="0">
      <selection activeCell="P11" sqref="P11"/>
    </sheetView>
  </sheetViews>
  <sheetFormatPr baseColWidth="10" defaultRowHeight="12.75" x14ac:dyDescent="0.2"/>
  <cols>
    <col min="1" max="1" width="3.7109375" style="1" customWidth="1"/>
    <col min="2" max="2" width="10.7109375" style="1" customWidth="1"/>
    <col min="3" max="3" width="12.7109375" style="1" customWidth="1"/>
    <col min="4" max="4" width="8.140625" style="1" bestFit="1" customWidth="1"/>
    <col min="5" max="5" width="10.5703125" style="1" customWidth="1"/>
    <col min="6" max="7" width="12.5703125" style="1" bestFit="1" customWidth="1"/>
    <col min="8" max="8" width="8" style="1" customWidth="1"/>
    <col min="9" max="9" width="7.7109375" style="1" customWidth="1"/>
    <col min="10" max="10" width="4" style="1" customWidth="1"/>
    <col min="11" max="11" width="8.140625" style="1" bestFit="1" customWidth="1"/>
    <col min="12" max="12" width="5.42578125" style="1" customWidth="1"/>
    <col min="13" max="16384" width="11.42578125" style="1"/>
  </cols>
  <sheetData>
    <row r="1" spans="1:12" x14ac:dyDescent="0.2">
      <c r="A1" s="233"/>
      <c r="B1" s="39"/>
      <c r="C1" s="39"/>
      <c r="D1" s="39"/>
      <c r="E1" s="39"/>
      <c r="F1" s="39"/>
      <c r="G1" s="39"/>
      <c r="H1" s="39"/>
      <c r="I1" s="39"/>
      <c r="J1" s="39"/>
      <c r="K1" s="39"/>
      <c r="L1" s="234"/>
    </row>
    <row r="2" spans="1:12" x14ac:dyDescent="0.2">
      <c r="A2" s="235"/>
      <c r="B2" s="50" t="s">
        <v>249</v>
      </c>
      <c r="C2" s="47"/>
      <c r="D2" s="47"/>
      <c r="E2" s="47"/>
      <c r="F2" s="47"/>
      <c r="G2" s="47"/>
      <c r="H2" s="47"/>
      <c r="I2" s="47"/>
      <c r="J2" s="47"/>
      <c r="K2" s="47"/>
      <c r="L2" s="236"/>
    </row>
    <row r="3" spans="1:12" x14ac:dyDescent="0.2">
      <c r="A3" s="235"/>
      <c r="B3" s="50" t="s">
        <v>251</v>
      </c>
      <c r="C3" s="47"/>
      <c r="D3" s="47"/>
      <c r="E3" s="47"/>
      <c r="F3" s="47"/>
      <c r="G3" s="47"/>
      <c r="H3" s="47"/>
      <c r="I3" s="47"/>
      <c r="J3" s="47"/>
      <c r="K3" s="47"/>
      <c r="L3" s="236"/>
    </row>
    <row r="4" spans="1:12" x14ac:dyDescent="0.2">
      <c r="A4" s="235"/>
      <c r="B4" s="50" t="s">
        <v>250</v>
      </c>
      <c r="C4" s="47"/>
      <c r="D4" s="47"/>
      <c r="E4" s="47"/>
      <c r="F4" s="47"/>
      <c r="G4" s="47"/>
      <c r="H4" s="47"/>
      <c r="I4" s="47"/>
      <c r="J4" s="47"/>
      <c r="K4" s="47"/>
      <c r="L4" s="236"/>
    </row>
    <row r="5" spans="1:12" x14ac:dyDescent="0.2">
      <c r="A5" s="235"/>
      <c r="B5" s="50" t="s">
        <v>147</v>
      </c>
      <c r="C5" s="47" t="s">
        <v>146</v>
      </c>
      <c r="D5" s="47"/>
      <c r="E5" s="47"/>
      <c r="F5" s="47"/>
      <c r="G5" s="47"/>
      <c r="H5" s="47"/>
      <c r="I5" s="47"/>
      <c r="J5" s="47"/>
      <c r="K5" s="47"/>
      <c r="L5" s="236"/>
    </row>
    <row r="6" spans="1:12" x14ac:dyDescent="0.2">
      <c r="A6" s="235"/>
      <c r="B6" s="50" t="s">
        <v>56</v>
      </c>
      <c r="C6" s="47" t="s">
        <v>61</v>
      </c>
      <c r="D6" s="47"/>
      <c r="E6" s="47"/>
      <c r="F6" s="47"/>
      <c r="G6" s="47"/>
      <c r="H6" s="47"/>
      <c r="I6" s="50" t="s">
        <v>57</v>
      </c>
      <c r="J6" s="247"/>
      <c r="K6" s="239">
        <v>43282</v>
      </c>
      <c r="L6" s="236"/>
    </row>
    <row r="7" spans="1:12" ht="13.5" thickBot="1" x14ac:dyDescent="0.25">
      <c r="A7" s="240"/>
      <c r="B7" s="244"/>
      <c r="C7" s="245"/>
      <c r="D7" s="245"/>
      <c r="E7" s="245"/>
      <c r="F7" s="245"/>
      <c r="G7" s="245"/>
      <c r="H7" s="245"/>
      <c r="I7" s="244"/>
      <c r="J7" s="264"/>
      <c r="K7" s="245"/>
      <c r="L7" s="246"/>
    </row>
    <row r="8" spans="1:12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2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2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2" x14ac:dyDescent="0.2">
      <c r="A14" s="18"/>
      <c r="B14" s="10" t="s">
        <v>59</v>
      </c>
      <c r="C14" s="10"/>
      <c r="D14" s="10"/>
      <c r="E14" s="42">
        <v>1</v>
      </c>
      <c r="F14" s="22">
        <f>+Datos!C23*E14</f>
        <v>75</v>
      </c>
      <c r="G14" s="22">
        <f>+Datos!F23</f>
        <v>1585956.948726733</v>
      </c>
      <c r="H14" s="10"/>
      <c r="I14" s="10"/>
      <c r="J14" s="10"/>
      <c r="K14" s="10"/>
      <c r="L14" s="20"/>
    </row>
    <row r="15" spans="1:12" x14ac:dyDescent="0.2">
      <c r="A15" s="18"/>
      <c r="B15" s="10" t="s">
        <v>60</v>
      </c>
      <c r="C15" s="10"/>
      <c r="D15" s="10"/>
      <c r="E15" s="42">
        <v>1</v>
      </c>
      <c r="F15" s="22">
        <f>+Datos!C18*E15</f>
        <v>120</v>
      </c>
      <c r="G15" s="22">
        <f>+Datos!F8*E15</f>
        <v>162.9</v>
      </c>
      <c r="H15" s="10"/>
      <c r="I15" s="10"/>
      <c r="J15" s="10"/>
      <c r="K15" s="10"/>
      <c r="L15" s="20"/>
    </row>
    <row r="16" spans="1:12" x14ac:dyDescent="0.2">
      <c r="A16" s="18"/>
      <c r="B16" s="10" t="s">
        <v>101</v>
      </c>
      <c r="C16" s="10"/>
      <c r="D16" s="10"/>
      <c r="E16" s="42"/>
      <c r="F16" s="5"/>
      <c r="G16" s="5">
        <v>1000</v>
      </c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22"/>
      <c r="G17" s="22"/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85">
        <f>SUM(F14:F17)</f>
        <v>195</v>
      </c>
      <c r="G18" s="85">
        <f>SUM(G14:G17)</f>
        <v>1587119.8487267329</v>
      </c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28" t="s">
        <v>5</v>
      </c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0"/>
    </row>
    <row r="22" spans="1:12" x14ac:dyDescent="0.2">
      <c r="A22" s="18"/>
      <c r="B22" s="10"/>
      <c r="C22" s="2">
        <f>+G18</f>
        <v>1587119.8487267329</v>
      </c>
      <c r="D22" s="3" t="s">
        <v>6</v>
      </c>
      <c r="E22" s="19" t="s">
        <v>7</v>
      </c>
      <c r="F22" s="2">
        <f>+G18</f>
        <v>1587119.8487267329</v>
      </c>
      <c r="G22" s="3" t="s">
        <v>62</v>
      </c>
      <c r="H22" s="2">
        <v>0.12</v>
      </c>
      <c r="I22" s="3" t="s">
        <v>9</v>
      </c>
      <c r="J22" s="19" t="s">
        <v>10</v>
      </c>
      <c r="K22" s="28">
        <f>+C22/C23+F22*H22/4000</f>
        <v>206.32558033447529</v>
      </c>
      <c r="L22" s="20" t="s">
        <v>13</v>
      </c>
    </row>
    <row r="23" spans="1:12" x14ac:dyDescent="0.2">
      <c r="A23" s="18"/>
      <c r="B23" s="10"/>
      <c r="C23" s="10">
        <v>10000</v>
      </c>
      <c r="D23" s="10" t="s">
        <v>34</v>
      </c>
      <c r="E23" s="10"/>
      <c r="F23" s="10"/>
      <c r="G23" s="19" t="s">
        <v>8</v>
      </c>
      <c r="H23" s="10"/>
      <c r="I23" s="19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28" t="s">
        <v>31</v>
      </c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10"/>
      <c r="C26" s="10"/>
      <c r="D26" s="10"/>
      <c r="E26" s="10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9">
        <v>0.5</v>
      </c>
      <c r="C27" s="10" t="s">
        <v>63</v>
      </c>
      <c r="D27" s="10"/>
      <c r="E27" s="22">
        <f>+C22/C23</f>
        <v>158.7119848726733</v>
      </c>
      <c r="F27" s="10" t="s">
        <v>64</v>
      </c>
      <c r="G27" s="19" t="s">
        <v>14</v>
      </c>
      <c r="H27" s="10"/>
      <c r="I27" s="19"/>
      <c r="J27" s="10"/>
      <c r="K27" s="28">
        <f>+B27*E27</f>
        <v>79.355992436336649</v>
      </c>
      <c r="L27" s="20" t="s">
        <v>13</v>
      </c>
    </row>
    <row r="28" spans="1:12" x14ac:dyDescent="0.2">
      <c r="A28" s="18"/>
      <c r="B28" s="10"/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28" t="s">
        <v>19</v>
      </c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19" t="s">
        <v>15</v>
      </c>
      <c r="C31" s="10">
        <v>0.12</v>
      </c>
      <c r="D31" s="10" t="s">
        <v>16</v>
      </c>
      <c r="E31" s="19">
        <f>+F18</f>
        <v>195</v>
      </c>
      <c r="F31" s="10" t="s">
        <v>17</v>
      </c>
      <c r="G31" s="19" t="s">
        <v>11</v>
      </c>
      <c r="H31" s="10">
        <f>+Datos!F10</f>
        <v>23.56</v>
      </c>
      <c r="I31" s="19" t="s">
        <v>18</v>
      </c>
      <c r="J31" s="19" t="s">
        <v>10</v>
      </c>
      <c r="K31" s="28">
        <f>+C31*E31*H31</f>
        <v>551.30399999999997</v>
      </c>
      <c r="L31" s="20" t="s">
        <v>13</v>
      </c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8" t="s">
        <v>20</v>
      </c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10"/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29">
        <v>0.3</v>
      </c>
      <c r="C35" s="10" t="s">
        <v>21</v>
      </c>
      <c r="D35" s="10"/>
      <c r="E35" s="22">
        <f>+K31</f>
        <v>551.30399999999997</v>
      </c>
      <c r="F35" s="10" t="s">
        <v>13</v>
      </c>
      <c r="G35" s="19" t="s">
        <v>14</v>
      </c>
      <c r="H35" s="10"/>
      <c r="I35" s="19"/>
      <c r="J35" s="10"/>
      <c r="K35" s="28">
        <f>+B35*E35</f>
        <v>165.3912</v>
      </c>
      <c r="L35" s="20" t="s">
        <v>13</v>
      </c>
    </row>
    <row r="36" spans="1:12" x14ac:dyDescent="0.2">
      <c r="A36" s="18"/>
      <c r="B36" s="10"/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28" t="s">
        <v>22</v>
      </c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/>
      <c r="C38" s="10"/>
      <c r="D38" s="10"/>
      <c r="E38" s="10"/>
      <c r="F38" s="10"/>
      <c r="G38" s="10"/>
      <c r="H38" s="10"/>
      <c r="I38" s="19"/>
      <c r="J38" s="10"/>
      <c r="K38" s="28"/>
      <c r="L38" s="20"/>
    </row>
    <row r="39" spans="1:12" x14ac:dyDescent="0.2">
      <c r="A39" s="18"/>
      <c r="B39" s="10" t="s">
        <v>23</v>
      </c>
      <c r="C39" s="10"/>
      <c r="D39" s="22">
        <v>1</v>
      </c>
      <c r="E39" s="19" t="s">
        <v>11</v>
      </c>
      <c r="F39" s="1">
        <f>+Datos!$F$5</f>
        <v>224.79</v>
      </c>
      <c r="G39" s="10" t="s">
        <v>13</v>
      </c>
      <c r="H39" s="19" t="s">
        <v>14</v>
      </c>
      <c r="I39" s="22">
        <f>+D39*F39</f>
        <v>224.79</v>
      </c>
      <c r="J39" s="10" t="s">
        <v>13</v>
      </c>
      <c r="K39" s="10"/>
      <c r="L39" s="20"/>
    </row>
    <row r="40" spans="1:12" x14ac:dyDescent="0.2">
      <c r="A40" s="18"/>
      <c r="B40" s="10" t="s">
        <v>25</v>
      </c>
      <c r="C40" s="10"/>
      <c r="D40" s="22">
        <v>1</v>
      </c>
      <c r="E40" s="19" t="s">
        <v>11</v>
      </c>
      <c r="F40" s="1">
        <f>+Datos!$F$6</f>
        <v>191.66</v>
      </c>
      <c r="G40" s="10" t="s">
        <v>13</v>
      </c>
      <c r="H40" s="19" t="s">
        <v>14</v>
      </c>
      <c r="I40" s="22">
        <f>+D40*F40</f>
        <v>191.66</v>
      </c>
      <c r="J40" s="10" t="s">
        <v>13</v>
      </c>
      <c r="K40" s="10"/>
      <c r="L40" s="20"/>
    </row>
    <row r="41" spans="1:12" x14ac:dyDescent="0.2">
      <c r="A41" s="18"/>
      <c r="B41" s="10" t="s">
        <v>37</v>
      </c>
      <c r="C41" s="10"/>
      <c r="D41" s="22">
        <v>0</v>
      </c>
      <c r="E41" s="19" t="s">
        <v>11</v>
      </c>
      <c r="F41" s="1">
        <f>+Datos!$F$7</f>
        <v>176.37</v>
      </c>
      <c r="G41" s="10" t="s">
        <v>13</v>
      </c>
      <c r="H41" s="19" t="s">
        <v>14</v>
      </c>
      <c r="I41" s="22">
        <f>+D41*F41</f>
        <v>0</v>
      </c>
      <c r="J41" s="10" t="s">
        <v>13</v>
      </c>
      <c r="K41" s="10"/>
      <c r="L41" s="20"/>
    </row>
    <row r="42" spans="1:12" x14ac:dyDescent="0.2">
      <c r="A42" s="18"/>
      <c r="B42" s="10" t="s">
        <v>24</v>
      </c>
      <c r="C42" s="10"/>
      <c r="D42" s="22">
        <v>1</v>
      </c>
      <c r="E42" s="19" t="s">
        <v>11</v>
      </c>
      <c r="F42" s="1">
        <f>+Datos!$F$8</f>
        <v>162.9</v>
      </c>
      <c r="G42" s="10" t="s">
        <v>13</v>
      </c>
      <c r="H42" s="3" t="s">
        <v>14</v>
      </c>
      <c r="I42" s="5">
        <f>+D42*F42</f>
        <v>162.9</v>
      </c>
      <c r="J42" s="2" t="s">
        <v>13</v>
      </c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G43" s="10"/>
      <c r="H43" s="10"/>
      <c r="I43" s="22">
        <f>SUM(I39:I42)</f>
        <v>579.35</v>
      </c>
      <c r="J43" s="10" t="s">
        <v>13</v>
      </c>
      <c r="K43" s="10"/>
      <c r="L43" s="20"/>
    </row>
    <row r="44" spans="1:12" x14ac:dyDescent="0.2">
      <c r="A44" s="18"/>
      <c r="B44" s="10" t="s">
        <v>40</v>
      </c>
      <c r="C44" s="10"/>
      <c r="D44" s="23">
        <v>0.05</v>
      </c>
      <c r="E44" s="10"/>
      <c r="F44" s="10"/>
      <c r="G44" s="10"/>
      <c r="H44" s="10"/>
      <c r="I44" s="22">
        <f>+I43*D44</f>
        <v>28.967500000000001</v>
      </c>
      <c r="J44" s="10" t="s">
        <v>13</v>
      </c>
      <c r="K44" s="10"/>
      <c r="L44" s="20"/>
    </row>
    <row r="45" spans="1:12" x14ac:dyDescent="0.2">
      <c r="A45" s="18"/>
      <c r="B45" s="10"/>
      <c r="C45" s="10"/>
      <c r="D45" s="10"/>
      <c r="E45" s="10"/>
      <c r="F45" s="10"/>
      <c r="G45" s="10"/>
      <c r="H45" s="10"/>
      <c r="I45" s="19"/>
      <c r="J45" s="10"/>
      <c r="K45" s="10"/>
      <c r="L45" s="20"/>
    </row>
    <row r="46" spans="1:12" x14ac:dyDescent="0.2">
      <c r="A46" s="18"/>
      <c r="B46" s="10" t="s">
        <v>26</v>
      </c>
      <c r="C46" s="10"/>
      <c r="D46" s="10"/>
      <c r="E46" s="10"/>
      <c r="F46" s="10"/>
      <c r="G46" s="10"/>
      <c r="H46" s="10"/>
      <c r="I46" s="19"/>
      <c r="J46" s="10"/>
      <c r="K46" s="33">
        <f>+I43+I44</f>
        <v>608.3175</v>
      </c>
      <c r="L46" s="24" t="s">
        <v>13</v>
      </c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19"/>
      <c r="J47" s="10"/>
      <c r="K47" s="10"/>
      <c r="L47" s="20"/>
    </row>
    <row r="48" spans="1:12" x14ac:dyDescent="0.2">
      <c r="A48" s="18"/>
      <c r="B48" s="34" t="s">
        <v>44</v>
      </c>
      <c r="C48" s="35"/>
      <c r="D48" s="35"/>
      <c r="E48" s="35"/>
      <c r="F48" s="35"/>
      <c r="G48" s="35"/>
      <c r="H48" s="35"/>
      <c r="I48" s="36"/>
      <c r="J48" s="35"/>
      <c r="K48" s="82">
        <f>SUM(K22:K46)</f>
        <v>1610.6942727708119</v>
      </c>
      <c r="L48" s="8" t="s">
        <v>13</v>
      </c>
    </row>
    <row r="49" spans="1:12" x14ac:dyDescent="0.2">
      <c r="A49" s="18"/>
      <c r="B49" s="10"/>
      <c r="C49" s="10"/>
      <c r="D49" s="10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10" t="s">
        <v>27</v>
      </c>
      <c r="C50" s="10"/>
      <c r="D50" s="22">
        <v>10</v>
      </c>
      <c r="E50" s="19" t="s">
        <v>28</v>
      </c>
      <c r="F50" s="10"/>
      <c r="G50" s="10"/>
      <c r="H50" s="10"/>
      <c r="I50" s="19"/>
      <c r="J50" s="10"/>
      <c r="K50" s="10"/>
      <c r="L50" s="20"/>
    </row>
    <row r="51" spans="1:12" x14ac:dyDescent="0.2">
      <c r="A51" s="18"/>
      <c r="B51" s="28"/>
      <c r="C51" s="10"/>
      <c r="D51" s="22"/>
      <c r="E51" s="10"/>
      <c r="F51" s="10"/>
      <c r="G51" s="10"/>
      <c r="H51" s="10"/>
      <c r="I51" s="19"/>
      <c r="J51" s="10"/>
      <c r="K51" s="10"/>
      <c r="L51" s="20"/>
    </row>
    <row r="52" spans="1:12" x14ac:dyDescent="0.2">
      <c r="A52" s="25"/>
      <c r="B52" s="33" t="s">
        <v>45</v>
      </c>
      <c r="C52" s="2"/>
      <c r="D52" s="5">
        <f>+K48</f>
        <v>1610.6942727708119</v>
      </c>
      <c r="E52" s="3" t="s">
        <v>13</v>
      </c>
      <c r="F52" s="3" t="s">
        <v>29</v>
      </c>
      <c r="G52" s="5">
        <f>+D50</f>
        <v>10</v>
      </c>
      <c r="H52" s="3" t="s">
        <v>28</v>
      </c>
      <c r="I52" s="3" t="s">
        <v>14</v>
      </c>
      <c r="J52" s="2"/>
      <c r="K52" s="34">
        <f>+D52/G52</f>
        <v>161.06942727708119</v>
      </c>
      <c r="L52" s="8" t="s">
        <v>30</v>
      </c>
    </row>
    <row r="53" spans="1:12" x14ac:dyDescent="0.2">
      <c r="G53" s="4"/>
    </row>
    <row r="55" spans="1:12" x14ac:dyDescent="0.2">
      <c r="A55" s="7"/>
      <c r="B55" s="35" t="s">
        <v>53</v>
      </c>
      <c r="C55" s="35"/>
      <c r="D55" s="35"/>
      <c r="E55" s="35"/>
      <c r="F55" s="35"/>
      <c r="G55" s="35"/>
      <c r="H55" s="35"/>
      <c r="I55" s="35"/>
      <c r="J55" s="35"/>
      <c r="K55" s="34">
        <f>+K52</f>
        <v>161.06942727708119</v>
      </c>
      <c r="L55" s="8" t="s">
        <v>30</v>
      </c>
    </row>
    <row r="57" spans="1:12" x14ac:dyDescent="0.2">
      <c r="A57" s="7"/>
      <c r="B57" s="35" t="s">
        <v>54</v>
      </c>
      <c r="C57" s="35"/>
      <c r="D57" s="35"/>
      <c r="E57" s="37">
        <f>Coeficiente!D22</f>
        <v>1.7627404950000001</v>
      </c>
      <c r="F57" s="35"/>
      <c r="G57" s="35"/>
      <c r="H57" s="35"/>
      <c r="I57" s="35"/>
      <c r="J57" s="35"/>
      <c r="K57" s="35"/>
      <c r="L57" s="8"/>
    </row>
    <row r="58" spans="1:12" ht="13.5" thickBot="1" x14ac:dyDescent="0.25"/>
    <row r="59" spans="1:12" ht="20.100000000000001" customHeight="1" thickBot="1" x14ac:dyDescent="0.25">
      <c r="A59" s="11"/>
      <c r="B59" s="12" t="s">
        <v>55</v>
      </c>
      <c r="C59" s="30"/>
      <c r="D59" s="30"/>
      <c r="E59" s="30"/>
      <c r="F59" s="30"/>
      <c r="G59" s="30"/>
      <c r="H59" s="30"/>
      <c r="I59" s="30"/>
      <c r="J59" s="30"/>
      <c r="K59" s="11">
        <f>ROUND((+K55*E57),2)</f>
        <v>283.92</v>
      </c>
      <c r="L59" s="31" t="s">
        <v>30</v>
      </c>
    </row>
  </sheetData>
  <phoneticPr fontId="0" type="noConversion"/>
  <printOptions horizontalCentered="1" verticalCentered="1"/>
  <pageMargins left="0.98425196850393704" right="0.19685039370078741" top="0.59055118110236227" bottom="0.19685039370078741" header="0" footer="0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</vt:i4>
      </vt:variant>
    </vt:vector>
  </HeadingPairs>
  <TitlesOfParts>
    <vt:vector size="21" baseType="lpstr">
      <vt:lpstr>A buscar</vt:lpstr>
      <vt:lpstr>Actualizacion </vt:lpstr>
      <vt:lpstr>Datos</vt:lpstr>
      <vt:lpstr>Com y Presup</vt:lpstr>
      <vt:lpstr>Desbosque</vt:lpstr>
      <vt:lpstr>Excavación común</vt:lpstr>
      <vt:lpstr>Excavación en ROCA</vt:lpstr>
      <vt:lpstr>Terraplenes</vt:lpstr>
      <vt:lpstr>Excav.p.fundac.</vt:lpstr>
      <vt:lpstr>SubBase Drenante.</vt:lpstr>
      <vt:lpstr>Base Anticongelante</vt:lpstr>
      <vt:lpstr>Hormigón H-17</vt:lpstr>
      <vt:lpstr>ARSA 0,80</vt:lpstr>
      <vt:lpstr>GAVIONES</vt:lpstr>
      <vt:lpstr>Imprimación</vt:lpstr>
      <vt:lpstr>Riego Liga</vt:lpstr>
      <vt:lpstr>Concreto asfáltico</vt:lpstr>
      <vt:lpstr>TBS Doble</vt:lpstr>
      <vt:lpstr>barandas metalicas</vt:lpstr>
      <vt:lpstr>Coeficiente</vt:lpstr>
      <vt:lpstr>'Com y Presup'!Área_de_impresión</vt:lpstr>
    </vt:vector>
  </TitlesOfParts>
  <Company>A.V.P. - Chubut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Técnica</dc:creator>
  <cp:lastModifiedBy>andres</cp:lastModifiedBy>
  <cp:lastPrinted>2018-07-12T05:21:27Z</cp:lastPrinted>
  <dcterms:created xsi:type="dcterms:W3CDTF">1999-05-17T21:34:23Z</dcterms:created>
  <dcterms:modified xsi:type="dcterms:W3CDTF">2018-07-12T05:25:34Z</dcterms:modified>
</cp:coreProperties>
</file>