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480" windowHeight="7740"/>
  </bookViews>
  <sheets>
    <sheet name="CHC-1" sheetId="1" r:id="rId1"/>
  </sheets>
  <calcPr calcId="144525"/>
</workbook>
</file>

<file path=xl/calcChain.xml><?xml version="1.0" encoding="utf-8"?>
<calcChain xmlns="http://schemas.openxmlformats.org/spreadsheetml/2006/main">
  <c r="G12" i="1" l="1"/>
  <c r="D29" i="1" l="1"/>
  <c r="F30" i="1" s="1"/>
  <c r="F31" i="1" s="1"/>
  <c r="G30" i="1" s="1"/>
  <c r="G31" i="1" s="1"/>
  <c r="D41" i="1" l="1"/>
  <c r="D37" i="1"/>
  <c r="C26" i="1"/>
  <c r="D26" i="1" s="1"/>
  <c r="G25" i="1"/>
  <c r="F20" i="1"/>
  <c r="F22" i="1" s="1"/>
  <c r="D20" i="1"/>
  <c r="C20" i="1"/>
  <c r="D39" i="1" s="1"/>
  <c r="D19" i="1"/>
  <c r="F14" i="1"/>
  <c r="F16" i="1" s="1"/>
  <c r="C12" i="1"/>
  <c r="C13" i="1" s="1"/>
  <c r="C24" i="1"/>
  <c r="F7" i="1"/>
  <c r="F9" i="1" s="1"/>
  <c r="C19" i="1" l="1"/>
  <c r="D35" i="1"/>
  <c r="D15" i="1"/>
  <c r="C16" i="1"/>
  <c r="D14" i="1"/>
  <c r="C25" i="1"/>
  <c r="D21" i="1"/>
  <c r="C23" i="1"/>
  <c r="C22" i="1" l="1"/>
  <c r="C21" i="1"/>
  <c r="C11" i="1" l="1"/>
  <c r="C17" i="1"/>
  <c r="C18" i="1"/>
  <c r="C10" i="1"/>
  <c r="C14" i="1" l="1"/>
  <c r="C15" i="1"/>
  <c r="C28" i="1" l="1"/>
  <c r="C29" i="1" s="1"/>
  <c r="C31" i="1" l="1"/>
  <c r="C32" i="1" s="1"/>
  <c r="C30" i="1"/>
</calcChain>
</file>

<file path=xl/sharedStrings.xml><?xml version="1.0" encoding="utf-8"?>
<sst xmlns="http://schemas.openxmlformats.org/spreadsheetml/2006/main" count="102" uniqueCount="75">
  <si>
    <t xml:space="preserve">                         C A L C U L O   D E   C U R V A   H O R I Z O N T A L</t>
  </si>
  <si>
    <t>GRADOS</t>
  </si>
  <si>
    <t>MINUTOS</t>
  </si>
  <si>
    <t>SEGUNDOS</t>
  </si>
  <si>
    <t>Zona Cordillera</t>
  </si>
  <si>
    <t>pmax.=</t>
  </si>
  <si>
    <t>%</t>
  </si>
  <si>
    <t>CURVA Nº</t>
  </si>
  <si>
    <t>Radio minimo Abs. ( pmax+fmax)</t>
  </si>
  <si>
    <t>PROG. VERTICE</t>
  </si>
  <si>
    <t>m</t>
  </si>
  <si>
    <t>fmax = 0,196-,0007*VD</t>
  </si>
  <si>
    <t>RC=</t>
  </si>
  <si>
    <t>fmax =</t>
  </si>
  <si>
    <t>Le=</t>
  </si>
  <si>
    <t>Rmin abs = VD^2 / (127*(pmax+fmax))</t>
  </si>
  <si>
    <t>VD</t>
  </si>
  <si>
    <t>Kh</t>
  </si>
  <si>
    <r>
      <t>R</t>
    </r>
    <r>
      <rPr>
        <b/>
        <vertAlign val="subscript"/>
        <sz val="10"/>
        <rFont val="Arial"/>
        <family val="2"/>
      </rPr>
      <t>min abs</t>
    </r>
    <r>
      <rPr>
        <b/>
        <sz val="10"/>
        <rFont val="Arial"/>
        <family val="2"/>
      </rPr>
      <t xml:space="preserve">= </t>
    </r>
  </si>
  <si>
    <t>mts</t>
  </si>
  <si>
    <t>p</t>
  </si>
  <si>
    <t>k</t>
  </si>
  <si>
    <t>Radio minimo adm. ( padop+fmax)</t>
  </si>
  <si>
    <t xml:space="preserve">ANGULO= </t>
  </si>
  <si>
    <t>ANGULO - 180º</t>
  </si>
  <si>
    <t>Te</t>
  </si>
  <si>
    <t>Ee</t>
  </si>
  <si>
    <t>Rmin adm = VD^2 / (127*(p+fmax))</t>
  </si>
  <si>
    <t>Ds</t>
  </si>
  <si>
    <r>
      <t>R</t>
    </r>
    <r>
      <rPr>
        <b/>
        <vertAlign val="subscript"/>
        <sz val="10"/>
        <rFont val="Arial"/>
        <family val="2"/>
      </rPr>
      <t>min adm</t>
    </r>
    <r>
      <rPr>
        <b/>
        <sz val="10"/>
        <rFont val="Arial"/>
        <family val="2"/>
      </rPr>
      <t xml:space="preserve">= </t>
    </r>
  </si>
  <si>
    <t>TL</t>
  </si>
  <si>
    <t>TC</t>
  </si>
  <si>
    <t>Radio minimo des. ( pmax+1/2fmax)</t>
  </si>
  <si>
    <t>S</t>
  </si>
  <si>
    <t>i</t>
  </si>
  <si>
    <t>1/2*fmax =</t>
  </si>
  <si>
    <t>Xc=</t>
  </si>
  <si>
    <t>Rmin des = VD^2 / (127*(pmax+1/2*fmax))</t>
  </si>
  <si>
    <t>Yc=</t>
  </si>
  <si>
    <t>f =</t>
  </si>
  <si>
    <t>0e</t>
  </si>
  <si>
    <t>Radio minimo que no requiere peralte</t>
  </si>
  <si>
    <t>Espiral</t>
  </si>
  <si>
    <t>0c</t>
  </si>
  <si>
    <r>
      <t>Rmin=VD^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2</t>
    </r>
  </si>
  <si>
    <t>Rmin =</t>
  </si>
  <si>
    <t>Circular</t>
  </si>
  <si>
    <t>Prog. TE =</t>
  </si>
  <si>
    <t>Prog. EC =</t>
  </si>
  <si>
    <t>Prog. CC =</t>
  </si>
  <si>
    <t>Prog. CE =</t>
  </si>
  <si>
    <t>Prog. ET =</t>
  </si>
  <si>
    <t>1- Comododad dinamica</t>
  </si>
  <si>
    <r>
      <t>Le = 6,044 * VD * ((VD^</t>
    </r>
    <r>
      <rPr>
        <vertAlign val="superscript"/>
        <sz val="11"/>
        <rFont val="Arial"/>
        <family val="2"/>
      </rPr>
      <t>2</t>
    </r>
    <r>
      <rPr>
        <sz val="10"/>
        <rFont val="Arial"/>
        <family val="2"/>
      </rPr>
      <t xml:space="preserve"> /127* R) - p)</t>
    </r>
  </si>
  <si>
    <t xml:space="preserve">Le = </t>
  </si>
  <si>
    <t>2- Apariencia General</t>
  </si>
  <si>
    <t>Le = VD/1,8</t>
  </si>
  <si>
    <t>3- Apariencia de borde</t>
  </si>
  <si>
    <t>Le = (p * VD / 100) * 100</t>
  </si>
  <si>
    <t>4- Guiado óptico</t>
  </si>
  <si>
    <t>Le = R / 10</t>
  </si>
  <si>
    <t>Nº de trochas</t>
  </si>
  <si>
    <t>Le min</t>
  </si>
  <si>
    <t>1,00*Le</t>
  </si>
  <si>
    <t>Se recomienda adoptar:</t>
  </si>
  <si>
    <t>1,25*Le</t>
  </si>
  <si>
    <r>
      <t xml:space="preserve">y cumplir con la condición </t>
    </r>
    <r>
      <rPr>
        <b/>
        <sz val="10"/>
        <rFont val="Arial"/>
        <family val="2"/>
      </rPr>
      <t>4</t>
    </r>
  </si>
  <si>
    <t>1,50*Le</t>
  </si>
  <si>
    <t>2,00*Le</t>
  </si>
  <si>
    <t xml:space="preserve">Adopto Le = </t>
  </si>
  <si>
    <t>Gc</t>
  </si>
  <si>
    <t>Grados</t>
  </si>
  <si>
    <t>Minutos</t>
  </si>
  <si>
    <t>Segundos</t>
  </si>
  <si>
    <t>Padop sale con la VMM=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</si>
</sst>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00"/>
    <numFmt numFmtId="168" formatCode="_(&quot;$&quot;* #,##0.00_);_(&quot;$&quot;* \(#,##0.00\);_(&quot;$&quot;* &quot;-&quot;??_);_(@_)"/>
  </numFmts>
  <fonts count="11" x14ac:knownFonts="1">
    <font>
      <sz val="10"/>
      <name val="Arial"/>
    </font>
    <font>
      <b/>
      <sz val="12"/>
      <color theme="5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/>
    <xf numFmtId="0" fontId="5" fillId="0" borderId="7" xfId="0" applyFont="1" applyBorder="1" applyProtection="1">
      <protection locked="0"/>
    </xf>
    <xf numFmtId="0" fontId="6" fillId="0" borderId="8" xfId="0" applyFont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2" xfId="0" applyBorder="1"/>
    <xf numFmtId="2" fontId="0" fillId="0" borderId="0" xfId="0" applyNumberFormat="1"/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2" xfId="0" applyFont="1" applyBorder="1"/>
    <xf numFmtId="0" fontId="3" fillId="0" borderId="0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left" vertical="center"/>
    </xf>
    <xf numFmtId="2" fontId="5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left" vertical="center"/>
    </xf>
    <xf numFmtId="0" fontId="3" fillId="0" borderId="7" xfId="0" applyFont="1" applyBorder="1"/>
    <xf numFmtId="0" fontId="4" fillId="0" borderId="8" xfId="0" applyFont="1" applyBorder="1"/>
    <xf numFmtId="166" fontId="5" fillId="0" borderId="10" xfId="0" applyNumberFormat="1" applyFont="1" applyBorder="1" applyAlignment="1">
      <alignment horizontal="center" vertical="center"/>
    </xf>
    <xf numFmtId="0" fontId="3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3" fillId="0" borderId="0" xfId="0" applyFont="1"/>
    <xf numFmtId="166" fontId="0" fillId="0" borderId="0" xfId="0" applyNumberFormat="1"/>
    <xf numFmtId="0" fontId="5" fillId="0" borderId="18" xfId="0" applyFont="1" applyFill="1" applyBorder="1" applyAlignment="1">
      <alignment horizontal="left"/>
    </xf>
    <xf numFmtId="0" fontId="0" fillId="0" borderId="8" xfId="0" applyBorder="1"/>
    <xf numFmtId="0" fontId="3" fillId="0" borderId="19" xfId="0" applyFont="1" applyBorder="1"/>
    <xf numFmtId="0" fontId="4" fillId="0" borderId="7" xfId="0" applyFont="1" applyBorder="1"/>
    <xf numFmtId="167" fontId="10" fillId="0" borderId="7" xfId="0" applyNumberFormat="1" applyFont="1" applyBorder="1"/>
    <xf numFmtId="0" fontId="0" fillId="0" borderId="19" xfId="0" applyBorder="1"/>
    <xf numFmtId="0" fontId="0" fillId="0" borderId="13" xfId="0" applyBorder="1"/>
    <xf numFmtId="0" fontId="4" fillId="0" borderId="0" xfId="0" applyFont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8" fontId="0" fillId="0" borderId="0" xfId="0" applyNumberFormat="1"/>
    <xf numFmtId="164" fontId="5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18" xfId="0" applyBorder="1"/>
    <xf numFmtId="0" fontId="5" fillId="0" borderId="7" xfId="0" applyFont="1" applyBorder="1" applyAlignment="1">
      <alignment horizontal="right"/>
    </xf>
    <xf numFmtId="0" fontId="0" fillId="0" borderId="23" xfId="0" applyBorder="1"/>
    <xf numFmtId="0" fontId="5" fillId="0" borderId="0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Border="1" applyAlignment="1" applyProtection="1">
      <alignment horizontal="right"/>
      <protection locked="0"/>
    </xf>
    <xf numFmtId="0" fontId="3" fillId="0" borderId="0" xfId="0" applyFont="1" applyBorder="1" applyAlignment="1">
      <alignment horizontal="left"/>
    </xf>
    <xf numFmtId="164" fontId="0" fillId="0" borderId="12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95250</xdr:rowOff>
    </xdr:from>
    <xdr:to>
      <xdr:col>0</xdr:col>
      <xdr:colOff>85725</xdr:colOff>
      <xdr:row>23</xdr:row>
      <xdr:rowOff>95250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578167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24</xdr:row>
      <xdr:rowOff>38100</xdr:rowOff>
    </xdr:from>
    <xdr:to>
      <xdr:col>1</xdr:col>
      <xdr:colOff>85725</xdr:colOff>
      <xdr:row>24</xdr:row>
      <xdr:rowOff>161925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133475" y="5972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25</xdr:row>
      <xdr:rowOff>57150</xdr:rowOff>
    </xdr:from>
    <xdr:to>
      <xdr:col>1</xdr:col>
      <xdr:colOff>114300</xdr:colOff>
      <xdr:row>26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152525" y="62388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H2" sqref="H2"/>
    </sheetView>
  </sheetViews>
  <sheetFormatPr baseColWidth="10" defaultRowHeight="12.75" x14ac:dyDescent="0.2"/>
  <cols>
    <col min="1" max="1" width="15.7109375" customWidth="1"/>
    <col min="2" max="2" width="8" bestFit="1" customWidth="1"/>
    <col min="3" max="3" width="11.85546875" customWidth="1"/>
    <col min="4" max="4" width="9.5703125" bestFit="1" customWidth="1"/>
    <col min="5" max="5" width="13.140625" customWidth="1"/>
    <col min="6" max="6" width="12.85546875" customWidth="1"/>
    <col min="7" max="7" width="15.140625" customWidth="1"/>
  </cols>
  <sheetData>
    <row r="1" spans="1:11" ht="21.75" customHeight="1" x14ac:dyDescent="0.2">
      <c r="A1" s="1" t="s">
        <v>0</v>
      </c>
    </row>
    <row r="2" spans="1:11" ht="12.75" customHeight="1" thickBot="1" x14ac:dyDescent="0.25">
      <c r="A2" s="1"/>
    </row>
    <row r="3" spans="1:11" x14ac:dyDescent="0.2">
      <c r="A3" s="2" t="s">
        <v>1</v>
      </c>
      <c r="B3" s="3" t="s">
        <v>2</v>
      </c>
      <c r="C3" s="4" t="s">
        <v>3</v>
      </c>
      <c r="F3" s="5" t="s">
        <v>4</v>
      </c>
    </row>
    <row r="4" spans="1:11" ht="30" customHeight="1" thickBot="1" x14ac:dyDescent="0.25">
      <c r="A4" s="6">
        <v>200</v>
      </c>
      <c r="B4" s="7">
        <v>21</v>
      </c>
      <c r="C4" s="8">
        <v>52</v>
      </c>
      <c r="E4" s="9" t="s">
        <v>5</v>
      </c>
      <c r="F4" s="10">
        <v>0.05</v>
      </c>
      <c r="G4" s="11" t="s">
        <v>6</v>
      </c>
    </row>
    <row r="5" spans="1:11" ht="20.100000000000001" customHeight="1" x14ac:dyDescent="0.25">
      <c r="A5" s="12" t="s">
        <v>7</v>
      </c>
      <c r="B5" s="13"/>
      <c r="C5" s="14">
        <v>1</v>
      </c>
      <c r="D5" s="15"/>
      <c r="E5" s="16" t="s">
        <v>8</v>
      </c>
      <c r="F5" s="17"/>
      <c r="G5" s="18"/>
    </row>
    <row r="6" spans="1:11" ht="20.100000000000001" customHeight="1" x14ac:dyDescent="0.2">
      <c r="A6" s="19" t="s">
        <v>9</v>
      </c>
      <c r="B6" s="20" t="s">
        <v>10</v>
      </c>
      <c r="C6" s="21">
        <v>67</v>
      </c>
      <c r="D6" s="22"/>
      <c r="E6" s="23"/>
      <c r="F6" s="24" t="s">
        <v>11</v>
      </c>
      <c r="G6" s="25"/>
      <c r="I6" s="26"/>
    </row>
    <row r="7" spans="1:11" ht="20.100000000000001" customHeight="1" x14ac:dyDescent="0.2">
      <c r="A7" s="19" t="s">
        <v>12</v>
      </c>
      <c r="B7" s="20" t="s">
        <v>10</v>
      </c>
      <c r="C7" s="27">
        <v>350</v>
      </c>
      <c r="D7" s="28"/>
      <c r="E7" s="29" t="s">
        <v>13</v>
      </c>
      <c r="F7" s="29">
        <f>0.196-0.0007*$C$9</f>
        <v>0.14700000000000002</v>
      </c>
      <c r="G7" s="30"/>
      <c r="I7" s="26"/>
    </row>
    <row r="8" spans="1:11" ht="20.100000000000001" customHeight="1" x14ac:dyDescent="0.2">
      <c r="A8" s="19" t="s">
        <v>14</v>
      </c>
      <c r="B8" s="20" t="s">
        <v>10</v>
      </c>
      <c r="C8" s="27">
        <v>100</v>
      </c>
      <c r="D8" s="28"/>
      <c r="E8" s="31" t="s">
        <v>15</v>
      </c>
      <c r="F8" s="31"/>
      <c r="G8" s="30"/>
    </row>
    <row r="9" spans="1:11" ht="20.100000000000001" customHeight="1" thickBot="1" x14ac:dyDescent="0.25">
      <c r="A9" s="19" t="s">
        <v>16</v>
      </c>
      <c r="B9" s="20" t="s">
        <v>17</v>
      </c>
      <c r="C9" s="27">
        <v>70</v>
      </c>
      <c r="D9" s="32"/>
      <c r="E9" s="33" t="s">
        <v>18</v>
      </c>
      <c r="F9" s="34">
        <f>+C9*C9/(127*(F4+F7))</f>
        <v>195.85115312362603</v>
      </c>
      <c r="G9" s="35" t="s">
        <v>19</v>
      </c>
    </row>
    <row r="10" spans="1:11" ht="20.100000000000001" customHeight="1" thickBot="1" x14ac:dyDescent="0.25">
      <c r="A10" s="19" t="s">
        <v>20</v>
      </c>
      <c r="B10" s="20" t="s">
        <v>10</v>
      </c>
      <c r="C10" s="36">
        <f>C22-C7*(1-COS(C24*PI()/180))</f>
        <v>1.1903756043793132</v>
      </c>
      <c r="D10" s="28"/>
    </row>
    <row r="11" spans="1:11" ht="20.100000000000001" customHeight="1" x14ac:dyDescent="0.25">
      <c r="A11" s="19" t="s">
        <v>21</v>
      </c>
      <c r="B11" s="20" t="s">
        <v>10</v>
      </c>
      <c r="C11" s="36">
        <f>C21-C7*(SIN(C24*PI()/180))</f>
        <v>49.96481871958796</v>
      </c>
      <c r="D11" s="28"/>
      <c r="E11" s="16" t="s">
        <v>22</v>
      </c>
      <c r="F11" s="17"/>
      <c r="G11" s="18"/>
    </row>
    <row r="12" spans="1:11" ht="20.100000000000001" customHeight="1" x14ac:dyDescent="0.2">
      <c r="A12" s="19" t="s">
        <v>23</v>
      </c>
      <c r="B12" s="37"/>
      <c r="C12" s="67">
        <f>DEGREES(A4*(PI()/180))+((B4/60)+(C4/3600))</f>
        <v>200.36444444444444</v>
      </c>
      <c r="D12" s="22"/>
      <c r="E12" s="82" t="s">
        <v>74</v>
      </c>
      <c r="F12" s="81"/>
      <c r="G12" s="83">
        <f>+(0.75*C9)*(0.75*C9)/(127*C7)</f>
        <v>6.2007874015748032E-2</v>
      </c>
      <c r="I12" s="53"/>
      <c r="J12" s="53"/>
      <c r="K12" s="53"/>
    </row>
    <row r="13" spans="1:11" ht="20.100000000000001" customHeight="1" x14ac:dyDescent="0.2">
      <c r="A13" s="19" t="s">
        <v>24</v>
      </c>
      <c r="B13" s="20"/>
      <c r="C13" s="36">
        <f>ABS(180-C12)</f>
        <v>20.364444444444445</v>
      </c>
      <c r="D13" s="22"/>
      <c r="E13" s="23"/>
      <c r="F13" s="24" t="s">
        <v>11</v>
      </c>
      <c r="G13" s="25"/>
    </row>
    <row r="14" spans="1:11" ht="20.100000000000001" customHeight="1" x14ac:dyDescent="0.2">
      <c r="A14" s="19" t="s">
        <v>25</v>
      </c>
      <c r="B14" s="20" t="s">
        <v>10</v>
      </c>
      <c r="C14" s="36">
        <f>((C7+C10)*(D14))+C11</f>
        <v>113.04145177151956</v>
      </c>
      <c r="D14" s="38">
        <f>TAN(AVERAGE(3.141592654/180)*$C$13/2)</f>
        <v>0.17960809131907499</v>
      </c>
      <c r="E14" s="29" t="s">
        <v>13</v>
      </c>
      <c r="F14" s="29">
        <f>0.196-0.0007*$C$9</f>
        <v>0.14700000000000002</v>
      </c>
      <c r="G14" s="30"/>
    </row>
    <row r="15" spans="1:11" ht="20.100000000000001" customHeight="1" x14ac:dyDescent="0.2">
      <c r="A15" s="19" t="s">
        <v>26</v>
      </c>
      <c r="B15" s="20" t="s">
        <v>10</v>
      </c>
      <c r="C15" s="36">
        <f>(C7+C10)*((1/D15)-1)+C10</f>
        <v>6.8099515909177235</v>
      </c>
      <c r="D15" s="38">
        <f>COS(AVERAGE(3.141592654/180)*$C$13/2)</f>
        <v>0.98425050657504853</v>
      </c>
      <c r="E15" s="31" t="s">
        <v>27</v>
      </c>
      <c r="F15" s="31"/>
      <c r="G15" s="30"/>
    </row>
    <row r="16" spans="1:11" ht="20.100000000000001" customHeight="1" thickBot="1" x14ac:dyDescent="0.25">
      <c r="A16" s="19" t="s">
        <v>28</v>
      </c>
      <c r="B16" s="20" t="s">
        <v>10</v>
      </c>
      <c r="C16" s="36">
        <f>AVERAGE((3.141592654*C13*C7)/180)+C8</f>
        <v>224.39931207950121</v>
      </c>
      <c r="D16" s="28"/>
      <c r="E16" s="33" t="s">
        <v>29</v>
      </c>
      <c r="F16" s="34">
        <f>+C9*C9/(127*(G12+F14))</f>
        <v>184.59915611814344</v>
      </c>
      <c r="G16" s="35" t="s">
        <v>19</v>
      </c>
      <c r="I16" s="26"/>
    </row>
    <row r="17" spans="1:9" ht="20.100000000000001" customHeight="1" thickBot="1" x14ac:dyDescent="0.25">
      <c r="A17" s="19" t="s">
        <v>30</v>
      </c>
      <c r="B17" s="20" t="s">
        <v>10</v>
      </c>
      <c r="C17" s="36">
        <f>C21-C22*(1/TAN(C24*PI()/180))</f>
        <v>66.731555269329917</v>
      </c>
      <c r="D17" s="28"/>
    </row>
    <row r="18" spans="1:9" ht="20.100000000000001" customHeight="1" x14ac:dyDescent="0.25">
      <c r="A18" s="19" t="s">
        <v>31</v>
      </c>
      <c r="B18" s="20" t="s">
        <v>10</v>
      </c>
      <c r="C18" s="36">
        <f>C22*(1/SIN(C24*PI()/180))</f>
        <v>33.403643089840777</v>
      </c>
      <c r="D18" s="28"/>
      <c r="E18" s="16" t="s">
        <v>32</v>
      </c>
      <c r="F18" s="17"/>
      <c r="G18" s="18"/>
    </row>
    <row r="19" spans="1:9" ht="20.100000000000001" customHeight="1" x14ac:dyDescent="0.2">
      <c r="A19" s="19" t="s">
        <v>33</v>
      </c>
      <c r="B19" s="20" t="s">
        <v>10</v>
      </c>
      <c r="C19" s="36">
        <f>2*(C7-(SQRT(D19))+(C9/D20))</f>
        <v>0.85119617817384285</v>
      </c>
      <c r="D19" s="38">
        <f>POWER(C7,2)-36</f>
        <v>122464</v>
      </c>
      <c r="E19" s="23"/>
      <c r="F19" s="24" t="s">
        <v>11</v>
      </c>
      <c r="G19" s="25"/>
    </row>
    <row r="20" spans="1:9" ht="20.100000000000001" customHeight="1" x14ac:dyDescent="0.2">
      <c r="A20" s="19" t="s">
        <v>34</v>
      </c>
      <c r="B20" s="20" t="s">
        <v>6</v>
      </c>
      <c r="C20" s="39">
        <f>POWER(C9*0.75,2)/(127*C7)*100</f>
        <v>6.2007874015748037</v>
      </c>
      <c r="D20" s="38">
        <f>10*SQRT($C$7)</f>
        <v>187.08286933869709</v>
      </c>
      <c r="E20" s="29" t="s">
        <v>35</v>
      </c>
      <c r="F20" s="29">
        <f>(0.196-0.0007*$C$9)/2</f>
        <v>7.350000000000001E-2</v>
      </c>
      <c r="G20" s="30"/>
    </row>
    <row r="21" spans="1:9" ht="20.100000000000001" customHeight="1" x14ac:dyDescent="0.2">
      <c r="A21" s="19" t="s">
        <v>36</v>
      </c>
      <c r="B21" s="20" t="s">
        <v>10</v>
      </c>
      <c r="C21" s="36">
        <f>D21*(COS(C24/3*PI()/180))</f>
        <v>99.794924146880248</v>
      </c>
      <c r="D21" s="38">
        <f>(COS(C24*PI()/180*0.3))*C8</f>
        <v>99.908177321088615</v>
      </c>
      <c r="E21" s="31" t="s">
        <v>37</v>
      </c>
      <c r="F21" s="31"/>
      <c r="G21" s="30"/>
    </row>
    <row r="22" spans="1:9" ht="20.100000000000001" customHeight="1" thickBot="1" x14ac:dyDescent="0.25">
      <c r="A22" s="19" t="s">
        <v>38</v>
      </c>
      <c r="B22" s="20" t="s">
        <v>10</v>
      </c>
      <c r="C22" s="36">
        <f>D21*(SIN(C24/3*PI()/180))</f>
        <v>4.7557344480640262</v>
      </c>
      <c r="D22" s="28"/>
      <c r="E22" s="33" t="s">
        <v>29</v>
      </c>
      <c r="F22" s="34">
        <f>+C9*C9/(127*(F4+F20))</f>
        <v>312.41034141987308</v>
      </c>
      <c r="G22" s="35" t="s">
        <v>19</v>
      </c>
    </row>
    <row r="23" spans="1:9" ht="20.100000000000001" customHeight="1" thickBot="1" x14ac:dyDescent="0.25">
      <c r="A23" s="19" t="s">
        <v>39</v>
      </c>
      <c r="B23" s="20"/>
      <c r="C23" s="36">
        <f>+C9*C9/127/C7-C20/100</f>
        <v>4.8228346456692918E-2</v>
      </c>
      <c r="D23" s="28"/>
      <c r="E23" s="40"/>
      <c r="F23" s="41"/>
      <c r="G23" s="42"/>
      <c r="I23" s="26"/>
    </row>
    <row r="24" spans="1:9" ht="20.100000000000001" customHeight="1" x14ac:dyDescent="0.2">
      <c r="A24" s="19" t="s">
        <v>40</v>
      </c>
      <c r="B24" s="20"/>
      <c r="C24" s="36">
        <f>(90*C8)/(PI()*C7)</f>
        <v>8.1851113590117617</v>
      </c>
      <c r="D24" s="28"/>
      <c r="E24" s="16" t="s">
        <v>41</v>
      </c>
      <c r="F24" s="43"/>
      <c r="G24" s="44"/>
    </row>
    <row r="25" spans="1:9" ht="20.100000000000001" customHeight="1" thickBot="1" x14ac:dyDescent="0.25">
      <c r="A25" s="19" t="s">
        <v>42</v>
      </c>
      <c r="B25" s="20" t="s">
        <v>43</v>
      </c>
      <c r="C25" s="45">
        <f>C24/(3*POWER(C8,2))</f>
        <v>2.7283704530039208E-4</v>
      </c>
      <c r="D25" s="28"/>
      <c r="E25" s="46" t="s">
        <v>44</v>
      </c>
      <c r="F25" s="47" t="s">
        <v>45</v>
      </c>
      <c r="G25" s="48">
        <f>+C9*C9/2</f>
        <v>2450</v>
      </c>
    </row>
    <row r="26" spans="1:9" ht="20.100000000000001" customHeight="1" thickBot="1" x14ac:dyDescent="0.25">
      <c r="A26" s="49" t="s">
        <v>46</v>
      </c>
      <c r="B26" s="50">
        <v>0</v>
      </c>
      <c r="C26" s="51">
        <f>AVERAGE(1/(2*C7))</f>
        <v>1.4285714285714286E-3</v>
      </c>
      <c r="D26" s="52">
        <f>ASIN(C26)/(3.141592654/180)</f>
        <v>8.1851141419970463E-2</v>
      </c>
    </row>
    <row r="27" spans="1:9" ht="12.95" customHeight="1" thickBot="1" x14ac:dyDescent="0.25"/>
    <row r="28" spans="1:9" ht="12.95" customHeight="1" x14ac:dyDescent="0.2">
      <c r="A28" s="72"/>
      <c r="B28" s="73" t="s">
        <v>47</v>
      </c>
      <c r="C28" s="69">
        <f>+C6-C14</f>
        <v>-46.041451771519561</v>
      </c>
      <c r="D28" s="77" t="s">
        <v>70</v>
      </c>
      <c r="E28" s="78" t="s">
        <v>71</v>
      </c>
      <c r="F28" s="78" t="s">
        <v>72</v>
      </c>
      <c r="G28" s="79" t="s">
        <v>73</v>
      </c>
    </row>
    <row r="29" spans="1:9" ht="12.95" customHeight="1" thickBot="1" x14ac:dyDescent="0.25">
      <c r="A29" s="74"/>
      <c r="B29" s="75" t="s">
        <v>48</v>
      </c>
      <c r="C29" s="70">
        <f>+C28+C8</f>
        <v>53.958548228480439</v>
      </c>
      <c r="D29" s="80">
        <f>1145.92/C7</f>
        <v>3.274057142857143</v>
      </c>
      <c r="E29" s="47">
        <v>14</v>
      </c>
      <c r="F29" s="47">
        <v>19</v>
      </c>
      <c r="G29" s="48">
        <v>26</v>
      </c>
    </row>
    <row r="30" spans="1:9" ht="12.95" customHeight="1" x14ac:dyDescent="0.2">
      <c r="A30" s="74"/>
      <c r="B30" s="75" t="s">
        <v>49</v>
      </c>
      <c r="C30" s="70">
        <f>+C29+(C16-C8-C8)/2</f>
        <v>66.158204268231046</v>
      </c>
      <c r="E30" s="68">
        <v>14</v>
      </c>
      <c r="F30" s="5">
        <f>+(D29-E30)</f>
        <v>-10.725942857142858</v>
      </c>
      <c r="G30" s="5">
        <f>+(F31-F29)</f>
        <v>-662.55657142857149</v>
      </c>
      <c r="I30" s="54"/>
    </row>
    <row r="31" spans="1:9" ht="12.95" customHeight="1" x14ac:dyDescent="0.2">
      <c r="A31" s="74"/>
      <c r="B31" s="75" t="s">
        <v>50</v>
      </c>
      <c r="C31" s="70">
        <f>+C29+(C16-C8-C8)</f>
        <v>78.357860307981653</v>
      </c>
      <c r="F31" s="5">
        <f>+F30*60</f>
        <v>-643.55657142857149</v>
      </c>
      <c r="G31" s="5">
        <f>+G30*60</f>
        <v>-39753.39428571429</v>
      </c>
      <c r="I31" s="54"/>
    </row>
    <row r="32" spans="1:9" ht="12.95" customHeight="1" thickBot="1" x14ac:dyDescent="0.25">
      <c r="A32" s="60"/>
      <c r="B32" s="76" t="s">
        <v>51</v>
      </c>
      <c r="C32" s="71">
        <f>+C31+C8</f>
        <v>178.35786030798164</v>
      </c>
      <c r="I32" s="54"/>
    </row>
    <row r="33" spans="1:9" ht="12.95" customHeight="1" thickBot="1" x14ac:dyDescent="0.25">
      <c r="I33" s="54"/>
    </row>
    <row r="34" spans="1:9" ht="12.95" customHeight="1" x14ac:dyDescent="0.2">
      <c r="A34" s="55" t="s">
        <v>52</v>
      </c>
      <c r="B34" s="43"/>
      <c r="C34" s="43" t="s">
        <v>53</v>
      </c>
      <c r="D34" s="43"/>
      <c r="E34" s="56"/>
    </row>
    <row r="35" spans="1:9" ht="12.95" customHeight="1" thickBot="1" x14ac:dyDescent="0.25">
      <c r="A35" s="57"/>
      <c r="B35" s="46"/>
      <c r="C35" s="46" t="s">
        <v>54</v>
      </c>
      <c r="D35" s="34">
        <f>6.044*C9*(-C20/100+C9*C9/127/C7)</f>
        <v>20.404448818897638</v>
      </c>
      <c r="E35" s="48" t="s">
        <v>19</v>
      </c>
    </row>
    <row r="36" spans="1:9" ht="12.95" customHeight="1" x14ac:dyDescent="0.2">
      <c r="A36" s="55" t="s">
        <v>55</v>
      </c>
      <c r="B36" s="58"/>
      <c r="C36" s="59" t="s">
        <v>56</v>
      </c>
      <c r="D36" s="58"/>
      <c r="E36" s="44"/>
    </row>
    <row r="37" spans="1:9" ht="12.95" customHeight="1" thickBot="1" x14ac:dyDescent="0.25">
      <c r="A37" s="60"/>
      <c r="B37" s="61"/>
      <c r="C37" s="46" t="s">
        <v>54</v>
      </c>
      <c r="D37" s="34">
        <f>+C9/1.8</f>
        <v>38.888888888888886</v>
      </c>
      <c r="E37" s="48" t="s">
        <v>19</v>
      </c>
    </row>
    <row r="38" spans="1:9" ht="12.95" customHeight="1" x14ac:dyDescent="0.2">
      <c r="A38" s="55" t="s">
        <v>57</v>
      </c>
      <c r="B38" s="58"/>
      <c r="C38" s="59" t="s">
        <v>58</v>
      </c>
      <c r="D38" s="58"/>
      <c r="E38" s="44"/>
    </row>
    <row r="39" spans="1:9" ht="12.95" customHeight="1" thickBot="1" x14ac:dyDescent="0.25">
      <c r="A39" s="60"/>
      <c r="B39" s="61"/>
      <c r="C39" s="46" t="s">
        <v>54</v>
      </c>
      <c r="D39" s="34">
        <f>+C20/100*C9/10*100</f>
        <v>43.405511811023629</v>
      </c>
      <c r="E39" s="48" t="s">
        <v>19</v>
      </c>
    </row>
    <row r="40" spans="1:9" ht="12.95" customHeight="1" x14ac:dyDescent="0.2">
      <c r="A40" s="55" t="s">
        <v>59</v>
      </c>
      <c r="B40" s="58"/>
      <c r="C40" s="59" t="s">
        <v>60</v>
      </c>
      <c r="D40" s="58"/>
      <c r="E40" s="44"/>
    </row>
    <row r="41" spans="1:9" ht="13.5" thickBot="1" x14ac:dyDescent="0.25">
      <c r="A41" s="60"/>
      <c r="B41" s="61"/>
      <c r="C41" s="46" t="s">
        <v>54</v>
      </c>
      <c r="D41" s="34">
        <f>+C7/10</f>
        <v>35</v>
      </c>
      <c r="E41" s="48" t="s">
        <v>19</v>
      </c>
    </row>
    <row r="42" spans="1:9" x14ac:dyDescent="0.2">
      <c r="C42" s="9" t="s">
        <v>61</v>
      </c>
      <c r="D42" s="5"/>
      <c r="E42" s="9" t="s">
        <v>62</v>
      </c>
    </row>
    <row r="43" spans="1:9" ht="15" x14ac:dyDescent="0.2">
      <c r="A43" s="62"/>
      <c r="B43" s="62"/>
      <c r="C43" s="9">
        <v>2</v>
      </c>
      <c r="D43" s="9"/>
      <c r="E43" s="9" t="s">
        <v>63</v>
      </c>
    </row>
    <row r="44" spans="1:9" ht="20.25" customHeight="1" x14ac:dyDescent="0.2">
      <c r="A44" s="53" t="s">
        <v>64</v>
      </c>
      <c r="C44" s="9">
        <v>3</v>
      </c>
      <c r="D44" s="9"/>
      <c r="E44" s="9" t="s">
        <v>65</v>
      </c>
      <c r="F44" s="53" t="s">
        <v>66</v>
      </c>
    </row>
    <row r="45" spans="1:9" ht="12.95" customHeight="1" x14ac:dyDescent="0.2">
      <c r="C45" s="9">
        <v>4</v>
      </c>
      <c r="D45" s="9"/>
      <c r="E45" s="9" t="s">
        <v>67</v>
      </c>
    </row>
    <row r="46" spans="1:9" ht="13.5" thickBot="1" x14ac:dyDescent="0.25">
      <c r="C46" s="9">
        <v>6</v>
      </c>
      <c r="D46" s="9"/>
      <c r="E46" s="9" t="s">
        <v>68</v>
      </c>
    </row>
    <row r="47" spans="1:9" ht="12.95" customHeight="1" thickBot="1" x14ac:dyDescent="0.25">
      <c r="C47" s="63" t="s">
        <v>69</v>
      </c>
      <c r="D47" s="64">
        <v>30</v>
      </c>
      <c r="E47" s="65" t="s">
        <v>19</v>
      </c>
    </row>
    <row r="48" spans="1:9" x14ac:dyDescent="0.2">
      <c r="A48" s="66"/>
    </row>
    <row r="49" spans="1:1" x14ac:dyDescent="0.2">
      <c r="A49" s="66"/>
    </row>
    <row r="50" spans="1:1" x14ac:dyDescent="0.2">
      <c r="A50" s="66"/>
    </row>
    <row r="51" spans="1:1" x14ac:dyDescent="0.2">
      <c r="A51" s="66"/>
    </row>
    <row r="52" spans="1:1" ht="12.95" customHeight="1" x14ac:dyDescent="0.2"/>
  </sheetData>
  <printOptions horizontalCentered="1"/>
  <pageMargins left="1.0236220472440944" right="0.75" top="0.98425196850393704" bottom="1" header="0" footer="0"/>
  <pageSetup paperSize="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CHC-1</vt:lpstr>
    </vt:vector>
  </TitlesOfParts>
  <Company>DGOP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Rubio</dc:creator>
  <cp:lastModifiedBy>andres</cp:lastModifiedBy>
  <dcterms:created xsi:type="dcterms:W3CDTF">2015-08-25T10:42:04Z</dcterms:created>
  <dcterms:modified xsi:type="dcterms:W3CDTF">2018-07-04T18:35:06Z</dcterms:modified>
</cp:coreProperties>
</file>