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5CBF8460-2202-8B4B-A95A-7AC146E6F8BD}" xr6:coauthVersionLast="47" xr6:coauthVersionMax="47" xr10:uidLastSave="{00000000-0000-0000-0000-000000000000}"/>
  <bookViews>
    <workbookView xWindow="18000" yWindow="880" windowWidth="18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state="hidden" r:id="rId5"/>
    <sheet name="MOV. BANCARIOS" sheetId="6" state="hidden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8" l="1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<sst xmlns="http://schemas.openxmlformats.org/spreadsheetml/2006/main" count="882" uniqueCount="668">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</sst>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9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14" fontId="3" fillId="0" borderId="0" xfId="0" applyNumberFormat="1" applyFont="1"/>
    <xf numFmtId="0" fontId="58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8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60" fillId="7" borderId="5" xfId="0" applyFont="1" applyFill="1" applyBorder="1" applyAlignment="1">
      <alignment horizontal="center" vertical="center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topLeftCell="B2" zoomScaleNormal="85" workbookViewId="0">
      <selection activeCell="C12" sqref="C12:L12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32" t="s">
        <v>0</v>
      </c>
      <c r="F3" s="332"/>
      <c r="G3" s="332"/>
      <c r="H3" s="332"/>
      <c r="I3" s="332"/>
      <c r="J3" s="332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32"/>
      <c r="F4" s="332"/>
      <c r="G4" s="332"/>
      <c r="H4" s="332"/>
      <c r="I4" s="332"/>
      <c r="J4" s="332"/>
      <c r="K4" s="4"/>
      <c r="L4" s="6" t="s">
        <v>627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333" t="s">
        <v>2</v>
      </c>
      <c r="E6" s="333"/>
      <c r="F6" s="333"/>
      <c r="G6" s="2"/>
      <c r="J6" s="8" t="s">
        <v>3</v>
      </c>
      <c r="K6" s="334">
        <f ca="1">TODAY()</f>
        <v>45663</v>
      </c>
      <c r="L6" s="334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302" t="s">
        <v>4</v>
      </c>
      <c r="D8" s="302"/>
      <c r="E8" s="302"/>
      <c r="F8" s="302"/>
      <c r="G8" s="302"/>
      <c r="H8" s="302"/>
      <c r="I8" s="302"/>
      <c r="J8" s="302"/>
      <c r="K8" s="302"/>
      <c r="L8" s="302"/>
    </row>
    <row r="9" spans="1:27" ht="30" customHeight="1" x14ac:dyDescent="0.2">
      <c r="A9" s="9"/>
      <c r="B9" s="10"/>
      <c r="C9" s="335" t="s">
        <v>5</v>
      </c>
      <c r="D9" s="335"/>
      <c r="E9" s="335"/>
      <c r="F9" s="335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36"/>
      <c r="D10" s="336"/>
      <c r="E10" s="336"/>
      <c r="F10" s="336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302" t="s">
        <v>12</v>
      </c>
      <c r="D12" s="302"/>
      <c r="E12" s="302"/>
      <c r="F12" s="302"/>
      <c r="G12" s="302"/>
      <c r="H12" s="302"/>
      <c r="I12" s="302"/>
      <c r="J12" s="302"/>
      <c r="K12" s="302"/>
      <c r="L12" s="302"/>
      <c r="N12" s="20"/>
    </row>
    <row r="13" spans="1:27" ht="19.5" customHeight="1" x14ac:dyDescent="0.2">
      <c r="A13" s="9"/>
      <c r="B13" s="10"/>
      <c r="C13" s="13" t="s">
        <v>13</v>
      </c>
      <c r="D13" s="337" t="s">
        <v>14</v>
      </c>
      <c r="E13" s="337"/>
      <c r="F13" s="21" t="s">
        <v>15</v>
      </c>
      <c r="G13" s="21" t="s">
        <v>16</v>
      </c>
      <c r="H13" s="13" t="s">
        <v>626</v>
      </c>
      <c r="I13" s="338" t="s">
        <v>18</v>
      </c>
      <c r="J13" s="338"/>
      <c r="K13" s="339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19"/>
      <c r="D14" s="22" t="s">
        <v>21</v>
      </c>
      <c r="E14" s="23"/>
      <c r="F14" s="340"/>
      <c r="G14" s="341"/>
      <c r="H14" s="342">
        <v>0</v>
      </c>
      <c r="I14" s="24" t="s">
        <v>22</v>
      </c>
      <c r="J14" s="24" t="s">
        <v>23</v>
      </c>
      <c r="K14" s="339"/>
      <c r="L14" s="326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19"/>
      <c r="D15" s="26" t="str">
        <f>IF(D14="Porcentaje:","Monto:",IF(D14="Monto:","Porcentaje:",""))</f>
        <v>Monto:</v>
      </c>
      <c r="E15" s="27"/>
      <c r="F15" s="340"/>
      <c r="G15" s="340"/>
      <c r="H15" s="342"/>
      <c r="I15" s="28" t="str">
        <f>IFERROR(VLOOKUP(1,AUX!AB2:AI6,7,FALSE()),"NO APLICA")</f>
        <v>NO APLICA</v>
      </c>
      <c r="J15" s="28"/>
      <c r="K15" s="29" t="s">
        <v>25</v>
      </c>
      <c r="L15" s="326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302" t="s">
        <v>26</v>
      </c>
      <c r="D17" s="302"/>
      <c r="E17" s="302"/>
      <c r="F17" s="302"/>
      <c r="H17" s="302" t="s">
        <v>27</v>
      </c>
      <c r="I17" s="302"/>
      <c r="J17" s="302"/>
      <c r="K17" s="302"/>
      <c r="L17" s="302"/>
    </row>
    <row r="18" spans="1:14" ht="15" customHeight="1" x14ac:dyDescent="0.2">
      <c r="A18" s="1"/>
      <c r="B18" s="2"/>
      <c r="C18" s="309" t="s">
        <v>13</v>
      </c>
      <c r="D18" s="309"/>
      <c r="E18" s="330">
        <f>cot_Valor</f>
        <v>0</v>
      </c>
      <c r="F18" s="330"/>
      <c r="H18" s="318" t="s">
        <v>28</v>
      </c>
      <c r="I18" s="318"/>
      <c r="J18" s="331"/>
      <c r="K18" s="331"/>
      <c r="L18" s="331"/>
    </row>
    <row r="19" spans="1:14" ht="14.25" customHeight="1" x14ac:dyDescent="0.2">
      <c r="A19" s="1"/>
      <c r="B19" s="2"/>
      <c r="C19" s="309" t="s">
        <v>29</v>
      </c>
      <c r="D19" s="309"/>
      <c r="E19" s="330">
        <f>cot_Abono</f>
        <v>0</v>
      </c>
      <c r="F19" s="330"/>
      <c r="H19" s="318"/>
      <c r="I19" s="318"/>
      <c r="J19" s="331"/>
      <c r="K19" s="331"/>
      <c r="L19" s="331"/>
    </row>
    <row r="20" spans="1:14" ht="14.25" customHeight="1" x14ac:dyDescent="0.2">
      <c r="A20" s="1"/>
      <c r="B20" s="2"/>
      <c r="C20" s="296" t="s">
        <v>30</v>
      </c>
      <c r="D20" s="296"/>
      <c r="E20" s="317">
        <f>cot_Cashback</f>
        <v>0</v>
      </c>
      <c r="F20" s="317"/>
      <c r="H20" s="327" t="s">
        <v>31</v>
      </c>
      <c r="I20" s="327"/>
      <c r="J20" s="315"/>
      <c r="K20" s="315"/>
      <c r="L20" s="315"/>
    </row>
    <row r="21" spans="1:14" ht="14.25" customHeight="1" x14ac:dyDescent="0.2">
      <c r="A21" s="30"/>
      <c r="B21" s="2"/>
      <c r="C21" s="328" t="s">
        <v>32</v>
      </c>
      <c r="D21" s="328"/>
      <c r="E21" s="329">
        <f>cot_Valor-cot_Abono-cot_Cashback</f>
        <v>0</v>
      </c>
      <c r="F21" s="329"/>
    </row>
    <row r="22" spans="1:14" ht="14.25" customHeight="1" x14ac:dyDescent="0.2">
      <c r="A22" s="30"/>
      <c r="B22" s="2"/>
      <c r="C22" s="296" t="s">
        <v>20</v>
      </c>
      <c r="D22" s="296"/>
      <c r="E22" s="317">
        <f>cot_Timbres</f>
        <v>0</v>
      </c>
      <c r="F22" s="317"/>
      <c r="H22" s="302" t="s">
        <v>33</v>
      </c>
      <c r="I22" s="302"/>
      <c r="J22" s="302"/>
      <c r="K22" s="302"/>
      <c r="L22" s="302"/>
    </row>
    <row r="23" spans="1:14" ht="15" customHeight="1" x14ac:dyDescent="0.2">
      <c r="A23" s="30"/>
      <c r="B23" s="2"/>
      <c r="C23" s="296" t="s">
        <v>34</v>
      </c>
      <c r="D23" s="296"/>
      <c r="E23" s="317">
        <v>0</v>
      </c>
      <c r="F23" s="317"/>
      <c r="H23" s="318" t="s">
        <v>35</v>
      </c>
      <c r="I23" s="318"/>
      <c r="J23" s="325"/>
      <c r="K23" s="325"/>
      <c r="L23" s="325"/>
    </row>
    <row r="24" spans="1:14" ht="15" customHeight="1" x14ac:dyDescent="0.2">
      <c r="A24" s="30"/>
      <c r="B24" s="2"/>
      <c r="C24" s="296" t="s">
        <v>36</v>
      </c>
      <c r="D24" s="296"/>
      <c r="E24" s="324">
        <v>50</v>
      </c>
      <c r="F24" s="324"/>
      <c r="H24" s="318" t="s">
        <v>37</v>
      </c>
      <c r="I24" s="318"/>
      <c r="J24" s="325"/>
      <c r="K24" s="325"/>
      <c r="L24" s="325"/>
    </row>
    <row r="25" spans="1:14" ht="15" customHeight="1" x14ac:dyDescent="0.2">
      <c r="A25" s="30"/>
      <c r="B25" s="2"/>
      <c r="C25" s="296" t="s">
        <v>38</v>
      </c>
      <c r="D25" s="296"/>
      <c r="E25" s="317">
        <f>auxVenComision</f>
        <v>0</v>
      </c>
      <c r="F25" s="317"/>
      <c r="H25" s="318" t="s">
        <v>39</v>
      </c>
      <c r="I25" s="318"/>
      <c r="J25" s="326"/>
      <c r="K25" s="326"/>
      <c r="L25" s="326"/>
    </row>
    <row r="26" spans="1:14" ht="14.25" customHeight="1" x14ac:dyDescent="0.2">
      <c r="A26" s="30"/>
      <c r="B26" s="2"/>
      <c r="C26" s="296" t="s">
        <v>40</v>
      </c>
      <c r="D26" s="296"/>
      <c r="E26" s="317">
        <v>0</v>
      </c>
      <c r="F26" s="317"/>
      <c r="H26" s="318" t="s">
        <v>41</v>
      </c>
      <c r="I26" s="318"/>
      <c r="J26" s="323"/>
      <c r="K26" s="323"/>
      <c r="L26" s="323"/>
    </row>
    <row r="27" spans="1:14" ht="14.25" customHeight="1" x14ac:dyDescent="0.2">
      <c r="A27" s="30"/>
      <c r="B27" s="2"/>
      <c r="C27" s="296"/>
      <c r="D27" s="296"/>
      <c r="E27" s="317"/>
      <c r="F27" s="317"/>
      <c r="H27" s="318" t="s">
        <v>42</v>
      </c>
      <c r="I27" s="318"/>
      <c r="J27" s="323"/>
      <c r="K27" s="323"/>
      <c r="L27" s="323"/>
    </row>
    <row r="28" spans="1:14" ht="15" customHeight="1" x14ac:dyDescent="0.2">
      <c r="A28" s="30"/>
      <c r="B28" s="2"/>
      <c r="C28" s="296" t="s">
        <v>43</v>
      </c>
      <c r="D28" s="296"/>
      <c r="E28" s="317">
        <f>J39</f>
        <v>0</v>
      </c>
      <c r="F28" s="317"/>
      <c r="H28" s="318" t="s">
        <v>44</v>
      </c>
      <c r="I28" s="318"/>
      <c r="J28" s="320">
        <v>400</v>
      </c>
      <c r="K28" s="320"/>
      <c r="L28" s="320"/>
    </row>
    <row r="29" spans="1:14" ht="14.25" customHeight="1" x14ac:dyDescent="0.2">
      <c r="A29" s="30"/>
      <c r="B29" s="2"/>
      <c r="C29" s="296" t="s">
        <v>45</v>
      </c>
      <c r="D29" s="296"/>
      <c r="E29" s="321">
        <v>0</v>
      </c>
      <c r="F29" s="321"/>
      <c r="H29" s="296" t="s">
        <v>46</v>
      </c>
      <c r="I29" s="296"/>
      <c r="J29" s="322" t="str">
        <f>IFERROR(auxCoRREDOR,auxCoRREDOR)</f>
        <v>ROLKAM Y ASOCIADOS, S.A.</v>
      </c>
      <c r="K29" s="322"/>
      <c r="L29" s="322"/>
    </row>
    <row r="30" spans="1:14" ht="15.75" customHeight="1" x14ac:dyDescent="0.2">
      <c r="A30" s="30"/>
      <c r="B30" s="2"/>
      <c r="C30" s="296" t="s">
        <v>47</v>
      </c>
      <c r="D30" s="296"/>
      <c r="E30" s="317">
        <v>0</v>
      </c>
      <c r="F30" s="317"/>
      <c r="H30" s="318" t="s">
        <v>48</v>
      </c>
      <c r="I30" s="318"/>
      <c r="J30" s="319"/>
      <c r="K30" s="319"/>
      <c r="L30" s="319"/>
      <c r="N30" s="31">
        <f>((cot_Desembolso*cot_ComCierre))*auxConstante</f>
        <v>0</v>
      </c>
    </row>
    <row r="31" spans="1:14" ht="15" customHeight="1" x14ac:dyDescent="0.2">
      <c r="A31" s="30"/>
      <c r="B31" s="2"/>
      <c r="C31" s="296" t="s">
        <v>49</v>
      </c>
      <c r="D31" s="296"/>
      <c r="E31" s="308">
        <f>SUM(E21:F28)+E30</f>
        <v>50</v>
      </c>
      <c r="F31" s="308"/>
      <c r="H31" s="318" t="s">
        <v>50</v>
      </c>
      <c r="I31" s="318"/>
      <c r="J31" s="319"/>
      <c r="K31" s="319"/>
      <c r="L31" s="319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309" t="s">
        <v>51</v>
      </c>
      <c r="D33" s="309"/>
      <c r="E33" s="310">
        <f>J31</f>
        <v>0</v>
      </c>
      <c r="F33" s="310"/>
      <c r="H33" s="302" t="s">
        <v>52</v>
      </c>
      <c r="I33" s="302"/>
      <c r="J33" s="302"/>
      <c r="K33" s="302"/>
      <c r="L33" s="302"/>
    </row>
    <row r="34" spans="1:14" ht="14.25" customHeight="1" x14ac:dyDescent="0.2">
      <c r="A34" s="30"/>
      <c r="B34" s="2"/>
      <c r="C34" s="296" t="s">
        <v>53</v>
      </c>
      <c r="D34" s="296"/>
      <c r="E34" s="305">
        <f>E40*12</f>
        <v>0</v>
      </c>
      <c r="F34" s="305"/>
      <c r="H34" s="296" t="s">
        <v>54</v>
      </c>
      <c r="I34" s="296"/>
      <c r="J34" s="316" t="s">
        <v>55</v>
      </c>
      <c r="K34" s="316"/>
      <c r="L34" s="316"/>
    </row>
    <row r="35" spans="1:14" ht="14.25" customHeight="1" x14ac:dyDescent="0.2">
      <c r="A35" s="30"/>
      <c r="B35" s="2"/>
      <c r="C35" s="296" t="s">
        <v>56</v>
      </c>
      <c r="D35" s="296"/>
      <c r="E35" s="305">
        <v>0</v>
      </c>
      <c r="F35" s="305"/>
      <c r="H35" s="296" t="s">
        <v>57</v>
      </c>
      <c r="I35" s="296"/>
      <c r="J35" s="315" t="s">
        <v>58</v>
      </c>
      <c r="K35" s="315"/>
      <c r="L35" s="315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96" t="s">
        <v>59</v>
      </c>
      <c r="D37" s="296"/>
      <c r="E37" s="305">
        <f>cot_DesembolsoTotal</f>
        <v>50</v>
      </c>
      <c r="F37" s="305"/>
      <c r="H37" s="302" t="s">
        <v>60</v>
      </c>
      <c r="I37" s="302"/>
      <c r="J37" s="302"/>
      <c r="K37" s="302"/>
      <c r="L37" s="302"/>
    </row>
    <row r="38" spans="1:14" ht="14.25" customHeight="1" x14ac:dyDescent="0.2">
      <c r="A38" s="30"/>
      <c r="B38" s="2"/>
      <c r="C38" s="296" t="s">
        <v>15</v>
      </c>
      <c r="D38" s="296"/>
      <c r="E38" s="312">
        <f>cot_Plazo</f>
        <v>0</v>
      </c>
      <c r="F38" s="312"/>
      <c r="H38" s="296" t="s">
        <v>61</v>
      </c>
      <c r="I38" s="296"/>
      <c r="J38" s="313">
        <v>0</v>
      </c>
      <c r="K38" s="313"/>
      <c r="L38" s="313"/>
    </row>
    <row r="39" spans="1:14" ht="14.25" customHeight="1" x14ac:dyDescent="0.2">
      <c r="A39" s="30"/>
      <c r="B39" s="2"/>
      <c r="C39" s="296" t="s">
        <v>62</v>
      </c>
      <c r="D39" s="296"/>
      <c r="E39" s="314">
        <f>IFERROR(PMT(cot_Rentabilidad/12,cot_Plazo,-cot_DesembolsoTotal,0,0),0)</f>
        <v>0</v>
      </c>
      <c r="F39" s="314"/>
      <c r="H39" s="296" t="s">
        <v>63</v>
      </c>
      <c r="I39" s="296"/>
      <c r="J39" s="315">
        <v>0</v>
      </c>
      <c r="K39" s="315"/>
      <c r="L39" s="315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96" t="s">
        <v>64</v>
      </c>
      <c r="D40" s="296"/>
      <c r="E40" s="305">
        <v>0</v>
      </c>
      <c r="F40" s="305"/>
    </row>
    <row r="41" spans="1:14" ht="14.25" customHeight="1" x14ac:dyDescent="0.2">
      <c r="A41" s="30"/>
      <c r="B41" s="2"/>
      <c r="C41" s="306" t="s">
        <v>65</v>
      </c>
      <c r="D41" s="296"/>
      <c r="E41" s="305">
        <v>0</v>
      </c>
      <c r="F41" s="305"/>
      <c r="G41" s="32"/>
      <c r="H41" s="302" t="s">
        <v>66</v>
      </c>
      <c r="I41" s="302"/>
      <c r="J41" s="302"/>
      <c r="K41" s="302"/>
      <c r="L41" s="302"/>
    </row>
    <row r="42" spans="1:14" ht="15" customHeight="1" x14ac:dyDescent="0.2">
      <c r="A42" s="30"/>
      <c r="B42" s="2"/>
      <c r="C42" s="296" t="s">
        <v>67</v>
      </c>
      <c r="D42" s="296"/>
      <c r="E42" s="305">
        <v>0</v>
      </c>
      <c r="F42" s="305"/>
      <c r="H42" s="307"/>
      <c r="I42" s="307"/>
      <c r="J42" s="307"/>
      <c r="K42" s="307"/>
      <c r="L42" s="307"/>
    </row>
    <row r="43" spans="1:14" ht="15" customHeight="1" x14ac:dyDescent="0.2">
      <c r="A43" s="30"/>
      <c r="B43" s="2"/>
      <c r="C43" s="296" t="s">
        <v>68</v>
      </c>
      <c r="D43" s="296"/>
      <c r="E43" s="308">
        <f>SUM(E39:E40)</f>
        <v>0</v>
      </c>
      <c r="F43" s="308"/>
      <c r="H43" s="307"/>
      <c r="I43" s="307"/>
      <c r="J43" s="307"/>
      <c r="K43" s="307"/>
      <c r="L43" s="307"/>
    </row>
    <row r="44" spans="1:14" ht="14.25" customHeight="1" x14ac:dyDescent="0.2">
      <c r="A44" s="30"/>
      <c r="B44" s="2"/>
      <c r="C44" s="309" t="s">
        <v>69</v>
      </c>
      <c r="D44" s="309"/>
      <c r="E44" s="310">
        <f>SUM(E39:E42)</f>
        <v>0</v>
      </c>
      <c r="F44" s="310"/>
      <c r="H44" s="307"/>
      <c r="I44" s="307"/>
      <c r="J44" s="307"/>
      <c r="K44" s="307"/>
      <c r="L44" s="307"/>
      <c r="N44" s="31">
        <f>N39+SUM(E40:E42)</f>
        <v>0</v>
      </c>
    </row>
    <row r="45" spans="1:14" ht="14.25" customHeight="1" x14ac:dyDescent="0.2">
      <c r="A45" s="30"/>
      <c r="B45" s="2"/>
      <c r="H45" s="307"/>
      <c r="I45" s="307"/>
      <c r="J45" s="307"/>
      <c r="K45" s="307"/>
      <c r="L45" s="307"/>
    </row>
    <row r="46" spans="1:14" ht="14.25" customHeight="1" x14ac:dyDescent="0.2">
      <c r="A46" s="30"/>
      <c r="B46" s="2"/>
      <c r="C46" s="309" t="s">
        <v>625</v>
      </c>
      <c r="D46" s="309"/>
      <c r="E46" s="311">
        <f>cot_Plazo*cot_TotalLetra</f>
        <v>0</v>
      </c>
      <c r="F46" s="311"/>
      <c r="H46" s="307"/>
      <c r="I46" s="307"/>
      <c r="J46" s="307"/>
      <c r="K46" s="307"/>
      <c r="L46" s="307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302" t="s">
        <v>70</v>
      </c>
      <c r="D48" s="302"/>
      <c r="E48" s="302"/>
      <c r="F48" s="302"/>
      <c r="G48" s="302"/>
      <c r="H48" s="302"/>
      <c r="I48" s="302"/>
      <c r="J48" s="302"/>
      <c r="K48" s="302"/>
      <c r="L48" s="302"/>
    </row>
    <row r="49" spans="1:12" ht="14.25" customHeight="1" x14ac:dyDescent="0.2">
      <c r="A49" s="1"/>
      <c r="B49" s="1"/>
      <c r="C49" s="296" t="s">
        <v>71</v>
      </c>
      <c r="D49" s="296"/>
      <c r="E49" s="297"/>
      <c r="F49" s="297"/>
      <c r="G49" s="297"/>
      <c r="H49" s="296" t="s">
        <v>72</v>
      </c>
      <c r="I49" s="296"/>
      <c r="J49" s="304"/>
      <c r="K49" s="304"/>
      <c r="L49" s="304"/>
    </row>
    <row r="50" spans="1:12" ht="14.25" customHeight="1" x14ac:dyDescent="0.2">
      <c r="A50" s="1"/>
      <c r="B50" s="1"/>
      <c r="C50" s="296" t="s">
        <v>73</v>
      </c>
      <c r="D50" s="296"/>
      <c r="E50" s="297"/>
      <c r="F50" s="297"/>
      <c r="G50" s="297"/>
      <c r="H50" s="296" t="s">
        <v>74</v>
      </c>
      <c r="I50" s="296"/>
      <c r="J50" s="297"/>
      <c r="K50" s="297"/>
      <c r="L50" s="297"/>
    </row>
    <row r="51" spans="1:12" ht="14.25" customHeight="1" x14ac:dyDescent="0.2">
      <c r="A51" s="1"/>
      <c r="B51" s="1"/>
      <c r="C51" s="303" t="s">
        <v>75</v>
      </c>
      <c r="D51" s="303"/>
      <c r="E51" s="297"/>
      <c r="F51" s="297"/>
      <c r="G51" s="297"/>
      <c r="H51" s="296" t="s">
        <v>76</v>
      </c>
      <c r="I51" s="296"/>
      <c r="J51" s="297"/>
      <c r="K51" s="297"/>
      <c r="L51" s="297"/>
    </row>
    <row r="52" spans="1:12" ht="14.25" customHeight="1" x14ac:dyDescent="0.2">
      <c r="A52" s="1"/>
      <c r="B52" s="1"/>
      <c r="C52" s="296" t="s">
        <v>77</v>
      </c>
      <c r="D52" s="296"/>
      <c r="E52" s="297"/>
      <c r="F52" s="297"/>
      <c r="G52" s="297"/>
      <c r="H52" s="296" t="s">
        <v>78</v>
      </c>
      <c r="I52" s="296"/>
      <c r="J52" s="300" t="str">
        <f>IF('N. DE END'!F71=0,"",'N. DE END'!F71)</f>
        <v/>
      </c>
      <c r="K52" s="300"/>
      <c r="L52" s="300"/>
    </row>
    <row r="53" spans="1:12" ht="14.25" customHeight="1" x14ac:dyDescent="0.2">
      <c r="A53" s="1"/>
      <c r="B53" s="1"/>
      <c r="C53" s="296" t="s">
        <v>79</v>
      </c>
      <c r="D53" s="296"/>
      <c r="E53" s="297"/>
      <c r="F53" s="297"/>
      <c r="G53" s="297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302" t="s">
        <v>80</v>
      </c>
      <c r="D55" s="302"/>
      <c r="E55" s="302"/>
      <c r="F55" s="302"/>
      <c r="G55" s="302"/>
      <c r="H55" s="302"/>
      <c r="I55" s="302"/>
      <c r="J55" s="302"/>
      <c r="K55" s="302"/>
      <c r="L55" s="302"/>
    </row>
    <row r="56" spans="1:12" ht="15" customHeight="1" x14ac:dyDescent="0.2">
      <c r="A56" s="1"/>
      <c r="B56" s="1"/>
      <c r="C56" s="296" t="s">
        <v>81</v>
      </c>
      <c r="D56" s="296"/>
      <c r="E56" s="297"/>
      <c r="F56" s="297"/>
      <c r="G56" s="297"/>
      <c r="H56" s="296" t="s">
        <v>74</v>
      </c>
      <c r="I56" s="296"/>
      <c r="J56" s="297"/>
      <c r="K56" s="297"/>
      <c r="L56" s="297"/>
    </row>
    <row r="57" spans="1:12" ht="14.25" customHeight="1" x14ac:dyDescent="0.2">
      <c r="A57" s="1"/>
      <c r="B57" s="1"/>
      <c r="C57" s="296" t="s">
        <v>82</v>
      </c>
      <c r="D57" s="296"/>
      <c r="E57" s="297"/>
      <c r="F57" s="297"/>
      <c r="G57" s="297"/>
      <c r="H57" s="296" t="s">
        <v>76</v>
      </c>
      <c r="I57" s="296"/>
      <c r="J57" s="297"/>
      <c r="K57" s="297"/>
      <c r="L57" s="297"/>
    </row>
    <row r="58" spans="1:12" ht="14.25" customHeight="1" x14ac:dyDescent="0.2">
      <c r="A58" s="1"/>
      <c r="B58" s="1"/>
      <c r="C58" s="296" t="s">
        <v>83</v>
      </c>
      <c r="D58" s="296"/>
      <c r="E58" s="299"/>
      <c r="F58" s="299"/>
      <c r="G58" s="299"/>
      <c r="H58" s="296" t="s">
        <v>78</v>
      </c>
      <c r="I58" s="296"/>
      <c r="J58" s="300" t="str">
        <f>IF(E103="","",IF('N. DE END FAMILIAR'!H83=0,"",'N. DE END FAMILIAR'!H83))</f>
        <v/>
      </c>
      <c r="K58" s="300"/>
      <c r="L58" s="300"/>
    </row>
    <row r="59" spans="1:12" ht="14.25" customHeight="1" x14ac:dyDescent="0.2">
      <c r="A59" s="1"/>
      <c r="B59" s="1"/>
      <c r="C59" s="301" t="s">
        <v>84</v>
      </c>
      <c r="D59" s="301"/>
      <c r="E59" s="301"/>
      <c r="F59" s="301"/>
      <c r="G59" s="301"/>
      <c r="H59" s="301"/>
      <c r="I59" s="301"/>
      <c r="J59" s="301"/>
      <c r="K59" s="301"/>
      <c r="L59" s="301"/>
    </row>
    <row r="60" spans="1:12" ht="15" customHeight="1" x14ac:dyDescent="0.2">
      <c r="A60" s="1"/>
      <c r="B60" s="1"/>
      <c r="C60" s="301"/>
      <c r="D60" s="301"/>
      <c r="E60" s="301"/>
      <c r="F60" s="301"/>
      <c r="G60" s="301"/>
      <c r="H60" s="301"/>
      <c r="I60" s="301"/>
      <c r="J60" s="301"/>
      <c r="K60" s="301"/>
      <c r="L60" s="301"/>
    </row>
    <row r="61" spans="1:12" ht="15" customHeight="1" x14ac:dyDescent="0.2">
      <c r="A61" s="1"/>
      <c r="B61" s="1"/>
      <c r="C61" s="296" t="s">
        <v>85</v>
      </c>
      <c r="D61" s="296"/>
      <c r="E61" s="297"/>
      <c r="F61" s="297"/>
      <c r="G61" s="297"/>
      <c r="H61" s="33" t="s">
        <v>86</v>
      </c>
      <c r="I61" s="34"/>
      <c r="J61" s="33" t="s">
        <v>87</v>
      </c>
      <c r="K61" s="298"/>
      <c r="L61" s="298"/>
    </row>
    <row r="62" spans="1:12" ht="15" customHeight="1" x14ac:dyDescent="0.2">
      <c r="A62" s="1"/>
      <c r="B62" s="1"/>
      <c r="C62" s="296" t="s">
        <v>88</v>
      </c>
      <c r="D62" s="296"/>
      <c r="E62" s="297"/>
      <c r="F62" s="297"/>
      <c r="G62" s="297"/>
      <c r="H62" s="33" t="s">
        <v>86</v>
      </c>
      <c r="I62" s="34"/>
      <c r="J62" s="33" t="s">
        <v>87</v>
      </c>
      <c r="K62" s="298"/>
      <c r="L62" s="298"/>
    </row>
    <row r="63" spans="1:12" ht="14.25" customHeight="1" x14ac:dyDescent="0.2">
      <c r="A63" s="1"/>
      <c r="B63" s="1"/>
      <c r="C63" s="296" t="s">
        <v>89</v>
      </c>
      <c r="D63" s="296"/>
      <c r="E63" s="297"/>
      <c r="F63" s="297"/>
      <c r="G63" s="297"/>
      <c r="H63" s="33" t="s">
        <v>86</v>
      </c>
      <c r="I63" s="34"/>
      <c r="J63" s="33" t="s">
        <v>87</v>
      </c>
      <c r="K63" s="298"/>
      <c r="L63" s="298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90</v>
      </c>
    </row>
    <row r="66" spans="1:17" ht="14.25" customHeight="1" x14ac:dyDescent="0.2">
      <c r="A66" s="1"/>
      <c r="B66" s="1"/>
      <c r="C66" t="s">
        <v>91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92" t="s">
        <v>92</v>
      </c>
      <c r="D69" s="292"/>
      <c r="E69" s="292"/>
      <c r="F69" s="292"/>
      <c r="G69" s="292"/>
      <c r="H69" s="292"/>
      <c r="I69" s="292"/>
      <c r="J69" s="292"/>
      <c r="K69" s="292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87" t="s">
        <v>93</v>
      </c>
      <c r="D71" s="287"/>
      <c r="E71" s="287"/>
      <c r="F71" s="287"/>
      <c r="G71" s="287"/>
      <c r="H71" s="287"/>
      <c r="I71" s="287"/>
      <c r="J71" s="287"/>
      <c r="K71" s="287"/>
      <c r="L71" s="287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93" t="s">
        <v>94</v>
      </c>
      <c r="D73" s="293"/>
      <c r="E73" s="294" t="s">
        <v>95</v>
      </c>
      <c r="F73" s="294"/>
      <c r="H73" s="295" t="str">
        <f>"LETRA "&amp;$E$73&amp;" DEL PRÉSTAMO:"</f>
        <v>LETRA MENSUAL DEL PRÉSTAMO:</v>
      </c>
      <c r="I73" s="295"/>
      <c r="J73" s="295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77" t="s">
        <v>96</v>
      </c>
      <c r="D75" s="277"/>
      <c r="E75" s="277"/>
      <c r="F75" s="277"/>
      <c r="G75" s="277"/>
      <c r="H75" s="277"/>
      <c r="I75" s="277"/>
      <c r="J75" s="277"/>
      <c r="K75" s="277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77" t="str">
        <f>"SALARIO BASE "&amp;E73&amp;":"</f>
        <v>SALARIO BASE MENSUAL:</v>
      </c>
      <c r="D77" s="277"/>
      <c r="E77" s="289">
        <f>IF(J49="",0,J49)</f>
        <v>0</v>
      </c>
      <c r="F77" s="289"/>
      <c r="G77" s="40"/>
      <c r="H77" s="277" t="s">
        <v>97</v>
      </c>
      <c r="I77" s="277"/>
      <c r="J77" s="41" t="str">
        <f>"MONTO "&amp;$E$73</f>
        <v>MONTO MENSUAL</v>
      </c>
      <c r="K77" s="41" t="s">
        <v>98</v>
      </c>
    </row>
    <row r="78" spans="1:17" ht="18" customHeight="1" x14ac:dyDescent="0.2">
      <c r="A78" s="1"/>
      <c r="B78" s="1"/>
      <c r="C78" s="290" t="str">
        <f>IF(AND(cot_cartera="INDEPENDIENTE",'MOV. BANCARIOS'!U13="TOMAR VALOR"),"SALARIO BASE"&amp;" (INDEPENDIENTE):","")</f>
        <v/>
      </c>
      <c r="D78" s="290"/>
      <c r="E78" s="291" t="str">
        <f>IF(AND(cot_cartera="INDEPENDIENTE",'MOV. BANCARIOS'!U13="TOMAR VALOR"),'MOV. BANCARIOS'!U12,"")</f>
        <v/>
      </c>
      <c r="F78" s="291"/>
      <c r="G78" s="42"/>
      <c r="H78" s="276" t="s">
        <v>99</v>
      </c>
      <c r="I78" s="276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90"/>
      <c r="D79" s="290"/>
      <c r="E79" s="291"/>
      <c r="F79" s="291"/>
      <c r="H79" s="276" t="s">
        <v>100</v>
      </c>
      <c r="I79" s="276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88" t="str">
        <f>IF(C10="","",IF(J49="","*El nombre del cliente ha sido introducido, para ver el SALARIO BASE MENSUAL, ingresar valor en campo 'Ingresos' en sección DETALLES DEL DEUDOR",""))</f>
        <v/>
      </c>
      <c r="D80" s="288"/>
      <c r="E80" s="288"/>
      <c r="F80" s="288"/>
      <c r="H80" s="276" t="s">
        <v>101</v>
      </c>
      <c r="I80" s="276"/>
      <c r="J80" s="45"/>
      <c r="K80" s="46"/>
    </row>
    <row r="81" spans="1:11" ht="18" customHeight="1" x14ac:dyDescent="0.2">
      <c r="A81" s="1"/>
      <c r="B81" s="1"/>
      <c r="C81" s="288"/>
      <c r="D81" s="288"/>
      <c r="E81" s="288"/>
      <c r="F81" s="288"/>
      <c r="H81" s="276" t="s">
        <v>102</v>
      </c>
      <c r="I81" s="276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77" t="s">
        <v>103</v>
      </c>
      <c r="D83" s="277"/>
      <c r="E83" s="277"/>
      <c r="F83" s="277"/>
      <c r="G83" s="277"/>
      <c r="H83" s="277"/>
      <c r="I83" s="277"/>
      <c r="J83" s="277"/>
      <c r="K83" s="277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78" t="s">
        <v>104</v>
      </c>
      <c r="D85" s="278"/>
      <c r="E85" s="278"/>
      <c r="F85" s="278"/>
      <c r="H85" s="279" t="s">
        <v>105</v>
      </c>
      <c r="I85" s="279"/>
      <c r="J85" s="279"/>
      <c r="K85" s="279"/>
    </row>
    <row r="86" spans="1:11" ht="33.75" customHeight="1" x14ac:dyDescent="0.2">
      <c r="A86" s="1"/>
      <c r="B86" s="1"/>
      <c r="C86" s="280" t="s">
        <v>106</v>
      </c>
      <c r="D86" s="280"/>
      <c r="E86" s="41" t="str">
        <f>"MONTO "&amp;$E73</f>
        <v>MONTO MENSUAL</v>
      </c>
      <c r="F86" s="39" t="s">
        <v>107</v>
      </c>
      <c r="H86" s="281" t="s">
        <v>106</v>
      </c>
      <c r="I86" s="281"/>
      <c r="J86" s="41" t="str">
        <f>"MONTO "&amp;$E$73</f>
        <v>MONTO MENSUAL</v>
      </c>
      <c r="K86" s="39" t="s">
        <v>107</v>
      </c>
    </row>
    <row r="87" spans="1:11" ht="18" customHeight="1" x14ac:dyDescent="0.2">
      <c r="A87" s="1"/>
      <c r="B87" s="1"/>
      <c r="C87" s="275" t="s">
        <v>108</v>
      </c>
      <c r="D87" s="275"/>
      <c r="E87" s="49"/>
      <c r="F87" s="50"/>
      <c r="H87" s="274"/>
      <c r="I87" s="274"/>
      <c r="J87" s="49"/>
      <c r="K87" s="51"/>
    </row>
    <row r="88" spans="1:11" ht="18" customHeight="1" x14ac:dyDescent="0.2">
      <c r="A88" s="1"/>
      <c r="B88" s="1"/>
      <c r="C88" s="275" t="s">
        <v>109</v>
      </c>
      <c r="D88" s="275"/>
      <c r="E88" s="52"/>
      <c r="F88" s="50"/>
      <c r="H88" s="274"/>
      <c r="I88" s="274"/>
      <c r="J88" s="49"/>
      <c r="K88" s="51"/>
    </row>
    <row r="89" spans="1:11" ht="18" customHeight="1" x14ac:dyDescent="0.2">
      <c r="A89" s="1"/>
      <c r="B89" s="1"/>
      <c r="C89" s="274"/>
      <c r="D89" s="274"/>
      <c r="E89" s="49"/>
      <c r="F89" s="50"/>
      <c r="H89" s="274"/>
      <c r="I89" s="274"/>
      <c r="J89" s="49"/>
      <c r="K89" s="51"/>
    </row>
    <row r="90" spans="1:11" ht="18" customHeight="1" x14ac:dyDescent="0.2">
      <c r="A90" s="1"/>
      <c r="B90" s="1"/>
      <c r="C90" s="274"/>
      <c r="D90" s="274"/>
      <c r="E90" s="49"/>
      <c r="F90" s="50"/>
      <c r="H90" s="274"/>
      <c r="I90" s="274"/>
      <c r="J90" s="49"/>
      <c r="K90" s="51"/>
    </row>
    <row r="91" spans="1:11" ht="18" customHeight="1" x14ac:dyDescent="0.2">
      <c r="A91" s="1"/>
      <c r="B91" s="1"/>
      <c r="C91" s="274"/>
      <c r="D91" s="274"/>
      <c r="E91" s="49"/>
      <c r="F91" s="53"/>
      <c r="H91" s="274"/>
      <c r="I91" s="274"/>
      <c r="J91" s="52"/>
      <c r="K91" s="51"/>
    </row>
    <row r="92" spans="1:11" ht="18" customHeight="1" x14ac:dyDescent="0.2">
      <c r="A92" s="1"/>
      <c r="B92" s="1"/>
      <c r="C92" s="274"/>
      <c r="D92" s="274"/>
      <c r="E92" s="49"/>
      <c r="F92" s="54"/>
      <c r="H92" s="274"/>
      <c r="I92" s="274"/>
      <c r="J92" s="55"/>
      <c r="K92" s="48"/>
    </row>
    <row r="93" spans="1:11" ht="18" customHeight="1" x14ac:dyDescent="0.2">
      <c r="A93" s="1"/>
      <c r="B93" s="1"/>
      <c r="C93" s="274"/>
      <c r="D93" s="274"/>
      <c r="E93" s="49"/>
      <c r="F93" s="54"/>
      <c r="H93" s="274"/>
      <c r="I93" s="274"/>
      <c r="J93" s="55"/>
      <c r="K93" s="56"/>
    </row>
    <row r="94" spans="1:11" ht="18" customHeight="1" x14ac:dyDescent="0.2">
      <c r="A94" s="1"/>
      <c r="B94" s="1"/>
      <c r="C94" s="274"/>
      <c r="D94" s="274"/>
      <c r="E94" s="49"/>
      <c r="F94" s="54"/>
      <c r="H94" s="274"/>
      <c r="I94" s="274"/>
      <c r="J94" s="55"/>
      <c r="K94" s="56"/>
    </row>
    <row r="95" spans="1:11" ht="18" customHeight="1" x14ac:dyDescent="0.2">
      <c r="A95" s="1"/>
      <c r="B95" s="1"/>
      <c r="C95" s="274"/>
      <c r="D95" s="274"/>
      <c r="E95" s="52"/>
      <c r="F95" s="54"/>
      <c r="H95" s="274"/>
      <c r="I95" s="274"/>
      <c r="J95" s="55"/>
      <c r="K95" s="56"/>
    </row>
    <row r="96" spans="1:11" ht="18" customHeight="1" x14ac:dyDescent="0.2">
      <c r="A96" s="1"/>
      <c r="B96" s="1"/>
      <c r="C96" s="274"/>
      <c r="D96" s="274"/>
      <c r="E96" s="55"/>
      <c r="F96" s="54"/>
      <c r="H96" s="274"/>
      <c r="I96" s="274"/>
      <c r="J96" s="55"/>
      <c r="K96" s="56"/>
    </row>
    <row r="97" spans="1:16" ht="18" customHeight="1" x14ac:dyDescent="0.2">
      <c r="A97" s="1"/>
      <c r="B97" s="1"/>
      <c r="C97" s="274"/>
      <c r="D97" s="274"/>
      <c r="E97" s="55"/>
      <c r="F97" s="54"/>
      <c r="H97" s="274"/>
      <c r="I97" s="274"/>
      <c r="J97" s="55"/>
      <c r="K97" s="56"/>
    </row>
    <row r="98" spans="1:16" ht="18" customHeight="1" x14ac:dyDescent="0.2">
      <c r="A98" s="1"/>
      <c r="B98" s="1"/>
      <c r="C98" s="274"/>
      <c r="D98" s="274"/>
      <c r="E98" s="55"/>
      <c r="F98" s="54"/>
      <c r="H98" s="274"/>
      <c r="I98" s="274"/>
      <c r="J98" s="55"/>
      <c r="K98" s="56"/>
    </row>
    <row r="99" spans="1:16" ht="14.25" customHeight="1" x14ac:dyDescent="0.2">
      <c r="A99" s="1"/>
      <c r="B99" s="1"/>
      <c r="C99" s="57" t="s">
        <v>110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87" t="s">
        <v>111</v>
      </c>
      <c r="D101" s="287"/>
      <c r="E101" s="287"/>
      <c r="F101" s="287"/>
      <c r="G101" s="287"/>
      <c r="H101" s="287"/>
      <c r="I101" s="287"/>
      <c r="J101" s="287"/>
      <c r="K101" s="287"/>
      <c r="L101" s="287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83" t="s">
        <v>112</v>
      </c>
      <c r="D103" s="283"/>
      <c r="E103" s="284"/>
      <c r="F103" s="284"/>
      <c r="G103" s="284"/>
      <c r="H103" s="42"/>
      <c r="I103" s="58" t="s">
        <v>113</v>
      </c>
      <c r="J103" s="285"/>
      <c r="K103" s="285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83" t="s">
        <v>114</v>
      </c>
      <c r="D105" s="283"/>
      <c r="E105" s="284"/>
      <c r="F105" s="284"/>
      <c r="G105" s="284"/>
      <c r="H105" s="42"/>
      <c r="I105" s="58" t="s">
        <v>115</v>
      </c>
      <c r="J105" s="285"/>
      <c r="K105" s="285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116</v>
      </c>
      <c r="J107" s="285"/>
      <c r="K107" s="285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83" t="s">
        <v>94</v>
      </c>
      <c r="D109" s="283"/>
      <c r="E109" s="286" t="s">
        <v>95</v>
      </c>
      <c r="F109" s="286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77" t="s">
        <v>117</v>
      </c>
      <c r="D111" s="277"/>
      <c r="E111" s="277"/>
      <c r="F111" s="277"/>
      <c r="G111" s="277"/>
      <c r="H111" s="277"/>
      <c r="I111" s="277"/>
      <c r="J111" s="277"/>
      <c r="K111" s="277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77" t="str">
        <f>"SALARIO BASE "&amp;E109&amp;":"</f>
        <v>SALARIO BASE MENSUAL:</v>
      </c>
      <c r="D113" s="277"/>
      <c r="E113" s="282"/>
      <c r="F113" s="282"/>
      <c r="G113" s="40"/>
      <c r="H113" s="277" t="s">
        <v>97</v>
      </c>
      <c r="I113" s="277"/>
      <c r="J113" s="41" t="str">
        <f>"MONTO "&amp;E109</f>
        <v>MONTO MENSUAL</v>
      </c>
      <c r="K113" s="41" t="s">
        <v>98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76" t="s">
        <v>118</v>
      </c>
      <c r="I114" s="276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76" t="s">
        <v>100</v>
      </c>
      <c r="I115" s="276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76" t="s">
        <v>101</v>
      </c>
      <c r="I116" s="276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76" t="s">
        <v>102</v>
      </c>
      <c r="I117" s="276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77" t="s">
        <v>119</v>
      </c>
      <c r="D119" s="277"/>
      <c r="E119" s="277"/>
      <c r="F119" s="277"/>
      <c r="G119" s="277"/>
      <c r="H119" s="277"/>
      <c r="I119" s="277"/>
      <c r="J119" s="277"/>
      <c r="K119" s="277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78" t="s">
        <v>104</v>
      </c>
      <c r="D121" s="278"/>
      <c r="E121" s="278"/>
      <c r="F121" s="278"/>
      <c r="H121" s="279" t="s">
        <v>105</v>
      </c>
      <c r="I121" s="279"/>
      <c r="J121" s="279"/>
      <c r="K121" s="279"/>
    </row>
    <row r="122" spans="1:11" ht="33.75" customHeight="1" x14ac:dyDescent="0.2">
      <c r="A122" s="1"/>
      <c r="B122" s="1"/>
      <c r="C122" s="280" t="s">
        <v>106</v>
      </c>
      <c r="D122" s="280"/>
      <c r="E122" s="41" t="str">
        <f>"MONTO "&amp;$E109</f>
        <v>MONTO MENSUAL</v>
      </c>
      <c r="F122" s="39" t="s">
        <v>107</v>
      </c>
      <c r="H122" s="281" t="s">
        <v>106</v>
      </c>
      <c r="I122" s="281"/>
      <c r="J122" s="41" t="str">
        <f>"MONTO "&amp;$E$73</f>
        <v>MONTO MENSUAL</v>
      </c>
      <c r="K122" s="39" t="s">
        <v>107</v>
      </c>
    </row>
    <row r="123" spans="1:11" ht="18" customHeight="1" x14ac:dyDescent="0.2">
      <c r="A123" s="1"/>
      <c r="B123" s="1"/>
      <c r="C123" s="275" t="s">
        <v>108</v>
      </c>
      <c r="D123" s="275"/>
      <c r="E123" s="49"/>
      <c r="F123" s="50"/>
      <c r="H123" s="274"/>
      <c r="I123" s="274"/>
      <c r="J123" s="49"/>
      <c r="K123" s="51"/>
    </row>
    <row r="124" spans="1:11" ht="18" customHeight="1" x14ac:dyDescent="0.2">
      <c r="A124" s="1"/>
      <c r="B124" s="1"/>
      <c r="C124" s="275" t="s">
        <v>109</v>
      </c>
      <c r="D124" s="275"/>
      <c r="E124" s="52"/>
      <c r="F124" s="50"/>
      <c r="H124" s="274"/>
      <c r="I124" s="274"/>
      <c r="J124" s="49"/>
      <c r="K124" s="51"/>
    </row>
    <row r="125" spans="1:11" ht="18" customHeight="1" x14ac:dyDescent="0.2">
      <c r="A125" s="1"/>
      <c r="B125" s="1"/>
      <c r="C125" s="274"/>
      <c r="D125" s="274"/>
      <c r="E125" s="49"/>
      <c r="F125" s="50"/>
      <c r="H125" s="274"/>
      <c r="I125" s="274"/>
      <c r="J125" s="49"/>
      <c r="K125" s="51"/>
    </row>
    <row r="126" spans="1:11" ht="18" customHeight="1" x14ac:dyDescent="0.2">
      <c r="A126" s="1"/>
      <c r="B126" s="1"/>
      <c r="C126" s="274"/>
      <c r="D126" s="274"/>
      <c r="E126" s="49"/>
      <c r="F126" s="50"/>
      <c r="H126" s="274"/>
      <c r="I126" s="274"/>
      <c r="J126" s="49"/>
      <c r="K126" s="51"/>
    </row>
    <row r="127" spans="1:11" ht="18" customHeight="1" x14ac:dyDescent="0.2">
      <c r="A127" s="1"/>
      <c r="B127" s="1"/>
      <c r="C127" s="274"/>
      <c r="D127" s="274"/>
      <c r="E127" s="49"/>
      <c r="F127" s="53"/>
      <c r="H127" s="274"/>
      <c r="I127" s="274"/>
      <c r="J127" s="52"/>
      <c r="K127" s="51"/>
    </row>
    <row r="128" spans="1:11" ht="18" customHeight="1" x14ac:dyDescent="0.2">
      <c r="A128" s="1"/>
      <c r="B128" s="1"/>
      <c r="C128" s="274"/>
      <c r="D128" s="274"/>
      <c r="E128" s="49"/>
      <c r="F128" s="54"/>
      <c r="H128" s="274"/>
      <c r="I128" s="274"/>
      <c r="J128" s="55"/>
      <c r="K128" s="48"/>
    </row>
    <row r="129" spans="1:11" ht="18" customHeight="1" x14ac:dyDescent="0.2">
      <c r="A129" s="1"/>
      <c r="B129" s="1"/>
      <c r="C129" s="274"/>
      <c r="D129" s="274"/>
      <c r="E129" s="49"/>
      <c r="F129" s="54"/>
      <c r="H129" s="274"/>
      <c r="I129" s="274"/>
      <c r="J129" s="55"/>
      <c r="K129" s="56"/>
    </row>
    <row r="130" spans="1:11" ht="18" customHeight="1" x14ac:dyDescent="0.2">
      <c r="A130" s="1"/>
      <c r="B130" s="1"/>
      <c r="C130" s="274"/>
      <c r="D130" s="274"/>
      <c r="E130" s="49"/>
      <c r="F130" s="54"/>
      <c r="H130" s="274"/>
      <c r="I130" s="274"/>
      <c r="J130" s="55"/>
      <c r="K130" s="56"/>
    </row>
    <row r="131" spans="1:11" ht="18" customHeight="1" x14ac:dyDescent="0.2">
      <c r="A131" s="1"/>
      <c r="B131" s="1"/>
      <c r="C131" s="274"/>
      <c r="D131" s="274"/>
      <c r="E131" s="52"/>
      <c r="F131" s="54"/>
      <c r="H131" s="274"/>
      <c r="I131" s="274"/>
      <c r="J131" s="55"/>
      <c r="K131" s="56"/>
    </row>
    <row r="132" spans="1:11" ht="18" customHeight="1" x14ac:dyDescent="0.2">
      <c r="A132" s="1"/>
      <c r="B132" s="1"/>
      <c r="C132" s="274"/>
      <c r="D132" s="274"/>
      <c r="E132" s="55"/>
      <c r="F132" s="54"/>
      <c r="H132" s="274"/>
      <c r="I132" s="274"/>
      <c r="J132" s="55"/>
      <c r="K132" s="56"/>
    </row>
    <row r="133" spans="1:11" ht="18" customHeight="1" x14ac:dyDescent="0.2">
      <c r="A133" s="1"/>
      <c r="B133" s="1"/>
      <c r="C133" s="274"/>
      <c r="D133" s="274"/>
      <c r="E133" s="55"/>
      <c r="F133" s="54"/>
      <c r="H133" s="274"/>
      <c r="I133" s="274"/>
      <c r="J133" s="55"/>
      <c r="K133" s="56"/>
    </row>
    <row r="134" spans="1:11" ht="18" customHeight="1" x14ac:dyDescent="0.2">
      <c r="A134" s="1"/>
      <c r="B134" s="1"/>
      <c r="C134" s="274"/>
      <c r="D134" s="274"/>
      <c r="E134" s="55"/>
      <c r="F134" s="54"/>
      <c r="H134" s="274"/>
      <c r="I134" s="274"/>
      <c r="J134" s="55"/>
      <c r="K134" s="56"/>
    </row>
    <row r="135" spans="1:11" ht="14.25" customHeight="1" x14ac:dyDescent="0.2">
      <c r="A135" s="1"/>
      <c r="B135" s="1"/>
      <c r="C135" s="57" t="s">
        <v>110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71" t="s">
        <v>5</v>
      </c>
      <c r="D143" s="271"/>
      <c r="E143" s="273">
        <f>C10</f>
        <v>0</v>
      </c>
      <c r="F143" s="273"/>
    </row>
    <row r="144" spans="1:11" ht="19" x14ac:dyDescent="0.25">
      <c r="A144" s="1"/>
      <c r="B144" s="1"/>
      <c r="C144" s="271" t="s">
        <v>120</v>
      </c>
      <c r="D144" s="271"/>
      <c r="E144" s="273">
        <f>cot_Valor</f>
        <v>0</v>
      </c>
      <c r="F144" s="273"/>
    </row>
    <row r="145" spans="1:6" ht="19" x14ac:dyDescent="0.25">
      <c r="A145" s="1"/>
      <c r="B145" s="1"/>
      <c r="C145" s="271" t="s">
        <v>14</v>
      </c>
      <c r="D145" s="271"/>
      <c r="E145" s="273">
        <f>cot_Abono</f>
        <v>0</v>
      </c>
      <c r="F145" s="273"/>
    </row>
    <row r="146" spans="1:6" ht="19" x14ac:dyDescent="0.25">
      <c r="A146" s="1"/>
      <c r="B146" s="1"/>
      <c r="C146" s="271" t="s">
        <v>15</v>
      </c>
      <c r="D146" s="271"/>
      <c r="E146" s="272">
        <f>cot_Plazo</f>
        <v>0</v>
      </c>
      <c r="F146" s="272"/>
    </row>
    <row r="147" spans="1:6" ht="19" x14ac:dyDescent="0.25">
      <c r="A147" s="1"/>
      <c r="B147" s="1"/>
      <c r="C147" s="271" t="s">
        <v>121</v>
      </c>
      <c r="D147" s="271"/>
      <c r="E147" s="273">
        <f>cot_TotalLetra</f>
        <v>0</v>
      </c>
      <c r="F147" s="273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122</v>
      </c>
      <c r="B1" s="5" t="s">
        <v>25</v>
      </c>
      <c r="C1" s="5" t="s">
        <v>123</v>
      </c>
      <c r="E1" s="5" t="s">
        <v>124</v>
      </c>
      <c r="H1" s="5" t="s">
        <v>125</v>
      </c>
      <c r="J1" s="5" t="s">
        <v>58</v>
      </c>
      <c r="K1" s="5" t="s">
        <v>126</v>
      </c>
      <c r="L1" s="5" t="s">
        <v>99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127</v>
      </c>
      <c r="U1" s="5" t="s">
        <v>128</v>
      </c>
      <c r="V1" s="5" t="s">
        <v>129</v>
      </c>
      <c r="W1" s="5" t="s">
        <v>130</v>
      </c>
      <c r="Y1" s="5">
        <v>1</v>
      </c>
      <c r="Z1" s="5" t="s">
        <v>131</v>
      </c>
      <c r="AA1" s="5">
        <v>1</v>
      </c>
      <c r="AC1" s="67" t="s">
        <v>132</v>
      </c>
      <c r="AD1" s="67" t="s">
        <v>133</v>
      </c>
      <c r="AE1" s="5" t="s">
        <v>134</v>
      </c>
      <c r="AF1" s="5" t="s">
        <v>135</v>
      </c>
      <c r="AG1" s="5" t="s">
        <v>133</v>
      </c>
      <c r="AH1" s="5" t="s">
        <v>136</v>
      </c>
      <c r="AI1" s="5" t="s">
        <v>137</v>
      </c>
      <c r="AL1" s="5" t="s">
        <v>138</v>
      </c>
    </row>
    <row r="2" spans="1:38" ht="14.25" customHeight="1" x14ac:dyDescent="0.2">
      <c r="A2" s="5" t="s">
        <v>139</v>
      </c>
      <c r="B2" s="5" t="s">
        <v>58</v>
      </c>
      <c r="C2" s="68" t="s">
        <v>140</v>
      </c>
      <c r="D2" s="69" t="s">
        <v>620</v>
      </c>
      <c r="E2" s="5" t="s">
        <v>141</v>
      </c>
      <c r="F2" s="70">
        <v>1.07</v>
      </c>
      <c r="H2" s="5" t="s">
        <v>142</v>
      </c>
      <c r="J2" s="5" t="s">
        <v>143</v>
      </c>
      <c r="K2" s="5" t="s">
        <v>144</v>
      </c>
      <c r="L2" s="5" t="s">
        <v>100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145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146</v>
      </c>
      <c r="AH2" s="5" t="s">
        <v>147</v>
      </c>
      <c r="AI2" s="72">
        <v>0.75</v>
      </c>
      <c r="AL2" s="5" t="s">
        <v>148</v>
      </c>
    </row>
    <row r="3" spans="1:38" ht="14.25" customHeight="1" x14ac:dyDescent="0.2">
      <c r="A3" s="5" t="s">
        <v>149</v>
      </c>
      <c r="B3" s="5" t="s">
        <v>150</v>
      </c>
      <c r="C3" s="68" t="s">
        <v>151</v>
      </c>
      <c r="D3" s="69" t="s">
        <v>621</v>
      </c>
      <c r="E3" s="5" t="s">
        <v>152</v>
      </c>
      <c r="F3" s="73">
        <v>0.26</v>
      </c>
      <c r="H3" s="5" t="s">
        <v>153</v>
      </c>
      <c r="K3" s="5" t="s">
        <v>154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155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156</v>
      </c>
      <c r="AH3" s="5" t="s">
        <v>147</v>
      </c>
      <c r="AI3" s="72">
        <v>0.75</v>
      </c>
    </row>
    <row r="4" spans="1:38" ht="14.25" customHeight="1" x14ac:dyDescent="0.2">
      <c r="B4" s="5" t="s">
        <v>157</v>
      </c>
      <c r="C4" s="68" t="s">
        <v>158</v>
      </c>
      <c r="D4" s="74">
        <v>2024</v>
      </c>
      <c r="E4" s="5" t="s">
        <v>159</v>
      </c>
      <c r="F4" s="35">
        <v>6.5420500000000006E-2</v>
      </c>
      <c r="H4" s="5" t="s">
        <v>160</v>
      </c>
      <c r="K4" s="5" t="s">
        <v>161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162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156</v>
      </c>
      <c r="AH4" s="5" t="s">
        <v>147</v>
      </c>
      <c r="AI4" s="72">
        <v>2</v>
      </c>
    </row>
    <row r="5" spans="1:38" ht="14.25" customHeight="1" x14ac:dyDescent="0.2">
      <c r="C5" s="68" t="s">
        <v>163</v>
      </c>
      <c r="D5" s="75">
        <v>14995</v>
      </c>
      <c r="H5" s="5" t="s">
        <v>164</v>
      </c>
      <c r="K5" s="5" t="s">
        <v>165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166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146</v>
      </c>
      <c r="AH5" s="5" t="s">
        <v>167</v>
      </c>
      <c r="AI5" s="72">
        <v>0</v>
      </c>
    </row>
    <row r="6" spans="1:38" ht="14.25" customHeight="1" x14ac:dyDescent="0.2">
      <c r="A6" s="76" t="s">
        <v>168</v>
      </c>
      <c r="B6">
        <v>12</v>
      </c>
      <c r="C6" s="68" t="s">
        <v>169</v>
      </c>
      <c r="D6" s="75">
        <v>27.271271458333327</v>
      </c>
      <c r="H6" s="5" t="s">
        <v>170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171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156</v>
      </c>
      <c r="AH6" s="5" t="s">
        <v>167</v>
      </c>
      <c r="AI6" s="72">
        <v>0</v>
      </c>
    </row>
    <row r="7" spans="1:38" ht="14.25" customHeight="1" x14ac:dyDescent="0.2">
      <c r="A7" s="76" t="s">
        <v>172</v>
      </c>
      <c r="B7">
        <f>ROUND(auxSegAnual/12,2)</f>
        <v>27.27</v>
      </c>
      <c r="C7" s="68" t="s">
        <v>173</v>
      </c>
      <c r="D7" s="75">
        <v>327.25525749999991</v>
      </c>
      <c r="E7" s="5" t="s">
        <v>174</v>
      </c>
      <c r="F7" s="72" t="e">
        <f>ROUND(('COTIZADOR PREST. AUTO'!E19/'COTIZADOR PREST. AUTO'!C14)*100,2)</f>
        <v>#DIV/0!</v>
      </c>
      <c r="H7" s="5" t="s">
        <v>175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176</v>
      </c>
      <c r="AA7" s="5">
        <v>7</v>
      </c>
      <c r="AC7" s="67"/>
      <c r="AD7" s="67"/>
    </row>
    <row r="8" spans="1:38" ht="14.25" customHeight="1" x14ac:dyDescent="0.2">
      <c r="C8" s="68" t="s">
        <v>177</v>
      </c>
      <c r="D8" s="77" t="s">
        <v>622</v>
      </c>
      <c r="E8" s="5" t="s">
        <v>178</v>
      </c>
      <c r="F8" s="78">
        <f>IF(AND(cot_cartera="INDEPENDIENTE",'MOV. BANCARIOS'!U13="TOMAR VALOR"),'COTIZADOR PREST. AUTO'!E78,cot_salarioBase)</f>
        <v>0</v>
      </c>
      <c r="H8" s="5" t="s">
        <v>179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180</v>
      </c>
      <c r="AA8" s="5">
        <v>8</v>
      </c>
      <c r="AC8" s="67"/>
      <c r="AD8" s="67"/>
    </row>
    <row r="9" spans="1:38" ht="14.25" customHeight="1" x14ac:dyDescent="0.2">
      <c r="A9" s="68" t="s">
        <v>181</v>
      </c>
      <c r="B9" s="77" t="s">
        <v>623</v>
      </c>
      <c r="H9" s="5" t="s">
        <v>182</v>
      </c>
      <c r="Q9" s="25">
        <v>0.18</v>
      </c>
      <c r="Y9" s="5">
        <v>9</v>
      </c>
      <c r="Z9" s="5" t="s">
        <v>183</v>
      </c>
      <c r="AA9" s="5">
        <v>9</v>
      </c>
      <c r="AC9" s="67"/>
      <c r="AD9" s="67"/>
    </row>
    <row r="10" spans="1:38" ht="14.25" customHeight="1" x14ac:dyDescent="0.2">
      <c r="A10" s="68" t="s">
        <v>184</v>
      </c>
      <c r="B10" s="77" t="s">
        <v>624</v>
      </c>
      <c r="H10" s="5" t="s">
        <v>185</v>
      </c>
      <c r="Q10" s="25">
        <v>0.19</v>
      </c>
      <c r="Y10" s="5">
        <v>10</v>
      </c>
      <c r="Z10" s="5" t="s">
        <v>186</v>
      </c>
      <c r="AA10" s="5">
        <v>10</v>
      </c>
      <c r="AC10" s="67"/>
      <c r="AD10" s="67"/>
    </row>
    <row r="11" spans="1:38" ht="14.25" customHeight="1" x14ac:dyDescent="0.2">
      <c r="C11" s="79" t="s">
        <v>187</v>
      </c>
      <c r="D11" s="80">
        <v>1</v>
      </c>
      <c r="E11" s="5" t="s">
        <v>55</v>
      </c>
      <c r="F11" s="5" t="str">
        <f>UPPER(E11)</f>
        <v>1 - PAGO VOLUNTARIO</v>
      </c>
      <c r="H11" s="5" t="s">
        <v>188</v>
      </c>
      <c r="Q11" s="25">
        <v>0.2</v>
      </c>
      <c r="Y11" s="5">
        <v>11</v>
      </c>
      <c r="Z11" s="5" t="s">
        <v>189</v>
      </c>
      <c r="AA11" s="5">
        <v>11</v>
      </c>
      <c r="AC11" s="67"/>
      <c r="AD11" s="67"/>
    </row>
    <row r="12" spans="1:38" ht="14.25" customHeight="1" x14ac:dyDescent="0.2">
      <c r="C12" s="35" t="s">
        <v>190</v>
      </c>
      <c r="D12" s="81">
        <v>2</v>
      </c>
      <c r="E12" s="5" t="s">
        <v>191</v>
      </c>
      <c r="F12" s="5" t="str">
        <f>UPPER(E12)</f>
        <v>2 - ACH</v>
      </c>
      <c r="H12" s="5" t="s">
        <v>192</v>
      </c>
      <c r="Q12" s="25">
        <v>0.21</v>
      </c>
      <c r="Y12" s="5">
        <v>12</v>
      </c>
      <c r="Z12" s="5" t="s">
        <v>193</v>
      </c>
      <c r="AA12" s="5">
        <v>12</v>
      </c>
      <c r="AC12" s="67"/>
      <c r="AD12" s="67"/>
    </row>
    <row r="13" spans="1:38" ht="14.25" customHeight="1" x14ac:dyDescent="0.2">
      <c r="C13" s="35" t="s">
        <v>194</v>
      </c>
      <c r="D13" s="81">
        <v>3</v>
      </c>
      <c r="E13" s="5" t="s">
        <v>195</v>
      </c>
      <c r="F13" s="5" t="str">
        <f>UPPER(E13)</f>
        <v>3 - DESC. DIRECTO</v>
      </c>
      <c r="H13" s="5" t="s">
        <v>196</v>
      </c>
      <c r="Q13" s="25">
        <v>0.22</v>
      </c>
      <c r="AC13" s="67"/>
      <c r="AD13" s="67"/>
    </row>
    <row r="14" spans="1:38" ht="14.25" customHeight="1" x14ac:dyDescent="0.2">
      <c r="H14" s="5" t="s">
        <v>197</v>
      </c>
      <c r="Q14" s="25">
        <v>0.23</v>
      </c>
      <c r="AC14" s="67"/>
      <c r="AD14" s="67"/>
    </row>
    <row r="15" spans="1:38" ht="14.25" customHeight="1" x14ac:dyDescent="0.2">
      <c r="H15" s="5" t="s">
        <v>198</v>
      </c>
      <c r="AC15" s="67"/>
      <c r="AD15" s="67"/>
    </row>
    <row r="16" spans="1:38" ht="14.25" customHeight="1" x14ac:dyDescent="0.2">
      <c r="A16" s="82" t="s">
        <v>199</v>
      </c>
      <c r="B16" s="83" t="s">
        <v>139</v>
      </c>
      <c r="C16" s="5" t="s">
        <v>200</v>
      </c>
      <c r="D16" s="5" t="s">
        <v>201</v>
      </c>
      <c r="H16" s="5" t="s">
        <v>202</v>
      </c>
      <c r="AC16" s="67"/>
      <c r="AD16" s="67"/>
    </row>
    <row r="17" spans="1:30" ht="14.25" customHeight="1" x14ac:dyDescent="0.2">
      <c r="A17" s="84" t="s">
        <v>203</v>
      </c>
      <c r="B17" s="85" t="s">
        <v>204</v>
      </c>
      <c r="C17" s="86" t="s">
        <v>205</v>
      </c>
      <c r="D17" s="87" t="s">
        <v>206</v>
      </c>
      <c r="H17" s="5" t="s">
        <v>207</v>
      </c>
      <c r="AC17" s="67"/>
      <c r="AD17" s="67"/>
    </row>
    <row r="18" spans="1:30" ht="14.25" customHeight="1" x14ac:dyDescent="0.2">
      <c r="A18" s="88" t="s">
        <v>208</v>
      </c>
      <c r="B18" s="89" t="s">
        <v>209</v>
      </c>
      <c r="D18" s="90" t="s">
        <v>210</v>
      </c>
      <c r="H18" s="5" t="s">
        <v>211</v>
      </c>
      <c r="AC18" s="67"/>
      <c r="AD18" s="67"/>
    </row>
    <row r="19" spans="1:30" ht="14.25" customHeight="1" x14ac:dyDescent="0.2">
      <c r="A19" s="91" t="s">
        <v>212</v>
      </c>
      <c r="B19" s="89" t="s">
        <v>213</v>
      </c>
      <c r="C19" s="92" t="s">
        <v>214</v>
      </c>
      <c r="D19" s="90" t="s">
        <v>215</v>
      </c>
      <c r="H19" s="5" t="s">
        <v>216</v>
      </c>
      <c r="AC19" s="67"/>
      <c r="AD19" s="67"/>
    </row>
    <row r="20" spans="1:30" ht="14.25" customHeight="1" x14ac:dyDescent="0.2">
      <c r="A20" s="91" t="s">
        <v>217</v>
      </c>
      <c r="B20" s="89" t="s">
        <v>218</v>
      </c>
      <c r="C20" s="92" t="s">
        <v>219</v>
      </c>
      <c r="D20" s="90" t="s">
        <v>220</v>
      </c>
      <c r="H20" s="5" t="s">
        <v>221</v>
      </c>
      <c r="AC20" s="67"/>
      <c r="AD20" s="67"/>
    </row>
    <row r="21" spans="1:30" ht="14.25" customHeight="1" x14ac:dyDescent="0.2">
      <c r="A21" s="88" t="s">
        <v>222</v>
      </c>
      <c r="B21" s="89" t="s">
        <v>223</v>
      </c>
      <c r="D21" s="90" t="s">
        <v>224</v>
      </c>
      <c r="H21" s="5" t="s">
        <v>225</v>
      </c>
      <c r="AC21" s="67"/>
      <c r="AD21" s="67"/>
    </row>
    <row r="22" spans="1:30" ht="14.25" customHeight="1" x14ac:dyDescent="0.2">
      <c r="A22" s="91" t="s">
        <v>226</v>
      </c>
      <c r="B22" s="89" t="s">
        <v>227</v>
      </c>
      <c r="D22" s="90" t="s">
        <v>228</v>
      </c>
      <c r="H22" s="5" t="s">
        <v>229</v>
      </c>
      <c r="AC22" s="67"/>
      <c r="AD22" s="67"/>
    </row>
    <row r="23" spans="1:30" ht="14.25" customHeight="1" x14ac:dyDescent="0.2">
      <c r="A23" s="88" t="s">
        <v>230</v>
      </c>
      <c r="B23" s="89" t="s">
        <v>231</v>
      </c>
      <c r="C23" s="92" t="s">
        <v>232</v>
      </c>
      <c r="D23" s="90" t="s">
        <v>233</v>
      </c>
      <c r="H23" s="5" t="s">
        <v>234</v>
      </c>
      <c r="AC23" s="67"/>
      <c r="AD23" s="67"/>
    </row>
    <row r="24" spans="1:30" ht="14.25" customHeight="1" x14ac:dyDescent="0.2">
      <c r="A24" s="91" t="s">
        <v>235</v>
      </c>
      <c r="B24" s="89" t="s">
        <v>236</v>
      </c>
      <c r="D24" s="90" t="s">
        <v>237</v>
      </c>
      <c r="H24" s="5" t="s">
        <v>238</v>
      </c>
      <c r="AC24" s="67"/>
      <c r="AD24" s="67"/>
    </row>
    <row r="25" spans="1:30" ht="14.25" customHeight="1" x14ac:dyDescent="0.2">
      <c r="A25" s="88" t="s">
        <v>239</v>
      </c>
      <c r="B25" s="89" t="s">
        <v>240</v>
      </c>
      <c r="C25" s="92" t="s">
        <v>241</v>
      </c>
      <c r="D25" s="90" t="s">
        <v>242</v>
      </c>
      <c r="H25" s="5" t="s">
        <v>243</v>
      </c>
      <c r="AC25" s="67"/>
      <c r="AD25" s="67"/>
    </row>
    <row r="26" spans="1:30" ht="14.25" customHeight="1" x14ac:dyDescent="0.2">
      <c r="A26" s="91" t="s">
        <v>244</v>
      </c>
      <c r="B26" s="89" t="s">
        <v>245</v>
      </c>
      <c r="C26" s="92" t="s">
        <v>246</v>
      </c>
      <c r="D26" s="90" t="s">
        <v>247</v>
      </c>
      <c r="H26" s="5" t="s">
        <v>248</v>
      </c>
      <c r="AC26" s="67"/>
      <c r="AD26" s="67"/>
    </row>
    <row r="27" spans="1:30" ht="14.25" customHeight="1" x14ac:dyDescent="0.2">
      <c r="A27" s="93" t="s">
        <v>249</v>
      </c>
      <c r="B27" s="94" t="s">
        <v>250</v>
      </c>
      <c r="C27" s="76" t="s">
        <v>246</v>
      </c>
      <c r="D27" s="95" t="s">
        <v>251</v>
      </c>
      <c r="H27" s="5" t="s">
        <v>252</v>
      </c>
      <c r="AC27" s="67"/>
      <c r="AD27" s="67"/>
    </row>
    <row r="28" spans="1:30" ht="14.25" customHeight="1" x14ac:dyDescent="0.2">
      <c r="A28" s="88" t="s">
        <v>253</v>
      </c>
      <c r="B28" s="89" t="s">
        <v>254</v>
      </c>
      <c r="C28" s="92" t="s">
        <v>255</v>
      </c>
      <c r="D28" s="90" t="s">
        <v>256</v>
      </c>
      <c r="H28" s="5" t="s">
        <v>257</v>
      </c>
      <c r="AC28" s="67"/>
      <c r="AD28" s="67"/>
    </row>
    <row r="29" spans="1:30" ht="14.25" customHeight="1" x14ac:dyDescent="0.2">
      <c r="A29" s="96" t="s">
        <v>258</v>
      </c>
      <c r="B29" s="89" t="s">
        <v>259</v>
      </c>
      <c r="C29" s="92" t="s">
        <v>260</v>
      </c>
      <c r="D29" s="90" t="s">
        <v>261</v>
      </c>
      <c r="H29" s="5" t="s">
        <v>262</v>
      </c>
      <c r="AC29" s="67"/>
      <c r="AD29" s="67"/>
    </row>
    <row r="30" spans="1:30" ht="14.25" customHeight="1" x14ac:dyDescent="0.2">
      <c r="A30" s="97" t="s">
        <v>263</v>
      </c>
      <c r="B30" s="89" t="s">
        <v>264</v>
      </c>
      <c r="C30" s="92" t="s">
        <v>265</v>
      </c>
      <c r="D30" s="90" t="s">
        <v>266</v>
      </c>
      <c r="H30" s="5" t="s">
        <v>267</v>
      </c>
      <c r="AC30" s="67"/>
      <c r="AD30" s="67"/>
    </row>
    <row r="31" spans="1:30" ht="14.25" customHeight="1" x14ac:dyDescent="0.2">
      <c r="A31" s="91" t="s">
        <v>268</v>
      </c>
      <c r="B31" s="89" t="s">
        <v>269</v>
      </c>
      <c r="C31" s="92"/>
      <c r="D31" s="95" t="s">
        <v>270</v>
      </c>
      <c r="H31" s="5" t="s">
        <v>271</v>
      </c>
      <c r="AC31" s="67"/>
      <c r="AD31" s="67"/>
    </row>
    <row r="32" spans="1:30" ht="14.25" customHeight="1" x14ac:dyDescent="0.2">
      <c r="A32" s="91" t="s">
        <v>2</v>
      </c>
      <c r="B32" s="89" t="s">
        <v>272</v>
      </c>
      <c r="C32" s="92" t="s">
        <v>273</v>
      </c>
      <c r="D32" s="90" t="s">
        <v>274</v>
      </c>
      <c r="H32" s="5" t="s">
        <v>275</v>
      </c>
      <c r="AC32" s="67"/>
      <c r="AD32" s="67"/>
    </row>
    <row r="33" spans="1:30" ht="14.25" customHeight="1" x14ac:dyDescent="0.2">
      <c r="A33" s="88" t="s">
        <v>276</v>
      </c>
      <c r="B33" s="89" t="s">
        <v>277</v>
      </c>
      <c r="C33" s="92" t="s">
        <v>278</v>
      </c>
      <c r="D33" s="90" t="s">
        <v>279</v>
      </c>
      <c r="H33" s="5" t="s">
        <v>280</v>
      </c>
      <c r="AC33" s="67"/>
      <c r="AD33" s="67"/>
    </row>
    <row r="34" spans="1:30" ht="14.25" customHeight="1" x14ac:dyDescent="0.2">
      <c r="A34" s="88" t="s">
        <v>281</v>
      </c>
      <c r="B34" s="89" t="s">
        <v>282</v>
      </c>
      <c r="C34" s="98">
        <v>66728606</v>
      </c>
      <c r="D34" s="95" t="s">
        <v>283</v>
      </c>
      <c r="H34" s="5" t="s">
        <v>284</v>
      </c>
      <c r="AC34" s="67"/>
      <c r="AD34" s="67"/>
    </row>
    <row r="35" spans="1:30" ht="14.25" customHeight="1" x14ac:dyDescent="0.2">
      <c r="A35" s="99" t="s">
        <v>285</v>
      </c>
      <c r="B35" s="100" t="s">
        <v>286</v>
      </c>
      <c r="C35" s="98" t="s">
        <v>287</v>
      </c>
      <c r="D35" s="95" t="s">
        <v>288</v>
      </c>
      <c r="H35" s="5" t="s">
        <v>289</v>
      </c>
      <c r="AC35" s="67"/>
      <c r="AD35" s="67"/>
    </row>
    <row r="36" spans="1:30" ht="14.25" customHeight="1" x14ac:dyDescent="0.2">
      <c r="A36" s="91" t="s">
        <v>290</v>
      </c>
      <c r="B36" s="89" t="s">
        <v>291</v>
      </c>
      <c r="C36" s="92" t="s">
        <v>292</v>
      </c>
      <c r="D36" s="95" t="s">
        <v>293</v>
      </c>
      <c r="H36" s="5" t="s">
        <v>294</v>
      </c>
      <c r="AC36" s="67"/>
      <c r="AD36" s="67"/>
    </row>
    <row r="37" spans="1:30" ht="14.25" customHeight="1" x14ac:dyDescent="0.2">
      <c r="A37" s="91" t="s">
        <v>295</v>
      </c>
      <c r="B37" s="89" t="s">
        <v>296</v>
      </c>
      <c r="C37" s="92" t="s">
        <v>297</v>
      </c>
      <c r="D37" s="95" t="s">
        <v>298</v>
      </c>
      <c r="H37" s="5" t="s">
        <v>299</v>
      </c>
      <c r="AC37" s="67"/>
      <c r="AD37" s="67"/>
    </row>
    <row r="38" spans="1:30" ht="14.25" customHeight="1" x14ac:dyDescent="0.2">
      <c r="A38" s="91" t="s">
        <v>300</v>
      </c>
      <c r="B38" s="89" t="s">
        <v>301</v>
      </c>
      <c r="C38" s="92" t="s">
        <v>302</v>
      </c>
      <c r="D38" s="90" t="s">
        <v>303</v>
      </c>
      <c r="H38" s="5" t="s">
        <v>304</v>
      </c>
      <c r="AC38" s="67"/>
      <c r="AD38" s="67"/>
    </row>
    <row r="39" spans="1:30" ht="14.25" customHeight="1" x14ac:dyDescent="0.2">
      <c r="A39" s="97" t="s">
        <v>305</v>
      </c>
      <c r="B39" s="89" t="s">
        <v>306</v>
      </c>
      <c r="C39" s="92" t="s">
        <v>307</v>
      </c>
      <c r="D39" s="90" t="s">
        <v>308</v>
      </c>
      <c r="H39" s="5" t="s">
        <v>309</v>
      </c>
      <c r="AC39" s="67"/>
      <c r="AD39" s="67"/>
    </row>
    <row r="40" spans="1:30" ht="14.25" customHeight="1" x14ac:dyDescent="0.2">
      <c r="A40" s="91" t="s">
        <v>310</v>
      </c>
      <c r="B40" s="89" t="s">
        <v>311</v>
      </c>
      <c r="C40" s="92" t="s">
        <v>312</v>
      </c>
      <c r="D40" s="90" t="s">
        <v>313</v>
      </c>
      <c r="H40" s="5" t="s">
        <v>314</v>
      </c>
      <c r="AC40" s="67"/>
      <c r="AD40" s="67"/>
    </row>
    <row r="41" spans="1:30" ht="14.25" customHeight="1" x14ac:dyDescent="0.2">
      <c r="A41" s="88" t="s">
        <v>315</v>
      </c>
      <c r="B41" s="89" t="s">
        <v>316</v>
      </c>
      <c r="C41" s="92"/>
      <c r="D41" s="90" t="s">
        <v>317</v>
      </c>
      <c r="H41" s="5" t="s">
        <v>318</v>
      </c>
      <c r="AC41" s="67"/>
      <c r="AD41" s="67"/>
    </row>
    <row r="42" spans="1:30" ht="14.25" customHeight="1" x14ac:dyDescent="0.2">
      <c r="A42" s="96" t="s">
        <v>319</v>
      </c>
      <c r="B42" s="101" t="s">
        <v>320</v>
      </c>
      <c r="C42" s="92" t="s">
        <v>321</v>
      </c>
      <c r="D42" s="90" t="s">
        <v>322</v>
      </c>
      <c r="H42" s="5" t="s">
        <v>323</v>
      </c>
      <c r="AC42" s="67"/>
      <c r="AD42" s="67"/>
    </row>
    <row r="43" spans="1:30" ht="14.25" customHeight="1" x14ac:dyDescent="0.2">
      <c r="A43" s="97" t="s">
        <v>324</v>
      </c>
      <c r="B43" s="102" t="s">
        <v>325</v>
      </c>
      <c r="C43" s="92" t="s">
        <v>326</v>
      </c>
      <c r="D43" s="90" t="s">
        <v>327</v>
      </c>
      <c r="H43" s="5" t="s">
        <v>328</v>
      </c>
      <c r="AC43" s="67"/>
      <c r="AD43" s="67"/>
    </row>
    <row r="44" spans="1:30" ht="14.25" customHeight="1" x14ac:dyDescent="0.2">
      <c r="A44" s="96" t="s">
        <v>329</v>
      </c>
      <c r="B44" s="101" t="s">
        <v>330</v>
      </c>
      <c r="C44" s="92" t="s">
        <v>331</v>
      </c>
      <c r="D44" s="5" t="s">
        <v>332</v>
      </c>
      <c r="H44" s="5" t="s">
        <v>333</v>
      </c>
      <c r="AC44" s="67"/>
      <c r="AD44" s="67"/>
    </row>
    <row r="45" spans="1:30" ht="14.25" customHeight="1" x14ac:dyDescent="0.2">
      <c r="A45" s="88" t="s">
        <v>334</v>
      </c>
      <c r="B45" s="101" t="s">
        <v>335</v>
      </c>
      <c r="C45" s="92" t="s">
        <v>336</v>
      </c>
      <c r="D45" s="90" t="s">
        <v>337</v>
      </c>
      <c r="H45" s="5" t="s">
        <v>338</v>
      </c>
      <c r="AC45" s="67"/>
      <c r="AD45" s="67"/>
    </row>
    <row r="46" spans="1:30" ht="14.25" customHeight="1" x14ac:dyDescent="0.2">
      <c r="A46" s="103" t="s">
        <v>339</v>
      </c>
      <c r="B46" s="104" t="s">
        <v>340</v>
      </c>
      <c r="C46" s="92" t="s">
        <v>341</v>
      </c>
      <c r="D46" s="95" t="s">
        <v>342</v>
      </c>
      <c r="H46" s="5" t="s">
        <v>343</v>
      </c>
      <c r="AC46" s="67"/>
      <c r="AD46" s="67"/>
    </row>
    <row r="47" spans="1:30" ht="14.25" customHeight="1" x14ac:dyDescent="0.2">
      <c r="A47" s="105" t="s">
        <v>344</v>
      </c>
      <c r="B47" s="106" t="s">
        <v>345</v>
      </c>
      <c r="C47" s="92" t="s">
        <v>346</v>
      </c>
      <c r="D47" s="90" t="s">
        <v>347</v>
      </c>
      <c r="H47" s="5" t="s">
        <v>348</v>
      </c>
      <c r="AC47" s="67"/>
      <c r="AD47" s="67"/>
    </row>
    <row r="48" spans="1:30" ht="14.25" customHeight="1" x14ac:dyDescent="0.2">
      <c r="A48" s="107" t="s">
        <v>349</v>
      </c>
      <c r="B48" t="s">
        <v>350</v>
      </c>
      <c r="C48" s="92" t="s">
        <v>351</v>
      </c>
      <c r="D48" s="90" t="s">
        <v>352</v>
      </c>
      <c r="H48" s="5" t="s">
        <v>353</v>
      </c>
      <c r="AC48" s="67"/>
      <c r="AD48" s="67"/>
    </row>
    <row r="49" spans="1:30" ht="14.25" customHeight="1" x14ac:dyDescent="0.2">
      <c r="A49" s="107" t="s">
        <v>354</v>
      </c>
      <c r="C49" s="92" t="s">
        <v>355</v>
      </c>
      <c r="D49" s="90" t="s">
        <v>356</v>
      </c>
      <c r="H49" s="5" t="s">
        <v>357</v>
      </c>
      <c r="AC49" s="67"/>
      <c r="AD49" s="67"/>
    </row>
    <row r="50" spans="1:30" ht="14.25" customHeight="1" x14ac:dyDescent="0.2">
      <c r="A50" s="107" t="s">
        <v>358</v>
      </c>
      <c r="C50" s="92" t="s">
        <v>287</v>
      </c>
      <c r="D50" s="90" t="s">
        <v>359</v>
      </c>
      <c r="H50" s="5" t="s">
        <v>360</v>
      </c>
      <c r="AC50" s="67"/>
      <c r="AD50" s="67"/>
    </row>
    <row r="51" spans="1:30" ht="14.25" customHeight="1" x14ac:dyDescent="0.2">
      <c r="A51" s="107" t="s">
        <v>361</v>
      </c>
      <c r="C51" s="92" t="s">
        <v>362</v>
      </c>
      <c r="D51" s="90" t="s">
        <v>363</v>
      </c>
      <c r="H51" s="5" t="s">
        <v>364</v>
      </c>
      <c r="AC51" s="67"/>
      <c r="AD51" s="67"/>
    </row>
    <row r="52" spans="1:30" ht="14.25" customHeight="1" x14ac:dyDescent="0.2">
      <c r="A52" s="107" t="s">
        <v>365</v>
      </c>
      <c r="B52" t="s">
        <v>366</v>
      </c>
      <c r="C52" s="92" t="s">
        <v>367</v>
      </c>
      <c r="D52" s="5" t="s">
        <v>368</v>
      </c>
      <c r="H52" s="5" t="s">
        <v>369</v>
      </c>
      <c r="AC52" s="67"/>
      <c r="AD52" s="67"/>
    </row>
    <row r="53" spans="1:30" ht="14.25" customHeight="1" x14ac:dyDescent="0.2">
      <c r="A53" s="108" t="s">
        <v>370</v>
      </c>
      <c r="B53" t="s">
        <v>371</v>
      </c>
      <c r="C53" s="92"/>
      <c r="D53" t="s">
        <v>372</v>
      </c>
      <c r="H53" s="5" t="s">
        <v>373</v>
      </c>
      <c r="AC53" s="67"/>
      <c r="AD53" s="67"/>
    </row>
    <row r="54" spans="1:30" ht="14.25" customHeight="1" x14ac:dyDescent="0.2">
      <c r="A54" s="108"/>
      <c r="D54" s="95"/>
      <c r="H54" s="5" t="s">
        <v>374</v>
      </c>
      <c r="AC54" s="67"/>
      <c r="AD54" s="67"/>
    </row>
    <row r="55" spans="1:30" ht="14.25" customHeight="1" x14ac:dyDescent="0.2">
      <c r="A55" s="108"/>
      <c r="D55" s="95"/>
      <c r="H55" s="5" t="s">
        <v>375</v>
      </c>
      <c r="AC55" s="67"/>
      <c r="AD55" s="67"/>
    </row>
    <row r="56" spans="1:30" ht="14.25" customHeight="1" x14ac:dyDescent="0.2">
      <c r="A56" s="108"/>
      <c r="D56" s="95"/>
      <c r="H56" s="5" t="s">
        <v>376</v>
      </c>
      <c r="AC56" s="67"/>
      <c r="AD56" s="67"/>
    </row>
    <row r="57" spans="1:30" ht="14.25" customHeight="1" x14ac:dyDescent="0.2">
      <c r="A57" s="108"/>
      <c r="D57" s="95"/>
      <c r="H57" s="5" t="s">
        <v>377</v>
      </c>
      <c r="AC57" s="67"/>
      <c r="AD57" s="67"/>
    </row>
    <row r="58" spans="1:30" ht="14.25" customHeight="1" x14ac:dyDescent="0.2">
      <c r="A58" s="108"/>
      <c r="D58" s="95"/>
      <c r="H58" s="5" t="s">
        <v>378</v>
      </c>
      <c r="AC58" s="67"/>
      <c r="AD58" s="67"/>
    </row>
    <row r="59" spans="1:30" ht="14.25" customHeight="1" x14ac:dyDescent="0.2">
      <c r="A59" s="108"/>
      <c r="D59" s="95"/>
      <c r="H59" s="5" t="s">
        <v>379</v>
      </c>
      <c r="AC59" s="67"/>
      <c r="AD59" s="67"/>
    </row>
    <row r="60" spans="1:30" ht="14.25" customHeight="1" x14ac:dyDescent="0.2">
      <c r="A60" s="108"/>
      <c r="D60" s="95"/>
      <c r="H60" s="5" t="s">
        <v>380</v>
      </c>
      <c r="AC60" s="67"/>
      <c r="AD60" s="67"/>
    </row>
    <row r="61" spans="1:30" ht="14.25" customHeight="1" x14ac:dyDescent="0.2">
      <c r="A61" s="108"/>
      <c r="D61" s="95"/>
      <c r="H61" s="5" t="s">
        <v>381</v>
      </c>
      <c r="AC61" s="67"/>
      <c r="AD61" s="67"/>
    </row>
    <row r="62" spans="1:30" ht="14.25" customHeight="1" x14ac:dyDescent="0.2">
      <c r="A62" s="108"/>
      <c r="D62" s="95"/>
      <c r="H62" s="5" t="s">
        <v>382</v>
      </c>
      <c r="AC62" s="67"/>
      <c r="AD62" s="67"/>
    </row>
    <row r="63" spans="1:30" ht="14.25" customHeight="1" x14ac:dyDescent="0.2">
      <c r="A63" s="108"/>
      <c r="D63" s="95"/>
      <c r="H63" s="5" t="s">
        <v>383</v>
      </c>
      <c r="AC63" s="67"/>
      <c r="AD63" s="67"/>
    </row>
    <row r="64" spans="1:30" ht="14.25" customHeight="1" x14ac:dyDescent="0.2">
      <c r="A64" s="108"/>
      <c r="D64" s="95"/>
      <c r="H64" s="5" t="s">
        <v>384</v>
      </c>
      <c r="AC64" s="67"/>
      <c r="AD64" s="67"/>
    </row>
    <row r="65" spans="1:30" ht="14.25" customHeight="1" x14ac:dyDescent="0.2">
      <c r="A65" s="108"/>
      <c r="D65" s="95"/>
      <c r="H65" s="5" t="s">
        <v>385</v>
      </c>
      <c r="AC65" s="67"/>
      <c r="AD65" s="67"/>
    </row>
    <row r="66" spans="1:30" ht="14.25" customHeight="1" x14ac:dyDescent="0.2">
      <c r="A66" s="108"/>
      <c r="D66" s="95"/>
      <c r="H66" s="5" t="s">
        <v>386</v>
      </c>
      <c r="AC66" s="67"/>
      <c r="AD66" s="67"/>
    </row>
    <row r="67" spans="1:30" ht="14.25" customHeight="1" x14ac:dyDescent="0.2">
      <c r="A67" s="108"/>
      <c r="D67" s="95"/>
      <c r="H67" s="5" t="s">
        <v>387</v>
      </c>
      <c r="AC67" s="67"/>
      <c r="AD67" s="67"/>
    </row>
    <row r="68" spans="1:30" ht="14.25" customHeight="1" x14ac:dyDescent="0.2">
      <c r="A68" s="108"/>
      <c r="D68" s="95"/>
      <c r="H68" s="5" t="s">
        <v>388</v>
      </c>
      <c r="AC68" s="67"/>
      <c r="AD68" s="67"/>
    </row>
    <row r="69" spans="1:30" ht="14.25" customHeight="1" x14ac:dyDescent="0.2">
      <c r="A69" s="108"/>
      <c r="D69" s="95"/>
      <c r="H69" s="5" t="s">
        <v>389</v>
      </c>
      <c r="AC69" s="67"/>
      <c r="AD69" s="67"/>
    </row>
    <row r="70" spans="1:30" ht="14.25" customHeight="1" x14ac:dyDescent="0.2">
      <c r="A70" s="108"/>
      <c r="D70" s="95"/>
      <c r="H70" s="5" t="s">
        <v>390</v>
      </c>
      <c r="AC70" s="67"/>
      <c r="AD70" s="67"/>
    </row>
    <row r="71" spans="1:30" ht="14.25" customHeight="1" x14ac:dyDescent="0.2">
      <c r="A71" s="108"/>
      <c r="D71" s="95"/>
      <c r="H71" s="5" t="s">
        <v>391</v>
      </c>
      <c r="AC71" s="67"/>
      <c r="AD71" s="67"/>
    </row>
    <row r="72" spans="1:30" ht="14.25" customHeight="1" x14ac:dyDescent="0.2">
      <c r="A72" s="108"/>
      <c r="D72" s="95"/>
      <c r="H72" s="5" t="s">
        <v>392</v>
      </c>
      <c r="AC72" s="67"/>
      <c r="AD72" s="67"/>
    </row>
    <row r="73" spans="1:30" ht="14.25" customHeight="1" x14ac:dyDescent="0.2">
      <c r="A73" s="108"/>
      <c r="D73" s="95"/>
      <c r="H73" s="5" t="s">
        <v>393</v>
      </c>
      <c r="AC73" s="67"/>
      <c r="AD73" s="67"/>
    </row>
    <row r="74" spans="1:30" ht="14.25" customHeight="1" x14ac:dyDescent="0.2">
      <c r="A74" s="108"/>
      <c r="D74" s="95"/>
      <c r="H74" s="5" t="s">
        <v>394</v>
      </c>
      <c r="AC74" s="67"/>
      <c r="AD74" s="67"/>
    </row>
    <row r="75" spans="1:30" ht="14.25" customHeight="1" x14ac:dyDescent="0.2">
      <c r="A75" s="108"/>
      <c r="D75" s="95"/>
      <c r="H75" s="5" t="s">
        <v>395</v>
      </c>
      <c r="AC75" s="67"/>
      <c r="AD75" s="67"/>
    </row>
    <row r="76" spans="1:30" ht="14.25" customHeight="1" x14ac:dyDescent="0.2">
      <c r="A76" s="108"/>
      <c r="D76" s="95"/>
      <c r="H76" s="5" t="s">
        <v>396</v>
      </c>
      <c r="AC76" s="67"/>
      <c r="AD76" s="67"/>
    </row>
    <row r="77" spans="1:30" ht="14.25" customHeight="1" x14ac:dyDescent="0.2">
      <c r="A77" s="108"/>
      <c r="D77" s="95"/>
      <c r="H77" s="5" t="s">
        <v>397</v>
      </c>
      <c r="AC77" s="67"/>
      <c r="AD77" s="67"/>
    </row>
    <row r="78" spans="1:30" ht="14.25" customHeight="1" x14ac:dyDescent="0.2">
      <c r="A78" s="108"/>
      <c r="D78" s="95"/>
      <c r="H78" s="5" t="s">
        <v>398</v>
      </c>
      <c r="AC78" s="67"/>
      <c r="AD78" s="67"/>
    </row>
    <row r="79" spans="1:30" ht="14.25" customHeight="1" x14ac:dyDescent="0.2">
      <c r="A79" s="108"/>
      <c r="D79" s="95"/>
      <c r="H79" s="5" t="s">
        <v>399</v>
      </c>
      <c r="AC79" s="67"/>
      <c r="AD79" s="67"/>
    </row>
    <row r="80" spans="1:30" ht="14.25" customHeight="1" x14ac:dyDescent="0.2">
      <c r="A80" s="108"/>
      <c r="D80" s="95"/>
      <c r="H80" s="5" t="s">
        <v>400</v>
      </c>
      <c r="AC80" s="67"/>
      <c r="AD80" s="67"/>
    </row>
    <row r="81" spans="1:30" ht="14.25" customHeight="1" x14ac:dyDescent="0.2">
      <c r="A81" s="108"/>
      <c r="D81" s="95"/>
      <c r="H81" s="5" t="s">
        <v>401</v>
      </c>
      <c r="AC81" s="67"/>
      <c r="AD81" s="67"/>
    </row>
    <row r="82" spans="1:30" ht="14.25" customHeight="1" x14ac:dyDescent="0.2">
      <c r="A82" s="108"/>
      <c r="D82" s="95"/>
      <c r="H82" s="5" t="s">
        <v>402</v>
      </c>
      <c r="AC82" s="67"/>
      <c r="AD82" s="67"/>
    </row>
    <row r="83" spans="1:30" ht="14.25" customHeight="1" x14ac:dyDescent="0.2">
      <c r="A83" s="108"/>
      <c r="D83" s="95"/>
      <c r="H83" s="5" t="s">
        <v>403</v>
      </c>
      <c r="AC83" s="67"/>
      <c r="AD83" s="67"/>
    </row>
    <row r="84" spans="1:30" ht="14.25" customHeight="1" x14ac:dyDescent="0.2">
      <c r="A84" s="108"/>
      <c r="D84" s="95"/>
      <c r="H84" s="5" t="s">
        <v>404</v>
      </c>
      <c r="AC84" s="67"/>
      <c r="AD84" s="67"/>
    </row>
    <row r="85" spans="1:30" ht="14.25" customHeight="1" x14ac:dyDescent="0.2">
      <c r="A85" s="108"/>
      <c r="D85" s="95"/>
      <c r="H85" s="5" t="s">
        <v>405</v>
      </c>
      <c r="AC85" s="67"/>
      <c r="AD85" s="67"/>
    </row>
    <row r="86" spans="1:30" ht="14.25" customHeight="1" x14ac:dyDescent="0.2">
      <c r="A86" s="108"/>
      <c r="D86" s="95"/>
      <c r="H86" s="5" t="s">
        <v>406</v>
      </c>
      <c r="AC86" s="67"/>
      <c r="AD86" s="67"/>
    </row>
    <row r="87" spans="1:30" ht="14.25" customHeight="1" x14ac:dyDescent="0.2">
      <c r="A87" s="108"/>
      <c r="D87" s="95"/>
      <c r="H87" s="5" t="s">
        <v>407</v>
      </c>
      <c r="AC87" s="67"/>
      <c r="AD87" s="67"/>
    </row>
    <row r="88" spans="1:30" ht="14.25" customHeight="1" x14ac:dyDescent="0.2">
      <c r="A88" s="108"/>
      <c r="D88" s="95"/>
      <c r="H88" s="5" t="s">
        <v>408</v>
      </c>
      <c r="AC88" s="67"/>
      <c r="AD88" s="67"/>
    </row>
    <row r="89" spans="1:30" ht="14.25" customHeight="1" x14ac:dyDescent="0.2">
      <c r="A89" s="108"/>
      <c r="D89" s="95"/>
      <c r="H89" s="5" t="s">
        <v>409</v>
      </c>
      <c r="AC89" s="67"/>
      <c r="AD89" s="67"/>
    </row>
    <row r="90" spans="1:30" ht="14.25" customHeight="1" x14ac:dyDescent="0.2">
      <c r="A90" s="108"/>
      <c r="D90" s="95"/>
      <c r="H90" s="5" t="s">
        <v>410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411</v>
      </c>
      <c r="AC91" s="67"/>
      <c r="AD91" s="67"/>
    </row>
    <row r="92" spans="1:30" ht="14.25" customHeight="1" x14ac:dyDescent="0.2">
      <c r="H92" s="5" t="s">
        <v>412</v>
      </c>
      <c r="AC92" s="67"/>
      <c r="AD92" s="67"/>
    </row>
    <row r="93" spans="1:30" ht="14.25" customHeight="1" x14ac:dyDescent="0.2">
      <c r="H93" s="5" t="s">
        <v>413</v>
      </c>
      <c r="AC93" s="67"/>
      <c r="AD93" s="67"/>
    </row>
    <row r="94" spans="1:30" ht="14.25" customHeight="1" x14ac:dyDescent="0.2">
      <c r="H94" s="5" t="s">
        <v>414</v>
      </c>
      <c r="AC94" s="67"/>
      <c r="AD94" s="67"/>
    </row>
    <row r="95" spans="1:30" ht="14.25" customHeight="1" x14ac:dyDescent="0.2">
      <c r="H95" s="5" t="s">
        <v>415</v>
      </c>
      <c r="AC95" s="67"/>
      <c r="AD95" s="67"/>
    </row>
    <row r="96" spans="1:30" ht="14.25" customHeight="1" x14ac:dyDescent="0.2">
      <c r="H96" s="5" t="s">
        <v>416</v>
      </c>
      <c r="AC96" s="67"/>
      <c r="AD96" s="67"/>
    </row>
    <row r="97" spans="8:30" ht="14.25" customHeight="1" x14ac:dyDescent="0.2">
      <c r="H97" s="5" t="s">
        <v>417</v>
      </c>
      <c r="AC97" s="67"/>
      <c r="AD97" s="67"/>
    </row>
    <row r="98" spans="8:30" ht="14.25" customHeight="1" x14ac:dyDescent="0.2">
      <c r="H98" s="5" t="s">
        <v>418</v>
      </c>
      <c r="AC98" s="67"/>
      <c r="AD98" s="67"/>
    </row>
    <row r="99" spans="8:30" ht="14.25" customHeight="1" x14ac:dyDescent="0.2">
      <c r="H99" s="5" t="s">
        <v>419</v>
      </c>
      <c r="AC99" s="67"/>
      <c r="AD99" s="67"/>
    </row>
    <row r="100" spans="8:30" ht="14.25" customHeight="1" x14ac:dyDescent="0.2">
      <c r="H100" s="5" t="s">
        <v>420</v>
      </c>
      <c r="AC100" s="67"/>
      <c r="AD100" s="67"/>
    </row>
    <row r="101" spans="8:30" ht="14.25" customHeight="1" x14ac:dyDescent="0.2">
      <c r="H101" s="5" t="s">
        <v>421</v>
      </c>
      <c r="AC101" s="67"/>
      <c r="AD101" s="67"/>
    </row>
    <row r="102" spans="8:30" ht="14.25" customHeight="1" x14ac:dyDescent="0.2">
      <c r="H102" s="5" t="s">
        <v>422</v>
      </c>
      <c r="AC102" s="67"/>
      <c r="AD102" s="67"/>
    </row>
    <row r="103" spans="8:30" ht="14.25" customHeight="1" x14ac:dyDescent="0.2">
      <c r="H103" s="5" t="s">
        <v>423</v>
      </c>
      <c r="AC103" s="67"/>
      <c r="AD103" s="67"/>
    </row>
    <row r="104" spans="8:30" ht="14.25" customHeight="1" x14ac:dyDescent="0.2">
      <c r="H104" s="5" t="s">
        <v>424</v>
      </c>
      <c r="AC104" s="67"/>
      <c r="AD104" s="67"/>
    </row>
    <row r="105" spans="8:30" ht="14.25" customHeight="1" x14ac:dyDescent="0.2">
      <c r="H105" s="5" t="s">
        <v>425</v>
      </c>
      <c r="AC105" s="67"/>
      <c r="AD105" s="67"/>
    </row>
    <row r="106" spans="8:30" ht="14.25" customHeight="1" x14ac:dyDescent="0.2">
      <c r="H106" s="5" t="s">
        <v>426</v>
      </c>
      <c r="AC106" s="67"/>
      <c r="AD106" s="67"/>
    </row>
    <row r="107" spans="8:30" ht="14.25" customHeight="1" x14ac:dyDescent="0.2">
      <c r="H107" s="5" t="s">
        <v>427</v>
      </c>
      <c r="AC107" s="67"/>
      <c r="AD107" s="67"/>
    </row>
    <row r="108" spans="8:30" ht="14.25" customHeight="1" x14ac:dyDescent="0.2">
      <c r="H108" s="5" t="s">
        <v>428</v>
      </c>
      <c r="AC108" s="67"/>
      <c r="AD108" s="67"/>
    </row>
    <row r="109" spans="8:30" ht="14.25" customHeight="1" x14ac:dyDescent="0.2">
      <c r="H109" s="5" t="s">
        <v>429</v>
      </c>
      <c r="AC109" s="67"/>
      <c r="AD109" s="67"/>
    </row>
    <row r="110" spans="8:30" ht="14.25" customHeight="1" x14ac:dyDescent="0.2">
      <c r="H110" s="5" t="s">
        <v>430</v>
      </c>
      <c r="AC110" s="67"/>
      <c r="AD110" s="67"/>
    </row>
    <row r="111" spans="8:30" ht="14.25" customHeight="1" x14ac:dyDescent="0.2">
      <c r="H111" s="5" t="s">
        <v>431</v>
      </c>
      <c r="AC111" s="67"/>
      <c r="AD111" s="67"/>
    </row>
    <row r="112" spans="8:30" ht="14.25" customHeight="1" x14ac:dyDescent="0.2">
      <c r="H112" s="5" t="s">
        <v>432</v>
      </c>
      <c r="AC112" s="67"/>
      <c r="AD112" s="67"/>
    </row>
    <row r="113" spans="8:30" ht="14.25" customHeight="1" x14ac:dyDescent="0.2">
      <c r="H113" s="5" t="s">
        <v>433</v>
      </c>
      <c r="AC113" s="67"/>
      <c r="AD113" s="67"/>
    </row>
    <row r="114" spans="8:30" ht="14.25" customHeight="1" x14ac:dyDescent="0.2">
      <c r="H114" s="5" t="s">
        <v>434</v>
      </c>
      <c r="AC114" s="67"/>
      <c r="AD114" s="67"/>
    </row>
    <row r="115" spans="8:30" ht="14.25" customHeight="1" x14ac:dyDescent="0.2">
      <c r="H115" s="5" t="s">
        <v>435</v>
      </c>
      <c r="AC115" s="67"/>
      <c r="AD115" s="67"/>
    </row>
    <row r="116" spans="8:30" ht="14.25" customHeight="1" x14ac:dyDescent="0.2">
      <c r="H116" s="5" t="s">
        <v>436</v>
      </c>
      <c r="AC116" s="67"/>
      <c r="AD116" s="67"/>
    </row>
    <row r="117" spans="8:30" ht="14.25" customHeight="1" x14ac:dyDescent="0.2">
      <c r="H117" s="5" t="s">
        <v>437</v>
      </c>
      <c r="AC117" s="67"/>
      <c r="AD117" s="67"/>
    </row>
    <row r="118" spans="8:30" ht="14.25" customHeight="1" x14ac:dyDescent="0.2">
      <c r="H118" s="5" t="s">
        <v>438</v>
      </c>
      <c r="AC118" s="67"/>
      <c r="AD118" s="67"/>
    </row>
    <row r="119" spans="8:30" ht="14.25" customHeight="1" x14ac:dyDescent="0.2">
      <c r="H119" s="5" t="s">
        <v>439</v>
      </c>
      <c r="AC119" s="67"/>
      <c r="AD119" s="67"/>
    </row>
    <row r="120" spans="8:30" ht="14.25" customHeight="1" x14ac:dyDescent="0.2">
      <c r="H120" s="5" t="s">
        <v>440</v>
      </c>
      <c r="AC120" s="67"/>
      <c r="AD120" s="67"/>
    </row>
    <row r="121" spans="8:30" ht="14.25" customHeight="1" x14ac:dyDescent="0.2">
      <c r="H121" s="5" t="s">
        <v>441</v>
      </c>
      <c r="AC121" s="67"/>
      <c r="AD121" s="67"/>
    </row>
    <row r="122" spans="8:30" ht="14.25" customHeight="1" x14ac:dyDescent="0.2">
      <c r="H122" s="5" t="s">
        <v>442</v>
      </c>
      <c r="AC122" s="67"/>
      <c r="AD122" s="67"/>
    </row>
    <row r="123" spans="8:30" ht="14.25" customHeight="1" x14ac:dyDescent="0.2">
      <c r="H123" s="5" t="s">
        <v>443</v>
      </c>
      <c r="AC123" s="67"/>
      <c r="AD123" s="67"/>
    </row>
    <row r="124" spans="8:30" ht="14.25" customHeight="1" x14ac:dyDescent="0.2">
      <c r="H124" s="5" t="s">
        <v>444</v>
      </c>
      <c r="AC124" s="67"/>
      <c r="AD124" s="67"/>
    </row>
    <row r="125" spans="8:30" ht="14.25" customHeight="1" x14ac:dyDescent="0.2">
      <c r="H125" s="5" t="s">
        <v>445</v>
      </c>
      <c r="AC125" s="67"/>
      <c r="AD125" s="67"/>
    </row>
    <row r="126" spans="8:30" ht="14.25" customHeight="1" x14ac:dyDescent="0.2">
      <c r="H126" s="5" t="s">
        <v>446</v>
      </c>
      <c r="AC126" s="67"/>
      <c r="AD126" s="67"/>
    </row>
    <row r="127" spans="8:30" ht="14.25" customHeight="1" x14ac:dyDescent="0.2">
      <c r="H127" s="5" t="s">
        <v>447</v>
      </c>
      <c r="AC127" s="67"/>
      <c r="AD127" s="67"/>
    </row>
    <row r="128" spans="8:30" ht="14.25" customHeight="1" x14ac:dyDescent="0.2">
      <c r="H128" s="5" t="s">
        <v>448</v>
      </c>
      <c r="AC128" s="67"/>
      <c r="AD128" s="67"/>
    </row>
    <row r="129" spans="8:30" ht="14.25" customHeight="1" x14ac:dyDescent="0.2">
      <c r="H129" s="5" t="s">
        <v>449</v>
      </c>
      <c r="AC129" s="67"/>
      <c r="AD129" s="67"/>
    </row>
    <row r="130" spans="8:30" ht="14.25" customHeight="1" x14ac:dyDescent="0.2">
      <c r="H130" s="5" t="s">
        <v>450</v>
      </c>
      <c r="AC130" s="67"/>
      <c r="AD130" s="67"/>
    </row>
    <row r="131" spans="8:30" ht="14.25" customHeight="1" x14ac:dyDescent="0.2">
      <c r="H131" s="5" t="s">
        <v>451</v>
      </c>
      <c r="AC131" s="67"/>
      <c r="AD131" s="67"/>
    </row>
    <row r="132" spans="8:30" ht="14.25" customHeight="1" x14ac:dyDescent="0.2">
      <c r="H132" s="5" t="s">
        <v>452</v>
      </c>
      <c r="AC132" s="67"/>
      <c r="AD132" s="67"/>
    </row>
    <row r="133" spans="8:30" ht="14.25" customHeight="1" x14ac:dyDescent="0.2">
      <c r="H133" s="5" t="s">
        <v>453</v>
      </c>
      <c r="AC133" s="67"/>
      <c r="AD133" s="67"/>
    </row>
    <row r="134" spans="8:30" ht="14.25" customHeight="1" x14ac:dyDescent="0.2">
      <c r="H134" s="5" t="s">
        <v>454</v>
      </c>
      <c r="AC134" s="67"/>
      <c r="AD134" s="67"/>
    </row>
    <row r="135" spans="8:30" ht="14.25" customHeight="1" x14ac:dyDescent="0.2">
      <c r="H135" s="5" t="s">
        <v>455</v>
      </c>
      <c r="AC135" s="67"/>
      <c r="AD135" s="67"/>
    </row>
    <row r="136" spans="8:30" ht="14.25" customHeight="1" x14ac:dyDescent="0.2">
      <c r="H136" s="5" t="s">
        <v>456</v>
      </c>
      <c r="AC136" s="67"/>
      <c r="AD136" s="67"/>
    </row>
    <row r="137" spans="8:30" ht="14.25" customHeight="1" x14ac:dyDescent="0.2">
      <c r="H137" s="5" t="s">
        <v>457</v>
      </c>
      <c r="AC137" s="67"/>
      <c r="AD137" s="67"/>
    </row>
    <row r="138" spans="8:30" ht="14.25" customHeight="1" x14ac:dyDescent="0.2">
      <c r="H138" s="5" t="s">
        <v>458</v>
      </c>
      <c r="AC138" s="67"/>
      <c r="AD138" s="67"/>
    </row>
    <row r="139" spans="8:30" ht="14.25" customHeight="1" x14ac:dyDescent="0.2">
      <c r="H139" s="5" t="s">
        <v>459</v>
      </c>
      <c r="AC139" s="67"/>
      <c r="AD139" s="67"/>
    </row>
    <row r="140" spans="8:30" ht="14.25" customHeight="1" x14ac:dyDescent="0.2">
      <c r="H140" s="5" t="s">
        <v>460</v>
      </c>
      <c r="AC140" s="67"/>
      <c r="AD140" s="67"/>
    </row>
    <row r="141" spans="8:30" ht="14.25" customHeight="1" x14ac:dyDescent="0.2">
      <c r="H141" s="5" t="s">
        <v>461</v>
      </c>
      <c r="AC141" s="67"/>
      <c r="AD141" s="67"/>
    </row>
    <row r="142" spans="8:30" ht="14.25" customHeight="1" x14ac:dyDescent="0.2">
      <c r="H142" s="5" t="s">
        <v>462</v>
      </c>
      <c r="AC142" s="67"/>
      <c r="AD142" s="67"/>
    </row>
    <row r="143" spans="8:30" ht="14.25" customHeight="1" x14ac:dyDescent="0.2">
      <c r="H143" s="5" t="s">
        <v>463</v>
      </c>
      <c r="AC143" s="67"/>
      <c r="AD143" s="67"/>
    </row>
    <row r="144" spans="8:30" ht="14.25" customHeight="1" x14ac:dyDescent="0.2">
      <c r="H144" s="5" t="s">
        <v>464</v>
      </c>
      <c r="AC144" s="67"/>
      <c r="AD144" s="67"/>
    </row>
    <row r="145" spans="8:30" ht="14.25" customHeight="1" x14ac:dyDescent="0.2">
      <c r="H145" s="5" t="s">
        <v>465</v>
      </c>
      <c r="AC145" s="67"/>
      <c r="AD145" s="67"/>
    </row>
    <row r="146" spans="8:30" ht="14.25" customHeight="1" x14ac:dyDescent="0.2">
      <c r="H146" s="5" t="s">
        <v>466</v>
      </c>
      <c r="AC146" s="67"/>
      <c r="AD146" s="67"/>
    </row>
    <row r="147" spans="8:30" ht="14.25" customHeight="1" x14ac:dyDescent="0.2">
      <c r="H147" s="5" t="s">
        <v>467</v>
      </c>
      <c r="AC147" s="67"/>
      <c r="AD147" s="67"/>
    </row>
    <row r="148" spans="8:30" ht="14.25" customHeight="1" x14ac:dyDescent="0.2">
      <c r="H148" s="5" t="s">
        <v>468</v>
      </c>
      <c r="AC148" s="67"/>
      <c r="AD148" s="67"/>
    </row>
    <row r="149" spans="8:30" ht="14.25" customHeight="1" x14ac:dyDescent="0.2">
      <c r="H149" s="5" t="s">
        <v>469</v>
      </c>
      <c r="AC149" s="67"/>
      <c r="AD149" s="67"/>
    </row>
    <row r="150" spans="8:30" ht="14.25" customHeight="1" x14ac:dyDescent="0.2">
      <c r="H150" s="5" t="s">
        <v>470</v>
      </c>
      <c r="AC150" s="67"/>
      <c r="AD150" s="67"/>
    </row>
    <row r="151" spans="8:30" ht="14.25" customHeight="1" x14ac:dyDescent="0.2">
      <c r="H151" s="5" t="s">
        <v>471</v>
      </c>
      <c r="AC151" s="67"/>
      <c r="AD151" s="67"/>
    </row>
    <row r="152" spans="8:30" ht="14.25" customHeight="1" x14ac:dyDescent="0.2">
      <c r="H152" s="5" t="s">
        <v>472</v>
      </c>
      <c r="AC152" s="67"/>
      <c r="AD152" s="67"/>
    </row>
    <row r="153" spans="8:30" ht="14.25" customHeight="1" x14ac:dyDescent="0.2">
      <c r="H153" s="5" t="s">
        <v>473</v>
      </c>
      <c r="AC153" s="67"/>
      <c r="AD153" s="67"/>
    </row>
    <row r="154" spans="8:30" ht="14.25" customHeight="1" x14ac:dyDescent="0.2">
      <c r="H154" s="5" t="s">
        <v>474</v>
      </c>
      <c r="AC154" s="67"/>
      <c r="AD154" s="67"/>
    </row>
    <row r="155" spans="8:30" ht="14.25" customHeight="1" x14ac:dyDescent="0.2">
      <c r="H155" s="5" t="s">
        <v>475</v>
      </c>
      <c r="AC155" s="67"/>
      <c r="AD155" s="67"/>
    </row>
    <row r="156" spans="8:30" ht="14.25" customHeight="1" x14ac:dyDescent="0.2">
      <c r="H156" s="5" t="s">
        <v>476</v>
      </c>
      <c r="AC156" s="67"/>
      <c r="AD156" s="67"/>
    </row>
    <row r="157" spans="8:30" ht="14.25" customHeight="1" x14ac:dyDescent="0.2">
      <c r="H157" s="5" t="s">
        <v>477</v>
      </c>
      <c r="AC157" s="67"/>
      <c r="AD157" s="67"/>
    </row>
    <row r="158" spans="8:30" ht="14.25" customHeight="1" x14ac:dyDescent="0.2">
      <c r="H158" s="5" t="s">
        <v>478</v>
      </c>
      <c r="AC158" s="67"/>
      <c r="AD158" s="67"/>
    </row>
    <row r="159" spans="8:30" ht="14.25" customHeight="1" x14ac:dyDescent="0.2">
      <c r="H159" s="5" t="s">
        <v>479</v>
      </c>
      <c r="AC159" s="67"/>
      <c r="AD159" s="67"/>
    </row>
    <row r="160" spans="8:30" ht="14.25" customHeight="1" x14ac:dyDescent="0.2">
      <c r="H160" s="5" t="s">
        <v>480</v>
      </c>
      <c r="AC160" s="67"/>
      <c r="AD160" s="67"/>
    </row>
    <row r="161" spans="8:30" ht="14.25" customHeight="1" x14ac:dyDescent="0.2">
      <c r="H161" s="5" t="s">
        <v>481</v>
      </c>
      <c r="AC161" s="67"/>
      <c r="AD161" s="67"/>
    </row>
    <row r="162" spans="8:30" ht="14.25" customHeight="1" x14ac:dyDescent="0.2">
      <c r="H162" s="5" t="s">
        <v>482</v>
      </c>
      <c r="AC162" s="67"/>
      <c r="AD162" s="67"/>
    </row>
    <row r="163" spans="8:30" ht="14.25" customHeight="1" x14ac:dyDescent="0.2">
      <c r="H163" s="5" t="s">
        <v>483</v>
      </c>
      <c r="AC163" s="67"/>
      <c r="AD163" s="67"/>
    </row>
    <row r="164" spans="8:30" ht="14.25" customHeight="1" x14ac:dyDescent="0.2">
      <c r="H164" s="5" t="s">
        <v>484</v>
      </c>
      <c r="AC164" s="67"/>
      <c r="AD164" s="67"/>
    </row>
    <row r="165" spans="8:30" ht="14.25" customHeight="1" x14ac:dyDescent="0.2">
      <c r="H165" s="5" t="s">
        <v>485</v>
      </c>
      <c r="AC165" s="67"/>
      <c r="AD165" s="67"/>
    </row>
    <row r="166" spans="8:30" ht="14.25" customHeight="1" x14ac:dyDescent="0.2">
      <c r="H166" s="5" t="s">
        <v>486</v>
      </c>
      <c r="AC166" s="67"/>
      <c r="AD166" s="67"/>
    </row>
    <row r="167" spans="8:30" ht="14.25" customHeight="1" x14ac:dyDescent="0.2">
      <c r="H167" s="5" t="s">
        <v>487</v>
      </c>
      <c r="AC167" s="67"/>
      <c r="AD167" s="67"/>
    </row>
    <row r="168" spans="8:30" ht="14.25" customHeight="1" x14ac:dyDescent="0.2">
      <c r="H168" s="5" t="s">
        <v>488</v>
      </c>
      <c r="AC168" s="67"/>
      <c r="AD168" s="67"/>
    </row>
    <row r="169" spans="8:30" ht="14.25" customHeight="1" x14ac:dyDescent="0.2">
      <c r="H169" s="5" t="s">
        <v>489</v>
      </c>
      <c r="AC169" s="67"/>
      <c r="AD169" s="67"/>
    </row>
    <row r="170" spans="8:30" ht="14.25" customHeight="1" x14ac:dyDescent="0.2">
      <c r="H170" s="5" t="s">
        <v>490</v>
      </c>
      <c r="AC170" s="67"/>
      <c r="AD170" s="67"/>
    </row>
    <row r="171" spans="8:30" ht="14.25" customHeight="1" x14ac:dyDescent="0.2">
      <c r="H171" s="5" t="s">
        <v>491</v>
      </c>
      <c r="AC171" s="67"/>
      <c r="AD171" s="67"/>
    </row>
    <row r="172" spans="8:30" ht="14.25" customHeight="1" x14ac:dyDescent="0.2">
      <c r="H172" s="5" t="s">
        <v>492</v>
      </c>
      <c r="AC172" s="67"/>
      <c r="AD172" s="67"/>
    </row>
    <row r="173" spans="8:30" ht="14.25" customHeight="1" x14ac:dyDescent="0.2">
      <c r="H173" s="5" t="s">
        <v>493</v>
      </c>
      <c r="AC173" s="67"/>
      <c r="AD173" s="67"/>
    </row>
    <row r="174" spans="8:30" ht="14.25" customHeight="1" x14ac:dyDescent="0.2">
      <c r="H174" s="5" t="s">
        <v>494</v>
      </c>
      <c r="AC174" s="67"/>
      <c r="AD174" s="67"/>
    </row>
    <row r="175" spans="8:30" ht="14.25" customHeight="1" x14ac:dyDescent="0.2">
      <c r="H175" s="5" t="s">
        <v>495</v>
      </c>
      <c r="AC175" s="67"/>
      <c r="AD175" s="67"/>
    </row>
    <row r="176" spans="8:30" ht="14.25" customHeight="1" x14ac:dyDescent="0.2">
      <c r="H176" s="5" t="s">
        <v>496</v>
      </c>
      <c r="AC176" s="67"/>
      <c r="AD176" s="67"/>
    </row>
    <row r="177" spans="8:30" ht="14.25" customHeight="1" x14ac:dyDescent="0.2">
      <c r="H177" s="5" t="s">
        <v>497</v>
      </c>
      <c r="AC177" s="67"/>
      <c r="AD177" s="67"/>
    </row>
    <row r="178" spans="8:30" ht="14.25" customHeight="1" x14ac:dyDescent="0.2">
      <c r="H178" s="5" t="s">
        <v>498</v>
      </c>
      <c r="AC178" s="67"/>
      <c r="AD178" s="67"/>
    </row>
    <row r="179" spans="8:30" ht="14.25" customHeight="1" x14ac:dyDescent="0.2">
      <c r="H179" s="5" t="s">
        <v>499</v>
      </c>
      <c r="AC179" s="67"/>
      <c r="AD179" s="67"/>
    </row>
    <row r="180" spans="8:30" ht="14.25" customHeight="1" x14ac:dyDescent="0.2">
      <c r="H180" s="5" t="s">
        <v>500</v>
      </c>
      <c r="AC180" s="67"/>
      <c r="AD180" s="67"/>
    </row>
    <row r="181" spans="8:30" ht="14.25" customHeight="1" x14ac:dyDescent="0.2">
      <c r="H181" s="5" t="s">
        <v>501</v>
      </c>
      <c r="AC181" s="67"/>
      <c r="AD181" s="67"/>
    </row>
    <row r="182" spans="8:30" ht="14.25" customHeight="1" x14ac:dyDescent="0.2">
      <c r="H182" s="5" t="s">
        <v>502</v>
      </c>
      <c r="AC182" s="67"/>
      <c r="AD182" s="67"/>
    </row>
    <row r="183" spans="8:30" ht="14.25" customHeight="1" x14ac:dyDescent="0.2">
      <c r="H183" s="5" t="s">
        <v>503</v>
      </c>
      <c r="AC183" s="67"/>
      <c r="AD183" s="67"/>
    </row>
    <row r="184" spans="8:30" ht="14.25" customHeight="1" x14ac:dyDescent="0.2">
      <c r="H184" s="5" t="s">
        <v>504</v>
      </c>
      <c r="AC184" s="67"/>
      <c r="AD184" s="67"/>
    </row>
    <row r="185" spans="8:30" ht="14.25" customHeight="1" x14ac:dyDescent="0.2">
      <c r="H185" s="5" t="s">
        <v>505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506</v>
      </c>
      <c r="C203" s="112" t="s">
        <v>507</v>
      </c>
      <c r="D203" s="112" t="s">
        <v>508</v>
      </c>
      <c r="E203" s="112" t="s">
        <v>509</v>
      </c>
      <c r="F203" s="113" t="s">
        <v>510</v>
      </c>
      <c r="G203" s="112" t="s">
        <v>511</v>
      </c>
      <c r="H203" s="112" t="s">
        <v>512</v>
      </c>
      <c r="I203" s="112" t="s">
        <v>513</v>
      </c>
      <c r="J203" s="112" t="s">
        <v>514</v>
      </c>
      <c r="K203" s="112" t="s">
        <v>515</v>
      </c>
      <c r="L203" s="112" t="s">
        <v>516</v>
      </c>
      <c r="M203" s="113" t="s">
        <v>517</v>
      </c>
      <c r="N203" s="112" t="s">
        <v>518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519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520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521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522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523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524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525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526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527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527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528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527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527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529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527</v>
      </c>
      <c r="G213" s="14">
        <v>488.88</v>
      </c>
      <c r="H213" s="14" t="s">
        <v>527</v>
      </c>
      <c r="I213" s="14">
        <v>100</v>
      </c>
      <c r="J213" s="20">
        <v>50</v>
      </c>
      <c r="K213" s="14" t="s">
        <v>527</v>
      </c>
      <c r="L213" s="14">
        <v>100</v>
      </c>
      <c r="M213" s="14" t="s">
        <v>527</v>
      </c>
      <c r="N213" s="14" t="s">
        <v>527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530</v>
      </c>
      <c r="B214" s="20" t="s">
        <v>95</v>
      </c>
      <c r="C214" s="20" t="s">
        <v>531</v>
      </c>
      <c r="D214" s="20" t="s">
        <v>95</v>
      </c>
      <c r="E214" s="20" t="s">
        <v>531</v>
      </c>
      <c r="F214" s="20" t="s">
        <v>531</v>
      </c>
      <c r="G214" s="20" t="s">
        <v>95</v>
      </c>
      <c r="H214" s="14" t="s">
        <v>527</v>
      </c>
      <c r="I214" s="20" t="s">
        <v>95</v>
      </c>
      <c r="J214" s="20" t="s">
        <v>531</v>
      </c>
      <c r="K214" s="20" t="s">
        <v>95</v>
      </c>
      <c r="L214" s="20" t="s">
        <v>95</v>
      </c>
      <c r="M214" s="20" t="s">
        <v>95</v>
      </c>
      <c r="N214" s="14" t="s">
        <v>527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532</v>
      </c>
      <c r="B215" s="20" t="s">
        <v>143</v>
      </c>
      <c r="C215" s="20" t="s">
        <v>143</v>
      </c>
      <c r="D215" s="20"/>
      <c r="E215" s="20"/>
      <c r="F215" s="20"/>
      <c r="G215" s="20"/>
      <c r="H215" s="20"/>
      <c r="I215" s="20" t="s">
        <v>143</v>
      </c>
      <c r="J215" s="20" t="s">
        <v>143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43" t="s">
        <v>533</v>
      </c>
      <c r="B220" s="343"/>
      <c r="C220" s="343"/>
      <c r="D220" s="343"/>
      <c r="E220" s="343"/>
      <c r="F220" s="343"/>
      <c r="AC220" s="67"/>
      <c r="AD220" s="67"/>
    </row>
    <row r="221" spans="1:38" ht="21" customHeight="1" x14ac:dyDescent="0.2">
      <c r="A221" s="344"/>
      <c r="B221" s="344"/>
      <c r="C221" s="344"/>
      <c r="D221" s="344"/>
      <c r="E221" s="344"/>
      <c r="F221" s="344"/>
      <c r="AC221" s="67"/>
      <c r="AD221" s="67"/>
    </row>
    <row r="222" spans="1:38" ht="21" customHeight="1" x14ac:dyDescent="0.2">
      <c r="A222" s="345" t="s">
        <v>534</v>
      </c>
      <c r="B222" s="346" t="s">
        <v>535</v>
      </c>
      <c r="C222" s="346"/>
      <c r="D222" s="346"/>
      <c r="E222" s="346"/>
      <c r="F222" s="346"/>
      <c r="AC222" s="67"/>
      <c r="AD222" s="67"/>
    </row>
    <row r="223" spans="1:38" ht="21" customHeight="1" x14ac:dyDescent="0.2">
      <c r="A223" s="345"/>
      <c r="B223" s="120" t="s">
        <v>536</v>
      </c>
      <c r="C223" s="14" t="s">
        <v>537</v>
      </c>
      <c r="D223" s="14" t="s">
        <v>538</v>
      </c>
      <c r="E223" s="14" t="s">
        <v>539</v>
      </c>
      <c r="AC223" s="67"/>
      <c r="AD223" s="67"/>
    </row>
    <row r="224" spans="1:38" ht="21" customHeight="1" x14ac:dyDescent="0.2">
      <c r="A224" s="345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540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45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541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45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45"/>
      <c r="B227" s="346" t="s">
        <v>542</v>
      </c>
      <c r="C227" s="346"/>
      <c r="D227" s="346"/>
      <c r="E227" s="346"/>
      <c r="F227" s="346"/>
      <c r="AC227" s="67"/>
      <c r="AD227" s="67"/>
    </row>
    <row r="228" spans="1:30" ht="21" customHeight="1" x14ac:dyDescent="0.2">
      <c r="A228" s="345"/>
      <c r="B228" s="122" t="s">
        <v>536</v>
      </c>
      <c r="C228" s="20" t="s">
        <v>537</v>
      </c>
      <c r="D228" s="20" t="s">
        <v>538</v>
      </c>
      <c r="E228" s="122" t="s">
        <v>539</v>
      </c>
      <c r="AC228" s="67"/>
      <c r="AD228" s="67"/>
    </row>
    <row r="229" spans="1:30" ht="21" customHeight="1" x14ac:dyDescent="0.2">
      <c r="A229" s="345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540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541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75" t="s">
        <v>543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76" t="s">
        <v>544</v>
      </c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545</v>
      </c>
      <c r="C7" s="373" t="str">
        <f>IF('COTIZADOR PREST. AUTO'!$G$10="","FALTA CÉDULA DEL CLIENTE",'COTIZADOR PREST. AUTO'!$G$10)</f>
        <v>FALTA CÉDULA DEL CLIENTE</v>
      </c>
      <c r="D7" s="373"/>
      <c r="E7" s="373"/>
      <c r="F7" s="374" t="s">
        <v>546</v>
      </c>
      <c r="G7" s="374"/>
      <c r="H7" s="374"/>
      <c r="I7" s="373" t="str">
        <f>IF('COTIZADOR PREST. AUTO'!C10="","FALTA NOMBRE DEL CLIENTE",'COTIZADOR PREST. AUTO'!C10)</f>
        <v>FALTA NOMBRE DEL CLIENTE</v>
      </c>
      <c r="J7" s="373"/>
      <c r="K7" s="373"/>
      <c r="L7" s="373"/>
      <c r="M7" s="373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547</v>
      </c>
      <c r="C9" s="373" t="str">
        <f>IF(cot_cartera="","FALTA CARTERA DEL CLIENTE",cot_cartera)</f>
        <v>FALTA CARTERA DEL CLIENTE</v>
      </c>
      <c r="D9" s="373"/>
      <c r="E9" s="373"/>
      <c r="F9" s="374" t="s">
        <v>548</v>
      </c>
      <c r="G9" s="374"/>
      <c r="H9" s="374"/>
      <c r="I9" s="373" t="str">
        <f>IF('COTIZADOR PREST. AUTO'!$D$6="","FALTA NOMBRE DE OFICIAL",'COTIZADOR PREST. AUTO'!$D$6)</f>
        <v>KENIA SIERRA</v>
      </c>
      <c r="J9" s="373"/>
      <c r="K9" s="373"/>
      <c r="L9" s="373"/>
      <c r="M9" s="373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549</v>
      </c>
      <c r="C11" s="373" t="str">
        <f>IF('COTIZADOR PREST. AUTO'!E50="","FALTA REGISTRAR",'COTIZADOR PREST. AUTO'!E50)</f>
        <v>FALTA REGISTRAR</v>
      </c>
      <c r="D11" s="373"/>
      <c r="E11" s="373"/>
      <c r="F11" s="374" t="s">
        <v>550</v>
      </c>
      <c r="G11" s="374"/>
      <c r="H11" s="374"/>
      <c r="I11" s="373" t="str">
        <f>IF('COTIZADOR PREST. AUTO'!E52="","FALTA REGISTRAR",'COTIZADOR PREST. AUTO'!E52)</f>
        <v>FALTA REGISTRAR</v>
      </c>
      <c r="J11" s="373"/>
      <c r="K11" s="373"/>
      <c r="L11" s="373"/>
      <c r="M11" s="373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71" t="s">
        <v>551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49" t="s">
        <v>552</v>
      </c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49"/>
      <c r="N15" s="349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72" t="s">
        <v>553</v>
      </c>
      <c r="E17" s="372"/>
      <c r="F17" s="372" t="s">
        <v>540</v>
      </c>
      <c r="G17" s="372"/>
      <c r="H17" s="372" t="s">
        <v>554</v>
      </c>
      <c r="I17" s="372"/>
      <c r="J17" s="140" t="s">
        <v>555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66" t="s">
        <v>556</v>
      </c>
      <c r="E18" s="366"/>
      <c r="F18" s="367">
        <f>IF(salarioBase="","",IF(cot_periodo="QUINCENAL",salarioBase*2,salarioBase))</f>
        <v>0</v>
      </c>
      <c r="G18" s="367"/>
      <c r="H18" s="367">
        <f>F18</f>
        <v>0</v>
      </c>
      <c r="I18" s="367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66" t="str">
        <f>IF('COTIZADOR PREST. AUTO'!H78="","",'COTIZADOR PREST. AUTO'!H78)</f>
        <v>Horas extras</v>
      </c>
      <c r="E19" s="366"/>
      <c r="F19" s="367" t="s">
        <v>557</v>
      </c>
      <c r="G19" s="367"/>
      <c r="H19" s="367" t="str">
        <f>IF('COTIZADOR PREST. AUTO'!J78="","",'COTIZADOR PREST. AUTO'!J78)</f>
        <v/>
      </c>
      <c r="I19" s="367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66" t="str">
        <f>IF('COTIZADOR PREST. AUTO'!H79="","",'COTIZADOR PREST. AUTO'!H79)</f>
        <v>Prima de producción</v>
      </c>
      <c r="E20" s="366"/>
      <c r="F20" s="367" t="s">
        <v>557</v>
      </c>
      <c r="G20" s="367"/>
      <c r="H20" s="367" t="str">
        <f>IF('COTIZADOR PREST. AUTO'!J79="","",'COTIZADOR PREST. AUTO'!J79)</f>
        <v/>
      </c>
      <c r="I20" s="367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66" t="str">
        <f>IF('COTIZADOR PREST. AUTO'!H80="","",'COTIZADOR PREST. AUTO'!H80)</f>
        <v>Bonos</v>
      </c>
      <c r="E21" s="366"/>
      <c r="F21" s="367" t="s">
        <v>557</v>
      </c>
      <c r="G21" s="367"/>
      <c r="H21" s="367" t="str">
        <f>IF('COTIZADOR PREST. AUTO'!J80="","",'COTIZADOR PREST. AUTO'!J80)</f>
        <v/>
      </c>
      <c r="I21" s="367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66" t="str">
        <f>IF('COTIZADOR PREST. AUTO'!H81="","",'COTIZADOR PREST. AUTO'!H81)</f>
        <v>Otros</v>
      </c>
      <c r="E22" s="366"/>
      <c r="F22" s="367" t="s">
        <v>557</v>
      </c>
      <c r="G22" s="367"/>
      <c r="H22" s="367" t="str">
        <f>IF('COTIZADOR PREST. AUTO'!J81="","",'COTIZADOR PREST. AUTO'!J81)</f>
        <v/>
      </c>
      <c r="I22" s="367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68" t="s">
        <v>558</v>
      </c>
      <c r="E23" s="368"/>
      <c r="F23" s="369">
        <f>SUM(F18:F22)</f>
        <v>0</v>
      </c>
      <c r="G23" s="369"/>
      <c r="H23" s="369">
        <f>SUM(H18:H22)</f>
        <v>0</v>
      </c>
      <c r="I23" s="369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70" t="s">
        <v>559</v>
      </c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0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71" t="s">
        <v>560</v>
      </c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64" t="s">
        <v>561</v>
      </c>
      <c r="E28" s="364"/>
      <c r="F28" s="364"/>
      <c r="G28" s="364"/>
      <c r="H28" s="364"/>
      <c r="I28" s="36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72" t="s">
        <v>553</v>
      </c>
      <c r="E29" s="372"/>
      <c r="F29" s="372" t="s">
        <v>540</v>
      </c>
      <c r="G29" s="372"/>
      <c r="H29" s="372" t="s">
        <v>554</v>
      </c>
      <c r="I29" s="372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66" t="s">
        <v>562</v>
      </c>
      <c r="E30" s="366"/>
      <c r="F30" s="367">
        <f>IF(C9=AUX!N203,0,IF(OR(C9=AUX!F203,C9=AUX!K203,C9=AUX!M203,C9=AUX!H203),(SUMIF(J18:J22,"+",F18:F22)*6.75)/100,(SUMIF(J18:J22,"+",F18:F22)*9.75)/100))</f>
        <v>0</v>
      </c>
      <c r="G30" s="367"/>
      <c r="H30" s="367">
        <f>IF(C9=AUX!N203,0,IF(OR(C9=AUX!F203,C9=AUX!K203,C9=AUX!M203,C9=AUX!H203),(SUMIF(J18:J22,"+",H18:H22)*6.75)/100,(SUMIF(J18:J22,"+",H18:H22)*9.75)/100))</f>
        <v>0</v>
      </c>
      <c r="I30" s="367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66" t="s">
        <v>563</v>
      </c>
      <c r="E31" s="366"/>
      <c r="F31" s="367">
        <f>IF(OR(C9=AUX!F203,C9=AUX!K203,C9=AUX!M203,C9=AUX!H203,C9=AUX!N203),0,(SUMIF(J18:J22,"+",F18:F22)*1.25)/100)</f>
        <v>0</v>
      </c>
      <c r="G31" s="367"/>
      <c r="H31" s="367">
        <f>IF(OR(C9=AUX!F203,C9=AUX!K203,C9=AUX!M203,C9=AUX!H203,C9=AUX!N203),0,(SUMIF(J18:J22,"+",H18:H22)*1.25)/100)</f>
        <v>0</v>
      </c>
      <c r="I31" s="367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66" t="s">
        <v>564</v>
      </c>
      <c r="E32" s="366"/>
      <c r="F32" s="367">
        <f>IFERROR(IF(OR(C9=AUX!F203,C9=AUX!K203,C9=AUX!M203,C9=AUX!H203,C9=AUX!N203),0,AUX!E224/13),0)</f>
        <v>0</v>
      </c>
      <c r="G32" s="367"/>
      <c r="H32" s="367">
        <f>IFERROR(IF(OR(C9=AUX!F203,C9=AUX!K203,C9=AUX!M203,C9=AUX!H203,C9=AUX!N203),0,AUX!E225/13),0)</f>
        <v>0</v>
      </c>
      <c r="I32" s="367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66" t="s">
        <v>565</v>
      </c>
      <c r="E33" s="366"/>
      <c r="F33" s="367" t="str">
        <f>IF('COTIZADOR PREST. AUTO'!E87="","N/A",'COTIZADOR PREST. AUTO'!E87)</f>
        <v>N/A</v>
      </c>
      <c r="G33" s="367"/>
      <c r="H33" s="367" t="str">
        <f>F33</f>
        <v>N/A</v>
      </c>
      <c r="I33" s="367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66" t="s">
        <v>566</v>
      </c>
      <c r="E34" s="366"/>
      <c r="F34" s="367" t="str">
        <f>IF('COTIZADOR PREST. AUTO'!E88="","N/A",'COTIZADOR PREST. AUTO'!E88)</f>
        <v>N/A</v>
      </c>
      <c r="G34" s="367"/>
      <c r="H34" s="367" t="str">
        <f>F34</f>
        <v>N/A</v>
      </c>
      <c r="I34" s="367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68" t="s">
        <v>558</v>
      </c>
      <c r="E35" s="368"/>
      <c r="F35" s="369">
        <f>SUM(F30:F34)</f>
        <v>0</v>
      </c>
      <c r="G35" s="369"/>
      <c r="H35" s="369">
        <f>SUM(H30:H34)</f>
        <v>0</v>
      </c>
      <c r="I35" s="369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64" t="s">
        <v>567</v>
      </c>
      <c r="E37" s="364"/>
      <c r="F37" s="364"/>
      <c r="G37" s="364"/>
      <c r="H37" s="364"/>
      <c r="I37" s="36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65" t="s">
        <v>553</v>
      </c>
      <c r="E38" s="365"/>
      <c r="F38" s="365" t="s">
        <v>540</v>
      </c>
      <c r="G38" s="365"/>
      <c r="H38" s="365" t="s">
        <v>554</v>
      </c>
      <c r="I38" s="365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63" t="s">
        <v>568</v>
      </c>
      <c r="D39" s="362" t="str">
        <f>IF('COTIZADOR PREST. AUTO'!C89="","",'COTIZADOR PREST. AUTO'!C89)</f>
        <v/>
      </c>
      <c r="E39" s="362"/>
      <c r="F39" s="361" t="str">
        <f>IF('COTIZADOR PREST. AUTO'!$F89="SÍ",IF('N. DE END'!D39&lt;&gt;"",IF(cot_periodo="QUINCENAL",'COTIZADOR PREST. AUTO'!$E89*2,'COTIZADOR PREST. AUTO'!$E89),"FALTA DESCRIPCIÓN"),"")</f>
        <v/>
      </c>
      <c r="G39" s="361"/>
      <c r="H39" s="361" t="str">
        <f>IF('COTIZADOR PREST. AUTO'!F89&lt;&gt;"",IF(D39&lt;&gt;"",IF(cot_periodo="QUINCENAL",'COTIZADOR PREST. AUTO'!$E89*2,'COTIZADOR PREST. AUTO'!$E89),"FALTA DESCRIPCIÓN"),"")</f>
        <v/>
      </c>
      <c r="I39" s="361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63"/>
      <c r="D40" s="362" t="str">
        <f>IF('COTIZADOR PREST. AUTO'!C90="","",'COTIZADOR PREST. AUTO'!C90)</f>
        <v/>
      </c>
      <c r="E40" s="362"/>
      <c r="F40" s="361" t="str">
        <f>IF('COTIZADOR PREST. AUTO'!$F90="SÍ",IF('N. DE END'!D40&lt;&gt;"",IF(cot_periodo="QUINCENAL",'COTIZADOR PREST. AUTO'!$E90*2,'COTIZADOR PREST. AUTO'!$E90),"FALTA DESCRIPCIÓN"),"")</f>
        <v/>
      </c>
      <c r="G40" s="361"/>
      <c r="H40" s="361" t="str">
        <f>IF('COTIZADOR PREST. AUTO'!F90&lt;&gt;"",IF(D40&lt;&gt;"",IF(cot_periodo="QUINCENAL",'COTIZADOR PREST. AUTO'!$E90*2,'COTIZADOR PREST. AUTO'!$E90),"FALTA DESCRIPCIÓN"),"")</f>
        <v/>
      </c>
      <c r="I40" s="361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63"/>
      <c r="D41" s="362" t="str">
        <f>IF('COTIZADOR PREST. AUTO'!C91="","",'COTIZADOR PREST. AUTO'!C91)</f>
        <v/>
      </c>
      <c r="E41" s="362"/>
      <c r="F41" s="361" t="str">
        <f>IF('COTIZADOR PREST. AUTO'!$F91="SÍ",IF('N. DE END'!D41&lt;&gt;"",IF(cot_periodo="QUINCENAL",'COTIZADOR PREST. AUTO'!$E91*2,'COTIZADOR PREST. AUTO'!$E91),"FALTA DESCRIPCIÓN"),"")</f>
        <v/>
      </c>
      <c r="G41" s="361"/>
      <c r="H41" s="361" t="str">
        <f>IF('COTIZADOR PREST. AUTO'!F91&lt;&gt;"",IF(D41&lt;&gt;"",IF(cot_periodo="QUINCENAL",'COTIZADOR PREST. AUTO'!$E91*2,'COTIZADOR PREST. AUTO'!$E91),"FALTA DESCRIPCIÓN"),"")</f>
        <v/>
      </c>
      <c r="I41" s="361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63"/>
      <c r="D42" s="362" t="str">
        <f>IF('COTIZADOR PREST. AUTO'!C92="","",'COTIZADOR PREST. AUTO'!C92)</f>
        <v/>
      </c>
      <c r="E42" s="362"/>
      <c r="F42" s="361" t="str">
        <f>IF('COTIZADOR PREST. AUTO'!$F92="SÍ",IF('N. DE END'!D42&lt;&gt;"",IF(cot_periodo="QUINCENAL",'COTIZADOR PREST. AUTO'!$E92*2,'COTIZADOR PREST. AUTO'!$E92),"FALTA DESCRIPCIÓN"),"")</f>
        <v/>
      </c>
      <c r="G42" s="361"/>
      <c r="H42" s="361" t="str">
        <f>IF('COTIZADOR PREST. AUTO'!F92&lt;&gt;"",IF(D42&lt;&gt;"",IF(cot_periodo="QUINCENAL",'COTIZADOR PREST. AUTO'!$E92*2,'COTIZADOR PREST. AUTO'!$E92),"FALTA DESCRIPCIÓN"),"")</f>
        <v/>
      </c>
      <c r="I42" s="361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63"/>
      <c r="D43" s="362" t="str">
        <f>IF('COTIZADOR PREST. AUTO'!C93="","",'COTIZADOR PREST. AUTO'!C93)</f>
        <v/>
      </c>
      <c r="E43" s="362"/>
      <c r="F43" s="361" t="str">
        <f>IF('COTIZADOR PREST. AUTO'!$F93="SÍ",IF('N. DE END'!D43&lt;&gt;"",IF(cot_periodo="QUINCENAL",'COTIZADOR PREST. AUTO'!$E93*2,'COTIZADOR PREST. AUTO'!$E93),"FALTA DESCRIPCIÓN"),"")</f>
        <v/>
      </c>
      <c r="G43" s="361"/>
      <c r="H43" s="361" t="str">
        <f>IF('COTIZADOR PREST. AUTO'!F93&lt;&gt;"",IF(D43&lt;&gt;"",IF(cot_periodo="QUINCENAL",'COTIZADOR PREST. AUTO'!$E93*2,'COTIZADOR PREST. AUTO'!$E93),"FALTA DESCRIPCIÓN"),"")</f>
        <v/>
      </c>
      <c r="I43" s="361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63"/>
      <c r="D44" s="362" t="str">
        <f>IF('COTIZADOR PREST. AUTO'!C94="","",'COTIZADOR PREST. AUTO'!C94)</f>
        <v/>
      </c>
      <c r="E44" s="362"/>
      <c r="F44" s="361" t="str">
        <f>IF('COTIZADOR PREST. AUTO'!$F94="SÍ",IF('N. DE END'!D44&lt;&gt;"",IF(cot_periodo="QUINCENAL",'COTIZADOR PREST. AUTO'!$E94*2,'COTIZADOR PREST. AUTO'!$E94),"FALTA DESCRIPCIÓN"),"")</f>
        <v/>
      </c>
      <c r="G44" s="361"/>
      <c r="H44" s="361" t="str">
        <f>IF('COTIZADOR PREST. AUTO'!F94&lt;&gt;"",IF(D44&lt;&gt;"",IF(cot_periodo="QUINCENAL",'COTIZADOR PREST. AUTO'!$E94*2,'COTIZADOR PREST. AUTO'!$E94),"FALTA DESCRIPCIÓN"),"")</f>
        <v/>
      </c>
      <c r="I44" s="361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63"/>
      <c r="D45" s="362" t="str">
        <f>IF('COTIZADOR PREST. AUTO'!C95="","",'COTIZADOR PREST. AUTO'!C95)</f>
        <v/>
      </c>
      <c r="E45" s="362"/>
      <c r="F45" s="361" t="str">
        <f>IF('COTIZADOR PREST. AUTO'!$F95="SÍ",IF('N. DE END'!D45&lt;&gt;"",IF(cot_periodo="QUINCENAL",'COTIZADOR PREST. AUTO'!$E95*2,'COTIZADOR PREST. AUTO'!$E95),"FALTA DESCRIPCIÓN"),"")</f>
        <v/>
      </c>
      <c r="G45" s="361"/>
      <c r="H45" s="361" t="str">
        <f>IF('COTIZADOR PREST. AUTO'!F95&lt;&gt;"",IF(D45&lt;&gt;"",IF(cot_periodo="QUINCENAL",'COTIZADOR PREST. AUTO'!$E95*2,'COTIZADOR PREST. AUTO'!$E95),"FALTA DESCRIPCIÓN"),"")</f>
        <v/>
      </c>
      <c r="I45" s="361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63"/>
      <c r="D46" s="362" t="str">
        <f>IF('COTIZADOR PREST. AUTO'!C96="","",'COTIZADOR PREST. AUTO'!C96)</f>
        <v/>
      </c>
      <c r="E46" s="362"/>
      <c r="F46" s="361" t="str">
        <f>IF('COTIZADOR PREST. AUTO'!$F96="SÍ",IF('N. DE END'!D46&lt;&gt;"",IF(cot_periodo="QUINCENAL",'COTIZADOR PREST. AUTO'!$E96*2,'COTIZADOR PREST. AUTO'!$E96),"FALTA DESCRIPCIÓN"),"")</f>
        <v/>
      </c>
      <c r="G46" s="361"/>
      <c r="H46" s="361" t="str">
        <f>IF('COTIZADOR PREST. AUTO'!F96&lt;&gt;"",IF(D46&lt;&gt;"",IF(cot_periodo="QUINCENAL",'COTIZADOR PREST. AUTO'!$E96*2,'COTIZADOR PREST. AUTO'!$E96),"FALTA DESCRIPCIÓN"),"")</f>
        <v/>
      </c>
      <c r="I46" s="361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63"/>
      <c r="D47" s="362" t="str">
        <f>IF('COTIZADOR PREST. AUTO'!C97="","",'COTIZADOR PREST. AUTO'!C97)</f>
        <v/>
      </c>
      <c r="E47" s="362"/>
      <c r="F47" s="361" t="str">
        <f>IF('COTIZADOR PREST. AUTO'!$F97="SÍ",IF('N. DE END'!D47&lt;&gt;"",IF(cot_periodo="QUINCENAL",'COTIZADOR PREST. AUTO'!$E97*2,'COTIZADOR PREST. AUTO'!$E97),"FALTA DESCRIPCIÓN"),"")</f>
        <v/>
      </c>
      <c r="G47" s="361"/>
      <c r="H47" s="361" t="str">
        <f>IF('COTIZADOR PREST. AUTO'!F97&lt;&gt;"",IF(D47&lt;&gt;"",IF(cot_periodo="QUINCENAL",'COTIZADOR PREST. AUTO'!$E97*2,'COTIZADOR PREST. AUTO'!$E97),"FALTA DESCRIPCIÓN"),"")</f>
        <v/>
      </c>
      <c r="I47" s="361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63"/>
      <c r="D48" s="362" t="str">
        <f>IF('COTIZADOR PREST. AUTO'!C98="","",'COTIZADOR PREST. AUTO'!C98)</f>
        <v/>
      </c>
      <c r="E48" s="362"/>
      <c r="F48" s="361" t="str">
        <f>IF('COTIZADOR PREST. AUTO'!$F98="SÍ",IF('N. DE END'!D48&lt;&gt;"",IF(cot_periodo="QUINCENAL",'COTIZADOR PREST. AUTO'!$E98*2,'COTIZADOR PREST. AUTO'!$E98),"FALTA DESCRIPCIÓN"),"")</f>
        <v/>
      </c>
      <c r="G48" s="361"/>
      <c r="H48" s="361" t="str">
        <f>IF('COTIZADOR PREST. AUTO'!F98&lt;&gt;"",IF(D48&lt;&gt;"",IF(cot_periodo="QUINCENAL",'COTIZADOR PREST. AUTO'!$E98*2,'COTIZADOR PREST. AUTO'!$E98),"FALTA DESCRIPCIÓN"),"")</f>
        <v/>
      </c>
      <c r="I48" s="361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63"/>
      <c r="D49" s="358" t="s">
        <v>558</v>
      </c>
      <c r="E49" s="358"/>
      <c r="F49" s="359">
        <f>SUM(F39:F48)</f>
        <v>0</v>
      </c>
      <c r="G49" s="359"/>
      <c r="H49" s="359">
        <f>SUM(H39:H48)</f>
        <v>0</v>
      </c>
      <c r="I49" s="359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63" t="s">
        <v>569</v>
      </c>
      <c r="D50" s="362" t="str">
        <f>IF('COTIZADOR PREST. AUTO'!H87="","",'COTIZADOR PREST. AUTO'!H87)</f>
        <v/>
      </c>
      <c r="E50" s="362"/>
      <c r="F50" s="361" t="str">
        <f>IF('COTIZADOR PREST. AUTO'!K87="SÍ",IF(D50&lt;&gt;"",IF(cot_periodo="QUINCENAL",'COTIZADOR PREST. AUTO'!J87*2,'COTIZADOR PREST. AUTO'!J87),"FALTA DESCRIPCIÓN"),"")</f>
        <v/>
      </c>
      <c r="G50" s="361"/>
      <c r="H50" s="361" t="str">
        <f>IF('COTIZADOR PREST. AUTO'!K87&lt;&gt;"",IF(D50&lt;&gt;"",IF(cot_periodo="QUINCENAL",'COTIZADOR PREST. AUTO'!J87*2,'COTIZADOR PREST. AUTO'!J87),"FALTA DESCRIPCIÓN"),"")</f>
        <v/>
      </c>
      <c r="I50" s="361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63"/>
      <c r="D51" s="362" t="str">
        <f>IF('COTIZADOR PREST. AUTO'!H88="","",'COTIZADOR PREST. AUTO'!H88)</f>
        <v/>
      </c>
      <c r="E51" s="362"/>
      <c r="F51" s="361" t="str">
        <f>IF('COTIZADOR PREST. AUTO'!K88="SÍ",IF(D51&lt;&gt;"",IF(cot_periodo="QUINCENAL",'COTIZADOR PREST. AUTO'!J88*2,'COTIZADOR PREST. AUTO'!J88),"FALTA DESCRIPCIÓN"),"")</f>
        <v/>
      </c>
      <c r="G51" s="361"/>
      <c r="H51" s="361" t="str">
        <f>IF('COTIZADOR PREST. AUTO'!K88&lt;&gt;"",IF(D51&lt;&gt;"",IF(cot_periodo="QUINCENAL",'COTIZADOR PREST. AUTO'!J88*2,'COTIZADOR PREST. AUTO'!J88),"FALTA DESCRIPCIÓN"),"")</f>
        <v/>
      </c>
      <c r="I51" s="361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63"/>
      <c r="D52" s="362" t="str">
        <f>IF('COTIZADOR PREST. AUTO'!H89="","",'COTIZADOR PREST. AUTO'!H89)</f>
        <v/>
      </c>
      <c r="E52" s="362"/>
      <c r="F52" s="361" t="str">
        <f>IF('COTIZADOR PREST. AUTO'!K89="SÍ",IF(D52&lt;&gt;"",IF(cot_periodo="QUINCENAL",'COTIZADOR PREST. AUTO'!J89*2,'COTIZADOR PREST. AUTO'!J89),"FALTA DESCRIPCIÓN"),"")</f>
        <v/>
      </c>
      <c r="G52" s="361"/>
      <c r="H52" s="361" t="str">
        <f>IF('COTIZADOR PREST. AUTO'!K89&lt;&gt;"",IF(D52&lt;&gt;"",IF(cot_periodo="QUINCENAL",'COTIZADOR PREST. AUTO'!J89*2,'COTIZADOR PREST. AUTO'!J89),"FALTA DESCRIPCIÓN"),"")</f>
        <v/>
      </c>
      <c r="I52" s="361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63"/>
      <c r="D53" s="362" t="str">
        <f>IF('COTIZADOR PREST. AUTO'!H90="","",'COTIZADOR PREST. AUTO'!H90)</f>
        <v/>
      </c>
      <c r="E53" s="362"/>
      <c r="F53" s="361" t="str">
        <f>IF('COTIZADOR PREST. AUTO'!K90="SÍ",IF(D53&lt;&gt;"",IF(cot_periodo="QUINCENAL",'COTIZADOR PREST. AUTO'!J90*2,'COTIZADOR PREST. AUTO'!J90),"FALTA DESCRIPCIÓN"),"")</f>
        <v/>
      </c>
      <c r="G53" s="361"/>
      <c r="H53" s="361" t="str">
        <f>IF('COTIZADOR PREST. AUTO'!K90&lt;&gt;"",IF(D53&lt;&gt;"",IF(cot_periodo="QUINCENAL",'COTIZADOR PREST. AUTO'!J90*2,'COTIZADOR PREST. AUTO'!J90),"FALTA DESCRIPCIÓN"),"")</f>
        <v/>
      </c>
      <c r="I53" s="361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63"/>
      <c r="D54" s="362" t="str">
        <f>IF('COTIZADOR PREST. AUTO'!H91="","",'COTIZADOR PREST. AUTO'!H91)</f>
        <v/>
      </c>
      <c r="E54" s="362"/>
      <c r="F54" s="361" t="str">
        <f>IF('COTIZADOR PREST. AUTO'!K91="SÍ",IF(D54&lt;&gt;"",IF(cot_periodo="QUINCENAL",'COTIZADOR PREST. AUTO'!J91*2,'COTIZADOR PREST. AUTO'!J91),"FALTA DESCRIPCIÓN"),"")</f>
        <v/>
      </c>
      <c r="G54" s="361"/>
      <c r="H54" s="361" t="str">
        <f>IF('COTIZADOR PREST. AUTO'!K91&lt;&gt;"",IF(D54&lt;&gt;"",IF(cot_periodo="QUINCENAL",'COTIZADOR PREST. AUTO'!J91*2,'COTIZADOR PREST. AUTO'!J91),"FALTA DESCRIPCIÓN"),"")</f>
        <v/>
      </c>
      <c r="I54" s="361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63"/>
      <c r="D55" s="362" t="str">
        <f>IF('COTIZADOR PREST. AUTO'!H92="","",'COTIZADOR PREST. AUTO'!H92)</f>
        <v/>
      </c>
      <c r="E55" s="362"/>
      <c r="F55" s="361" t="str">
        <f>IF('COTIZADOR PREST. AUTO'!K92="SÍ",IF(D55&lt;&gt;"",IF(cot_periodo="QUINCENAL",'COTIZADOR PREST. AUTO'!J92*2,'COTIZADOR PREST. AUTO'!J92),"FALTA DESCRIPCIÓN"),"")</f>
        <v/>
      </c>
      <c r="G55" s="361"/>
      <c r="H55" s="361" t="str">
        <f>IF('COTIZADOR PREST. AUTO'!K92&lt;&gt;"",IF(D55&lt;&gt;"",IF(cot_periodo="QUINCENAL",'COTIZADOR PREST. AUTO'!J92*2,'COTIZADOR PREST. AUTO'!J92),"FALTA DESCRIPCIÓN"),"")</f>
        <v/>
      </c>
      <c r="I55" s="361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63"/>
      <c r="D56" s="362" t="str">
        <f>IF('COTIZADOR PREST. AUTO'!H93="","",'COTIZADOR PREST. AUTO'!H93)</f>
        <v/>
      </c>
      <c r="E56" s="362"/>
      <c r="F56" s="361" t="str">
        <f>IF('COTIZADOR PREST. AUTO'!K93="SÍ",IF(D56&lt;&gt;"",IF(cot_periodo="QUINCENAL",'COTIZADOR PREST. AUTO'!J93*2,'COTIZADOR PREST. AUTO'!J93),"FALTA DESCRIPCIÓN"),"")</f>
        <v/>
      </c>
      <c r="G56" s="361"/>
      <c r="H56" s="361" t="str">
        <f>IF('COTIZADOR PREST. AUTO'!K93&lt;&gt;"",IF(D56&lt;&gt;"",IF(cot_periodo="QUINCENAL",'COTIZADOR PREST. AUTO'!J93*2,'COTIZADOR PREST. AUTO'!J93),"FALTA DESCRIPCIÓN"),"")</f>
        <v/>
      </c>
      <c r="I56" s="361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63"/>
      <c r="D57" s="362" t="str">
        <f>IF('COTIZADOR PREST. AUTO'!H94="","",'COTIZADOR PREST. AUTO'!H94)</f>
        <v/>
      </c>
      <c r="E57" s="362"/>
      <c r="F57" s="361" t="str">
        <f>IF('COTIZADOR PREST. AUTO'!K94="SÍ",IF(D57&lt;&gt;"",IF(cot_periodo="QUINCENAL",'COTIZADOR PREST. AUTO'!J94*2,'COTIZADOR PREST. AUTO'!J94),"FALTA DESCRIPCIÓN"),"")</f>
        <v/>
      </c>
      <c r="G57" s="361"/>
      <c r="H57" s="361" t="str">
        <f>IF('COTIZADOR PREST. AUTO'!K94&lt;&gt;"",IF(D57&lt;&gt;"",IF(cot_periodo="QUINCENAL",'COTIZADOR PREST. AUTO'!J94*2,'COTIZADOR PREST. AUTO'!J94),"FALTA DESCRIPCIÓN"),"")</f>
        <v/>
      </c>
      <c r="I57" s="361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63"/>
      <c r="D58" s="362" t="str">
        <f>IF('COTIZADOR PREST. AUTO'!H95="","",'COTIZADOR PREST. AUTO'!H95)</f>
        <v/>
      </c>
      <c r="E58" s="362"/>
      <c r="F58" s="361" t="str">
        <f>IF('COTIZADOR PREST. AUTO'!K95="SÍ",IF(D58&lt;&gt;"",IF(cot_periodo="QUINCENAL",'COTIZADOR PREST. AUTO'!J95*2,'COTIZADOR PREST. AUTO'!J95),"FALTA DESCRIPCIÓN"),"")</f>
        <v/>
      </c>
      <c r="G58" s="361"/>
      <c r="H58" s="361" t="str">
        <f>IF('COTIZADOR PREST. AUTO'!K95&lt;&gt;"",IF(D58&lt;&gt;"",IF(cot_periodo="QUINCENAL",'COTIZADOR PREST. AUTO'!J95*2,'COTIZADOR PREST. AUTO'!J95),"FALTA DESCRIPCIÓN"),"")</f>
        <v/>
      </c>
      <c r="I58" s="361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63"/>
      <c r="D59" s="362" t="str">
        <f>IF('COTIZADOR PREST. AUTO'!H96="","",'COTIZADOR PREST. AUTO'!H96)</f>
        <v/>
      </c>
      <c r="E59" s="362"/>
      <c r="F59" s="361" t="str">
        <f>IF('COTIZADOR PREST. AUTO'!K96="SÍ",IF(D59&lt;&gt;"",IF(cot_periodo="QUINCENAL",'COTIZADOR PREST. AUTO'!J96*2,'COTIZADOR PREST. AUTO'!J96),"FALTA DESCRIPCIÓN"),"")</f>
        <v/>
      </c>
      <c r="G59" s="361"/>
      <c r="H59" s="361" t="str">
        <f>IF('COTIZADOR PREST. AUTO'!K96&lt;&gt;"",IF(D59&lt;&gt;"",IF(cot_periodo="QUINCENAL",'COTIZADOR PREST. AUTO'!J96*2,'COTIZADOR PREST. AUTO'!J96),"FALTA DESCRIPCIÓN"),"")</f>
        <v/>
      </c>
      <c r="I59" s="361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63"/>
      <c r="D60" s="358" t="s">
        <v>558</v>
      </c>
      <c r="E60" s="358"/>
      <c r="F60" s="359">
        <f>SUM(F50:F59)</f>
        <v>0</v>
      </c>
      <c r="G60" s="359"/>
      <c r="H60" s="359">
        <f>SUM(H50:H59)</f>
        <v>0</v>
      </c>
      <c r="I60" s="359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60" t="s">
        <v>570</v>
      </c>
      <c r="D62" s="360"/>
      <c r="E62" s="360"/>
      <c r="F62" s="354">
        <f>SUM(F35,F49,F60)</f>
        <v>0</v>
      </c>
      <c r="G62" s="354"/>
      <c r="H62" s="354">
        <f>SUM(H35,H49,H60)</f>
        <v>0</v>
      </c>
      <c r="I62" s="35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55" t="s">
        <v>571</v>
      </c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56" t="s">
        <v>572</v>
      </c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57" t="s">
        <v>540</v>
      </c>
      <c r="E68" s="357"/>
      <c r="F68" s="357"/>
      <c r="G68" s="357" t="s">
        <v>554</v>
      </c>
      <c r="H68" s="357"/>
      <c r="I68" s="357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52" t="s">
        <v>573</v>
      </c>
      <c r="C69" s="352"/>
      <c r="D69" s="353">
        <f>F23-F62</f>
        <v>0</v>
      </c>
      <c r="E69" s="353"/>
      <c r="F69" s="171">
        <f>IFERROR(D69/$F$23,0)</f>
        <v>0</v>
      </c>
      <c r="G69" s="353">
        <f>H23-H62</f>
        <v>0</v>
      </c>
      <c r="H69" s="353"/>
      <c r="I69" s="171">
        <f>IFERROR(G69/$H$23,0)</f>
        <v>0</v>
      </c>
      <c r="J69" s="154"/>
      <c r="K69" s="168" t="s">
        <v>574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52" t="s">
        <v>575</v>
      </c>
      <c r="C70" s="352"/>
      <c r="D70" s="353">
        <f>IF('COTIZADOR PREST. AUTO'!$K$73="","DATO FALTANTE",'COTIZADOR PREST. AUTO'!$K$73)</f>
        <v>0</v>
      </c>
      <c r="E70" s="353"/>
      <c r="F70" s="172">
        <f>IFERROR(D70/$F$23,0)</f>
        <v>0</v>
      </c>
      <c r="G70" s="353">
        <f>IF('COTIZADOR PREST. AUTO'!$K$73="","DATO FALTANTE",'COTIZADOR PREST. AUTO'!$K$73)</f>
        <v>0</v>
      </c>
      <c r="H70" s="353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52" t="s">
        <v>576</v>
      </c>
      <c r="C71" s="352"/>
      <c r="D71" s="354">
        <f>IFERROR(D69-D70,0)</f>
        <v>0</v>
      </c>
      <c r="E71" s="354"/>
      <c r="F71" s="173">
        <f>IFERROR(D71/F23,0)</f>
        <v>0</v>
      </c>
      <c r="G71" s="354">
        <f>IFERROR(G69-G70,0)</f>
        <v>0</v>
      </c>
      <c r="H71" s="354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48"/>
      <c r="E72" s="348"/>
      <c r="F72" s="348"/>
      <c r="G72" s="348"/>
      <c r="H72" s="348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49" t="s">
        <v>577</v>
      </c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50"/>
      <c r="C76" s="350"/>
      <c r="D76" s="124"/>
      <c r="E76" s="175"/>
      <c r="F76" s="175"/>
      <c r="G76" s="175"/>
      <c r="H76" s="175"/>
      <c r="I76" s="175"/>
      <c r="J76" s="350"/>
      <c r="K76" s="350"/>
      <c r="L76" s="350"/>
      <c r="M76" s="350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51" t="s">
        <v>578</v>
      </c>
      <c r="C77" s="351"/>
      <c r="D77" s="124"/>
      <c r="E77" s="124"/>
      <c r="F77" s="124"/>
      <c r="G77" s="124"/>
      <c r="H77" s="124"/>
      <c r="I77" s="124"/>
      <c r="J77" s="351" t="s">
        <v>579</v>
      </c>
      <c r="K77" s="351"/>
      <c r="L77" s="351"/>
      <c r="M77" s="351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47" t="s">
        <v>580</v>
      </c>
      <c r="C78" s="347"/>
      <c r="D78" s="124"/>
      <c r="E78" s="124"/>
      <c r="F78" s="124"/>
      <c r="G78" s="124"/>
      <c r="H78" s="124"/>
      <c r="I78" s="124"/>
      <c r="J78" s="347" t="str">
        <f>I9</f>
        <v>KENIA SIERRA</v>
      </c>
      <c r="K78" s="347"/>
      <c r="L78" s="347"/>
      <c r="M78" s="347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77" t="str">
        <f>"PROMEDIO EN FICHA / " &amp;'COTIZADOR PREST. AUTO'!C10</f>
        <v xml:space="preserve">PROMEDIO EN FICHA / </v>
      </c>
      <c r="D3" s="377"/>
      <c r="E3" s="377"/>
      <c r="F3" s="377"/>
      <c r="G3" s="377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587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180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539</v>
      </c>
      <c r="D18" s="209">
        <f>SUM(D6:D17)</f>
        <v>0</v>
      </c>
      <c r="E18" s="210" t="str">
        <f>IFERROR("ENTRE "&amp;COUNT(D6:D17),"")</f>
        <v>ENTRE 0</v>
      </c>
      <c r="F18" s="203" t="s">
        <v>588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589</v>
      </c>
      <c r="F20" s="214" t="s">
        <v>99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75" t="s">
        <v>581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74" t="s">
        <v>548</v>
      </c>
      <c r="I5" s="374"/>
      <c r="J5" s="374"/>
      <c r="K5" s="373" t="str">
        <f>IF('COTIZADOR PREST. AUTO'!$D$6="","FALTA NOMBRE DE OFICIAL",'COTIZADOR PREST. AUTO'!$D$6)</f>
        <v>KENIA SIERRA</v>
      </c>
      <c r="L5" s="373"/>
      <c r="M5" s="373"/>
      <c r="N5" s="373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76" t="s">
        <v>544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88" t="s">
        <v>93</v>
      </c>
      <c r="C7" s="388"/>
      <c r="D7" s="388"/>
      <c r="E7" s="388"/>
      <c r="F7" s="176"/>
      <c r="G7" s="176"/>
      <c r="H7" s="388" t="s">
        <v>111</v>
      </c>
      <c r="I7" s="388"/>
      <c r="J7" s="388"/>
      <c r="K7" s="388"/>
      <c r="L7" s="388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74" t="s">
        <v>546</v>
      </c>
      <c r="B9" s="374"/>
      <c r="C9" s="387" t="str">
        <f>IF('COTIZADOR PREST. AUTO'!C10="","FALTA NOMBRE DEL CLIENTE",'COTIZADOR PREST. AUTO'!C10)</f>
        <v>FALTA NOMBRE DEL CLIENTE</v>
      </c>
      <c r="D9" s="387"/>
      <c r="E9" s="387"/>
      <c r="F9" s="123"/>
      <c r="G9" s="374" t="s">
        <v>546</v>
      </c>
      <c r="H9" s="374"/>
      <c r="I9" s="374"/>
      <c r="J9" s="387" t="str">
        <f>IF('COTIZADOR PREST. AUTO'!E103="","FALTA NOMBRE DEL FIADOR",'COTIZADOR PREST. AUTO'!E103)</f>
        <v>FALTA NOMBRE DEL FIADOR</v>
      </c>
      <c r="K9" s="387"/>
      <c r="L9" s="387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86" t="s">
        <v>545</v>
      </c>
      <c r="B10" s="386"/>
      <c r="C10" s="387" t="str">
        <f>IF('COTIZADOR PREST. AUTO'!$G$10="","FALTA CÉDULA DEL CLIENTE",'COTIZADOR PREST. AUTO'!$G$10)</f>
        <v>FALTA CÉDULA DEL CLIENTE</v>
      </c>
      <c r="D10" s="387"/>
      <c r="E10" s="387"/>
      <c r="F10" s="129"/>
      <c r="G10" s="374" t="s">
        <v>545</v>
      </c>
      <c r="H10" s="374"/>
      <c r="I10" s="374"/>
      <c r="J10" s="385" t="str">
        <f>IF('COTIZADOR PREST. AUTO'!E105="","FALTA CÉDULA DEL FIADOR",'COTIZADOR PREST. AUTO'!E105)</f>
        <v>FALTA CÉDULA DEL FIADOR</v>
      </c>
      <c r="K10" s="385"/>
      <c r="L10" s="385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86" t="s">
        <v>547</v>
      </c>
      <c r="B11" s="386"/>
      <c r="C11" s="387" t="str">
        <f>IF(cot_cartera="","FALTA CARTERA DEL CLIENTE",cot_cartera)</f>
        <v>FALTA CARTERA DEL CLIENTE</v>
      </c>
      <c r="D11" s="387"/>
      <c r="E11" s="387"/>
      <c r="F11" s="123"/>
      <c r="G11" s="374" t="s">
        <v>547</v>
      </c>
      <c r="H11" s="374"/>
      <c r="I11" s="374"/>
      <c r="J11" s="385" t="str">
        <f>IF('COTIZADOR PREST. AUTO'!J103="","FALTA CARTERA DEL FIADOR",'COTIZADOR PREST. AUTO'!J103)</f>
        <v>FALTA CARTERA DEL FIADOR</v>
      </c>
      <c r="K11" s="385"/>
      <c r="L11" s="385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86" t="s">
        <v>549</v>
      </c>
      <c r="B12" s="386"/>
      <c r="C12" s="387" t="str">
        <f>IF('COTIZADOR PREST. AUTO'!E50="","FALTA REGISTRAR",'COTIZADOR PREST. AUTO'!E50)</f>
        <v>FALTA REGISTRAR</v>
      </c>
      <c r="D12" s="387"/>
      <c r="E12" s="387"/>
      <c r="F12" s="129"/>
      <c r="G12" s="374" t="s">
        <v>549</v>
      </c>
      <c r="H12" s="374"/>
      <c r="I12" s="374"/>
      <c r="J12" s="387" t="str">
        <f>IF('COTIZADOR PREST. AUTO'!J105="","FALTA REGISTRAR",'COTIZADOR PREST. AUTO'!J105)</f>
        <v>FALTA REGISTRAR</v>
      </c>
      <c r="K12" s="387"/>
      <c r="L12" s="387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550</v>
      </c>
      <c r="C13" s="385" t="str">
        <f>IF('COTIZADOR PREST. AUTO'!E52="","FALTA REGISTRAR",'COTIZADOR PREST. AUTO'!E52)</f>
        <v>FALTA REGISTRAR</v>
      </c>
      <c r="D13" s="385"/>
      <c r="E13" s="385"/>
      <c r="F13" s="129"/>
      <c r="G13" s="374" t="s">
        <v>582</v>
      </c>
      <c r="H13" s="374"/>
      <c r="I13" s="374"/>
      <c r="J13" s="385" t="str">
        <f>IF('COTIZADOR PREST. AUTO'!J107="","FALTA REGISTRAR",'COTIZADOR PREST. AUTO'!J107)</f>
        <v>FALTA REGISTRAR</v>
      </c>
      <c r="K13" s="385"/>
      <c r="L13" s="385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71" t="s">
        <v>551</v>
      </c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49" t="s">
        <v>552</v>
      </c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553</v>
      </c>
      <c r="C19" s="139" t="s">
        <v>540</v>
      </c>
      <c r="D19" s="372" t="s">
        <v>554</v>
      </c>
      <c r="E19" s="372"/>
      <c r="F19" s="140" t="s">
        <v>555</v>
      </c>
      <c r="G19" s="124"/>
      <c r="H19" s="372" t="s">
        <v>553</v>
      </c>
      <c r="I19" s="372"/>
      <c r="J19" s="372" t="s">
        <v>540</v>
      </c>
      <c r="K19" s="372"/>
      <c r="L19" s="372" t="s">
        <v>554</v>
      </c>
      <c r="M19" s="372"/>
      <c r="N19" s="140" t="s">
        <v>555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556</v>
      </c>
      <c r="C20" s="142">
        <f>IF(salarioBase="","",IF(cot_periodo="QUINCENAL",salarioBase*2,salarioBase))</f>
        <v>0</v>
      </c>
      <c r="D20" s="367">
        <f>C20</f>
        <v>0</v>
      </c>
      <c r="E20" s="367"/>
      <c r="F20" s="143" t="str">
        <f>IF('COTIZADOR PREST. AUTO'!E51="INDEPENDIENTE","","+")</f>
        <v>+</v>
      </c>
      <c r="G20" s="124"/>
      <c r="H20" s="366" t="s">
        <v>556</v>
      </c>
      <c r="I20" s="366"/>
      <c r="J20" s="367" t="str">
        <f>IF('COTIZADOR PREST. AUTO'!E113="","",IF('COTIZADOR PREST. AUTO'!E109="QUINCENAL",'COTIZADOR PREST. AUTO'!E113*2,'COTIZADOR PREST. AUTO'!E113))</f>
        <v/>
      </c>
      <c r="K20" s="367"/>
      <c r="L20" s="367" t="str">
        <f>J20</f>
        <v/>
      </c>
      <c r="M20" s="367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557</v>
      </c>
      <c r="D21" s="367" t="str">
        <f>IF('COTIZADOR PREST. AUTO'!J78="","",'COTIZADOR PREST. AUTO'!J78)</f>
        <v/>
      </c>
      <c r="E21" s="367"/>
      <c r="F21" s="143" t="str">
        <f>IF($C$11="INDEPENDIENTE","",IF('COTIZADOR PREST. AUTO'!K78="SÍ","+",""))</f>
        <v/>
      </c>
      <c r="G21" s="124"/>
      <c r="H21" s="366" t="str">
        <f>IF('COTIZADOR PREST. AUTO'!H114="","",'COTIZADOR PREST. AUTO'!H114)</f>
        <v>Plan vehícular</v>
      </c>
      <c r="I21" s="366"/>
      <c r="J21" s="367" t="s">
        <v>557</v>
      </c>
      <c r="K21" s="367"/>
      <c r="L21" s="367" t="str">
        <f>IF('COTIZADOR PREST. AUTO'!J114="","",IF('COTIZADOR PREST. AUTO'!$E$109="QUINCENAL",'COTIZADOR PREST. AUTO'!J114*2,'COTIZADOR PREST. AUTO'!J114))</f>
        <v/>
      </c>
      <c r="M21" s="367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557</v>
      </c>
      <c r="D22" s="384" t="str">
        <f>IF('COTIZADOR PREST. AUTO'!J79="","",'COTIZADOR PREST. AUTO'!J79)</f>
        <v/>
      </c>
      <c r="E22" s="384"/>
      <c r="F22" s="143" t="str">
        <f>IF($C$11="INDEPENDIENTE","",IF('COTIZADOR PREST. AUTO'!K79="SÍ","+",""))</f>
        <v/>
      </c>
      <c r="G22" s="124"/>
      <c r="H22" s="366" t="str">
        <f>IF('COTIZADOR PREST. AUTO'!H115="","",'COTIZADOR PREST. AUTO'!H115)</f>
        <v>Prima de producción</v>
      </c>
      <c r="I22" s="366"/>
      <c r="J22" s="367" t="s">
        <v>557</v>
      </c>
      <c r="K22" s="367"/>
      <c r="L22" s="367" t="str">
        <f>IF('COTIZADOR PREST. AUTO'!J115="","",IF('COTIZADOR PREST. AUTO'!$E$109="QUINCENAL",'COTIZADOR PREST. AUTO'!J115*2,'COTIZADOR PREST. AUTO'!J115))</f>
        <v/>
      </c>
      <c r="M22" s="367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557</v>
      </c>
      <c r="D23" s="367" t="str">
        <f>IF('COTIZADOR PREST. AUTO'!J80="","",'COTIZADOR PREST. AUTO'!J80)</f>
        <v/>
      </c>
      <c r="E23" s="367"/>
      <c r="F23" s="143" t="str">
        <f>IF($C$11="INDEPENDIENTE","",IF('COTIZADOR PREST. AUTO'!K80="SÍ","+",""))</f>
        <v/>
      </c>
      <c r="G23" s="124"/>
      <c r="H23" s="366" t="str">
        <f>IF('COTIZADOR PREST. AUTO'!H116="","",'COTIZADOR PREST. AUTO'!H116)</f>
        <v>Bonos</v>
      </c>
      <c r="I23" s="366"/>
      <c r="J23" s="367" t="s">
        <v>557</v>
      </c>
      <c r="K23" s="367"/>
      <c r="L23" s="367" t="str">
        <f>IF('COTIZADOR PREST. AUTO'!J116="","",IF('COTIZADOR PREST. AUTO'!$E$109="QUINCENAL",'COTIZADOR PREST. AUTO'!J116*2,'COTIZADOR PREST. AUTO'!J116))</f>
        <v/>
      </c>
      <c r="M23" s="367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557</v>
      </c>
      <c r="D24" s="367" t="str">
        <f>IF('COTIZADOR PREST. AUTO'!J81="","",'COTIZADOR PREST. AUTO'!J81)</f>
        <v/>
      </c>
      <c r="E24" s="367"/>
      <c r="F24" s="143" t="str">
        <f>IF($C$11="INDEPENDIENTE","",IF('COTIZADOR PREST. AUTO'!K81="SÍ","+",""))</f>
        <v/>
      </c>
      <c r="G24" s="124"/>
      <c r="H24" s="366" t="str">
        <f>IF('COTIZADOR PREST. AUTO'!H117="","",'COTIZADOR PREST. AUTO'!H117)</f>
        <v>Otros</v>
      </c>
      <c r="I24" s="366"/>
      <c r="J24" s="367" t="s">
        <v>557</v>
      </c>
      <c r="K24" s="367"/>
      <c r="L24" s="367" t="str">
        <f>IF('COTIZADOR PREST. AUTO'!J117="","",IF('COTIZADOR PREST. AUTO'!$E$109="QUINCENAL",'COTIZADOR PREST. AUTO'!J117*2,'COTIZADOR PREST. AUTO'!J117))</f>
        <v/>
      </c>
      <c r="M24" s="367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558</v>
      </c>
      <c r="C25" s="146">
        <f>SUM(C20:C24)</f>
        <v>0</v>
      </c>
      <c r="D25" s="369">
        <f>SUM(D20:D24)</f>
        <v>0</v>
      </c>
      <c r="E25" s="369"/>
      <c r="F25" s="147"/>
      <c r="G25" s="147"/>
      <c r="H25" s="368" t="s">
        <v>558</v>
      </c>
      <c r="I25" s="368"/>
      <c r="J25" s="369">
        <f>SUM(J20:J24)</f>
        <v>0</v>
      </c>
      <c r="K25" s="369"/>
      <c r="L25" s="383">
        <f>SUM(L20:L24)</f>
        <v>0</v>
      </c>
      <c r="M25" s="383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70" t="s">
        <v>559</v>
      </c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79" t="s">
        <v>583</v>
      </c>
      <c r="E28" s="379"/>
      <c r="F28" s="379"/>
      <c r="G28" s="379"/>
      <c r="H28" s="379"/>
      <c r="I28" s="379"/>
      <c r="J28" s="354">
        <f>SUM(C25,J25)</f>
        <v>0</v>
      </c>
      <c r="K28" s="354"/>
      <c r="L28" s="354">
        <f>SUM(D25,L25)</f>
        <v>0</v>
      </c>
      <c r="M28" s="35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71" t="s">
        <v>560</v>
      </c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82" t="s">
        <v>561</v>
      </c>
      <c r="C32" s="382"/>
      <c r="D32" s="382"/>
      <c r="E32" s="382"/>
      <c r="F32" s="180"/>
      <c r="G32" s="180"/>
      <c r="H32" s="364" t="s">
        <v>561</v>
      </c>
      <c r="I32" s="364"/>
      <c r="J32" s="364"/>
      <c r="K32" s="364"/>
      <c r="L32" s="364"/>
      <c r="M32" s="364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553</v>
      </c>
      <c r="C33" s="139" t="s">
        <v>540</v>
      </c>
      <c r="D33" s="372" t="s">
        <v>554</v>
      </c>
      <c r="E33" s="372"/>
      <c r="F33" s="180"/>
      <c r="G33" s="180"/>
      <c r="H33" s="372" t="s">
        <v>553</v>
      </c>
      <c r="I33" s="372"/>
      <c r="J33" s="372" t="s">
        <v>540</v>
      </c>
      <c r="K33" s="372"/>
      <c r="L33" s="372" t="s">
        <v>554</v>
      </c>
      <c r="M33" s="372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562</v>
      </c>
      <c r="C34" s="142">
        <f>IF(C11=AUX!N203,0,IF(OR(C11=AUX!F203,C11=AUX!K203,C11=AUX!M203,C11=AUX!H203),(SUMIF(F20:F24,"+",C20:C24)*6.75)/100,(SUMIF(F20:F24,"+",C20:C24)*9.75)/100))</f>
        <v>0</v>
      </c>
      <c r="D34" s="367">
        <f>IF(C11=AUX!N203,0,IF(OR(C11=AUX!F203,C11=AUX!K203,C11=AUX!M203,C11=AUX!H203),(SUMIF(F20:F24,"+",D20:D24)*6.75)/100,(SUMIF(F20:F24,"+",D20:D24)*9.75)/100))</f>
        <v>0</v>
      </c>
      <c r="E34" s="367"/>
      <c r="F34" s="180"/>
      <c r="G34" s="180"/>
      <c r="H34" s="366" t="s">
        <v>562</v>
      </c>
      <c r="I34" s="366"/>
      <c r="J34" s="367">
        <f>IF(J11=AUX!N203,0,IF(OR(J11=AUX!F203,J11=AUX!K203,J11=AUX!M203,J11=AUX!H203),(SUMIF(N20:N24,"+",J20:J24)*6.75)/100,(SUMIF(N20:N24,"+",J20:J24)*9.75)/100))</f>
        <v>0</v>
      </c>
      <c r="K34" s="367"/>
      <c r="L34" s="367">
        <f>IF(J11=AUX!N203,0,IF(OR(J11=AUX!F203,J11=AUX!K203,J11=AUX!M203,J11=AUX!H203),(SUMIF(N20:N24,"+",L20:L24)*6.75)/100,(SUMIF(N20:N24,"+",L20:L24)*9.75)/100))</f>
        <v>0</v>
      </c>
      <c r="M34" s="367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563</v>
      </c>
      <c r="C35" s="142">
        <f>IF(OR(C11=AUX!F203,C11=AUX!K203,C11=AUX!M203,C11=AUX!H203,C11=AUX!N203),0,(SUMIF(F20:F24,"+",C20:C24)*1.25)/100)</f>
        <v>0</v>
      </c>
      <c r="D35" s="367">
        <f>IF(OR(C11=AUX!F203,C11=AUX!K203,C11=AUX!M203,C11=AUX!H203,C11=AUX!N203),0,(SUMIF(F20:F24,"+",D20:D24)*1.25)/100)</f>
        <v>0</v>
      </c>
      <c r="E35" s="367"/>
      <c r="F35" s="180"/>
      <c r="G35" s="180"/>
      <c r="H35" s="366" t="s">
        <v>563</v>
      </c>
      <c r="I35" s="366"/>
      <c r="J35" s="367">
        <f>IF(OR(J11=AUX!F203,J11=AUX!K203,J11=AUX!M203,J11=AUX!H203),0,(SUMIF(N20:N24,"+",J20:J24)*1.25)/100)</f>
        <v>0</v>
      </c>
      <c r="K35" s="367"/>
      <c r="L35" s="367">
        <f>IF(OR(J11=AUX!F203,J11=AUX!K203,J11=AUX!M203,J11=AUX!H203),0,(SUMIF(N20:N24,"+",L20:L24)*1.25)/100)</f>
        <v>0</v>
      </c>
      <c r="M35" s="367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564</v>
      </c>
      <c r="C36" s="142">
        <f>IFERROR(IF(OR(C11=AUX!F203,C11=AUX!K203,C11=AUX!M203,C11=AUX!H203,C11=AUX!N203),0,AUX!E224/13),0)</f>
        <v>0</v>
      </c>
      <c r="D36" s="367">
        <f>IFERROR(IF(OR(C11=AUX!F203,C11=AUX!K203,C11=AUX!M203,C11=AUX!H203,C11=AUX!N203),0,AUX!E225/13),0)</f>
        <v>0</v>
      </c>
      <c r="E36" s="367"/>
      <c r="F36" s="180"/>
      <c r="G36" s="180"/>
      <c r="H36" s="366" t="s">
        <v>564</v>
      </c>
      <c r="I36" s="366"/>
      <c r="J36" s="367">
        <f>IFERROR(IF(OR(J11=AUX!F203,J11=AUX!K203,J11=AUX!M203,J11=AUX!H203),0,AUX!E229/13),0)</f>
        <v>0</v>
      </c>
      <c r="K36" s="367"/>
      <c r="L36" s="367">
        <f>IFERROR(IF(OR(J11=AUX!F203,J11=AUX!K203,J11=AUX!M203,J11=AUX!H203),0,AUX!E230/13),0)</f>
        <v>0</v>
      </c>
      <c r="M36" s="367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565</v>
      </c>
      <c r="C37" s="142" t="str">
        <f>IF('COTIZADOR PREST. AUTO'!E87="","N/A",'COTIZADOR PREST. AUTO'!E87)</f>
        <v>N/A</v>
      </c>
      <c r="D37" s="367" t="str">
        <f>C37</f>
        <v>N/A</v>
      </c>
      <c r="E37" s="367"/>
      <c r="F37" s="180"/>
      <c r="G37" s="180"/>
      <c r="H37" s="366" t="s">
        <v>565</v>
      </c>
      <c r="I37" s="366"/>
      <c r="J37" s="367" t="str">
        <f>IF('COTIZADOR PREST. AUTO'!E123="","N/A",'COTIZADOR PREST. AUTO'!E106)</f>
        <v>N/A</v>
      </c>
      <c r="K37" s="367"/>
      <c r="L37" s="367" t="str">
        <f>J37</f>
        <v>N/A</v>
      </c>
      <c r="M37" s="367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566</v>
      </c>
      <c r="C38" s="142" t="str">
        <f>IF('COTIZADOR PREST. AUTO'!E88="","N/A",'COTIZADOR PREST. AUTO'!E88)</f>
        <v>N/A</v>
      </c>
      <c r="D38" s="367" t="str">
        <f>C38</f>
        <v>N/A</v>
      </c>
      <c r="E38" s="367"/>
      <c r="F38" s="180"/>
      <c r="G38" s="180"/>
      <c r="H38" s="366" t="s">
        <v>566</v>
      </c>
      <c r="I38" s="366"/>
      <c r="J38" s="367" t="str">
        <f>IF('COTIZADOR PREST. AUTO'!E124="","N/A",'COTIZADOR PREST. AUTO'!E107)</f>
        <v>N/A</v>
      </c>
      <c r="K38" s="367"/>
      <c r="L38" s="367" t="str">
        <f>J38</f>
        <v>N/A</v>
      </c>
      <c r="M38" s="367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558</v>
      </c>
      <c r="C39" s="146">
        <f>SUM(C34:C38)</f>
        <v>0</v>
      </c>
      <c r="D39" s="369">
        <f>SUM(D34:D38)</f>
        <v>0</v>
      </c>
      <c r="E39" s="369"/>
      <c r="F39" s="180"/>
      <c r="G39" s="180"/>
      <c r="H39" s="368" t="s">
        <v>558</v>
      </c>
      <c r="I39" s="368"/>
      <c r="J39" s="369">
        <f>SUM(J34:J38)</f>
        <v>0</v>
      </c>
      <c r="K39" s="369"/>
      <c r="L39" s="369">
        <f>SUM(L34:L38)</f>
        <v>0</v>
      </c>
      <c r="M39" s="369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82" t="s">
        <v>567</v>
      </c>
      <c r="C41" s="382"/>
      <c r="D41" s="382"/>
      <c r="E41" s="382"/>
      <c r="F41" s="180"/>
      <c r="G41" s="180"/>
      <c r="H41" s="364" t="s">
        <v>567</v>
      </c>
      <c r="I41" s="364"/>
      <c r="J41" s="364"/>
      <c r="K41" s="364"/>
      <c r="L41" s="364"/>
      <c r="M41" s="364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553</v>
      </c>
      <c r="C42" s="181" t="s">
        <v>540</v>
      </c>
      <c r="D42" s="372" t="s">
        <v>554</v>
      </c>
      <c r="E42" s="372"/>
      <c r="F42" s="180"/>
      <c r="G42" s="123"/>
      <c r="H42" s="372" t="s">
        <v>553</v>
      </c>
      <c r="I42" s="372"/>
      <c r="J42" s="372" t="s">
        <v>540</v>
      </c>
      <c r="K42" s="372"/>
      <c r="L42" s="372" t="s">
        <v>554</v>
      </c>
      <c r="M42" s="372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81" t="s">
        <v>568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67" t="str">
        <f>IF('COTIZADOR PREST. AUTO'!F89&lt;&gt;"",IF(B43&lt;&gt;"",IF(cot_periodo="QUINCENAL",'COTIZADOR PREST. AUTO'!$E89*2,'COTIZADOR PREST. AUTO'!$E89),"FALTA DESCRIPCIÓN"),"")</f>
        <v/>
      </c>
      <c r="E43" s="367"/>
      <c r="F43" s="180"/>
      <c r="G43" s="381" t="s">
        <v>568</v>
      </c>
      <c r="H43" s="366" t="str">
        <f>IF('COTIZADOR PREST. AUTO'!C125="","",'COTIZADOR PREST. AUTO'!C125)</f>
        <v/>
      </c>
      <c r="I43" s="366"/>
      <c r="J43" s="367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67"/>
      <c r="L43" s="367" t="str">
        <f>IF('COTIZADOR PREST. AUTO'!F125&lt;&gt;"",IF(H43&lt;&gt;"",IF('COTIZADOR PREST. AUTO'!$E$109="QUINCENAL",'COTIZADOR PREST. AUTO'!$E125*2,'COTIZADOR PREST. AUTO'!$E125),"FALTA DESCRIPCIÓN"),"")</f>
        <v/>
      </c>
      <c r="M43" s="367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81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67" t="str">
        <f>IF('COTIZADOR PREST. AUTO'!F90&lt;&gt;"",IF(B44&lt;&gt;"",IF(cot_periodo="QUINCENAL",'COTIZADOR PREST. AUTO'!$E90*2,'COTIZADOR PREST. AUTO'!$E90),"FALTA DESCRIPCIÓN"),"")</f>
        <v/>
      </c>
      <c r="E44" s="367"/>
      <c r="F44" s="180"/>
      <c r="G44" s="381"/>
      <c r="H44" s="366" t="str">
        <f>IF('COTIZADOR PREST. AUTO'!C126="","",'COTIZADOR PREST. AUTO'!C126)</f>
        <v/>
      </c>
      <c r="I44" s="366"/>
      <c r="J44" s="367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67"/>
      <c r="L44" s="367" t="str">
        <f>IF('COTIZADOR PREST. AUTO'!F126&lt;&gt;"",IF(H44&lt;&gt;"",IF('COTIZADOR PREST. AUTO'!$E$109="QUINCENAL",'COTIZADOR PREST. AUTO'!$E126*2,'COTIZADOR PREST. AUTO'!$E126),"FALTA DESCRIPCIÓN"),"")</f>
        <v/>
      </c>
      <c r="M44" s="367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81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67" t="str">
        <f>IF('COTIZADOR PREST. AUTO'!F91&lt;&gt;"",IF(B45&lt;&gt;"",IF(cot_periodo="QUINCENAL",'COTIZADOR PREST. AUTO'!$E91*2,'COTIZADOR PREST. AUTO'!$E91),"FALTA DESCRIPCIÓN"),"")</f>
        <v/>
      </c>
      <c r="E45" s="367"/>
      <c r="F45" s="180"/>
      <c r="G45" s="381"/>
      <c r="H45" s="366" t="str">
        <f>IF('COTIZADOR PREST. AUTO'!C127="","",'COTIZADOR PREST. AUTO'!C127)</f>
        <v/>
      </c>
      <c r="I45" s="366"/>
      <c r="J45" s="367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67"/>
      <c r="L45" s="367" t="str">
        <f>IF('COTIZADOR PREST. AUTO'!F127&lt;&gt;"",IF(H45&lt;&gt;"",IF('COTIZADOR PREST. AUTO'!$E$109="QUINCENAL",'COTIZADOR PREST. AUTO'!$E127*2,'COTIZADOR PREST. AUTO'!$E127),"FALTA DESCRIPCIÓN"),"")</f>
        <v/>
      </c>
      <c r="M45" s="367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81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67" t="str">
        <f>IF('COTIZADOR PREST. AUTO'!F92&lt;&gt;"",IF(B46&lt;&gt;"",IF(cot_periodo="QUINCENAL",'COTIZADOR PREST. AUTO'!$E92*2,'COTIZADOR PREST. AUTO'!$E92),"FALTA DESCRIPCIÓN"),"")</f>
        <v/>
      </c>
      <c r="E46" s="367"/>
      <c r="F46" s="180"/>
      <c r="G46" s="381"/>
      <c r="H46" s="366" t="str">
        <f>IF('COTIZADOR PREST. AUTO'!C128="","",'COTIZADOR PREST. AUTO'!C128)</f>
        <v/>
      </c>
      <c r="I46" s="366"/>
      <c r="J46" s="367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67"/>
      <c r="L46" s="367" t="str">
        <f>IF('COTIZADOR PREST. AUTO'!F128&lt;&gt;"",IF(H46&lt;&gt;"",IF('COTIZADOR PREST. AUTO'!$E$109="QUINCENAL",'COTIZADOR PREST. AUTO'!$E128*2,'COTIZADOR PREST. AUTO'!$E128),"FALTA DESCRIPCIÓN"),"")</f>
        <v/>
      </c>
      <c r="M46" s="367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81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67" t="str">
        <f>IF('COTIZADOR PREST. AUTO'!F93&lt;&gt;"",IF(B47&lt;&gt;"",IF(cot_periodo="QUINCENAL",'COTIZADOR PREST. AUTO'!$E93*2,'COTIZADOR PREST. AUTO'!$E93),"FALTA DESCRIPCIÓN"),"")</f>
        <v/>
      </c>
      <c r="E47" s="367"/>
      <c r="F47" s="180"/>
      <c r="G47" s="381"/>
      <c r="H47" s="366" t="str">
        <f>IF('COTIZADOR PREST. AUTO'!C129="","",'COTIZADOR PREST. AUTO'!C129)</f>
        <v/>
      </c>
      <c r="I47" s="366"/>
      <c r="J47" s="367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67"/>
      <c r="L47" s="367" t="str">
        <f>IF('COTIZADOR PREST. AUTO'!F129&lt;&gt;"",IF(H47&lt;&gt;"",IF('COTIZADOR PREST. AUTO'!$E$109="QUINCENAL",'COTIZADOR PREST. AUTO'!$E129*2,'COTIZADOR PREST. AUTO'!$E129),"FALTA DESCRIPCIÓN"),"")</f>
        <v/>
      </c>
      <c r="M47" s="367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81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67" t="str">
        <f>IF('COTIZADOR PREST. AUTO'!F94&lt;&gt;"",IF(B48&lt;&gt;"",IF(cot_periodo="QUINCENAL",'COTIZADOR PREST. AUTO'!$E94*2,'COTIZADOR PREST. AUTO'!$E94),"FALTA DESCRIPCIÓN"),"")</f>
        <v/>
      </c>
      <c r="E48" s="367"/>
      <c r="F48" s="180"/>
      <c r="G48" s="381"/>
      <c r="H48" s="366" t="str">
        <f>IF('COTIZADOR PREST. AUTO'!C130="","",'COTIZADOR PREST. AUTO'!C130)</f>
        <v/>
      </c>
      <c r="I48" s="366"/>
      <c r="J48" s="367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67"/>
      <c r="L48" s="367" t="str">
        <f>IF('COTIZADOR PREST. AUTO'!F130&lt;&gt;"",IF(H48&lt;&gt;"",IF('COTIZADOR PREST. AUTO'!$E$109="QUINCENAL",'COTIZADOR PREST. AUTO'!$E130*2,'COTIZADOR PREST. AUTO'!$E130),"FALTA DESCRIPCIÓN"),"")</f>
        <v/>
      </c>
      <c r="M48" s="367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81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67" t="str">
        <f>IF('COTIZADOR PREST. AUTO'!F95&lt;&gt;"",IF(B49&lt;&gt;"",IF(cot_periodo="QUINCENAL",'COTIZADOR PREST. AUTO'!$E95*2,'COTIZADOR PREST. AUTO'!$E95),"FALTA DESCRIPCIÓN"),"")</f>
        <v/>
      </c>
      <c r="E49" s="367"/>
      <c r="F49" s="180"/>
      <c r="G49" s="381"/>
      <c r="H49" s="366" t="str">
        <f>IF('COTIZADOR PREST. AUTO'!C131="","",'COTIZADOR PREST. AUTO'!C131)</f>
        <v/>
      </c>
      <c r="I49" s="366"/>
      <c r="J49" s="367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67"/>
      <c r="L49" s="367" t="str">
        <f>IF('COTIZADOR PREST. AUTO'!F131&lt;&gt;"",IF(H49&lt;&gt;"",IF('COTIZADOR PREST. AUTO'!$E$109="QUINCENAL",'COTIZADOR PREST. AUTO'!$E131*2,'COTIZADOR PREST. AUTO'!$E131),"FALTA DESCRIPCIÓN"),"")</f>
        <v/>
      </c>
      <c r="M49" s="367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81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67" t="str">
        <f>IF('COTIZADOR PREST. AUTO'!F96&lt;&gt;"",IF(B50&lt;&gt;"",IF(cot_periodo="QUINCENAL",'COTIZADOR PREST. AUTO'!$E96*2,'COTIZADOR PREST. AUTO'!$E96),"FALTA DESCRIPCIÓN"),"")</f>
        <v/>
      </c>
      <c r="E50" s="367"/>
      <c r="F50" s="180"/>
      <c r="G50" s="381"/>
      <c r="H50" s="366" t="str">
        <f>IF('COTIZADOR PREST. AUTO'!C132="","",'COTIZADOR PREST. AUTO'!C132)</f>
        <v/>
      </c>
      <c r="I50" s="366"/>
      <c r="J50" s="367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67"/>
      <c r="L50" s="367" t="str">
        <f>IF('COTIZADOR PREST. AUTO'!F132&lt;&gt;"",IF(H50&lt;&gt;"",IF('COTIZADOR PREST. AUTO'!$E$109="QUINCENAL",'COTIZADOR PREST. AUTO'!$E132*2,'COTIZADOR PREST. AUTO'!$E132),"FALTA DESCRIPCIÓN"),"")</f>
        <v/>
      </c>
      <c r="M50" s="367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81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67" t="str">
        <f>IF('COTIZADOR PREST. AUTO'!F97&lt;&gt;"",IF(B51&lt;&gt;"",IF(cot_periodo="QUINCENAL",'COTIZADOR PREST. AUTO'!$E97*2,'COTIZADOR PREST. AUTO'!$E97),"FALTA DESCRIPCIÓN"),"")</f>
        <v/>
      </c>
      <c r="E51" s="367"/>
      <c r="F51" s="180"/>
      <c r="G51" s="381"/>
      <c r="H51" s="366" t="str">
        <f>IF('COTIZADOR PREST. AUTO'!C133="","",'COTIZADOR PREST. AUTO'!C133)</f>
        <v/>
      </c>
      <c r="I51" s="366"/>
      <c r="J51" s="367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67"/>
      <c r="L51" s="367" t="str">
        <f>IF('COTIZADOR PREST. AUTO'!F133&lt;&gt;"",IF(H51&lt;&gt;"",IF('COTIZADOR PREST. AUTO'!$E$109="QUINCENAL",'COTIZADOR PREST. AUTO'!$E133*2,'COTIZADOR PREST. AUTO'!$E133),"FALTA DESCRIPCIÓN"),"")</f>
        <v/>
      </c>
      <c r="M51" s="367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81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67" t="str">
        <f>IF('COTIZADOR PREST. AUTO'!F98&lt;&gt;"",IF(B52&lt;&gt;"",IF(cot_periodo="QUINCENAL",'COTIZADOR PREST. AUTO'!$E98*2,'COTIZADOR PREST. AUTO'!$E98),"FALTA DESCRIPCIÓN"),"")</f>
        <v/>
      </c>
      <c r="E52" s="367"/>
      <c r="F52" s="180"/>
      <c r="G52" s="381"/>
      <c r="H52" s="366" t="str">
        <f>IF('COTIZADOR PREST. AUTO'!E134="","",'COTIZADOR PREST. AUTO'!E134)</f>
        <v/>
      </c>
      <c r="I52" s="366"/>
      <c r="J52" s="367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67"/>
      <c r="L52" s="367" t="str">
        <f>IF('COTIZADOR PREST. AUTO'!F134&lt;&gt;"",IF(H52&lt;&gt;"",IF('COTIZADOR PREST. AUTO'!$E$109="QUINCENAL",'COTIZADOR PREST. AUTO'!$E134*2,'COTIZADOR PREST. AUTO'!$E134),"FALTA DESCRIPCIÓN"),"")</f>
        <v/>
      </c>
      <c r="M52" s="367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81"/>
      <c r="B53" s="159" t="s">
        <v>584</v>
      </c>
      <c r="C53" s="183">
        <f>SUM(C43:C52)</f>
        <v>0</v>
      </c>
      <c r="D53" s="369">
        <f>SUM(D43:D52)</f>
        <v>0</v>
      </c>
      <c r="E53" s="369"/>
      <c r="F53" s="180"/>
      <c r="G53" s="381"/>
      <c r="H53" s="380" t="s">
        <v>584</v>
      </c>
      <c r="I53" s="380"/>
      <c r="J53" s="369">
        <f>SUM(J43:J52)</f>
        <v>0</v>
      </c>
      <c r="K53" s="369"/>
      <c r="L53" s="369">
        <f>SUM(L43:L52)</f>
        <v>0</v>
      </c>
      <c r="M53" s="369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81" t="s">
        <v>569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67" t="str">
        <f>IF('COTIZADOR PREST. AUTO'!K87&lt;&gt;"",IF(B54&lt;&gt;"",IF(cot_periodo="QUINCENAL",'COTIZADOR PREST. AUTO'!J87*2,'COTIZADOR PREST. AUTO'!J87),"FALTA DESCRIPCIÓN"),"")</f>
        <v/>
      </c>
      <c r="E54" s="367"/>
      <c r="F54" s="180"/>
      <c r="G54" s="381" t="s">
        <v>569</v>
      </c>
      <c r="H54" s="366" t="str">
        <f>IF('COTIZADOR PREST. AUTO'!H123="","",'COTIZADOR PREST. AUTO'!H123)</f>
        <v/>
      </c>
      <c r="I54" s="366"/>
      <c r="J54" s="367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67"/>
      <c r="L54" s="367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67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81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67" t="str">
        <f>IF('COTIZADOR PREST. AUTO'!K88&lt;&gt;"",IF(B55&lt;&gt;"",IF(cot_periodo="QUINCENAL",'COTIZADOR PREST. AUTO'!J88*2,'COTIZADOR PREST. AUTO'!J88),"FALTA DESCRIPCIÓN"),"")</f>
        <v/>
      </c>
      <c r="E55" s="367"/>
      <c r="F55" s="180"/>
      <c r="G55" s="381"/>
      <c r="H55" s="366" t="str">
        <f>IF('COTIZADOR PREST. AUTO'!H124="","",'COTIZADOR PREST. AUTO'!H124)</f>
        <v/>
      </c>
      <c r="I55" s="366"/>
      <c r="J55" s="367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67"/>
      <c r="L55" s="367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67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81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67" t="str">
        <f>IF('COTIZADOR PREST. AUTO'!K89&lt;&gt;"",IF(B56&lt;&gt;"",IF(cot_periodo="QUINCENAL",'COTIZADOR PREST. AUTO'!J89*2,'COTIZADOR PREST. AUTO'!J89),"FALTA DESCRIPCIÓN"),"")</f>
        <v/>
      </c>
      <c r="E56" s="367"/>
      <c r="F56" s="180"/>
      <c r="G56" s="381"/>
      <c r="H56" s="366" t="str">
        <f>IF('COTIZADOR PREST. AUTO'!H125="","",'COTIZADOR PREST. AUTO'!H125)</f>
        <v/>
      </c>
      <c r="I56" s="366"/>
      <c r="J56" s="367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67"/>
      <c r="L56" s="367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67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81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67" t="str">
        <f>IF('COTIZADOR PREST. AUTO'!K90&lt;&gt;"",IF(B57&lt;&gt;"",IF(cot_periodo="QUINCENAL",'COTIZADOR PREST. AUTO'!J90*2,'COTIZADOR PREST. AUTO'!J90),"FALTA DESCRIPCIÓN"),"")</f>
        <v/>
      </c>
      <c r="E57" s="367"/>
      <c r="F57" s="180"/>
      <c r="G57" s="381"/>
      <c r="H57" s="366" t="str">
        <f>IF('COTIZADOR PREST. AUTO'!H126="","",'COTIZADOR PREST. AUTO'!H126)</f>
        <v/>
      </c>
      <c r="I57" s="366"/>
      <c r="J57" s="367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67"/>
      <c r="L57" s="367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67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81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67" t="str">
        <f>IF('COTIZADOR PREST. AUTO'!K91&lt;&gt;"",IF(B58&lt;&gt;"",IF(cot_periodo="QUINCENAL",'COTIZADOR PREST. AUTO'!J91*2,'COTIZADOR PREST. AUTO'!J91),"FALTA DESCRIPCIÓN"),"")</f>
        <v/>
      </c>
      <c r="E58" s="367"/>
      <c r="F58" s="180"/>
      <c r="G58" s="381"/>
      <c r="H58" s="366" t="str">
        <f>IF('COTIZADOR PREST. AUTO'!H127="","",'COTIZADOR PREST. AUTO'!H127)</f>
        <v/>
      </c>
      <c r="I58" s="366"/>
      <c r="J58" s="367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67"/>
      <c r="L58" s="367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67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81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67" t="str">
        <f>IF('COTIZADOR PREST. AUTO'!K92&lt;&gt;"",IF(B59&lt;&gt;"",IF(cot_periodo="QUINCENAL",'COTIZADOR PREST. AUTO'!J92*2,'COTIZADOR PREST. AUTO'!J92),"FALTA DESCRIPCIÓN"),"")</f>
        <v/>
      </c>
      <c r="E59" s="367"/>
      <c r="F59" s="180"/>
      <c r="G59" s="381"/>
      <c r="H59" s="366" t="str">
        <f>IF('COTIZADOR PREST. AUTO'!H128="","",'COTIZADOR PREST. AUTO'!H128)</f>
        <v/>
      </c>
      <c r="I59" s="366"/>
      <c r="J59" s="367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67"/>
      <c r="L59" s="367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67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81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67" t="str">
        <f>IF('COTIZADOR PREST. AUTO'!K93&lt;&gt;"",IF(B60&lt;&gt;"",IF(cot_periodo="QUINCENAL",'COTIZADOR PREST. AUTO'!J93*2,'COTIZADOR PREST. AUTO'!J93),"FALTA DESCRIPCIÓN"),"")</f>
        <v/>
      </c>
      <c r="E60" s="367"/>
      <c r="F60" s="180"/>
      <c r="G60" s="381"/>
      <c r="H60" s="366" t="str">
        <f>IF('COTIZADOR PREST. AUTO'!H129="","",'COTIZADOR PREST. AUTO'!H129)</f>
        <v/>
      </c>
      <c r="I60" s="366"/>
      <c r="J60" s="367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67"/>
      <c r="L60" s="367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67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81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67" t="str">
        <f>IF('COTIZADOR PREST. AUTO'!K94&lt;&gt;"",IF(B61&lt;&gt;"",IF(cot_periodo="QUINCENAL",'COTIZADOR PREST. AUTO'!J94*2,'COTIZADOR PREST. AUTO'!J94),"FALTA DESCRIPCIÓN"),"")</f>
        <v/>
      </c>
      <c r="E61" s="367"/>
      <c r="F61" s="180"/>
      <c r="G61" s="381"/>
      <c r="H61" s="366" t="str">
        <f>IF('COTIZADOR PREST. AUTO'!H130="","",'COTIZADOR PREST. AUTO'!H130)</f>
        <v/>
      </c>
      <c r="I61" s="366"/>
      <c r="J61" s="367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67"/>
      <c r="L61" s="367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67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81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67" t="str">
        <f>IF('COTIZADOR PREST. AUTO'!K95&lt;&gt;"",IF(B62&lt;&gt;"",IF(cot_periodo="QUINCENAL",'COTIZADOR PREST. AUTO'!J95*2,'COTIZADOR PREST. AUTO'!J95),"FALTA DESCRIPCIÓN"),"")</f>
        <v/>
      </c>
      <c r="E62" s="367"/>
      <c r="F62" s="180"/>
      <c r="G62" s="381"/>
      <c r="H62" s="366" t="str">
        <f>IF('COTIZADOR PREST. AUTO'!H131="","",'COTIZADOR PREST. AUTO'!H131)</f>
        <v/>
      </c>
      <c r="I62" s="366"/>
      <c r="J62" s="367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67"/>
      <c r="L62" s="367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67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81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67" t="str">
        <f>IF('COTIZADOR PREST. AUTO'!K96&lt;&gt;"",IF(B63&lt;&gt;"",IF(cot_periodo="QUINCENAL",'COTIZADOR PREST. AUTO'!J96*2,'COTIZADOR PREST. AUTO'!J96),"FALTA DESCRIPCIÓN"),"")</f>
        <v/>
      </c>
      <c r="E63" s="367"/>
      <c r="F63" s="180"/>
      <c r="G63" s="381"/>
      <c r="H63" s="366" t="str">
        <f>IF('COTIZADOR PREST. AUTO'!H132="","",'COTIZADOR PREST. AUTO'!H132)</f>
        <v/>
      </c>
      <c r="I63" s="366"/>
      <c r="J63" s="367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67"/>
      <c r="L63" s="367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67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81"/>
      <c r="B64" s="184" t="s">
        <v>585</v>
      </c>
      <c r="C64" s="183">
        <f>SUM(C54:C63)</f>
        <v>0</v>
      </c>
      <c r="D64" s="369">
        <f>SUM(D54:D63)</f>
        <v>0</v>
      </c>
      <c r="E64" s="369"/>
      <c r="F64" s="180"/>
      <c r="G64" s="381"/>
      <c r="H64" s="380" t="s">
        <v>585</v>
      </c>
      <c r="I64" s="380"/>
      <c r="J64" s="369">
        <f>SUM(J54:J63)</f>
        <v>0</v>
      </c>
      <c r="K64" s="369"/>
      <c r="L64" s="369">
        <f>SUM(L54:L63)</f>
        <v>0</v>
      </c>
      <c r="M64" s="369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79" t="s">
        <v>586</v>
      </c>
      <c r="B66" s="379"/>
      <c r="C66" s="185">
        <f>SUM(C39,C53,C64)</f>
        <v>0</v>
      </c>
      <c r="D66" s="354">
        <f>SUM(D39,D53,D64)</f>
        <v>0</v>
      </c>
      <c r="E66" s="354"/>
      <c r="F66" s="123"/>
      <c r="G66" s="379" t="s">
        <v>586</v>
      </c>
      <c r="H66" s="379"/>
      <c r="I66" s="379"/>
      <c r="J66" s="354">
        <f>SUM(J39,J53,J64)</f>
        <v>0</v>
      </c>
      <c r="K66" s="354"/>
      <c r="L66" s="354">
        <f>SUM(L39,L53,L64)</f>
        <v>0</v>
      </c>
      <c r="M66" s="354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79" t="s">
        <v>570</v>
      </c>
      <c r="E68" s="379"/>
      <c r="F68" s="379"/>
      <c r="G68" s="379"/>
      <c r="H68" s="379"/>
      <c r="I68" s="379"/>
      <c r="J68" s="354">
        <f>SUM(C66,J66)</f>
        <v>0</v>
      </c>
      <c r="K68" s="354"/>
      <c r="L68" s="354">
        <f>SUM(D66,L66)</f>
        <v>0</v>
      </c>
      <c r="M68" s="354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55" t="s">
        <v>571</v>
      </c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56" t="s">
        <v>572</v>
      </c>
      <c r="B72" s="356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  <c r="N72" s="356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57" t="s">
        <v>540</v>
      </c>
      <c r="D74" s="357"/>
      <c r="E74" s="357" t="s">
        <v>554</v>
      </c>
      <c r="F74" s="357"/>
      <c r="G74" s="186"/>
      <c r="H74" s="187"/>
      <c r="I74" s="188"/>
      <c r="J74" s="357" t="s">
        <v>540</v>
      </c>
      <c r="K74" s="357"/>
      <c r="L74" s="357" t="s">
        <v>554</v>
      </c>
      <c r="M74" s="357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573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573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575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575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576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576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48"/>
      <c r="E78" s="348"/>
      <c r="F78" s="348"/>
      <c r="G78" s="348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57" t="s">
        <v>540</v>
      </c>
      <c r="E80" s="357"/>
      <c r="F80" s="357"/>
      <c r="G80" s="357"/>
      <c r="H80" s="357"/>
      <c r="I80" s="357" t="s">
        <v>554</v>
      </c>
      <c r="J80" s="357"/>
      <c r="K80" s="357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573</v>
      </c>
      <c r="D81" s="378">
        <f>J28-J68</f>
        <v>0</v>
      </c>
      <c r="E81" s="378"/>
      <c r="F81" s="378"/>
      <c r="G81" s="378"/>
      <c r="H81" s="190">
        <f>IFERROR(D81/$J$28,0)</f>
        <v>0</v>
      </c>
      <c r="I81" s="378">
        <f>L28-L68</f>
        <v>0</v>
      </c>
      <c r="J81" s="378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575</v>
      </c>
      <c r="D82" s="378">
        <f>C76</f>
        <v>0</v>
      </c>
      <c r="E82" s="378"/>
      <c r="F82" s="378"/>
      <c r="G82" s="378"/>
      <c r="H82" s="190">
        <f>IFERROR(D82/$C$25,0)</f>
        <v>0</v>
      </c>
      <c r="I82" s="378">
        <f>E76</f>
        <v>0</v>
      </c>
      <c r="J82" s="378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576</v>
      </c>
      <c r="D83" s="354">
        <f>IFERROR(D81-D82,0)</f>
        <v>0</v>
      </c>
      <c r="E83" s="354"/>
      <c r="F83" s="354"/>
      <c r="G83" s="354"/>
      <c r="H83" s="173">
        <f>IFERROR(D83/J28,0)</f>
        <v>0</v>
      </c>
      <c r="I83" s="354">
        <f>IFERROR(I81-I82,"N/D")</f>
        <v>0</v>
      </c>
      <c r="J83" s="354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49" t="s">
        <v>577</v>
      </c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50"/>
      <c r="C87" s="350"/>
      <c r="D87" s="124"/>
      <c r="E87" s="175"/>
      <c r="F87" s="175"/>
      <c r="G87" s="175"/>
      <c r="H87" s="175"/>
      <c r="I87" s="350"/>
      <c r="J87" s="350"/>
      <c r="K87" s="350"/>
      <c r="L87" s="350"/>
      <c r="M87" s="350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51" t="s">
        <v>578</v>
      </c>
      <c r="C88" s="351"/>
      <c r="D88" s="124"/>
      <c r="E88" s="124"/>
      <c r="F88" s="124"/>
      <c r="G88" s="124"/>
      <c r="H88" s="124"/>
      <c r="I88" s="351" t="s">
        <v>579</v>
      </c>
      <c r="J88" s="351"/>
      <c r="K88" s="351"/>
      <c r="L88" s="351"/>
      <c r="M88" s="351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47" t="s">
        <v>580</v>
      </c>
      <c r="C89" s="347"/>
      <c r="D89" s="124"/>
      <c r="E89" s="124"/>
      <c r="F89" s="124"/>
      <c r="G89" s="124"/>
      <c r="H89" s="124"/>
      <c r="I89" s="347">
        <f>I16</f>
        <v>0</v>
      </c>
      <c r="J89" s="347"/>
      <c r="K89" s="347"/>
      <c r="L89" s="347"/>
      <c r="M89" s="347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590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94" t="s">
        <v>186</v>
      </c>
      <c r="D6" s="394"/>
      <c r="E6" s="10"/>
      <c r="F6" s="389" t="str">
        <f>VLOOKUP(A7,AUX!$Y$1:$Z$12,2,FALSE())</f>
        <v>SEPTIEMBRE</v>
      </c>
      <c r="G6" s="389"/>
      <c r="H6" s="215"/>
      <c r="I6" s="389" t="str">
        <f>VLOOKUP(A8,AUX!$Y$1:$Z$12,2,FALSE())</f>
        <v>AGOSTO</v>
      </c>
      <c r="J6" s="389"/>
      <c r="K6" s="215"/>
      <c r="L6" s="389" t="str">
        <f>VLOOKUP(A9,AUX!$Y$1:$Z$12,2,FALSE())</f>
        <v>JULIO</v>
      </c>
      <c r="M6" s="389"/>
      <c r="N6" s="215"/>
      <c r="O6" s="389" t="str">
        <f>VLOOKUP(A10,AUX!$Y$1:$Z$12,2,FALSE())</f>
        <v>JUNIO</v>
      </c>
      <c r="P6" s="389"/>
      <c r="Q6" s="215"/>
      <c r="R6" s="389" t="str">
        <f>VLOOKUP(A11,AUX!$Y$1:$Z$12,2,FALSE())</f>
        <v>MAYO</v>
      </c>
      <c r="S6" s="389"/>
      <c r="T6" s="215"/>
      <c r="U6" s="389" t="s">
        <v>591</v>
      </c>
      <c r="V6" s="389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592</v>
      </c>
      <c r="D7" s="224" t="s">
        <v>593</v>
      </c>
      <c r="E7" s="221"/>
      <c r="F7" s="223" t="s">
        <v>592</v>
      </c>
      <c r="G7" s="224" t="s">
        <v>593</v>
      </c>
      <c r="H7" s="222"/>
      <c r="I7" s="223" t="s">
        <v>592</v>
      </c>
      <c r="J7" s="224" t="s">
        <v>593</v>
      </c>
      <c r="K7" s="222"/>
      <c r="L7" s="223" t="s">
        <v>592</v>
      </c>
      <c r="M7" s="224" t="s">
        <v>593</v>
      </c>
      <c r="N7" s="222"/>
      <c r="O7" s="223" t="s">
        <v>592</v>
      </c>
      <c r="P7" s="224" t="s">
        <v>593</v>
      </c>
      <c r="Q7" s="222"/>
      <c r="R7" s="223" t="s">
        <v>592</v>
      </c>
      <c r="S7" s="224" t="s">
        <v>593</v>
      </c>
      <c r="T7" s="222"/>
      <c r="U7" s="223" t="s">
        <v>592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593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594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90" t="s">
        <v>595</v>
      </c>
      <c r="V11" s="390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91">
        <f>V7</f>
        <v>2445.866</v>
      </c>
      <c r="V12" s="391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92" t="s">
        <v>596</v>
      </c>
      <c r="V13" s="39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93" t="s">
        <v>597</v>
      </c>
      <c r="V14" s="393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93"/>
      <c r="V15" s="393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93"/>
      <c r="V16" s="393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93"/>
      <c r="V17" s="39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93"/>
      <c r="V18" s="393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93"/>
      <c r="V19" s="393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93"/>
      <c r="V20" s="393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95" t="s">
        <v>598</v>
      </c>
      <c r="C5" s="395"/>
      <c r="D5" s="395"/>
      <c r="E5" s="395"/>
      <c r="F5" s="395"/>
      <c r="G5" s="395"/>
      <c r="H5" s="395"/>
      <c r="I5" s="395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599</v>
      </c>
      <c r="B7" s="242"/>
      <c r="C7" s="242"/>
      <c r="D7" s="243">
        <f>'COTIZADOR PREST. AUTO'!C10</f>
        <v>0</v>
      </c>
      <c r="E7" s="244"/>
      <c r="F7" s="242"/>
      <c r="G7" s="245" t="s">
        <v>600</v>
      </c>
      <c r="H7" s="396">
        <f ca="1">TODAY()</f>
        <v>45663</v>
      </c>
      <c r="I7" s="396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601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602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603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604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605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606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607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608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609</v>
      </c>
      <c r="B19" s="241"/>
      <c r="C19" s="241"/>
      <c r="D19" s="243"/>
      <c r="E19" s="397">
        <f ca="1">H7+30</f>
        <v>45693</v>
      </c>
      <c r="F19" s="397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610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611</v>
      </c>
      <c r="B24" s="252" t="s">
        <v>612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611</v>
      </c>
      <c r="B25" s="252" t="s">
        <v>613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611</v>
      </c>
      <c r="B26" s="252" t="s">
        <v>614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611</v>
      </c>
      <c r="B27" s="252" t="s">
        <v>615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611</v>
      </c>
      <c r="B28" s="252" t="s">
        <v>616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611</v>
      </c>
      <c r="B29" s="252" t="s">
        <v>617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618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98" t="s">
        <v>619</v>
      </c>
      <c r="C34" s="398"/>
      <c r="D34" s="398"/>
      <c r="E34" s="398"/>
      <c r="F34" s="398"/>
      <c r="G34" s="398"/>
      <c r="H34" s="398"/>
      <c r="I34" s="398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663</v>
      </c>
    </row>
    <row r="4" spans="2:9" x14ac:dyDescent="0.2">
      <c r="B4" s="263" t="s">
        <v>628</v>
      </c>
      <c r="C4" s="110"/>
      <c r="D4" s="110"/>
      <c r="E4" s="110"/>
      <c r="F4" s="110"/>
      <c r="G4" s="110"/>
      <c r="H4" s="110" t="s">
        <v>664</v>
      </c>
      <c r="I4" s="110"/>
    </row>
    <row r="6" spans="2:9" x14ac:dyDescent="0.2">
      <c r="B6" s="110" t="s">
        <v>629</v>
      </c>
      <c r="C6" s="262"/>
      <c r="D6" s="110" t="s">
        <v>630</v>
      </c>
      <c r="E6" s="265" t="s">
        <v>557</v>
      </c>
      <c r="F6" s="110" t="s">
        <v>631</v>
      </c>
      <c r="G6" s="265" t="s">
        <v>557</v>
      </c>
      <c r="H6" s="110" t="s">
        <v>632</v>
      </c>
      <c r="I6" s="265" t="s">
        <v>557</v>
      </c>
    </row>
    <row r="7" spans="2:9" x14ac:dyDescent="0.2">
      <c r="B7" s="57" t="s">
        <v>638</v>
      </c>
      <c r="C7" s="258"/>
      <c r="D7" s="57"/>
      <c r="E7" s="57" t="s">
        <v>637</v>
      </c>
      <c r="F7" s="57" t="s">
        <v>569</v>
      </c>
      <c r="G7" s="57"/>
      <c r="H7" s="57"/>
      <c r="I7" s="57"/>
    </row>
    <row r="8" spans="2:9" x14ac:dyDescent="0.2">
      <c r="B8" s="57" t="s">
        <v>633</v>
      </c>
      <c r="C8" s="57" t="s">
        <v>95</v>
      </c>
      <c r="D8" s="57"/>
      <c r="E8" s="57" t="s">
        <v>639</v>
      </c>
      <c r="F8" s="255"/>
      <c r="G8" s="57"/>
      <c r="H8" s="57" t="s">
        <v>640</v>
      </c>
      <c r="I8" s="261"/>
    </row>
    <row r="9" spans="2:9" x14ac:dyDescent="0.2">
      <c r="B9" s="57" t="s">
        <v>635</v>
      </c>
      <c r="C9" s="57" t="s">
        <v>634</v>
      </c>
      <c r="D9" s="57"/>
      <c r="E9" s="57" t="s">
        <v>641</v>
      </c>
      <c r="F9" s="255"/>
      <c r="G9" s="57"/>
      <c r="H9" s="57" t="s">
        <v>642</v>
      </c>
      <c r="I9" s="261" t="s">
        <v>658</v>
      </c>
    </row>
    <row r="10" spans="2:9" x14ac:dyDescent="0.2">
      <c r="B10" s="266" t="s">
        <v>636</v>
      </c>
      <c r="C10" s="266"/>
      <c r="D10" s="266"/>
      <c r="E10" s="266" t="s">
        <v>643</v>
      </c>
      <c r="F10" s="266"/>
      <c r="G10" s="266"/>
      <c r="H10" s="266" t="s">
        <v>644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659</v>
      </c>
      <c r="C12" s="57"/>
      <c r="D12" s="256"/>
      <c r="E12" s="57"/>
      <c r="F12" s="57" t="s">
        <v>645</v>
      </c>
      <c r="G12" s="268"/>
      <c r="H12" s="270"/>
      <c r="I12" s="57"/>
    </row>
    <row r="13" spans="2:9" x14ac:dyDescent="0.2">
      <c r="B13" s="257" t="s">
        <v>660</v>
      </c>
      <c r="C13" s="57"/>
      <c r="D13" s="57"/>
      <c r="E13" s="57"/>
      <c r="F13" s="57" t="s">
        <v>646</v>
      </c>
      <c r="G13" s="269"/>
      <c r="H13" s="57"/>
      <c r="I13" s="57"/>
    </row>
    <row r="14" spans="2:9" x14ac:dyDescent="0.2">
      <c r="B14" s="257" t="s">
        <v>661</v>
      </c>
      <c r="C14" s="57"/>
      <c r="D14" s="57"/>
      <c r="E14" s="57"/>
      <c r="F14" s="57" t="s">
        <v>647</v>
      </c>
      <c r="G14" s="269">
        <v>0</v>
      </c>
      <c r="H14" s="57" t="s">
        <v>648</v>
      </c>
      <c r="I14" s="57"/>
    </row>
    <row r="15" spans="2:9" x14ac:dyDescent="0.2">
      <c r="B15" s="257" t="s">
        <v>662</v>
      </c>
      <c r="C15" s="57"/>
      <c r="D15" s="57"/>
      <c r="E15" s="57"/>
      <c r="F15" s="57" t="s">
        <v>649</v>
      </c>
      <c r="G15" s="269"/>
      <c r="H15" s="57" t="s">
        <v>650</v>
      </c>
      <c r="I15" s="57"/>
    </row>
    <row r="16" spans="2:9" x14ac:dyDescent="0.2">
      <c r="B16" s="57" t="s">
        <v>651</v>
      </c>
      <c r="C16" s="57"/>
      <c r="D16" s="57"/>
      <c r="E16" s="57"/>
      <c r="F16" s="57" t="s">
        <v>652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653</v>
      </c>
      <c r="G17" s="269">
        <v>291.89999999999998</v>
      </c>
      <c r="H17" s="57"/>
      <c r="I17" s="57"/>
    </row>
    <row r="18" spans="2:9" x14ac:dyDescent="0.2">
      <c r="B18" s="57" t="s">
        <v>654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655</v>
      </c>
      <c r="C19" s="57"/>
      <c r="D19" s="259"/>
      <c r="E19" s="57"/>
      <c r="F19" s="57" t="s">
        <v>665</v>
      </c>
      <c r="G19" s="57"/>
      <c r="H19" s="57"/>
      <c r="I19" s="57"/>
    </row>
    <row r="20" spans="2:9" x14ac:dyDescent="0.2">
      <c r="B20" s="57" t="s">
        <v>656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657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601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666</v>
      </c>
      <c r="C24">
        <f>'COTIZADOR PREST. AUTO'!C10</f>
        <v>0</v>
      </c>
      <c r="G24" t="s">
        <v>667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2025-01-06T23:58:15Z</dcterms:modified>
</cp:coreProperties>
</file>