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DA5A059C-D0F3-D742-94D8-43CD19BD3AB0}" xr6:coauthVersionLast="47" xr6:coauthVersionMax="47" xr10:uidLastSave="{00000000-0000-0000-0000-000000000000}"/>
  <bookViews>
    <workbookView xWindow="-27320" yWindow="4500" windowWidth="27320" windowHeight="14860" activeTab="1" xr2:uid="{00000000-000D-0000-FFFF-FFFF00000000}"/>
  </bookViews>
  <sheets>
    <sheet name="AUX" sheetId="18" state="hidden" r:id="rId1"/>
    <sheet name="INFORMACIÓN" sheetId="3" r:id="rId2"/>
    <sheet name="TAPE" sheetId="4" r:id="rId3"/>
    <sheet name="DECLARACIÓN DE FIRMA" sheetId="1" state="hidden" r:id="rId4"/>
    <sheet name="info" sheetId="2" state="hidden" r:id="rId5"/>
    <sheet name="NIVEL DE END" sheetId="5" r:id="rId6"/>
    <sheet name="NIVEL DE END FAMILIAR" sheetId="6" r:id="rId7"/>
    <sheet name="PRORRATEO" sheetId="17" r:id="rId8"/>
    <sheet name="MOV. BANCARIOS" sheetId="19" r:id="rId9"/>
    <sheet name="CÁLCULO PLAZO MÁXIMO" sheetId="7" state="hidden" r:id="rId10"/>
    <sheet name="APC y SVI" sheetId="8" state="hidden" r:id="rId11"/>
    <sheet name="BENEFICIARIO FINAL" sheetId="9" state="hidden" r:id="rId12"/>
    <sheet name="CUESTIONARIO DE SALUD" sheetId="10" state="hidden" r:id="rId13"/>
    <sheet name="IMC" sheetId="11" state="hidden" r:id="rId14"/>
    <sheet name="REEST" sheetId="12" state="hidden" r:id="rId15"/>
    <sheet name="CARTA ADELANTO" sheetId="13" state="hidden" r:id="rId16"/>
    <sheet name="HOJA DE CONTROL ACH" sheetId="14" state="hidden" r:id="rId17"/>
    <sheet name="CHECKLIST" sheetId="15" state="hidden" r:id="rId18"/>
    <sheet name="BITÁCORA " sheetId="16" state="hidden" r:id="rId19"/>
  </sheets>
  <definedNames>
    <definedName name="auxAño">AUX!$D$4</definedName>
    <definedName name="auxComision">AUX!$F$3</definedName>
    <definedName name="auxConstante" localSheetId="8">#REF!</definedName>
    <definedName name="auxConstante">AUX!$F$4</definedName>
    <definedName name="auxCoRREDOR" localSheetId="8">#REF!</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8">#REF!</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_xlnm.Print_Area" localSheetId="8">'MOV. BANCARIOS'!$A$1:$V$90</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8">#REF!</definedName>
    <definedName name="salarioBase">AUX!$F$8</definedName>
    <definedName name="tasa_seg_vida">AUX!$AI$2:$AI$4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5" i="2" l="1"/>
  <c r="D65" i="2"/>
  <c r="E65" i="2"/>
  <c r="B65" i="2"/>
  <c r="H32" i="5"/>
  <c r="F32" i="5"/>
  <c r="B64" i="2"/>
  <c r="D35" i="3" l="1"/>
  <c r="A7" i="19"/>
  <c r="Q4" i="19"/>
  <c r="N4" i="19"/>
  <c r="K4" i="19"/>
  <c r="H4" i="19"/>
  <c r="E4" i="19"/>
  <c r="E3" i="19"/>
  <c r="V8" i="19" l="1"/>
  <c r="T4" i="19"/>
  <c r="A8" i="19"/>
  <c r="A9" i="19" l="1"/>
  <c r="K3" i="19"/>
  <c r="H3" i="19"/>
  <c r="A10" i="19" l="1"/>
  <c r="N3" i="19" l="1"/>
  <c r="A11" i="19"/>
  <c r="T3" i="19" s="1"/>
  <c r="Q3" i="19"/>
  <c r="V7" i="19" l="1"/>
  <c r="U12" i="19" s="1"/>
  <c r="V9" i="19" l="1"/>
  <c r="C8" i="17"/>
  <c r="C9" i="17"/>
  <c r="C10" i="17"/>
  <c r="C11" i="17"/>
  <c r="C12" i="17"/>
  <c r="C13" i="17"/>
  <c r="C14" i="17"/>
  <c r="C15" i="17"/>
  <c r="C16" i="17"/>
  <c r="C17" i="17"/>
  <c r="C7" i="17"/>
  <c r="B6" i="17"/>
  <c r="D230" i="18"/>
  <c r="C229" i="18"/>
  <c r="H225" i="18"/>
  <c r="D225" i="18"/>
  <c r="H224" i="18"/>
  <c r="D224" i="18"/>
  <c r="E213" i="18"/>
  <c r="F13" i="18"/>
  <c r="F12" i="18"/>
  <c r="F11" i="18"/>
  <c r="N8" i="18"/>
  <c r="N7" i="18"/>
  <c r="N6" i="18"/>
  <c r="N5" i="18"/>
  <c r="AB4" i="18"/>
  <c r="N4" i="18"/>
  <c r="N3" i="18"/>
  <c r="N2" i="18"/>
  <c r="N1" i="18"/>
  <c r="AB3" i="18" l="1"/>
  <c r="AB5" i="18"/>
  <c r="AB6" i="18"/>
  <c r="AB2" i="18"/>
  <c r="D229" i="18"/>
  <c r="E229" i="18" s="1"/>
  <c r="C225" i="18"/>
  <c r="E225" i="18" s="1"/>
  <c r="C224" i="18"/>
  <c r="E224" i="18" s="1"/>
  <c r="C230" i="18"/>
  <c r="E230" i="18" s="1"/>
  <c r="E18" i="17" l="1"/>
  <c r="D18" i="17"/>
  <c r="E19" i="17" s="1"/>
  <c r="B7" i="17"/>
  <c r="F19" i="17"/>
  <c r="G19" i="17" l="1"/>
  <c r="G18" i="17" s="1"/>
  <c r="B8" i="17"/>
  <c r="B9" i="17" l="1"/>
  <c r="B10" i="17" l="1"/>
  <c r="B11" i="17" l="1"/>
  <c r="B12" i="17" l="1"/>
  <c r="B13" i="17" l="1"/>
  <c r="B14" i="17" l="1"/>
  <c r="B15" i="17" l="1"/>
  <c r="B16" i="17" l="1"/>
  <c r="B17" i="17" l="1"/>
  <c r="K60" i="3"/>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L64" i="6" s="1"/>
  <c r="J54" i="6"/>
  <c r="J64" i="6" s="1"/>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J53" i="6" s="1"/>
  <c r="H43" i="6"/>
  <c r="D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H34" i="5"/>
  <c r="F34" i="5"/>
  <c r="F33" i="5"/>
  <c r="H33" i="5" s="1"/>
  <c r="H22" i="5"/>
  <c r="D22" i="5"/>
  <c r="H21" i="5"/>
  <c r="D21" i="5"/>
  <c r="H20" i="5"/>
  <c r="D20" i="5"/>
  <c r="H19" i="5"/>
  <c r="D19" i="5"/>
  <c r="J18" i="5"/>
  <c r="F18" i="5"/>
  <c r="H18" i="5" s="1"/>
  <c r="I11" i="5"/>
  <c r="C11" i="5"/>
  <c r="I9" i="5"/>
  <c r="C9" i="5"/>
  <c r="J21" i="5" s="1"/>
  <c r="I7" i="5"/>
  <c r="C7" i="5"/>
  <c r="D62" i="4"/>
  <c r="D61" i="4"/>
  <c r="L61" i="4" s="1"/>
  <c r="I63" i="4" s="1"/>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4" i="4"/>
  <c r="J9" i="4"/>
  <c r="K74" i="4" s="1"/>
  <c r="D9" i="4"/>
  <c r="E27" i="4" s="1"/>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C64" i="2"/>
  <c r="E53" i="2"/>
  <c r="D43" i="1"/>
  <c r="I42" i="1"/>
  <c r="C42" i="1"/>
  <c r="H35" i="1"/>
  <c r="I12" i="1"/>
  <c r="C24" i="1" s="1"/>
  <c r="I11" i="1"/>
  <c r="J43" i="1" s="1"/>
  <c r="G10" i="1"/>
  <c r="E9" i="1"/>
  <c r="A49" i="4" l="1"/>
  <c r="E22" i="4"/>
  <c r="E31" i="4"/>
  <c r="A42" i="4"/>
  <c r="L53" i="6"/>
  <c r="E25" i="4"/>
  <c r="L25" i="6"/>
  <c r="H23" i="5"/>
  <c r="I70" i="5" s="1"/>
  <c r="D53" i="6"/>
  <c r="F23" i="5"/>
  <c r="F70" i="5" s="1"/>
  <c r="C25" i="6"/>
  <c r="D76" i="6" s="1"/>
  <c r="J76" i="6"/>
  <c r="K76" i="6" s="1"/>
  <c r="N23" i="6"/>
  <c r="N22" i="6"/>
  <c r="F21" i="6"/>
  <c r="C25" i="1"/>
  <c r="N21" i="6"/>
  <c r="H24" i="1"/>
  <c r="F23" i="6"/>
  <c r="N24" i="6"/>
  <c r="J35" i="6" s="1"/>
  <c r="F22" i="6"/>
  <c r="A44" i="4"/>
  <c r="B46" i="4" s="1"/>
  <c r="D25" i="6"/>
  <c r="F76" i="6" s="1"/>
  <c r="H60" i="5"/>
  <c r="H49" i="5"/>
  <c r="D64" i="6"/>
  <c r="B51" i="4"/>
  <c r="F41" i="5"/>
  <c r="F52" i="5"/>
  <c r="D64" i="2"/>
  <c r="E64" i="2" s="1"/>
  <c r="C36" i="6" s="1"/>
  <c r="D36" i="6" s="1"/>
  <c r="F39" i="5"/>
  <c r="F50" i="5"/>
  <c r="E29" i="4"/>
  <c r="F53" i="5"/>
  <c r="C68" i="2"/>
  <c r="E68" i="2" s="1"/>
  <c r="B66" i="4"/>
  <c r="J20" i="5"/>
  <c r="H23" i="1"/>
  <c r="A12" i="4"/>
  <c r="F40" i="5"/>
  <c r="F51" i="5"/>
  <c r="E51" i="4"/>
  <c r="J19" i="5"/>
  <c r="C22" i="1"/>
  <c r="J22" i="5"/>
  <c r="H22" i="1"/>
  <c r="F42" i="5"/>
  <c r="C23" i="1"/>
  <c r="A54" i="4"/>
  <c r="E56" i="4" s="1"/>
  <c r="E57" i="4" s="1"/>
  <c r="L56" i="4" s="1"/>
  <c r="C46" i="6"/>
  <c r="C53" i="6" s="1"/>
  <c r="C57" i="6"/>
  <c r="C64" i="6" s="1"/>
  <c r="L76" i="6"/>
  <c r="M76" i="6" s="1"/>
  <c r="J28" i="6" l="1"/>
  <c r="F49" i="5"/>
  <c r="F60" i="5"/>
  <c r="H82" i="6"/>
  <c r="F31" i="5"/>
  <c r="D35" i="6"/>
  <c r="L35" i="6"/>
  <c r="C34" i="6"/>
  <c r="D34" i="6"/>
  <c r="J34" i="6"/>
  <c r="L34" i="6"/>
  <c r="C35" i="6"/>
  <c r="E46" i="4"/>
  <c r="E47" i="4" s="1"/>
  <c r="L46" i="4" s="1"/>
  <c r="I48" i="4" s="1"/>
  <c r="H30" i="5"/>
  <c r="L28" i="6"/>
  <c r="L36" i="6"/>
  <c r="J36" i="6"/>
  <c r="F30" i="5"/>
  <c r="H31" i="5"/>
  <c r="K82" i="6"/>
  <c r="D39" i="6" l="1"/>
  <c r="D66" i="6" s="1"/>
  <c r="E75" i="6" s="1"/>
  <c r="F75" i="6" s="1"/>
  <c r="F35" i="5"/>
  <c r="F62" i="5" s="1"/>
  <c r="D69" i="5" s="1"/>
  <c r="D31" i="3" s="1" a="1"/>
  <c r="D31" i="3" s="1"/>
  <c r="C39" i="6"/>
  <c r="C66" i="6" s="1"/>
  <c r="J39" i="6"/>
  <c r="J66" i="6" s="1"/>
  <c r="J75" i="6" s="1"/>
  <c r="K75" i="6" s="1"/>
  <c r="L39" i="6"/>
  <c r="L66" i="6" s="1"/>
  <c r="L75" i="6" s="1"/>
  <c r="L77" i="6" s="1"/>
  <c r="M77" i="6" s="1"/>
  <c r="H35" i="5"/>
  <c r="H62" i="5" s="1"/>
  <c r="G69" i="5" s="1"/>
  <c r="F69" i="5" l="1"/>
  <c r="E16" i="4"/>
  <c r="E52" i="4" s="1"/>
  <c r="L51" i="4" s="1"/>
  <c r="E77" i="6"/>
  <c r="F77" i="6" s="1"/>
  <c r="J77" i="6"/>
  <c r="K77" i="6" s="1"/>
  <c r="D71" i="5"/>
  <c r="F71" i="5" s="1"/>
  <c r="L68" i="6"/>
  <c r="I81" i="6" s="1"/>
  <c r="I83" i="6" s="1"/>
  <c r="K83" i="6" s="1"/>
  <c r="M75" i="6"/>
  <c r="J68" i="6"/>
  <c r="D81" i="6" s="1"/>
  <c r="H81" i="6" s="1"/>
  <c r="C75" i="6"/>
  <c r="D75" i="6" s="1"/>
  <c r="I69" i="5"/>
  <c r="G71" i="5"/>
  <c r="I71" i="5" s="1"/>
  <c r="K81" i="6" l="1"/>
  <c r="C77" i="6"/>
  <c r="D77" i="6" s="1"/>
  <c r="D83" i="6"/>
  <c r="H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<sst xmlns="http://schemas.openxmlformats.org/spreadsheetml/2006/main" count="1287" uniqueCount="923">
  <si>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</si>
  <si>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</si>
  <si>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</si>
  <si>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</si>
  <si>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</si>
  <si>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</si>
  <si>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</si>
  <si>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</si>
  <si>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</si>
  <si>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</si>
  <si>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</si>
  <si>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</si>
  <si>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</si>
  <si>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</si>
  <si>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</si>
  <si>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</si>
  <si>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</si>
  <si>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</si>
  <si>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</si>
  <si>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</si>
  <si>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</si>
  <si>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</si>
  <si>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</si>
  <si>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</si>
  <si>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</si>
  <si>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</si>
  <si>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</si>
  <si>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</si>
  <si>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</si>
  <si>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</si>
  <si>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</si>
  <si>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</si>
  <si>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</si>
  <si>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</si>
  <si>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</si>
  <si>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</si>
  <si>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</si>
  <si>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</si>
  <si>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</si>
  <si>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</si>
  <si>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</si>
  <si>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</si>
  <si>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</si>
  <si>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</si>
  <si>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</si>
  <si>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</si>
  <si>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</si>
  <si>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</si>
  <si>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</si>
  <si>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</si>
  <si>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</si>
  <si>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</si>
  <si>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</si>
  <si>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</si>
  <si>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</si>
  <si>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</si>
  <si>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</si>
  <si>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</si>
  <si>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</si>
  <si>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</si>
  <si>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</si>
  <si>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</si>
  <si>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</si>
  <si>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</si>
  <si>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</si>
  <si>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</si>
  <si>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</si>
  <si>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</si>
  <si>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</si>
  <si>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</si>
  <si>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</si>
  <si>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</si>
  <si>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</si>
  <si>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</si>
  <si>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</si>
  <si>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</si>
  <si>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</si>
  <si>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</si>
  <si>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</si>
  <si>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</si>
  <si>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</si>
  <si>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</si>
  <si>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</si>
  <si>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</si>
  <si>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</si>
  <si>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</si>
  <si>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</si>
  <si>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</si>
  <si>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</si>
  <si>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</si>
  <si>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</si>
  <si>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</si>
  <si>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</si>
  <si>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</si>
  <si>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</si>
  <si>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</si>
  <si>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</si>
  <si>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</si>
  <si>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</si>
  <si>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</si>
  <si>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</si>
  <si>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</si>
  <si>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</si>
  <si>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</si>
  <si>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</si>
  <si>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</si>
  <si>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</si>
  <si>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</si>
  <si>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</si>
  <si>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</si>
  <si>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</si>
  <si>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</si>
  <si>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</si>
  <si>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</si>
  <si>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</si>
  <si>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</si>
  <si>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</si>
  <si>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</si>
  <si>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</si>
  <si>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</si>
  <si>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</si>
  <si>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</si>
  <si>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</si>
  <si>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</si>
  <si>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</si>
  <si>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</si>
  <si>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</si>
  <si>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</si>
  <si>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</si>
  <si>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</si>
  <si>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</si>
  <si>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</si>
  <si>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</si>
  <si>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</si>
  <si>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</si>
  <si>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</si>
  <si>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</si>
  <si>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</si>
  <si>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</si>
  <si>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</si>
  <si>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</si>
  <si>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</si>
  <si>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</si>
  <si>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</si>
  <si>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</si>
  <si>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</si>
  <si>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</si>
  <si>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</si>
  <si>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</si>
  <si>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</si>
  <si>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</si>
  <si>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</si>
  <si>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</si>
  <si>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</si>
  <si>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</si>
  <si>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</si>
  <si>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</si>
  <si>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</si>
  <si>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</si>
  <si>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</si>
  <si>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</si>
  <si>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</si>
  <si>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</si>
  <si>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</si>
  <si>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</si>
  <si>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</si>
  <si>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</si>
  <si>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</si>
  <si>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</si>
  <si>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</si>
  <si>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</si>
  <si>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</si>
  <si>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</si>
  <si>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</si>
  <si>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</si>
  <si>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</si>
  <si>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</si>
  <si>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</si>
  <si>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</si>
  <si>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</si>
  <si>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</si>
  <si>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</si>
  <si>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</si>
  <si>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</si>
  <si>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</si>
  <si>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</si>
  <si>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</si>
  <si>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</si>
  <si>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</si>
  <si>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</si>
  <si>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</si>
  <si>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</si>
  <si>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</si>
  <si>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</si>
  <si>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</si>
  <si>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</si>
  <si>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</si>
  <si>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</si>
  <si>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</si>
  <si>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</si>
  <si>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</si>
  <si>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</si>
  <si>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</si>
  <si>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</si>
  <si>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</si>
  <si>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</si>
  <si>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</si>
  <si>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</si>
  <si>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</si>
  <si>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</si>
  <si>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</si>
  <si>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</si>
  <si>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</si>
  <si>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</si>
  <si>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</si>
  <si>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</si>
  <si>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</si>
  <si>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</si>
  <si>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</si>
  <si>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</si>
  <si>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</si>
  <si>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</si>
  <si>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</si>
  <si>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</si>
  <si>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</si>
  <si>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</si>
  <si>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</si>
  <si>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</si>
  <si>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</si>
  <si>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</si>
  <si>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</si>
  <si>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</si>
  <si>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</si>
  <si>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</si>
  <si>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</si>
  <si>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</si>
  <si>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</si>
  <si>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</si>
  <si>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</si>
  <si>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</si>
  <si>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</si>
  <si>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</si>
  <si>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</si>
  <si>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</si>
  <si>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</si>
  <si>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</si>
  <si>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</si>
  <si>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</si>
  <si>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</si>
  <si>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</si>
  <si>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</si>
  <si>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</si>
  <si>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</si>
  <si>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</si>
  <si>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</si>
  <si>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</si>
  <si>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</si>
  <si>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</si>
  <si>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</si>
  <si>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</si>
  <si>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</si>
  <si>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</si>
  <si>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</si>
  <si>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</si>
  <si>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</si>
  <si>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</si>
  <si>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</si>
  <si>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</si>
  <si>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</si>
  <si>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</si>
  <si>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</si>
  <si>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</si>
  <si>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</si>
  <si>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</si>
  <si>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</si>
  <si>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</si>
  <si>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</si>
  <si>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</si>
  <si>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</si>
  <si>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</si>
  <si>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</si>
  <si>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</si>
  <si>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</si>
  <si>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</si>
  <si>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</si>
  <si>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</si>
  <si>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</si>
  <si>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</si>
  <si>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</si>
  <si>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</si>
  <si>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</si>
  <si>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</si>
  <si>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</si>
  <si>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</si>
  <si>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</si>
  <si>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</si>
  <si>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</si>
  <si>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</si>
  <si>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</si>
  <si>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</si>
  <si>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</si>
  <si>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</si>
  <si>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</si>
  <si>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</si>
  <si>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</si>
  <si>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</si>
  <si>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</si>
  <si>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</si>
  <si>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</si>
  <si>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</si>
  <si>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</si>
  <si>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</si>
  <si>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</si>
  <si>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</si>
  <si>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</si>
  <si>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</si>
  <si>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</si>
  <si>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</si>
  <si>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</si>
  <si>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</si>
  <si>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</si>
  <si>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</si>
  <si>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</si>
  <si>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</si>
  <si>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</si>
  <si>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</si>
  <si>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</si>
  <si>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</si>
  <si>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</si>
  <si>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</si>
  <si>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</si>
  <si>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</si>
  <si>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</si>
  <si>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</si>
  <si>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</si>
  <si>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</si>
  <si>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</si>
  <si>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</si>
  <si>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</si>
  <si>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</si>
  <si>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</si>
  <si>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</si>
  <si>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</si>
  <si>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</si>
  <si>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</si>
  <si>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</si>
  <si>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</si>
  <si>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</si>
  <si>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</si>
  <si>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</si>
  <si>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</si>
  <si>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</si>
  <si>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</si>
  <si>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</si>
  <si>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</si>
  <si>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</si>
  <si>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</si>
  <si>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</si>
  <si>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</si>
  <si>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</si>
  <si>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</si>
  <si>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</si>
  <si>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</si>
  <si>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</si>
  <si>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</si>
  <si>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</si>
  <si>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</si>
  <si>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</si>
  <si>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</si>
  <si>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</si>
  <si>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</si>
  <si>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</si>
  <si>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</si>
  <si>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</si>
  <si>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</si>
  <si>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</si>
  <si>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</si>
  <si>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</si>
  <si>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</si>
  <si>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</si>
  <si>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</si>
  <si>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</si>
  <si>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</si>
  <si>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</si>
  <si>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</si>
  <si>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</si>
  <si>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</si>
  <si>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</si>
  <si>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</si>
  <si>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</si>
  <si>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</si>
  <si>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</si>
  <si>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</si>
  <si>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</si>
  <si>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</si>
  <si>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</si>
  <si>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</si>
  <si>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</si>
  <si>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</si>
  <si>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</si>
  <si>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</si>
  <si>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</si>
  <si>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</si>
  <si>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</si>
  <si>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</si>
  <si>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</si>
  <si>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</si>
  <si>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</si>
  <si>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</si>
  <si>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</si>
  <si>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</si>
  <si>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</si>
  <si>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</si>
  <si>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</si>
  <si>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</si>
  <si>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</si>
  <si>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</si>
  <si>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</si>
  <si>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</si>
  <si>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</si>
  <si>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</si>
  <si>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</si>
  <si>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</si>
  <si>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</si>
  <si>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</si>
  <si>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</si>
  <si>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</si>
  <si>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</si>
  <si>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</si>
  <si>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</si>
  <si>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</si>
  <si>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</si>
  <si>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</si>
  <si>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</si>
  <si>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</si>
  <si>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</si>
  <si>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</si>
  <si>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</si>
  <si>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</si>
  <si>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</si>
  <si>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</si>
  <si>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</si>
  <si>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</si>
  <si>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</si>
  <si>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</si>
  <si>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</si>
  <si>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</si>
  <si>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</si>
  <si>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</si>
  <si>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</si>
  <si>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</si>
  <si>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</si>
  <si>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</si>
  <si>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</si>
  <si>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</si>
  <si>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</si>
  <si>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</si>
  <si>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</si>
  <si>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</si>
  <si>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</si>
  <si>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</si>
  <si>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</si>
  <si>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</si>
  <si>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</si>
  <si>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</si>
  <si>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</si>
  <si>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</si>
  <si>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</si>
  <si>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</si>
  <si>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</si>
  <si>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</si>
  <si>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</si>
  <si>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</si>
  <si>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</si>
  <si>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</si>
  <si>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</si>
  <si>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</si>
  <si>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</si>
  <si>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</si>
  <si>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</si>
  <si>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</si>
  <si>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</si>
  <si>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</si>
  <si>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</si>
  <si>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</si>
  <si>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</si>
  <si>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</si>
  <si>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</si>
  <si>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</si>
  <si>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</si>
  <si>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</si>
  <si>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</si>
  <si>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</si>
  <si>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</si>
  <si>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</si>
  <si>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</si>
  <si>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</si>
  <si>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</si>
  <si>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</si>
  <si>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</si>
  <si>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</si>
  <si>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</si>
  <si>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</si>
  <si>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</si>
  <si>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</si>
  <si>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</si>
  <si>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</si>
  <si>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</si>
  <si>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</si>
  <si>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</si>
  <si>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</si>
  <si>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</si>
  <si>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</si>
  <si>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</si>
  <si>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</si>
  <si>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</si>
  <si>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</si>
  <si>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</si>
  <si>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</si>
  <si>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</si>
  <si>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</si>
  <si>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</si>
  <si>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</si>
  <si>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</si>
  <si>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</si>
  <si>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</si>
  <si>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</si>
  <si>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</si>
  <si>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</si>
  <si>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</si>
  <si>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</si>
  <si>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</si>
  <si>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</si>
  <si>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</si>
  <si>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</si>
  <si>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</si>
  <si>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</si>
  <si>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</si>
  <si>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</si>
  <si>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</si>
  <si>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</si>
  <si>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</si>
  <si>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</si>
  <si>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</si>
  <si>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</si>
  <si>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</si>
  <si>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</si>
  <si>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</si>
  <si>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</si>
  <si>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</si>
  <si>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</si>
  <si>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</si>
  <si>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</si>
  <si>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</si>
  <si>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</si>
  <si>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</si>
  <si>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</si>
  <si>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</si>
  <si>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</si>
  <si>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</si>
  <si>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</si>
  <si>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</si>
  <si>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</si>
  <si>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</si>
  <si>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</si>
  <si>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</si>
  <si>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</si>
  <si>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</si>
  <si>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</si>
  <si>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</si>
  <si>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</si>
  <si>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</si>
  <si>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</si>
  <si>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</si>
  <si>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</si>
  <si>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</si>
  <si>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</si>
  <si>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</si>
  <si>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</si>
  <si>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</si>
  <si>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</si>
  <si>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</si>
  <si>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</si>
  <si>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</si>
  <si>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</si>
  <si>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</si>
  <si>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</si>
  <si>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</si>
  <si>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</si>
  <si>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</si>
  <si>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</si>
  <si>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</si>
  <si>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</si>
  <si>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</si>
  <si>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</si>
  <si>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</si>
  <si>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</si>
  <si>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</si>
  <si>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</si>
  <si>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</si>
  <si>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</si>
  <si>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</si>
  <si>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</si>
  <si>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</si>
  <si>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</si>
  <si>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</si>
  <si>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</si>
  <si>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</si>
  <si>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</si>
  <si>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</si>
  <si>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</si>
  <si>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</si>
  <si>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</si>
  <si>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</si>
  <si>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</si>
  <si>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</si>
  <si>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</si>
  <si>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</si>
  <si>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</si>
  <si>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</si>
  <si>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</si>
  <si>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</si>
  <si>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</si>
  <si>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</si>
  <si>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</si>
  <si>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</si>
  <si>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</si>
  <si>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</si>
  <si>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</si>
  <si>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</si>
  <si>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</si>
  <si>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</si>
  <si>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</si>
  <si>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</si>
  <si>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</si>
  <si>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</si>
  <si>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</si>
  <si>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</si>
  <si>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</si>
  <si>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</si>
  <si>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</si>
  <si>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</si>
  <si>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</si>
  <si>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</si>
  <si>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</si>
  <si>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</si>
  <si>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</si>
  <si>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</si>
  <si>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</si>
  <si>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</si>
  <si>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</si>
  <si>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</si>
  <si>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</si>
  <si>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</si>
  <si>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</si>
  <si>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</si>
  <si>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</si>
  <si>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</si>
  <si>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</si>
  <si>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</si>
  <si>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</si>
  <si>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</si>
  <si>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</si>
  <si>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</si>
  <si>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</si>
  <si>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</si>
  <si>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</si>
  <si>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</si>
  <si>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</si>
  <si>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</si>
  <si>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</si>
  <si>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</si>
  <si>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</si>
  <si>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</si>
  <si>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</si>
  <si>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</si>
  <si>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</si>
  <si>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</si>
  <si>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</si>
  <si>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</si>
  <si>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</si>
  <si>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</si>
  <si>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</si>
  <si>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</si>
  <si>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</si>
  <si>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</si>
  <si>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</si>
  <si>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</si>
  <si>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</si>
  <si>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</si>
  <si>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</si>
  <si>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</si>
  <si>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</si>
  <si>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</si>
  <si>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</si>
  <si>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</si>
  <si>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</si>
  <si>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</si>
  <si>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</si>
  <si>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</si>
  <si>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</si>
  <si>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</si>
  <si>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</si>
  <si>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</si>
  <si>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</si>
  <si>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</si>
  <si>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</si>
  <si>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</si>
  <si>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</si>
  <si>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</si>
  <si>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</si>
  <si>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</si>
  <si>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</si>
  <si>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</si>
  <si>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</si>
  <si>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</si>
  <si>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</si>
  <si>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</si>
  <si>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</si>
  <si>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</si>
  <si>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</si>
  <si>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</si>
  <si>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</si>
  <si>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</si>
  <si>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</si>
  <si>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</si>
  <si>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</si>
  <si>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</si>
  <si>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</si>
  <si>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</si>
  <si>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</si>
  <si>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</si>
  <si>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</si>
  <si>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</si>
  <si>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</si>
  <si>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</si>
  <si>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</si>
  <si>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</si>
  <si>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</si>
  <si>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</si>
  <si>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</si>
  <si>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</si>
  <si>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</si>
  <si>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</si>
  <si>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</si>
  <si>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</si>
  <si>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</si>
  <si>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</si>
  <si>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</si>
  <si>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</si>
  <si>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</si>
  <si>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</si>
  <si>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</si>
  <si>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</si>
  <si>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</si>
  <si>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</si>
  <si>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</si>
  <si>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</si>
  <si>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</si>
  <si>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</si>
  <si>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</si>
  <si>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</si>
  <si>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</si>
  <si>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</si>
  <si>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</si>
  <si>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</si>
  <si>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</si>
  <si>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</si>
  <si>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</si>
  <si>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</si>
  <si>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</si>
  <si>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</si>
  <si>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</si>
  <si>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</si>
  <si>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</si>
  <si>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</si>
  <si>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</si>
  <si>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</si>
  <si>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</si>
  <si>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</si>
  <si>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</si>
  <si>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</si>
  <si>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</si>
  <si>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</si>
  <si>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</si>
  <si>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</si>
  <si>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</si>
  <si>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</si>
  <si>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</si>
  <si>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</si>
  <si>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</si>
  <si>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</si>
  <si>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</si>
  <si>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</si>
  <si>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</si>
  <si>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</si>
  <si>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</si>
  <si>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</si>
  <si>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</si>
  <si>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</si>
  <si>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</si>
  <si>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</si>
  <si>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</si>
  <si>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</si>
  <si>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</si>
  <si>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</si>
  <si>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</si>
  <si>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</si>
  <si>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</si>
  <si>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</si>
  <si>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</si>
  <si>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</si>
  <si>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</si>
  <si>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</si>
  <si>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</si>
  <si>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</si>
  <si>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</si>
  <si>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</si>
  <si>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</si>
  <si>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</si>
  <si>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</si>
  <si>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</si>
  <si>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</si>
  <si>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</si>
  <si>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</si>
  <si>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</si>
  <si>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</si>
  <si>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</si>
  <si>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</si>
  <si>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</si>
  <si>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</si>
  <si>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</si>
  <si>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</si>
  <si>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</si>
  <si>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</si>
  <si>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</si>
  <si>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</si>
  <si>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</si>
  <si>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</si>
  <si>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</si>
  <si>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</si>
  <si>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</si>
  <si>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</si>
  <si>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</si>
  <si>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</si>
  <si>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</si>
  <si>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</si>
  <si>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</si>
  <si>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</si>
  <si>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</si>
  <si>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</si>
  <si>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</si>
  <si>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</si>
  <si>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</si>
  <si>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</si>
  <si>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</si>
  <si>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</si>
  <si>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</si>
  <si>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</si>
  <si>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</si>
  <si>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</si>
  <si>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</si>
  <si>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</si>
  <si>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</si>
  <si>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</si>
  <si>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</si>
  <si>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</si>
  <si>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</si>
  <si>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</si>
  <si>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</si>
  <si>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</si>
  <si>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</si>
  <si>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</si>
  <si>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</si>
  <si>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</si>
  <si>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</si>
  <si>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</si>
  <si>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</si>
  <si>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</si>
  <si>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</si>
  <si>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</si>
  <si>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</si>
  <si>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</si>
  <si>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</si>
  <si>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</si>
  <si>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</si>
  <si>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</si>
  <si>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</si>
  <si>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</si>
  <si>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</si>
  <si>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</si>
  <si>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</si>
  <si>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</si>
  <si>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</si>
  <si>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</si>
  <si>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</si>
  <si>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</si>
  <si>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</si>
  <si>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</si>
  <si>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</si>
  <si>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</si>
  <si>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</si>
  <si>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</si>
  <si>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</si>
  <si>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</si>
  <si>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</si>
  <si>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</si>
  <si>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</si>
  <si>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</si>
  <si>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</si>
  <si>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</si>
  <si>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</si>
  <si>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</si>
  <si>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</si>
  <si>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</si>
  <si>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</si>
  <si>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</si>
  <si>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</si>
  <si>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</si>
  <si>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</si>
  <si>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 xml:space="preserve">PROMEDIO EN FICHA / </t>
  </si>
  <si>
    <t xml:space="preserve">CLIENTE: </t>
  </si>
  <si>
    <t>1 de abril de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</si>
</sst>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3">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s>
  <fills count="32">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24">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8" fillId="9" borderId="32" xfId="0" applyFont="1" applyFill="1" applyBorder="1" applyAlignment="1">
      <alignment horizontal="center" wrapText="1"/>
    </xf>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13" fillId="2" borderId="2" xfId="0" applyFont="1" applyFill="1" applyBorder="1" applyAlignment="1">
      <alignment horizontal="right" vertical="center"/>
    </xf>
    <xf numFmtId="0" fontId="3" fillId="0" borderId="3" xfId="0" applyFont="1" applyBorder="1"/>
    <xf numFmtId="0" fontId="3" fillId="0" borderId="4" xfId="0" applyFont="1" applyBorder="1"/>
    <xf numFmtId="0" fontId="18" fillId="8" borderId="2" xfId="0" applyFont="1" applyFill="1" applyBorder="1" applyAlignment="1">
      <alignment horizontal="center" vertical="center"/>
    </xf>
    <xf numFmtId="0" fontId="20" fillId="9" borderId="20" xfId="0" applyFont="1" applyFill="1" applyBorder="1" applyAlignment="1">
      <alignment horizontal="center" vertical="center"/>
    </xf>
    <xf numFmtId="0" fontId="3" fillId="0" borderId="21" xfId="0" applyFont="1" applyBorder="1"/>
    <xf numFmtId="0" fontId="3" fillId="0" borderId="22" xfId="0" applyFont="1" applyBorder="1"/>
    <xf numFmtId="0" fontId="7" fillId="9" borderId="20"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10" xfId="0" applyFont="1" applyBorder="1"/>
    <xf numFmtId="0" fontId="3" fillId="0" borderId="11" xfId="0" applyFont="1" applyBorder="1"/>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4" xfId="0" applyFont="1" applyBorder="1"/>
    <xf numFmtId="0" fontId="24" fillId="2" borderId="9" xfId="0" applyFont="1" applyFill="1" applyBorder="1" applyAlignment="1">
      <alignment horizontal="right" vertical="center" wrapText="1"/>
    </xf>
    <xf numFmtId="0" fontId="26" fillId="2" borderId="2" xfId="0" applyFont="1" applyFill="1" applyBorder="1" applyAlignment="1">
      <alignment horizontal="center" vertical="center"/>
    </xf>
    <xf numFmtId="0" fontId="11" fillId="13" borderId="20" xfId="0" applyFont="1" applyFill="1" applyBorder="1" applyAlignment="1">
      <alignment horizontal="center" vertical="center" wrapText="1"/>
    </xf>
    <xf numFmtId="168" fontId="8" fillId="2" borderId="20" xfId="0" applyNumberFormat="1" applyFont="1" applyFill="1" applyBorder="1" applyAlignment="1">
      <alignment horizontal="center" vertical="center"/>
    </xf>
    <xf numFmtId="0" fontId="11" fillId="13" borderId="48" xfId="0" applyFont="1" applyFill="1" applyBorder="1" applyAlignment="1">
      <alignment horizontal="center" vertical="center" wrapText="1"/>
    </xf>
    <xf numFmtId="0" fontId="3" fillId="0" borderId="49" xfId="0" applyFont="1" applyBorder="1"/>
    <xf numFmtId="0" fontId="8" fillId="2" borderId="20" xfId="0" applyFont="1" applyFill="1" applyBorder="1" applyAlignment="1">
      <alignment horizontal="center" vertical="center"/>
    </xf>
    <xf numFmtId="168" fontId="8" fillId="2" borderId="48" xfId="0" applyNumberFormat="1" applyFont="1" applyFill="1" applyBorder="1" applyAlignment="1">
      <alignment horizontal="center" vertical="center"/>
    </xf>
    <xf numFmtId="0" fontId="3" fillId="0" borderId="58"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8" fillId="2" borderId="20"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11" fillId="13" borderId="48" xfId="0" applyFont="1" applyFill="1" applyBorder="1" applyAlignment="1">
      <alignment horizontal="center" vertical="center"/>
    </xf>
    <xf numFmtId="0" fontId="41" fillId="8" borderId="36" xfId="0" applyFont="1" applyFill="1" applyBorder="1" applyAlignment="1">
      <alignment horizontal="center" vertical="center"/>
    </xf>
    <xf numFmtId="0" fontId="39" fillId="8" borderId="2" xfId="0" applyFont="1" applyFill="1" applyBorder="1" applyAlignment="1">
      <alignment horizontal="center" vertical="center"/>
    </xf>
    <xf numFmtId="165" fontId="45" fillId="6" borderId="2" xfId="0" applyNumberFormat="1" applyFont="1" applyFill="1" applyBorder="1" applyAlignment="1">
      <alignment horizontal="center" vertical="center"/>
    </xf>
    <xf numFmtId="168" fontId="46" fillId="2" borderId="71" xfId="0" applyNumberFormat="1" applyFont="1" applyFill="1" applyBorder="1" applyAlignment="1">
      <alignment horizontal="center" vertical="center"/>
    </xf>
    <xf numFmtId="0" fontId="3" fillId="0" borderId="76" xfId="0" applyFont="1" applyBorder="1"/>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7" fillId="2" borderId="2" xfId="0" applyNumberFormat="1" applyFont="1" applyFill="1" applyBorder="1" applyAlignment="1">
      <alignment horizontal="center" vertical="center"/>
    </xf>
    <xf numFmtId="0" fontId="40" fillId="2" borderId="65" xfId="0" applyFont="1" applyFill="1" applyBorder="1" applyAlignment="1">
      <alignment horizontal="center" vertical="center"/>
    </xf>
    <xf numFmtId="0" fontId="3" fillId="0" borderId="67" xfId="0" applyFont="1" applyBorder="1"/>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0" fontId="49" fillId="2" borderId="9" xfId="0" applyFont="1" applyFill="1" applyBorder="1" applyAlignment="1">
      <alignment horizontal="left" vertical="top" wrapText="1"/>
    </xf>
    <xf numFmtId="0" fontId="3" fillId="0" borderId="78" xfId="0" applyFont="1" applyBorder="1"/>
    <xf numFmtId="0" fontId="0" fillId="0" borderId="0" xfId="0"/>
    <xf numFmtId="0" fontId="3" fillId="0" borderId="79" xfId="0" applyFont="1" applyBorder="1"/>
    <xf numFmtId="0" fontId="49" fillId="2" borderId="65" xfId="0" applyFont="1" applyFill="1" applyBorder="1" applyAlignment="1">
      <alignment horizontal="center" vertical="top" wrapText="1"/>
    </xf>
    <xf numFmtId="0" fontId="3" fillId="0" borderId="66" xfId="0" applyFont="1" applyBorder="1"/>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42" fillId="6" borderId="36" xfId="0" applyFont="1" applyFill="1" applyBorder="1" applyAlignment="1">
      <alignment horizontal="center" vertical="center"/>
    </xf>
    <xf numFmtId="168" fontId="40" fillId="2" borderId="36" xfId="0" applyNumberFormat="1" applyFont="1" applyFill="1" applyBorder="1" applyAlignment="1">
      <alignment horizontal="center" vertical="center"/>
    </xf>
    <xf numFmtId="0" fontId="43" fillId="2" borderId="65" xfId="0" applyFont="1" applyFill="1" applyBorder="1" applyAlignment="1">
      <alignment horizont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4" fillId="2" borderId="5" xfId="0" applyFont="1" applyFill="1" applyBorder="1" applyAlignment="1">
      <alignment horizontal="center"/>
    </xf>
    <xf numFmtId="0" fontId="4" fillId="2" borderId="2" xfId="0" applyFont="1" applyFill="1" applyBorder="1" applyAlignment="1">
      <alignment horizontal="left"/>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5" fillId="6" borderId="2" xfId="0" applyFont="1" applyFill="1" applyBorder="1" applyAlignment="1">
      <alignment horizontal="center" vertical="center"/>
    </xf>
    <xf numFmtId="0" fontId="50" fillId="2" borderId="2" xfId="0" applyFont="1" applyFill="1" applyBorder="1" applyAlignment="1">
      <alignment horizontal="center" vertical="center"/>
    </xf>
    <xf numFmtId="0" fontId="51" fillId="13" borderId="36" xfId="0"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171" fontId="36" fillId="15" borderId="36" xfId="0" applyNumberFormat="1" applyFont="1" applyFill="1" applyBorder="1" applyAlignment="1">
      <alignment horizontal="center" vertical="center"/>
    </xf>
    <xf numFmtId="0" fontId="53" fillId="2" borderId="2" xfId="0" applyFont="1" applyFill="1" applyBorder="1" applyAlignment="1">
      <alignment horizontal="center" vertical="center"/>
    </xf>
    <xf numFmtId="0" fontId="43" fillId="2" borderId="2" xfId="0" applyFont="1" applyFill="1" applyBorder="1" applyAlignment="1">
      <alignment horizontal="center" vertical="center"/>
    </xf>
    <xf numFmtId="0" fontId="52" fillId="2" borderId="36" xfId="0" applyFont="1" applyFill="1" applyBorder="1" applyAlignment="1">
      <alignment horizontal="center" vertical="center" wrapText="1"/>
    </xf>
    <xf numFmtId="171" fontId="34" fillId="2" borderId="36" xfId="0" applyNumberFormat="1" applyFont="1" applyFill="1" applyBorder="1" applyAlignment="1">
      <alignment horizontal="center" vertical="center" wrapText="1"/>
    </xf>
    <xf numFmtId="0" fontId="51" fillId="13" borderId="36" xfId="0" applyFont="1" applyFill="1" applyBorder="1" applyAlignment="1">
      <alignment horizontal="center" vertical="center" wrapText="1"/>
    </xf>
    <xf numFmtId="0" fontId="42" fillId="2" borderId="40" xfId="0" applyFont="1" applyFill="1" applyBorder="1" applyAlignment="1">
      <alignment horizontal="center" vertical="center" wrapText="1"/>
    </xf>
    <xf numFmtId="0" fontId="3" fillId="0" borderId="86" xfId="0" applyFont="1" applyBorder="1"/>
    <xf numFmtId="171" fontId="36" fillId="15" borderId="36" xfId="0" applyNumberFormat="1"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52" fillId="2" borderId="2" xfId="0" applyFont="1" applyFill="1" applyBorder="1" applyAlignment="1">
      <alignment horizontal="center"/>
    </xf>
    <xf numFmtId="171" fontId="36" fillId="2" borderId="87" xfId="0" applyNumberFormat="1" applyFont="1" applyFill="1" applyBorder="1" applyAlignment="1">
      <alignment horizontal="center" vertical="center"/>
    </xf>
    <xf numFmtId="0" fontId="57" fillId="2" borderId="2" xfId="0" applyFont="1" applyFill="1" applyBorder="1" applyAlignment="1">
      <alignment horizontal="right"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5" fillId="15" borderId="36" xfId="0" applyFont="1" applyFill="1" applyBorder="1" applyAlignment="1">
      <alignment horizontal="center" vertical="center"/>
    </xf>
    <xf numFmtId="0" fontId="36" fillId="13" borderId="36" xfId="0" applyFont="1" applyFill="1" applyBorder="1" applyAlignment="1">
      <alignment horizontal="center" vertical="center" wrapText="1"/>
    </xf>
    <xf numFmtId="171" fontId="36" fillId="2" borderId="36" xfId="0" applyNumberFormat="1" applyFont="1" applyFill="1" applyBorder="1" applyAlignment="1">
      <alignment horizontal="center" vertic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43" fillId="2" borderId="65" xfId="0" applyFont="1" applyFill="1" applyBorder="1" applyAlignment="1">
      <alignment horizontal="center" vertical="center"/>
    </xf>
    <xf numFmtId="0" fontId="23" fillId="0" borderId="44" xfId="0" applyFont="1" applyBorder="1" applyAlignment="1">
      <alignment horizontal="center"/>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171" fontId="36" fillId="15" borderId="91"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90" fillId="26" borderId="117" xfId="1" applyFont="1" applyFill="1" applyBorder="1" applyAlignment="1" applyProtection="1">
      <alignment horizontal="center" vertical="center"/>
      <protection locked="0"/>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4" fillId="2" borderId="5" xfId="0" applyFont="1" applyFill="1" applyBorder="1" applyAlignment="1">
      <alignment horizontal="center" vertical="center"/>
    </xf>
    <xf numFmtId="0" fontId="63" fillId="2" borderId="9" xfId="0" applyFont="1" applyFill="1" applyBorder="1" applyAlignment="1">
      <alignment horizontal="left" wrapText="1"/>
    </xf>
    <xf numFmtId="0" fontId="5"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64" fillId="2" borderId="2" xfId="0" applyFont="1" applyFill="1" applyBorder="1" applyAlignment="1">
      <alignment horizontal="center" vertical="center"/>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9" xfId="0" applyFont="1" applyFill="1" applyBorder="1" applyAlignment="1">
      <alignment horizontal="left" vertical="center" wrapText="1"/>
    </xf>
    <xf numFmtId="0" fontId="4" fillId="2" borderId="2" xfId="0" applyFont="1" applyFill="1" applyBorder="1" applyAlignment="1">
      <alignment vertical="center"/>
    </xf>
    <xf numFmtId="0" fontId="66" fillId="0" borderId="20" xfId="0" applyFont="1" applyBorder="1" applyAlignment="1">
      <alignment horizontal="left" vertical="center"/>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6" fillId="0" borderId="20" xfId="0" applyFont="1" applyBorder="1" applyAlignment="1">
      <alignment horizontal="center" vertical="center" wrapText="1"/>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67" fillId="0" borderId="20" xfId="0" applyFont="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1" fillId="16" borderId="20" xfId="0" applyFont="1" applyFill="1" applyBorder="1" applyAlignment="1">
      <alignment horizontal="center" vertical="center"/>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0" borderId="0" xfId="0" applyFont="1" applyAlignment="1">
      <alignment horizontal="left" vertical="center" wrapText="1"/>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71" fillId="0" borderId="0" xfId="0" applyFont="1" applyAlignment="1">
      <alignment horizontal="left"/>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5" fillId="0" borderId="0" xfId="0" applyFont="1" applyAlignment="1">
      <alignment horizontal="center" vertical="center"/>
    </xf>
    <xf numFmtId="0" fontId="75" fillId="0" borderId="0" xfId="0" applyFont="1" applyAlignment="1">
      <alignment horizontal="center" vertical="center"/>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8" fillId="11" borderId="20" xfId="0" applyFont="1" applyFill="1" applyBorder="1" applyAlignment="1">
      <alignment horizontal="center" vertical="center" wrapText="1"/>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xf numFmtId="4" fontId="14" fillId="0" borderId="94" xfId="0" applyNumberFormat="1" applyFont="1" applyBorder="1" applyAlignment="1">
      <alignment horizontal="center"/>
    </xf>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5" defaultRowHeight="15"/>
  <cols>
    <col min="1" max="1" width="27.5" style="292" customWidth="1"/>
    <col min="2" max="3" width="21.5" style="292" customWidth="1"/>
    <col min="4" max="4" width="25.5" style="292" customWidth="1"/>
    <col min="5" max="5" width="21.5" style="292" customWidth="1"/>
    <col min="6" max="6" width="19.33203125" style="292" customWidth="1"/>
    <col min="7" max="8" width="18.1640625" style="292" customWidth="1"/>
    <col min="9" max="14" width="21.5" style="292" customWidth="1"/>
    <col min="15" max="19" width="10.5" style="292" customWidth="1"/>
    <col min="20" max="21" width="11.1640625" style="292" customWidth="1"/>
    <col min="22" max="25" width="10.5" style="292" customWidth="1"/>
    <col min="26" max="27" width="13.5" style="292" customWidth="1"/>
    <col min="28" max="38" width="10.5" style="292" customWidth="1"/>
    <col min="39" max="16384" width="14.5" style="292"/>
  </cols>
  <sheetData>
    <row r="1" spans="1:38" ht="14.25" customHeight="1">
      <c r="A1" s="307" t="s">
        <v>554</v>
      </c>
      <c r="B1" s="307" t="s">
        <v>555</v>
      </c>
      <c r="C1" s="307" t="s">
        <v>556</v>
      </c>
      <c r="E1" s="307" t="s">
        <v>557</v>
      </c>
      <c r="H1" s="307" t="s">
        <v>558</v>
      </c>
      <c r="J1" s="307" t="s">
        <v>182</v>
      </c>
      <c r="K1" s="307" t="s">
        <v>559</v>
      </c>
      <c r="L1" s="307" t="s">
        <v>192</v>
      </c>
      <c r="M1" s="307">
        <v>12</v>
      </c>
      <c r="N1" s="307">
        <f t="shared" ref="N1:N8" si="0">M1/12</f>
        <v>1</v>
      </c>
      <c r="P1" s="308">
        <v>0.05</v>
      </c>
      <c r="Q1" s="308">
        <v>0.1</v>
      </c>
      <c r="T1" s="307" t="s">
        <v>560</v>
      </c>
      <c r="U1" s="307" t="s">
        <v>561</v>
      </c>
      <c r="V1" s="307" t="s">
        <v>562</v>
      </c>
      <c r="W1" s="307" t="s">
        <v>563</v>
      </c>
      <c r="Y1" s="307">
        <v>1</v>
      </c>
      <c r="Z1" s="307" t="s">
        <v>564</v>
      </c>
      <c r="AA1" s="307">
        <v>1</v>
      </c>
      <c r="AC1" s="309" t="s">
        <v>565</v>
      </c>
      <c r="AD1" s="309" t="s">
        <v>566</v>
      </c>
      <c r="AE1" s="307" t="s">
        <v>567</v>
      </c>
      <c r="AF1" s="307" t="s">
        <v>568</v>
      </c>
      <c r="AG1" s="307" t="s">
        <v>566</v>
      </c>
      <c r="AH1" s="307" t="s">
        <v>569</v>
      </c>
      <c r="AI1" s="307" t="s">
        <v>570</v>
      </c>
      <c r="AL1" s="307" t="s">
        <v>571</v>
      </c>
    </row>
    <row r="2" spans="1:38" ht="14.25" customHeight="1">
      <c r="A2" s="307" t="s">
        <v>29</v>
      </c>
      <c r="B2" s="307" t="s">
        <v>182</v>
      </c>
      <c r="C2" s="310" t="s">
        <v>572</v>
      </c>
      <c r="D2" s="311" t="s">
        <v>573</v>
      </c>
      <c r="E2" s="307" t="s">
        <v>574</v>
      </c>
      <c r="F2" s="312">
        <v>1.07</v>
      </c>
      <c r="H2" s="307" t="s">
        <v>575</v>
      </c>
      <c r="J2" s="307" t="s">
        <v>137</v>
      </c>
      <c r="K2" s="307" t="s">
        <v>576</v>
      </c>
      <c r="L2" s="307" t="s">
        <v>193</v>
      </c>
      <c r="M2" s="307">
        <v>24</v>
      </c>
      <c r="N2" s="307">
        <f t="shared" si="0"/>
        <v>2</v>
      </c>
      <c r="P2" s="308">
        <v>0.1</v>
      </c>
      <c r="Q2" s="308">
        <v>0.11</v>
      </c>
      <c r="S2" s="307">
        <v>1</v>
      </c>
      <c r="T2" s="313">
        <v>0</v>
      </c>
      <c r="U2" s="313">
        <v>29999.99</v>
      </c>
      <c r="V2" s="307">
        <v>46</v>
      </c>
      <c r="W2" s="307">
        <v>297.77</v>
      </c>
      <c r="Y2" s="307">
        <v>2</v>
      </c>
      <c r="Z2" s="307" t="s">
        <v>577</v>
      </c>
      <c r="AA2" s="307">
        <v>2</v>
      </c>
      <c r="AB2" s="307">
        <f>IF(AND(AC2&gt;=AE2,AC2&lt;=AF2,AD2=AG2),1,0)</f>
        <v>0</v>
      </c>
      <c r="AC2" s="314">
        <v>0</v>
      </c>
      <c r="AD2" s="314">
        <v>0</v>
      </c>
      <c r="AE2" s="307">
        <v>18</v>
      </c>
      <c r="AF2" s="307">
        <v>57</v>
      </c>
      <c r="AG2" s="307" t="s">
        <v>578</v>
      </c>
      <c r="AH2" s="307" t="s">
        <v>579</v>
      </c>
      <c r="AI2" s="315">
        <v>0.75</v>
      </c>
      <c r="AL2" s="307" t="s">
        <v>580</v>
      </c>
    </row>
    <row r="3" spans="1:38" ht="14.25" customHeight="1">
      <c r="A3" s="307" t="s">
        <v>581</v>
      </c>
      <c r="B3" s="307" t="s">
        <v>582</v>
      </c>
      <c r="C3" s="310" t="s">
        <v>583</v>
      </c>
      <c r="D3" s="311" t="s">
        <v>584</v>
      </c>
      <c r="E3" s="307" t="s">
        <v>585</v>
      </c>
      <c r="F3" s="316">
        <v>0.26</v>
      </c>
      <c r="H3" s="307" t="s">
        <v>586</v>
      </c>
      <c r="K3" s="307" t="s">
        <v>587</v>
      </c>
      <c r="M3" s="307">
        <v>36</v>
      </c>
      <c r="N3" s="307">
        <f t="shared" si="0"/>
        <v>3</v>
      </c>
      <c r="P3" s="308">
        <v>0.15</v>
      </c>
      <c r="Q3" s="308">
        <v>0.12</v>
      </c>
      <c r="S3" s="307">
        <v>0</v>
      </c>
      <c r="T3" s="313">
        <v>30000</v>
      </c>
      <c r="U3" s="313">
        <v>39999.99</v>
      </c>
      <c r="V3" s="307">
        <v>51</v>
      </c>
      <c r="W3" s="307">
        <v>327.77</v>
      </c>
      <c r="Y3" s="307">
        <v>3</v>
      </c>
      <c r="Z3" s="307" t="s">
        <v>588</v>
      </c>
      <c r="AA3" s="307">
        <v>3</v>
      </c>
      <c r="AB3" s="307">
        <f>IF(AND(AC3&gt;=AE3,AC3&lt;=AF3,AD3=AG3),1,0)</f>
        <v>0</v>
      </c>
      <c r="AC3" s="314">
        <v>0</v>
      </c>
      <c r="AD3" s="314">
        <v>0</v>
      </c>
      <c r="AE3" s="307">
        <v>18</v>
      </c>
      <c r="AF3" s="307">
        <v>59</v>
      </c>
      <c r="AG3" s="307" t="s">
        <v>589</v>
      </c>
      <c r="AH3" s="307" t="s">
        <v>579</v>
      </c>
      <c r="AI3" s="315">
        <v>0.75</v>
      </c>
    </row>
    <row r="4" spans="1:38" ht="14.25" customHeight="1">
      <c r="B4" s="307" t="s">
        <v>590</v>
      </c>
      <c r="C4" s="310" t="s">
        <v>591</v>
      </c>
      <c r="D4" s="317">
        <v>2024</v>
      </c>
      <c r="E4" s="307" t="s">
        <v>592</v>
      </c>
      <c r="F4" s="318">
        <v>6.5420500000000006E-2</v>
      </c>
      <c r="H4" s="307" t="s">
        <v>593</v>
      </c>
      <c r="K4" s="307" t="s">
        <v>594</v>
      </c>
      <c r="M4" s="307">
        <v>48</v>
      </c>
      <c r="N4" s="307">
        <f t="shared" si="0"/>
        <v>4</v>
      </c>
      <c r="P4" s="308">
        <v>0.2</v>
      </c>
      <c r="Q4" s="308">
        <v>0.13</v>
      </c>
      <c r="S4" s="307">
        <v>0</v>
      </c>
      <c r="T4" s="313">
        <v>40000</v>
      </c>
      <c r="U4" s="313">
        <v>49999.99</v>
      </c>
      <c r="V4" s="307">
        <v>52</v>
      </c>
      <c r="W4" s="307">
        <v>357.77</v>
      </c>
      <c r="Y4" s="307">
        <v>4</v>
      </c>
      <c r="Z4" s="307" t="s">
        <v>595</v>
      </c>
      <c r="AA4" s="307">
        <v>4</v>
      </c>
      <c r="AB4" s="307">
        <f>IF(AND(AC4&gt;=AE4,AC4&lt;=AF4,AD4=AG4),1,0)</f>
        <v>0</v>
      </c>
      <c r="AC4" s="314">
        <v>0</v>
      </c>
      <c r="AD4" s="314">
        <v>0</v>
      </c>
      <c r="AE4" s="307">
        <v>60</v>
      </c>
      <c r="AF4" s="307">
        <v>61</v>
      </c>
      <c r="AG4" s="307" t="s">
        <v>589</v>
      </c>
      <c r="AH4" s="307" t="s">
        <v>579</v>
      </c>
      <c r="AI4" s="315">
        <v>2</v>
      </c>
    </row>
    <row r="5" spans="1:38" ht="14.25" customHeight="1">
      <c r="C5" s="310" t="s">
        <v>596</v>
      </c>
      <c r="D5" s="319">
        <v>14995</v>
      </c>
      <c r="H5" s="307" t="s">
        <v>597</v>
      </c>
      <c r="K5" s="307" t="s">
        <v>598</v>
      </c>
      <c r="M5" s="307">
        <v>60</v>
      </c>
      <c r="N5" s="307">
        <f t="shared" si="0"/>
        <v>5</v>
      </c>
      <c r="P5" s="308">
        <v>0.25</v>
      </c>
      <c r="Q5" s="308">
        <v>0.14000000000000001</v>
      </c>
      <c r="S5" s="307">
        <v>0</v>
      </c>
      <c r="T5" s="313">
        <v>50000</v>
      </c>
      <c r="U5" s="313">
        <v>59999.99</v>
      </c>
      <c r="V5" s="307">
        <v>53</v>
      </c>
      <c r="W5" s="307">
        <v>387.77</v>
      </c>
      <c r="Y5" s="307">
        <v>5</v>
      </c>
      <c r="Z5" s="307" t="s">
        <v>599</v>
      </c>
      <c r="AA5" s="307">
        <v>5</v>
      </c>
      <c r="AB5" s="307">
        <f>IF(AND(AC5&gt;=AE5,AC5&lt;=AF5,AD5=AG5),1,0)</f>
        <v>0</v>
      </c>
      <c r="AC5" s="314">
        <v>0</v>
      </c>
      <c r="AD5" s="314">
        <v>0</v>
      </c>
      <c r="AE5" s="307">
        <v>58</v>
      </c>
      <c r="AF5" s="307">
        <v>120</v>
      </c>
      <c r="AG5" s="307" t="s">
        <v>578</v>
      </c>
      <c r="AH5" s="307" t="s">
        <v>600</v>
      </c>
      <c r="AI5" s="315">
        <v>0</v>
      </c>
    </row>
    <row r="6" spans="1:38" ht="14.25" customHeight="1">
      <c r="A6" s="320" t="s">
        <v>601</v>
      </c>
      <c r="B6" s="292">
        <v>12</v>
      </c>
      <c r="C6" s="310" t="s">
        <v>602</v>
      </c>
      <c r="D6" s="319">
        <v>27.271271458333327</v>
      </c>
      <c r="H6" s="307" t="s">
        <v>603</v>
      </c>
      <c r="M6" s="307">
        <v>72</v>
      </c>
      <c r="N6" s="307">
        <f t="shared" si="0"/>
        <v>6</v>
      </c>
      <c r="P6" s="308">
        <v>0.3</v>
      </c>
      <c r="Q6" s="308">
        <v>0.15</v>
      </c>
      <c r="Y6" s="307">
        <v>6</v>
      </c>
      <c r="Z6" s="307" t="s">
        <v>604</v>
      </c>
      <c r="AA6" s="307">
        <v>6</v>
      </c>
      <c r="AB6" s="307">
        <f>IF(AND(AC6&gt;=AE6,AC6&lt;=AF6,AD6=AG6),1,0)</f>
        <v>0</v>
      </c>
      <c r="AC6" s="314">
        <v>0</v>
      </c>
      <c r="AD6" s="314">
        <v>0</v>
      </c>
      <c r="AE6" s="307">
        <v>62</v>
      </c>
      <c r="AF6" s="307">
        <v>120</v>
      </c>
      <c r="AG6" s="307" t="s">
        <v>589</v>
      </c>
      <c r="AH6" s="307" t="s">
        <v>600</v>
      </c>
      <c r="AI6" s="315">
        <v>0</v>
      </c>
    </row>
    <row r="7" spans="1:38" ht="14.25" customHeight="1">
      <c r="A7" s="320" t="s">
        <v>605</v>
      </c>
      <c r="B7" s="292">
        <v>27.27</v>
      </c>
      <c r="C7" s="310" t="s">
        <v>606</v>
      </c>
      <c r="D7" s="319">
        <v>327.25525749999991</v>
      </c>
      <c r="E7" s="307" t="s">
        <v>607</v>
      </c>
      <c r="F7" s="315" t="e">
        <v>#DIV/0!</v>
      </c>
      <c r="H7" s="307" t="s">
        <v>608</v>
      </c>
      <c r="M7" s="307">
        <v>84</v>
      </c>
      <c r="N7" s="307">
        <f t="shared" si="0"/>
        <v>7</v>
      </c>
      <c r="Q7" s="308">
        <v>0.16</v>
      </c>
      <c r="Y7" s="307">
        <v>7</v>
      </c>
      <c r="Z7" s="307" t="s">
        <v>609</v>
      </c>
      <c r="AA7" s="307">
        <v>7</v>
      </c>
      <c r="AC7" s="309"/>
      <c r="AD7" s="309"/>
    </row>
    <row r="8" spans="1:38" ht="14.25" customHeight="1">
      <c r="C8" s="310" t="s">
        <v>610</v>
      </c>
      <c r="D8" s="321" t="s">
        <v>611</v>
      </c>
      <c r="E8" s="307" t="s">
        <v>612</v>
      </c>
      <c r="F8" s="322">
        <v>0</v>
      </c>
      <c r="H8" s="307" t="s">
        <v>613</v>
      </c>
      <c r="M8" s="307">
        <v>96</v>
      </c>
      <c r="N8" s="307">
        <f t="shared" si="0"/>
        <v>8</v>
      </c>
      <c r="Q8" s="308">
        <v>0.17</v>
      </c>
      <c r="Y8" s="307">
        <v>8</v>
      </c>
      <c r="Z8" s="307" t="s">
        <v>551</v>
      </c>
      <c r="AA8" s="307">
        <v>8</v>
      </c>
      <c r="AC8" s="309"/>
      <c r="AD8" s="309"/>
    </row>
    <row r="9" spans="1:38" ht="14.25" customHeight="1">
      <c r="A9" s="310" t="s">
        <v>614</v>
      </c>
      <c r="B9" s="321" t="s">
        <v>615</v>
      </c>
      <c r="H9" s="307" t="s">
        <v>616</v>
      </c>
      <c r="Q9" s="308">
        <v>0.18</v>
      </c>
      <c r="Y9" s="307">
        <v>9</v>
      </c>
      <c r="Z9" s="307" t="s">
        <v>617</v>
      </c>
      <c r="AA9" s="307">
        <v>9</v>
      </c>
      <c r="AC9" s="309"/>
      <c r="AD9" s="309"/>
    </row>
    <row r="10" spans="1:38" ht="14.25" customHeight="1">
      <c r="A10" s="310" t="s">
        <v>618</v>
      </c>
      <c r="B10" s="321" t="s">
        <v>619</v>
      </c>
      <c r="H10" s="307" t="s">
        <v>620</v>
      </c>
      <c r="Q10" s="308">
        <v>0.19</v>
      </c>
      <c r="Y10" s="307">
        <v>10</v>
      </c>
      <c r="Z10" s="307" t="s">
        <v>621</v>
      </c>
      <c r="AA10" s="307">
        <v>10</v>
      </c>
      <c r="AC10" s="309"/>
      <c r="AD10" s="309"/>
    </row>
    <row r="11" spans="1:38" ht="14.25" customHeight="1">
      <c r="C11" s="323" t="s">
        <v>622</v>
      </c>
      <c r="D11" s="324">
        <v>1</v>
      </c>
      <c r="E11" s="307" t="s">
        <v>623</v>
      </c>
      <c r="F11" s="307" t="str">
        <f>UPPER(E11)</f>
        <v>1 - PAGO VOLUNTARIO</v>
      </c>
      <c r="H11" s="307" t="s">
        <v>624</v>
      </c>
      <c r="Q11" s="308">
        <v>0.2</v>
      </c>
      <c r="Y11" s="307">
        <v>11</v>
      </c>
      <c r="Z11" s="307" t="s">
        <v>625</v>
      </c>
      <c r="AA11" s="307">
        <v>11</v>
      </c>
      <c r="AC11" s="309"/>
      <c r="AD11" s="309"/>
    </row>
    <row r="12" spans="1:38" ht="14.25" customHeight="1">
      <c r="C12" s="318" t="s">
        <v>626</v>
      </c>
      <c r="D12" s="325">
        <v>2</v>
      </c>
      <c r="E12" s="307" t="s">
        <v>627</v>
      </c>
      <c r="F12" s="307" t="str">
        <f>UPPER(E12)</f>
        <v>2 - ACH</v>
      </c>
      <c r="H12" s="307" t="s">
        <v>628</v>
      </c>
      <c r="Q12" s="308">
        <v>0.21</v>
      </c>
      <c r="Y12" s="307">
        <v>12</v>
      </c>
      <c r="Z12" s="307" t="s">
        <v>629</v>
      </c>
      <c r="AA12" s="307">
        <v>12</v>
      </c>
      <c r="AC12" s="309"/>
      <c r="AD12" s="309"/>
    </row>
    <row r="13" spans="1:38" ht="14.25" customHeight="1">
      <c r="C13" s="318" t="s">
        <v>630</v>
      </c>
      <c r="D13" s="325">
        <v>3</v>
      </c>
      <c r="E13" s="307" t="s">
        <v>631</v>
      </c>
      <c r="F13" s="307" t="str">
        <f>UPPER(E13)</f>
        <v>3 - DESC. DIRECTO</v>
      </c>
      <c r="H13" s="307" t="s">
        <v>632</v>
      </c>
      <c r="Q13" s="308">
        <v>0.22</v>
      </c>
      <c r="AC13" s="309"/>
      <c r="AD13" s="309"/>
    </row>
    <row r="14" spans="1:38" ht="14.25" customHeight="1">
      <c r="H14" s="307" t="s">
        <v>633</v>
      </c>
      <c r="Q14" s="308">
        <v>0.23</v>
      </c>
      <c r="AC14" s="309"/>
      <c r="AD14" s="309"/>
    </row>
    <row r="15" spans="1:38" ht="14.25" customHeight="1">
      <c r="H15" s="307" t="s">
        <v>634</v>
      </c>
      <c r="AC15" s="309"/>
      <c r="AD15" s="309"/>
    </row>
    <row r="16" spans="1:38" ht="14.25" customHeight="1">
      <c r="A16" s="326" t="s">
        <v>28</v>
      </c>
      <c r="B16" s="327" t="s">
        <v>29</v>
      </c>
      <c r="C16" s="307" t="s">
        <v>635</v>
      </c>
      <c r="D16" s="307" t="s">
        <v>636</v>
      </c>
      <c r="H16" s="307" t="s">
        <v>637</v>
      </c>
      <c r="AC16" s="309"/>
      <c r="AD16" s="309"/>
    </row>
    <row r="17" spans="1:30" ht="14.25" customHeight="1">
      <c r="A17" s="328" t="s">
        <v>30</v>
      </c>
      <c r="B17" s="329" t="s">
        <v>31</v>
      </c>
      <c r="C17" s="330" t="s">
        <v>638</v>
      </c>
      <c r="D17" s="331" t="s">
        <v>639</v>
      </c>
      <c r="H17" s="307" t="s">
        <v>640</v>
      </c>
      <c r="AC17" s="309"/>
      <c r="AD17" s="309"/>
    </row>
    <row r="18" spans="1:30" ht="14.25" customHeight="1">
      <c r="A18" s="332" t="s">
        <v>641</v>
      </c>
      <c r="B18" s="333" t="s">
        <v>37</v>
      </c>
      <c r="D18" s="334" t="s">
        <v>642</v>
      </c>
      <c r="H18" s="307" t="s">
        <v>643</v>
      </c>
      <c r="AC18" s="309"/>
      <c r="AD18" s="309"/>
    </row>
    <row r="19" spans="1:30" ht="14.25" customHeight="1">
      <c r="A19" s="335" t="s">
        <v>644</v>
      </c>
      <c r="B19" s="333" t="s">
        <v>42</v>
      </c>
      <c r="C19" s="336" t="s">
        <v>645</v>
      </c>
      <c r="D19" s="334" t="s">
        <v>646</v>
      </c>
      <c r="H19" s="307" t="s">
        <v>647</v>
      </c>
      <c r="AC19" s="309"/>
      <c r="AD19" s="309"/>
    </row>
    <row r="20" spans="1:30" ht="14.25" customHeight="1">
      <c r="A20" s="335" t="s">
        <v>36</v>
      </c>
      <c r="B20" s="333" t="s">
        <v>51</v>
      </c>
      <c r="C20" s="336" t="s">
        <v>648</v>
      </c>
      <c r="D20" s="334" t="s">
        <v>649</v>
      </c>
      <c r="H20" s="307" t="s">
        <v>650</v>
      </c>
      <c r="AC20" s="309"/>
      <c r="AD20" s="309"/>
    </row>
    <row r="21" spans="1:30" ht="14.25" customHeight="1">
      <c r="A21" s="332" t="s">
        <v>41</v>
      </c>
      <c r="B21" s="333" t="s">
        <v>651</v>
      </c>
      <c r="D21" s="334" t="s">
        <v>652</v>
      </c>
      <c r="H21" s="307" t="s">
        <v>653</v>
      </c>
      <c r="AC21" s="309"/>
      <c r="AD21" s="309"/>
    </row>
    <row r="22" spans="1:30" ht="14.25" customHeight="1">
      <c r="A22" s="335" t="s">
        <v>654</v>
      </c>
      <c r="B22" s="333" t="s">
        <v>55</v>
      </c>
      <c r="D22" s="334" t="s">
        <v>655</v>
      </c>
      <c r="H22" s="307" t="s">
        <v>656</v>
      </c>
      <c r="AC22" s="309"/>
      <c r="AD22" s="309"/>
    </row>
    <row r="23" spans="1:30" ht="14.25" customHeight="1">
      <c r="A23" s="332" t="s">
        <v>46</v>
      </c>
      <c r="B23" s="333" t="s">
        <v>59</v>
      </c>
      <c r="C23" s="336" t="s">
        <v>657</v>
      </c>
      <c r="D23" s="334" t="s">
        <v>658</v>
      </c>
      <c r="H23" s="307" t="s">
        <v>659</v>
      </c>
      <c r="AC23" s="309"/>
      <c r="AD23" s="309"/>
    </row>
    <row r="24" spans="1:30" ht="14.25" customHeight="1">
      <c r="A24" s="335" t="s">
        <v>660</v>
      </c>
      <c r="B24" s="333" t="s">
        <v>62</v>
      </c>
      <c r="D24" s="334" t="s">
        <v>661</v>
      </c>
      <c r="H24" s="307" t="s">
        <v>662</v>
      </c>
      <c r="AC24" s="309"/>
      <c r="AD24" s="309"/>
    </row>
    <row r="25" spans="1:30" ht="14.25" customHeight="1">
      <c r="A25" s="332" t="s">
        <v>663</v>
      </c>
      <c r="B25" s="333" t="s">
        <v>65</v>
      </c>
      <c r="C25" s="336" t="s">
        <v>664</v>
      </c>
      <c r="D25" s="334" t="s">
        <v>665</v>
      </c>
      <c r="H25" s="307" t="s">
        <v>666</v>
      </c>
      <c r="AC25" s="309"/>
      <c r="AD25" s="309"/>
    </row>
    <row r="26" spans="1:30" ht="14.25" customHeight="1">
      <c r="A26" s="335" t="s">
        <v>64</v>
      </c>
      <c r="B26" s="333" t="s">
        <v>68</v>
      </c>
      <c r="C26" s="336" t="s">
        <v>667</v>
      </c>
      <c r="D26" s="334" t="s">
        <v>668</v>
      </c>
      <c r="H26" s="307" t="s">
        <v>669</v>
      </c>
      <c r="AC26" s="309"/>
      <c r="AD26" s="309"/>
    </row>
    <row r="27" spans="1:30" ht="14.25" customHeight="1">
      <c r="A27" s="337" t="s">
        <v>670</v>
      </c>
      <c r="B27" s="338" t="s">
        <v>671</v>
      </c>
      <c r="C27" s="320" t="s">
        <v>667</v>
      </c>
      <c r="D27" s="339" t="s">
        <v>672</v>
      </c>
      <c r="H27" s="307" t="s">
        <v>673</v>
      </c>
      <c r="AC27" s="309"/>
      <c r="AD27" s="309"/>
    </row>
    <row r="28" spans="1:30" ht="14.25" customHeight="1">
      <c r="A28" s="332" t="s">
        <v>67</v>
      </c>
      <c r="B28" s="333" t="s">
        <v>71</v>
      </c>
      <c r="C28" s="336" t="s">
        <v>674</v>
      </c>
      <c r="D28" s="334" t="s">
        <v>675</v>
      </c>
      <c r="H28" s="307" t="s">
        <v>676</v>
      </c>
      <c r="AC28" s="309"/>
      <c r="AD28" s="309"/>
    </row>
    <row r="29" spans="1:30" ht="14.25" customHeight="1">
      <c r="A29" s="340" t="s">
        <v>677</v>
      </c>
      <c r="B29" s="333" t="s">
        <v>74</v>
      </c>
      <c r="C29" s="336" t="s">
        <v>678</v>
      </c>
      <c r="D29" s="334" t="s">
        <v>679</v>
      </c>
      <c r="H29" s="307" t="s">
        <v>680</v>
      </c>
      <c r="AC29" s="309"/>
      <c r="AD29" s="309"/>
    </row>
    <row r="30" spans="1:30" ht="14.25" customHeight="1">
      <c r="A30" s="341" t="s">
        <v>681</v>
      </c>
      <c r="B30" s="333" t="s">
        <v>77</v>
      </c>
      <c r="C30" s="336" t="s">
        <v>682</v>
      </c>
      <c r="D30" s="334" t="s">
        <v>683</v>
      </c>
      <c r="H30" s="307" t="s">
        <v>684</v>
      </c>
      <c r="AC30" s="309"/>
      <c r="AD30" s="309"/>
    </row>
    <row r="31" spans="1:30" ht="14.25" customHeight="1">
      <c r="A31" s="335" t="s">
        <v>685</v>
      </c>
      <c r="B31" s="333" t="s">
        <v>686</v>
      </c>
      <c r="C31" s="336"/>
      <c r="D31" s="339" t="s">
        <v>687</v>
      </c>
      <c r="H31" s="307" t="s">
        <v>688</v>
      </c>
      <c r="AC31" s="309"/>
      <c r="AD31" s="309"/>
    </row>
    <row r="32" spans="1:30" ht="14.25" customHeight="1">
      <c r="A32" s="335" t="s">
        <v>73</v>
      </c>
      <c r="B32" s="333" t="s">
        <v>80</v>
      </c>
      <c r="C32" s="336" t="s">
        <v>689</v>
      </c>
      <c r="D32" s="334" t="s">
        <v>690</v>
      </c>
      <c r="H32" s="307" t="s">
        <v>691</v>
      </c>
      <c r="AC32" s="309"/>
      <c r="AD32" s="309"/>
    </row>
    <row r="33" spans="1:30" ht="14.25" customHeight="1">
      <c r="A33" s="332" t="s">
        <v>76</v>
      </c>
      <c r="B33" s="333" t="s">
        <v>83</v>
      </c>
      <c r="C33" s="336" t="s">
        <v>692</v>
      </c>
      <c r="D33" s="334" t="s">
        <v>693</v>
      </c>
      <c r="H33" s="307" t="s">
        <v>694</v>
      </c>
      <c r="AC33" s="309"/>
      <c r="AD33" s="309"/>
    </row>
    <row r="34" spans="1:30" ht="14.25" customHeight="1">
      <c r="A34" s="332" t="s">
        <v>695</v>
      </c>
      <c r="B34" s="333" t="s">
        <v>696</v>
      </c>
      <c r="C34" s="342">
        <v>66728606</v>
      </c>
      <c r="D34" s="339" t="s">
        <v>697</v>
      </c>
      <c r="H34" s="307" t="s">
        <v>698</v>
      </c>
      <c r="AC34" s="309"/>
      <c r="AD34" s="309"/>
    </row>
    <row r="35" spans="1:30" ht="14.25" customHeight="1">
      <c r="A35" s="343" t="s">
        <v>699</v>
      </c>
      <c r="B35" s="344" t="s">
        <v>700</v>
      </c>
      <c r="C35" s="342" t="s">
        <v>701</v>
      </c>
      <c r="D35" s="339" t="s">
        <v>702</v>
      </c>
      <c r="H35" s="307" t="s">
        <v>703</v>
      </c>
      <c r="AC35" s="309"/>
      <c r="AD35" s="309"/>
    </row>
    <row r="36" spans="1:30" ht="14.25" customHeight="1">
      <c r="A36" s="335" t="s">
        <v>704</v>
      </c>
      <c r="B36" s="333" t="s">
        <v>705</v>
      </c>
      <c r="C36" s="336" t="s">
        <v>706</v>
      </c>
      <c r="D36" s="339" t="s">
        <v>707</v>
      </c>
      <c r="H36" s="307" t="s">
        <v>708</v>
      </c>
      <c r="AC36" s="309"/>
      <c r="AD36" s="309"/>
    </row>
    <row r="37" spans="1:30" ht="14.25" customHeight="1">
      <c r="A37" s="335" t="s">
        <v>709</v>
      </c>
      <c r="B37" s="333" t="s">
        <v>710</v>
      </c>
      <c r="C37" s="336" t="s">
        <v>711</v>
      </c>
      <c r="D37" s="339" t="s">
        <v>712</v>
      </c>
      <c r="H37" s="307" t="s">
        <v>713</v>
      </c>
      <c r="AC37" s="309"/>
      <c r="AD37" s="309"/>
    </row>
    <row r="38" spans="1:30" ht="14.25" customHeight="1">
      <c r="A38" s="335" t="s">
        <v>79</v>
      </c>
      <c r="B38" s="333" t="s">
        <v>86</v>
      </c>
      <c r="C38" s="336" t="s">
        <v>714</v>
      </c>
      <c r="D38" s="334" t="s">
        <v>715</v>
      </c>
      <c r="H38" s="307" t="s">
        <v>716</v>
      </c>
      <c r="AC38" s="309"/>
      <c r="AD38" s="309"/>
    </row>
    <row r="39" spans="1:30" ht="14.25" customHeight="1">
      <c r="A39" s="341" t="s">
        <v>717</v>
      </c>
      <c r="B39" s="333" t="s">
        <v>89</v>
      </c>
      <c r="C39" s="336" t="s">
        <v>718</v>
      </c>
      <c r="D39" s="334" t="s">
        <v>719</v>
      </c>
      <c r="H39" s="307" t="s">
        <v>720</v>
      </c>
      <c r="AC39" s="309"/>
      <c r="AD39" s="309"/>
    </row>
    <row r="40" spans="1:30" ht="14.25" customHeight="1">
      <c r="A40" s="335" t="s">
        <v>721</v>
      </c>
      <c r="B40" s="333" t="s">
        <v>92</v>
      </c>
      <c r="C40" s="336" t="s">
        <v>722</v>
      </c>
      <c r="D40" s="334" t="s">
        <v>723</v>
      </c>
      <c r="H40" s="307" t="s">
        <v>724</v>
      </c>
      <c r="AC40" s="309"/>
      <c r="AD40" s="309"/>
    </row>
    <row r="41" spans="1:30" ht="14.25" customHeight="1">
      <c r="A41" s="332" t="s">
        <v>725</v>
      </c>
      <c r="B41" s="333" t="s">
        <v>726</v>
      </c>
      <c r="C41" s="336"/>
      <c r="D41" s="334" t="s">
        <v>727</v>
      </c>
      <c r="H41" s="307" t="s">
        <v>728</v>
      </c>
      <c r="AC41" s="309"/>
      <c r="AD41" s="309"/>
    </row>
    <row r="42" spans="1:30" ht="14.25" customHeight="1">
      <c r="A42" s="340" t="s">
        <v>91</v>
      </c>
      <c r="B42" s="345" t="s">
        <v>729</v>
      </c>
      <c r="C42" s="336" t="s">
        <v>730</v>
      </c>
      <c r="D42" s="334" t="s">
        <v>731</v>
      </c>
      <c r="H42" s="307" t="s">
        <v>732</v>
      </c>
      <c r="AC42" s="309"/>
      <c r="AD42" s="309"/>
    </row>
    <row r="43" spans="1:30" ht="14.25" customHeight="1">
      <c r="A43" s="341" t="s">
        <v>733</v>
      </c>
      <c r="B43" s="346" t="s">
        <v>95</v>
      </c>
      <c r="C43" s="336" t="s">
        <v>734</v>
      </c>
      <c r="D43" s="334" t="s">
        <v>735</v>
      </c>
      <c r="H43" s="307" t="s">
        <v>736</v>
      </c>
      <c r="AC43" s="309"/>
      <c r="AD43" s="309"/>
    </row>
    <row r="44" spans="1:30" ht="14.25" customHeight="1">
      <c r="A44" s="340" t="s">
        <v>737</v>
      </c>
      <c r="B44" s="345" t="s">
        <v>97</v>
      </c>
      <c r="C44" s="336" t="s">
        <v>738</v>
      </c>
      <c r="D44" s="307" t="s">
        <v>739</v>
      </c>
      <c r="H44" s="307" t="s">
        <v>740</v>
      </c>
      <c r="AC44" s="309"/>
      <c r="AD44" s="309"/>
    </row>
    <row r="45" spans="1:30" ht="14.25" customHeight="1">
      <c r="A45" s="332" t="s">
        <v>741</v>
      </c>
      <c r="B45" s="345" t="s">
        <v>742</v>
      </c>
      <c r="C45" s="336" t="s">
        <v>743</v>
      </c>
      <c r="D45" s="334" t="s">
        <v>744</v>
      </c>
      <c r="H45" s="307" t="s">
        <v>745</v>
      </c>
      <c r="AC45" s="309"/>
      <c r="AD45" s="309"/>
    </row>
    <row r="46" spans="1:30" ht="14.25" customHeight="1">
      <c r="A46" s="347" t="s">
        <v>746</v>
      </c>
      <c r="B46" s="348" t="s">
        <v>747</v>
      </c>
      <c r="C46" s="336" t="s">
        <v>748</v>
      </c>
      <c r="D46" s="339" t="s">
        <v>749</v>
      </c>
      <c r="H46" s="307" t="s">
        <v>750</v>
      </c>
      <c r="AC46" s="309"/>
      <c r="AD46" s="309"/>
    </row>
    <row r="47" spans="1:30" ht="14.25" customHeight="1">
      <c r="A47" s="349" t="s">
        <v>96</v>
      </c>
      <c r="B47" s="350" t="s">
        <v>99</v>
      </c>
      <c r="C47" s="336" t="s">
        <v>751</v>
      </c>
      <c r="D47" s="334" t="s">
        <v>752</v>
      </c>
      <c r="H47" s="307" t="s">
        <v>753</v>
      </c>
      <c r="AC47" s="309"/>
      <c r="AD47" s="309"/>
    </row>
    <row r="48" spans="1:30" ht="14.25" customHeight="1">
      <c r="A48" s="351" t="s">
        <v>94</v>
      </c>
      <c r="B48" s="292" t="s">
        <v>101</v>
      </c>
      <c r="C48" s="336" t="s">
        <v>754</v>
      </c>
      <c r="D48" s="334" t="s">
        <v>755</v>
      </c>
      <c r="H48" s="307" t="s">
        <v>756</v>
      </c>
      <c r="AC48" s="309"/>
      <c r="AD48" s="309"/>
    </row>
    <row r="49" spans="1:30" ht="14.25" customHeight="1">
      <c r="A49" s="351" t="s">
        <v>757</v>
      </c>
      <c r="C49" s="336" t="s">
        <v>758</v>
      </c>
      <c r="D49" s="334" t="s">
        <v>759</v>
      </c>
      <c r="H49" s="307" t="s">
        <v>760</v>
      </c>
      <c r="AC49" s="309"/>
      <c r="AD49" s="309"/>
    </row>
    <row r="50" spans="1:30" ht="14.25" customHeight="1">
      <c r="A50" s="351" t="s">
        <v>761</v>
      </c>
      <c r="C50" s="336" t="s">
        <v>701</v>
      </c>
      <c r="D50" s="334" t="s">
        <v>762</v>
      </c>
      <c r="H50" s="307" t="s">
        <v>763</v>
      </c>
      <c r="AC50" s="309"/>
      <c r="AD50" s="309"/>
    </row>
    <row r="51" spans="1:30" ht="14.25" customHeight="1">
      <c r="A51" s="351" t="s">
        <v>764</v>
      </c>
      <c r="C51" s="336" t="s">
        <v>765</v>
      </c>
      <c r="D51" s="334" t="s">
        <v>766</v>
      </c>
      <c r="H51" s="307" t="s">
        <v>767</v>
      </c>
      <c r="AC51" s="309"/>
      <c r="AD51" s="309"/>
    </row>
    <row r="52" spans="1:30" ht="14.25" customHeight="1">
      <c r="A52" s="351" t="s">
        <v>768</v>
      </c>
      <c r="B52" s="292" t="s">
        <v>769</v>
      </c>
      <c r="C52" s="336" t="s">
        <v>770</v>
      </c>
      <c r="D52" s="307" t="s">
        <v>771</v>
      </c>
      <c r="H52" s="307" t="s">
        <v>772</v>
      </c>
      <c r="AC52" s="309"/>
      <c r="AD52" s="309"/>
    </row>
    <row r="53" spans="1:30" ht="14.25" customHeight="1">
      <c r="A53" s="352" t="s">
        <v>773</v>
      </c>
      <c r="B53" s="292" t="s">
        <v>774</v>
      </c>
      <c r="C53" s="336"/>
      <c r="D53" s="292" t="s">
        <v>775</v>
      </c>
      <c r="H53" s="307" t="s">
        <v>776</v>
      </c>
      <c r="AC53" s="309"/>
      <c r="AD53" s="309"/>
    </row>
    <row r="54" spans="1:30" ht="14.25" customHeight="1">
      <c r="A54" s="352"/>
      <c r="D54" s="339"/>
      <c r="H54" s="307" t="s">
        <v>777</v>
      </c>
      <c r="AC54" s="309"/>
      <c r="AD54" s="309"/>
    </row>
    <row r="55" spans="1:30" ht="14.25" customHeight="1">
      <c r="A55" s="352"/>
      <c r="D55" s="339"/>
      <c r="H55" s="307" t="s">
        <v>778</v>
      </c>
      <c r="AC55" s="309"/>
      <c r="AD55" s="309"/>
    </row>
    <row r="56" spans="1:30" ht="14.25" customHeight="1">
      <c r="A56" s="352"/>
      <c r="D56" s="339"/>
      <c r="H56" s="307" t="s">
        <v>779</v>
      </c>
      <c r="AC56" s="309"/>
      <c r="AD56" s="309"/>
    </row>
    <row r="57" spans="1:30" ht="14.25" customHeight="1">
      <c r="A57" s="352"/>
      <c r="D57" s="339"/>
      <c r="H57" s="307" t="s">
        <v>780</v>
      </c>
      <c r="AC57" s="309"/>
      <c r="AD57" s="309"/>
    </row>
    <row r="58" spans="1:30" ht="14.25" customHeight="1">
      <c r="A58" s="352"/>
      <c r="D58" s="339"/>
      <c r="H58" s="307" t="s">
        <v>781</v>
      </c>
      <c r="AC58" s="309"/>
      <c r="AD58" s="309"/>
    </row>
    <row r="59" spans="1:30" ht="14.25" customHeight="1">
      <c r="A59" s="352"/>
      <c r="D59" s="339"/>
      <c r="H59" s="307" t="s">
        <v>782</v>
      </c>
      <c r="AC59" s="309"/>
      <c r="AD59" s="309"/>
    </row>
    <row r="60" spans="1:30" ht="14.25" customHeight="1">
      <c r="A60" s="352"/>
      <c r="D60" s="339"/>
      <c r="H60" s="307" t="s">
        <v>783</v>
      </c>
      <c r="AC60" s="309"/>
      <c r="AD60" s="309"/>
    </row>
    <row r="61" spans="1:30" ht="14.25" customHeight="1">
      <c r="A61" s="352"/>
      <c r="D61" s="339"/>
      <c r="H61" s="307" t="s">
        <v>784</v>
      </c>
      <c r="AC61" s="309"/>
      <c r="AD61" s="309"/>
    </row>
    <row r="62" spans="1:30" ht="14.25" customHeight="1">
      <c r="A62" s="352"/>
      <c r="D62" s="339"/>
      <c r="H62" s="307" t="s">
        <v>785</v>
      </c>
      <c r="AC62" s="309"/>
      <c r="AD62" s="309"/>
    </row>
    <row r="63" spans="1:30" ht="14.25" customHeight="1">
      <c r="A63" s="352"/>
      <c r="D63" s="339"/>
      <c r="H63" s="307" t="s">
        <v>786</v>
      </c>
      <c r="AC63" s="309"/>
      <c r="AD63" s="309"/>
    </row>
    <row r="64" spans="1:30" ht="14.25" customHeight="1">
      <c r="A64" s="352"/>
      <c r="D64" s="339"/>
      <c r="H64" s="307" t="s">
        <v>787</v>
      </c>
      <c r="AC64" s="309"/>
      <c r="AD64" s="309"/>
    </row>
    <row r="65" spans="1:30" ht="14.25" customHeight="1">
      <c r="A65" s="352"/>
      <c r="D65" s="339"/>
      <c r="H65" s="307" t="s">
        <v>788</v>
      </c>
      <c r="AC65" s="309"/>
      <c r="AD65" s="309"/>
    </row>
    <row r="66" spans="1:30" ht="14.25" customHeight="1">
      <c r="A66" s="352"/>
      <c r="D66" s="339"/>
      <c r="H66" s="307" t="s">
        <v>789</v>
      </c>
      <c r="AC66" s="309"/>
      <c r="AD66" s="309"/>
    </row>
    <row r="67" spans="1:30" ht="14.25" customHeight="1">
      <c r="A67" s="352"/>
      <c r="D67" s="339"/>
      <c r="H67" s="307" t="s">
        <v>790</v>
      </c>
      <c r="AC67" s="309"/>
      <c r="AD67" s="309"/>
    </row>
    <row r="68" spans="1:30" ht="14.25" customHeight="1">
      <c r="A68" s="352"/>
      <c r="D68" s="339"/>
      <c r="H68" s="307" t="s">
        <v>791</v>
      </c>
      <c r="AC68" s="309"/>
      <c r="AD68" s="309"/>
    </row>
    <row r="69" spans="1:30" ht="14.25" customHeight="1">
      <c r="A69" s="352"/>
      <c r="D69" s="339"/>
      <c r="H69" s="307" t="s">
        <v>792</v>
      </c>
      <c r="AC69" s="309"/>
      <c r="AD69" s="309"/>
    </row>
    <row r="70" spans="1:30" ht="14.25" customHeight="1">
      <c r="A70" s="352"/>
      <c r="D70" s="339"/>
      <c r="H70" s="307" t="s">
        <v>793</v>
      </c>
      <c r="AC70" s="309"/>
      <c r="AD70" s="309"/>
    </row>
    <row r="71" spans="1:30" ht="14.25" customHeight="1">
      <c r="A71" s="352"/>
      <c r="D71" s="339"/>
      <c r="H71" s="307" t="s">
        <v>794</v>
      </c>
      <c r="AC71" s="309"/>
      <c r="AD71" s="309"/>
    </row>
    <row r="72" spans="1:30" ht="14.25" customHeight="1">
      <c r="A72" s="352"/>
      <c r="D72" s="339"/>
      <c r="H72" s="307" t="s">
        <v>795</v>
      </c>
      <c r="AC72" s="309"/>
      <c r="AD72" s="309"/>
    </row>
    <row r="73" spans="1:30" ht="14.25" customHeight="1">
      <c r="A73" s="352"/>
      <c r="D73" s="339"/>
      <c r="H73" s="307" t="s">
        <v>796</v>
      </c>
      <c r="AC73" s="309"/>
      <c r="AD73" s="309"/>
    </row>
    <row r="74" spans="1:30" ht="14.25" customHeight="1">
      <c r="A74" s="352"/>
      <c r="D74" s="339"/>
      <c r="H74" s="307" t="s">
        <v>797</v>
      </c>
      <c r="AC74" s="309"/>
      <c r="AD74" s="309"/>
    </row>
    <row r="75" spans="1:30" ht="14.25" customHeight="1">
      <c r="A75" s="352"/>
      <c r="D75" s="339"/>
      <c r="H75" s="307" t="s">
        <v>798</v>
      </c>
      <c r="AC75" s="309"/>
      <c r="AD75" s="309"/>
    </row>
    <row r="76" spans="1:30" ht="14.25" customHeight="1">
      <c r="A76" s="352"/>
      <c r="D76" s="339"/>
      <c r="H76" s="307" t="s">
        <v>799</v>
      </c>
      <c r="AC76" s="309"/>
      <c r="AD76" s="309"/>
    </row>
    <row r="77" spans="1:30" ht="14.25" customHeight="1">
      <c r="A77" s="352"/>
      <c r="D77" s="339"/>
      <c r="H77" s="307" t="s">
        <v>800</v>
      </c>
      <c r="AC77" s="309"/>
      <c r="AD77" s="309"/>
    </row>
    <row r="78" spans="1:30" ht="14.25" customHeight="1">
      <c r="A78" s="352"/>
      <c r="D78" s="339"/>
      <c r="H78" s="307" t="s">
        <v>801</v>
      </c>
      <c r="AC78" s="309"/>
      <c r="AD78" s="309"/>
    </row>
    <row r="79" spans="1:30" ht="14.25" customHeight="1">
      <c r="A79" s="352"/>
      <c r="D79" s="339"/>
      <c r="H79" s="307" t="s">
        <v>802</v>
      </c>
      <c r="AC79" s="309"/>
      <c r="AD79" s="309"/>
    </row>
    <row r="80" spans="1:30" ht="14.25" customHeight="1">
      <c r="A80" s="352"/>
      <c r="D80" s="339"/>
      <c r="H80" s="307" t="s">
        <v>803</v>
      </c>
      <c r="AC80" s="309"/>
      <c r="AD80" s="309"/>
    </row>
    <row r="81" spans="1:30" ht="14.25" customHeight="1">
      <c r="A81" s="352"/>
      <c r="D81" s="339"/>
      <c r="H81" s="307" t="s">
        <v>804</v>
      </c>
      <c r="AC81" s="309"/>
      <c r="AD81" s="309"/>
    </row>
    <row r="82" spans="1:30" ht="14.25" customHeight="1">
      <c r="A82" s="352"/>
      <c r="D82" s="339"/>
      <c r="H82" s="307" t="s">
        <v>805</v>
      </c>
      <c r="AC82" s="309"/>
      <c r="AD82" s="309"/>
    </row>
    <row r="83" spans="1:30" ht="14.25" customHeight="1">
      <c r="A83" s="352"/>
      <c r="D83" s="339"/>
      <c r="H83" s="307" t="s">
        <v>806</v>
      </c>
      <c r="AC83" s="309"/>
      <c r="AD83" s="309"/>
    </row>
    <row r="84" spans="1:30" ht="14.25" customHeight="1">
      <c r="A84" s="352"/>
      <c r="D84" s="339"/>
      <c r="H84" s="307" t="s">
        <v>807</v>
      </c>
      <c r="AC84" s="309"/>
      <c r="AD84" s="309"/>
    </row>
    <row r="85" spans="1:30" ht="14.25" customHeight="1">
      <c r="A85" s="352"/>
      <c r="D85" s="339"/>
      <c r="H85" s="307" t="s">
        <v>808</v>
      </c>
      <c r="AC85" s="309"/>
      <c r="AD85" s="309"/>
    </row>
    <row r="86" spans="1:30" ht="14.25" customHeight="1">
      <c r="A86" s="352"/>
      <c r="D86" s="339"/>
      <c r="H86" s="307" t="s">
        <v>809</v>
      </c>
      <c r="AC86" s="309"/>
      <c r="AD86" s="309"/>
    </row>
    <row r="87" spans="1:30" ht="14.25" customHeight="1">
      <c r="A87" s="352"/>
      <c r="D87" s="339"/>
      <c r="H87" s="307" t="s">
        <v>810</v>
      </c>
      <c r="AC87" s="309"/>
      <c r="AD87" s="309"/>
    </row>
    <row r="88" spans="1:30" ht="14.25" customHeight="1">
      <c r="A88" s="352"/>
      <c r="D88" s="339"/>
      <c r="H88" s="307" t="s">
        <v>811</v>
      </c>
      <c r="AC88" s="309"/>
      <c r="AD88" s="309"/>
    </row>
    <row r="89" spans="1:30" ht="14.25" customHeight="1">
      <c r="A89" s="352"/>
      <c r="D89" s="339"/>
      <c r="H89" s="307" t="s">
        <v>812</v>
      </c>
      <c r="AC89" s="309"/>
      <c r="AD89" s="309"/>
    </row>
    <row r="90" spans="1:30" ht="14.25" customHeight="1">
      <c r="A90" s="352"/>
      <c r="D90" s="339"/>
      <c r="H90" s="307" t="s">
        <v>813</v>
      </c>
      <c r="AC90" s="309"/>
      <c r="AD90" s="309"/>
    </row>
    <row r="91" spans="1:30" ht="14.25" customHeight="1">
      <c r="A91" s="353"/>
      <c r="B91" s="354"/>
      <c r="C91" s="354"/>
      <c r="D91" s="355"/>
      <c r="H91" s="307" t="s">
        <v>814</v>
      </c>
      <c r="AC91" s="309"/>
      <c r="AD91" s="309"/>
    </row>
    <row r="92" spans="1:30" ht="14.25" customHeight="1">
      <c r="H92" s="307" t="s">
        <v>815</v>
      </c>
      <c r="AC92" s="309"/>
      <c r="AD92" s="309"/>
    </row>
    <row r="93" spans="1:30" ht="14.25" customHeight="1">
      <c r="H93" s="307" t="s">
        <v>816</v>
      </c>
      <c r="AC93" s="309"/>
      <c r="AD93" s="309"/>
    </row>
    <row r="94" spans="1:30" ht="14.25" customHeight="1">
      <c r="H94" s="307" t="s">
        <v>817</v>
      </c>
      <c r="AC94" s="309"/>
      <c r="AD94" s="309"/>
    </row>
    <row r="95" spans="1:30" ht="14.25" customHeight="1">
      <c r="H95" s="307" t="s">
        <v>818</v>
      </c>
      <c r="AC95" s="309"/>
      <c r="AD95" s="309"/>
    </row>
    <row r="96" spans="1:30" ht="14.25" customHeight="1">
      <c r="H96" s="307" t="s">
        <v>819</v>
      </c>
      <c r="AC96" s="309"/>
      <c r="AD96" s="309"/>
    </row>
    <row r="97" spans="8:30" ht="14.25" customHeight="1">
      <c r="H97" s="307" t="s">
        <v>820</v>
      </c>
      <c r="AC97" s="309"/>
      <c r="AD97" s="309"/>
    </row>
    <row r="98" spans="8:30" ht="14.25" customHeight="1">
      <c r="H98" s="307" t="s">
        <v>821</v>
      </c>
      <c r="AC98" s="309"/>
      <c r="AD98" s="309"/>
    </row>
    <row r="99" spans="8:30" ht="14.25" customHeight="1">
      <c r="H99" s="307" t="s">
        <v>822</v>
      </c>
      <c r="AC99" s="309"/>
      <c r="AD99" s="309"/>
    </row>
    <row r="100" spans="8:30" ht="14.25" customHeight="1">
      <c r="H100" s="307" t="s">
        <v>823</v>
      </c>
      <c r="AC100" s="309"/>
      <c r="AD100" s="309"/>
    </row>
    <row r="101" spans="8:30" ht="14.25" customHeight="1">
      <c r="H101" s="307" t="s">
        <v>824</v>
      </c>
      <c r="AC101" s="309"/>
      <c r="AD101" s="309"/>
    </row>
    <row r="102" spans="8:30" ht="14.25" customHeight="1">
      <c r="H102" s="307" t="s">
        <v>825</v>
      </c>
      <c r="AC102" s="309"/>
      <c r="AD102" s="309"/>
    </row>
    <row r="103" spans="8:30" ht="14.25" customHeight="1">
      <c r="H103" s="307" t="s">
        <v>826</v>
      </c>
      <c r="AC103" s="309"/>
      <c r="AD103" s="309"/>
    </row>
    <row r="104" spans="8:30" ht="14.25" customHeight="1">
      <c r="H104" s="307" t="s">
        <v>827</v>
      </c>
      <c r="AC104" s="309"/>
      <c r="AD104" s="309"/>
    </row>
    <row r="105" spans="8:30" ht="14.25" customHeight="1">
      <c r="H105" s="307" t="s">
        <v>828</v>
      </c>
      <c r="AC105" s="309"/>
      <c r="AD105" s="309"/>
    </row>
    <row r="106" spans="8:30" ht="14.25" customHeight="1">
      <c r="H106" s="307" t="s">
        <v>829</v>
      </c>
      <c r="AC106" s="309"/>
      <c r="AD106" s="309"/>
    </row>
    <row r="107" spans="8:30" ht="14.25" customHeight="1">
      <c r="H107" s="307" t="s">
        <v>830</v>
      </c>
      <c r="AC107" s="309"/>
      <c r="AD107" s="309"/>
    </row>
    <row r="108" spans="8:30" ht="14.25" customHeight="1">
      <c r="H108" s="307" t="s">
        <v>831</v>
      </c>
      <c r="AC108" s="309"/>
      <c r="AD108" s="309"/>
    </row>
    <row r="109" spans="8:30" ht="14.25" customHeight="1">
      <c r="H109" s="307" t="s">
        <v>832</v>
      </c>
      <c r="AC109" s="309"/>
      <c r="AD109" s="309"/>
    </row>
    <row r="110" spans="8:30" ht="14.25" customHeight="1">
      <c r="H110" s="307" t="s">
        <v>833</v>
      </c>
      <c r="AC110" s="309"/>
      <c r="AD110" s="309"/>
    </row>
    <row r="111" spans="8:30" ht="14.25" customHeight="1">
      <c r="H111" s="307" t="s">
        <v>834</v>
      </c>
      <c r="AC111" s="309"/>
      <c r="AD111" s="309"/>
    </row>
    <row r="112" spans="8:30" ht="14.25" customHeight="1">
      <c r="H112" s="307" t="s">
        <v>835</v>
      </c>
      <c r="AC112" s="309"/>
      <c r="AD112" s="309"/>
    </row>
    <row r="113" spans="8:30" ht="14.25" customHeight="1">
      <c r="H113" s="307" t="s">
        <v>836</v>
      </c>
      <c r="AC113" s="309"/>
      <c r="AD113" s="309"/>
    </row>
    <row r="114" spans="8:30" ht="14.25" customHeight="1">
      <c r="H114" s="307" t="s">
        <v>837</v>
      </c>
      <c r="AC114" s="309"/>
      <c r="AD114" s="309"/>
    </row>
    <row r="115" spans="8:30" ht="14.25" customHeight="1">
      <c r="H115" s="307" t="s">
        <v>838</v>
      </c>
      <c r="AC115" s="309"/>
      <c r="AD115" s="309"/>
    </row>
    <row r="116" spans="8:30" ht="14.25" customHeight="1">
      <c r="H116" s="307" t="s">
        <v>839</v>
      </c>
      <c r="AC116" s="309"/>
      <c r="AD116" s="309"/>
    </row>
    <row r="117" spans="8:30" ht="14.25" customHeight="1">
      <c r="H117" s="307" t="s">
        <v>840</v>
      </c>
      <c r="AC117" s="309"/>
      <c r="AD117" s="309"/>
    </row>
    <row r="118" spans="8:30" ht="14.25" customHeight="1">
      <c r="H118" s="307" t="s">
        <v>841</v>
      </c>
      <c r="AC118" s="309"/>
      <c r="AD118" s="309"/>
    </row>
    <row r="119" spans="8:30" ht="14.25" customHeight="1">
      <c r="H119" s="307" t="s">
        <v>842</v>
      </c>
      <c r="AC119" s="309"/>
      <c r="AD119" s="309"/>
    </row>
    <row r="120" spans="8:30" ht="14.25" customHeight="1">
      <c r="H120" s="307" t="s">
        <v>843</v>
      </c>
      <c r="AC120" s="309"/>
      <c r="AD120" s="309"/>
    </row>
    <row r="121" spans="8:30" ht="14.25" customHeight="1">
      <c r="H121" s="307" t="s">
        <v>844</v>
      </c>
      <c r="AC121" s="309"/>
      <c r="AD121" s="309"/>
    </row>
    <row r="122" spans="8:30" ht="14.25" customHeight="1">
      <c r="H122" s="307" t="s">
        <v>845</v>
      </c>
      <c r="AC122" s="309"/>
      <c r="AD122" s="309"/>
    </row>
    <row r="123" spans="8:30" ht="14.25" customHeight="1">
      <c r="H123" s="307" t="s">
        <v>846</v>
      </c>
      <c r="AC123" s="309"/>
      <c r="AD123" s="309"/>
    </row>
    <row r="124" spans="8:30" ht="14.25" customHeight="1">
      <c r="H124" s="307" t="s">
        <v>847</v>
      </c>
      <c r="AC124" s="309"/>
      <c r="AD124" s="309"/>
    </row>
    <row r="125" spans="8:30" ht="14.25" customHeight="1">
      <c r="H125" s="307" t="s">
        <v>848</v>
      </c>
      <c r="AC125" s="309"/>
      <c r="AD125" s="309"/>
    </row>
    <row r="126" spans="8:30" ht="14.25" customHeight="1">
      <c r="H126" s="307" t="s">
        <v>849</v>
      </c>
      <c r="AC126" s="309"/>
      <c r="AD126" s="309"/>
    </row>
    <row r="127" spans="8:30" ht="14.25" customHeight="1">
      <c r="H127" s="307" t="s">
        <v>850</v>
      </c>
      <c r="AC127" s="309"/>
      <c r="AD127" s="309"/>
    </row>
    <row r="128" spans="8:30" ht="14.25" customHeight="1">
      <c r="H128" s="307" t="s">
        <v>851</v>
      </c>
      <c r="AC128" s="309"/>
      <c r="AD128" s="309"/>
    </row>
    <row r="129" spans="8:30" ht="14.25" customHeight="1">
      <c r="H129" s="307" t="s">
        <v>852</v>
      </c>
      <c r="AC129" s="309"/>
      <c r="AD129" s="309"/>
    </row>
    <row r="130" spans="8:30" ht="14.25" customHeight="1">
      <c r="H130" s="307" t="s">
        <v>853</v>
      </c>
      <c r="AC130" s="309"/>
      <c r="AD130" s="309"/>
    </row>
    <row r="131" spans="8:30" ht="14.25" customHeight="1">
      <c r="H131" s="307" t="s">
        <v>854</v>
      </c>
      <c r="AC131" s="309"/>
      <c r="AD131" s="309"/>
    </row>
    <row r="132" spans="8:30" ht="14.25" customHeight="1">
      <c r="H132" s="307" t="s">
        <v>855</v>
      </c>
      <c r="AC132" s="309"/>
      <c r="AD132" s="309"/>
    </row>
    <row r="133" spans="8:30" ht="14.25" customHeight="1">
      <c r="H133" s="307" t="s">
        <v>856</v>
      </c>
      <c r="AC133" s="309"/>
      <c r="AD133" s="309"/>
    </row>
    <row r="134" spans="8:30" ht="14.25" customHeight="1">
      <c r="H134" s="307" t="s">
        <v>857</v>
      </c>
      <c r="AC134" s="309"/>
      <c r="AD134" s="309"/>
    </row>
    <row r="135" spans="8:30" ht="14.25" customHeight="1">
      <c r="H135" s="307" t="s">
        <v>858</v>
      </c>
      <c r="AC135" s="309"/>
      <c r="AD135" s="309"/>
    </row>
    <row r="136" spans="8:30" ht="14.25" customHeight="1">
      <c r="H136" s="307" t="s">
        <v>859</v>
      </c>
      <c r="AC136" s="309"/>
      <c r="AD136" s="309"/>
    </row>
    <row r="137" spans="8:30" ht="14.25" customHeight="1">
      <c r="H137" s="307" t="s">
        <v>860</v>
      </c>
      <c r="AC137" s="309"/>
      <c r="AD137" s="309"/>
    </row>
    <row r="138" spans="8:30" ht="14.25" customHeight="1">
      <c r="H138" s="307" t="s">
        <v>861</v>
      </c>
      <c r="AC138" s="309"/>
      <c r="AD138" s="309"/>
    </row>
    <row r="139" spans="8:30" ht="14.25" customHeight="1">
      <c r="H139" s="307" t="s">
        <v>862</v>
      </c>
      <c r="AC139" s="309"/>
      <c r="AD139" s="309"/>
    </row>
    <row r="140" spans="8:30" ht="14.25" customHeight="1">
      <c r="H140" s="307" t="s">
        <v>863</v>
      </c>
      <c r="AC140" s="309"/>
      <c r="AD140" s="309"/>
    </row>
    <row r="141" spans="8:30" ht="14.25" customHeight="1">
      <c r="H141" s="307" t="s">
        <v>864</v>
      </c>
      <c r="AC141" s="309"/>
      <c r="AD141" s="309"/>
    </row>
    <row r="142" spans="8:30" ht="14.25" customHeight="1">
      <c r="H142" s="307" t="s">
        <v>865</v>
      </c>
      <c r="AC142" s="309"/>
      <c r="AD142" s="309"/>
    </row>
    <row r="143" spans="8:30" ht="14.25" customHeight="1">
      <c r="H143" s="307" t="s">
        <v>866</v>
      </c>
      <c r="AC143" s="309"/>
      <c r="AD143" s="309"/>
    </row>
    <row r="144" spans="8:30" ht="14.25" customHeight="1">
      <c r="H144" s="307" t="s">
        <v>867</v>
      </c>
      <c r="AC144" s="309"/>
      <c r="AD144" s="309"/>
    </row>
    <row r="145" spans="8:30" ht="14.25" customHeight="1">
      <c r="H145" s="307" t="s">
        <v>868</v>
      </c>
      <c r="AC145" s="309"/>
      <c r="AD145" s="309"/>
    </row>
    <row r="146" spans="8:30" ht="14.25" customHeight="1">
      <c r="H146" s="307" t="s">
        <v>869</v>
      </c>
      <c r="AC146" s="309"/>
      <c r="AD146" s="309"/>
    </row>
    <row r="147" spans="8:30" ht="14.25" customHeight="1">
      <c r="H147" s="307" t="s">
        <v>870</v>
      </c>
      <c r="AC147" s="309"/>
      <c r="AD147" s="309"/>
    </row>
    <row r="148" spans="8:30" ht="14.25" customHeight="1">
      <c r="H148" s="307" t="s">
        <v>871</v>
      </c>
      <c r="AC148" s="309"/>
      <c r="AD148" s="309"/>
    </row>
    <row r="149" spans="8:30" ht="14.25" customHeight="1">
      <c r="H149" s="307" t="s">
        <v>872</v>
      </c>
      <c r="AC149" s="309"/>
      <c r="AD149" s="309"/>
    </row>
    <row r="150" spans="8:30" ht="14.25" customHeight="1">
      <c r="H150" s="307" t="s">
        <v>873</v>
      </c>
      <c r="AC150" s="309"/>
      <c r="AD150" s="309"/>
    </row>
    <row r="151" spans="8:30" ht="14.25" customHeight="1">
      <c r="H151" s="307" t="s">
        <v>874</v>
      </c>
      <c r="AC151" s="309"/>
      <c r="AD151" s="309"/>
    </row>
    <row r="152" spans="8:30" ht="14.25" customHeight="1">
      <c r="H152" s="307" t="s">
        <v>875</v>
      </c>
      <c r="AC152" s="309"/>
      <c r="AD152" s="309"/>
    </row>
    <row r="153" spans="8:30" ht="14.25" customHeight="1">
      <c r="H153" s="307" t="s">
        <v>876</v>
      </c>
      <c r="AC153" s="309"/>
      <c r="AD153" s="309"/>
    </row>
    <row r="154" spans="8:30" ht="14.25" customHeight="1">
      <c r="H154" s="307" t="s">
        <v>877</v>
      </c>
      <c r="AC154" s="309"/>
      <c r="AD154" s="309"/>
    </row>
    <row r="155" spans="8:30" ht="14.25" customHeight="1">
      <c r="H155" s="307" t="s">
        <v>878</v>
      </c>
      <c r="AC155" s="309"/>
      <c r="AD155" s="309"/>
    </row>
    <row r="156" spans="8:30" ht="14.25" customHeight="1">
      <c r="H156" s="307" t="s">
        <v>879</v>
      </c>
      <c r="AC156" s="309"/>
      <c r="AD156" s="309"/>
    </row>
    <row r="157" spans="8:30" ht="14.25" customHeight="1">
      <c r="H157" s="307" t="s">
        <v>880</v>
      </c>
      <c r="AC157" s="309"/>
      <c r="AD157" s="309"/>
    </row>
    <row r="158" spans="8:30" ht="14.25" customHeight="1">
      <c r="H158" s="307" t="s">
        <v>881</v>
      </c>
      <c r="AC158" s="309"/>
      <c r="AD158" s="309"/>
    </row>
    <row r="159" spans="8:30" ht="14.25" customHeight="1">
      <c r="H159" s="307" t="s">
        <v>882</v>
      </c>
      <c r="AC159" s="309"/>
      <c r="AD159" s="309"/>
    </row>
    <row r="160" spans="8:30" ht="14.25" customHeight="1">
      <c r="H160" s="307" t="s">
        <v>883</v>
      </c>
      <c r="AC160" s="309"/>
      <c r="AD160" s="309"/>
    </row>
    <row r="161" spans="8:30" ht="14.25" customHeight="1">
      <c r="H161" s="307" t="s">
        <v>884</v>
      </c>
      <c r="AC161" s="309"/>
      <c r="AD161" s="309"/>
    </row>
    <row r="162" spans="8:30" ht="14.25" customHeight="1">
      <c r="H162" s="307" t="s">
        <v>885</v>
      </c>
      <c r="AC162" s="309"/>
      <c r="AD162" s="309"/>
    </row>
    <row r="163" spans="8:30" ht="14.25" customHeight="1">
      <c r="H163" s="307" t="s">
        <v>886</v>
      </c>
      <c r="AC163" s="309"/>
      <c r="AD163" s="309"/>
    </row>
    <row r="164" spans="8:30" ht="14.25" customHeight="1">
      <c r="H164" s="307" t="s">
        <v>887</v>
      </c>
      <c r="AC164" s="309"/>
      <c r="AD164" s="309"/>
    </row>
    <row r="165" spans="8:30" ht="14.25" customHeight="1">
      <c r="H165" s="307" t="s">
        <v>888</v>
      </c>
      <c r="AC165" s="309"/>
      <c r="AD165" s="309"/>
    </row>
    <row r="166" spans="8:30" ht="14.25" customHeight="1">
      <c r="H166" s="307" t="s">
        <v>889</v>
      </c>
      <c r="AC166" s="309"/>
      <c r="AD166" s="309"/>
    </row>
    <row r="167" spans="8:30" ht="14.25" customHeight="1">
      <c r="H167" s="307" t="s">
        <v>890</v>
      </c>
      <c r="AC167" s="309"/>
      <c r="AD167" s="309"/>
    </row>
    <row r="168" spans="8:30" ht="14.25" customHeight="1">
      <c r="H168" s="307" t="s">
        <v>891</v>
      </c>
      <c r="AC168" s="309"/>
      <c r="AD168" s="309"/>
    </row>
    <row r="169" spans="8:30" ht="14.25" customHeight="1">
      <c r="H169" s="307" t="s">
        <v>892</v>
      </c>
      <c r="AC169" s="309"/>
      <c r="AD169" s="309"/>
    </row>
    <row r="170" spans="8:30" ht="14.25" customHeight="1">
      <c r="H170" s="307" t="s">
        <v>893</v>
      </c>
      <c r="AC170" s="309"/>
      <c r="AD170" s="309"/>
    </row>
    <row r="171" spans="8:30" ht="14.25" customHeight="1">
      <c r="H171" s="307" t="s">
        <v>894</v>
      </c>
      <c r="AC171" s="309"/>
      <c r="AD171" s="309"/>
    </row>
    <row r="172" spans="8:30" ht="14.25" customHeight="1">
      <c r="H172" s="307" t="s">
        <v>895</v>
      </c>
      <c r="AC172" s="309"/>
      <c r="AD172" s="309"/>
    </row>
    <row r="173" spans="8:30" ht="14.25" customHeight="1">
      <c r="H173" s="307" t="s">
        <v>896</v>
      </c>
      <c r="AC173" s="309"/>
      <c r="AD173" s="309"/>
    </row>
    <row r="174" spans="8:30" ht="14.25" customHeight="1">
      <c r="H174" s="307" t="s">
        <v>897</v>
      </c>
      <c r="AC174" s="309"/>
      <c r="AD174" s="309"/>
    </row>
    <row r="175" spans="8:30" ht="14.25" customHeight="1">
      <c r="H175" s="307" t="s">
        <v>898</v>
      </c>
      <c r="AC175" s="309"/>
      <c r="AD175" s="309"/>
    </row>
    <row r="176" spans="8:30" ht="14.25" customHeight="1">
      <c r="H176" s="307" t="s">
        <v>899</v>
      </c>
      <c r="AC176" s="309"/>
      <c r="AD176" s="309"/>
    </row>
    <row r="177" spans="8:30" ht="14.25" customHeight="1">
      <c r="H177" s="307" t="s">
        <v>900</v>
      </c>
      <c r="AC177" s="309"/>
      <c r="AD177" s="309"/>
    </row>
    <row r="178" spans="8:30" ht="14.25" customHeight="1">
      <c r="H178" s="307" t="s">
        <v>901</v>
      </c>
      <c r="AC178" s="309"/>
      <c r="AD178" s="309"/>
    </row>
    <row r="179" spans="8:30" ht="14.25" customHeight="1">
      <c r="H179" s="307" t="s">
        <v>902</v>
      </c>
      <c r="AC179" s="309"/>
      <c r="AD179" s="309"/>
    </row>
    <row r="180" spans="8:30" ht="14.25" customHeight="1">
      <c r="H180" s="307" t="s">
        <v>903</v>
      </c>
      <c r="AC180" s="309"/>
      <c r="AD180" s="309"/>
    </row>
    <row r="181" spans="8:30" ht="14.25" customHeight="1">
      <c r="H181" s="307" t="s">
        <v>904</v>
      </c>
      <c r="AC181" s="309"/>
      <c r="AD181" s="309"/>
    </row>
    <row r="182" spans="8:30" ht="14.25" customHeight="1">
      <c r="H182" s="307" t="s">
        <v>905</v>
      </c>
      <c r="AC182" s="309"/>
      <c r="AD182" s="309"/>
    </row>
    <row r="183" spans="8:30" ht="14.25" customHeight="1">
      <c r="H183" s="307" t="s">
        <v>906</v>
      </c>
      <c r="AC183" s="309"/>
      <c r="AD183" s="309"/>
    </row>
    <row r="184" spans="8:30" ht="14.25" customHeight="1">
      <c r="H184" s="307" t="s">
        <v>907</v>
      </c>
      <c r="AC184" s="309"/>
      <c r="AD184" s="309"/>
    </row>
    <row r="185" spans="8:30" ht="14.25" customHeight="1">
      <c r="H185" s="307" t="s">
        <v>908</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909</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396" t="s">
        <v>138</v>
      </c>
      <c r="B220" s="396"/>
      <c r="C220" s="396"/>
      <c r="D220" s="396"/>
      <c r="E220" s="396"/>
      <c r="F220" s="396"/>
      <c r="AC220" s="309"/>
      <c r="AD220" s="309"/>
    </row>
    <row r="221" spans="1:38" ht="21" customHeight="1">
      <c r="A221" s="397"/>
      <c r="B221" s="397"/>
      <c r="C221" s="397"/>
      <c r="D221" s="397"/>
      <c r="E221" s="397"/>
      <c r="F221" s="397"/>
      <c r="AC221" s="309"/>
      <c r="AD221" s="309"/>
    </row>
    <row r="222" spans="1:38" ht="21" customHeight="1">
      <c r="A222" s="398" t="s">
        <v>910</v>
      </c>
      <c r="B222" s="399" t="s">
        <v>140</v>
      </c>
      <c r="C222" s="399"/>
      <c r="D222" s="399"/>
      <c r="E222" s="399"/>
      <c r="F222" s="399"/>
      <c r="AC222" s="309"/>
      <c r="AD222" s="309"/>
    </row>
    <row r="223" spans="1:38" ht="21" customHeight="1">
      <c r="A223" s="398"/>
      <c r="B223" s="365" t="s">
        <v>141</v>
      </c>
      <c r="C223" s="361" t="s">
        <v>142</v>
      </c>
      <c r="D223" s="361" t="s">
        <v>143</v>
      </c>
      <c r="E223" s="361" t="s">
        <v>144</v>
      </c>
      <c r="AC223" s="309"/>
      <c r="AD223" s="309"/>
    </row>
    <row r="224" spans="1:38" ht="21" customHeight="1">
      <c r="A224" s="398"/>
      <c r="B224" s="366" t="e">
        <v>#VALUE!</v>
      </c>
      <c r="C224" s="366" t="e">
        <f>IF(B224="","",IF(B224&lt;=11000,"0",IF(AND(B224&gt;11000,B224&lt;50000),(B224-11000)*0.15,IF(AND(B224&gt;11000,B224&gt;=50000),(50000-11000)*0.15))))</f>
        <v>#VALUE!</v>
      </c>
      <c r="D224" s="366" t="e">
        <f>IF(B224="","",IF(B224&lt;=50000,"0",IF(B224&gt;50000,(B224-50000)*0.25)))</f>
        <v>#VALUE!</v>
      </c>
      <c r="E224" s="366" t="e">
        <f>SUM(C224:D224)</f>
        <v>#VALUE!</v>
      </c>
      <c r="F224" s="366" t="s">
        <v>245</v>
      </c>
      <c r="G224" s="307" t="e">
        <v>#VALUE!</v>
      </c>
      <c r="H224" s="307" t="e">
        <f>G224*13</f>
        <v>#VALUE!</v>
      </c>
      <c r="AC224" s="309"/>
      <c r="AD224" s="309"/>
    </row>
    <row r="225" spans="1:30" ht="21" customHeight="1">
      <c r="A225" s="398"/>
      <c r="B225" s="366" t="e">
        <v>#VALUE!</v>
      </c>
      <c r="C225" s="366" t="e">
        <f>IF(B225="","",IF(B225&lt;=11000,"0",IF(AND(B225&gt;11000,B225&lt;50000),(B225-11000)*0.15,IF(AND(B225&gt;11000,B225&gt;=50000),(50000-11000)*0.15))))</f>
        <v>#VALUE!</v>
      </c>
      <c r="D225" s="366" t="e">
        <f>IF(B225="","",IF(B225&lt;=50000,"0",IF(B225&gt;50000,(B225-50000)*0.25)))</f>
        <v>#VALUE!</v>
      </c>
      <c r="E225" s="366" t="e">
        <f>SUM(C225:D225)</f>
        <v>#VALUE!</v>
      </c>
      <c r="F225" s="366" t="s">
        <v>911</v>
      </c>
      <c r="G225" s="307" t="e">
        <v>#VALUE!</v>
      </c>
      <c r="H225" s="307" t="e">
        <f>G225*13</f>
        <v>#VALUE!</v>
      </c>
      <c r="AC225" s="309"/>
      <c r="AD225" s="309"/>
    </row>
    <row r="226" spans="1:30" ht="21" customHeight="1">
      <c r="A226" s="398"/>
      <c r="B226" s="361"/>
      <c r="C226" s="361"/>
      <c r="D226" s="361"/>
      <c r="E226" s="361"/>
      <c r="F226" s="361"/>
      <c r="AC226" s="309"/>
      <c r="AD226" s="309"/>
    </row>
    <row r="227" spans="1:30" ht="21" customHeight="1">
      <c r="A227" s="398"/>
      <c r="B227" s="399" t="s">
        <v>145</v>
      </c>
      <c r="C227" s="399"/>
      <c r="D227" s="399"/>
      <c r="E227" s="399"/>
      <c r="F227" s="399"/>
      <c r="AC227" s="309"/>
      <c r="AD227" s="309"/>
    </row>
    <row r="228" spans="1:30" ht="21" customHeight="1">
      <c r="A228" s="398"/>
      <c r="B228" s="367" t="s">
        <v>141</v>
      </c>
      <c r="C228" s="289" t="s">
        <v>142</v>
      </c>
      <c r="D228" s="289" t="s">
        <v>143</v>
      </c>
      <c r="E228" s="367" t="s">
        <v>144</v>
      </c>
      <c r="AC228" s="309"/>
      <c r="AD228" s="309"/>
    </row>
    <row r="229" spans="1:30" ht="21" customHeight="1">
      <c r="A229" s="398"/>
      <c r="B229" s="366" t="e">
        <v>#VALUE!</v>
      </c>
      <c r="C229" s="366" t="e">
        <f>IF(B229="","",IF(B229&lt;=11000,"0",IF(AND(B229&gt;11000,B229&lt;50000),(B229-11000)*0.15,IF(AND(B229&gt;11000,B229&gt;=50000),(50000-11000)*0.15))))</f>
        <v>#VALUE!</v>
      </c>
      <c r="D229" s="366" t="e">
        <f>IF(B229="","",IF(B229&lt;=50000,"0",IF(B229&gt;50000,(B229-50000)*0.25)))</f>
        <v>#VALUE!</v>
      </c>
      <c r="E229" s="366" t="e">
        <f>SUM(C229:D229)</f>
        <v>#VALUE!</v>
      </c>
      <c r="F229" s="366" t="s">
        <v>245</v>
      </c>
      <c r="AC229" s="309"/>
      <c r="AD229" s="309"/>
    </row>
    <row r="230" spans="1:30" ht="14.25" customHeight="1">
      <c r="A230" s="364"/>
      <c r="B230" s="366" t="e">
        <v>#VALUE!</v>
      </c>
      <c r="C230" s="366" t="e">
        <f>IF(B230="","",IF(B230&lt;=11000,"0",IF(AND(B230&gt;11000,B230&lt;50000),(B230-11000)*0.15,IF(AND(B230&gt;11000,B230&gt;=50000),(50000-11000)*0.15))))</f>
        <v>#VALUE!</v>
      </c>
      <c r="D230" s="366" t="e">
        <f>IF(B230="","",IF(B230&lt;=50000,"0",IF(B230&gt;50000,(B230-50000)*0.25)))</f>
        <v>#VALUE!</v>
      </c>
      <c r="E230" s="366" t="e">
        <f>SUM(C230:D230)</f>
        <v>#VALUE!</v>
      </c>
      <c r="F230" s="366" t="s">
        <v>911</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tabSelected="1" workbookViewId="0">
      <selection activeCell="C36" sqref="C36"/>
    </sheetView>
  </sheetViews>
  <sheetFormatPr baseColWidth="10" defaultColWidth="14.5" defaultRowHeight="15" customHeight="1"/>
  <cols>
    <col min="1" max="1" width="2.83203125" customWidth="1"/>
    <col min="2" max="2" width="8.83203125" customWidth="1"/>
    <col min="3" max="3" width="25.5" customWidth="1"/>
    <col min="4" max="4" width="18.33203125" customWidth="1"/>
    <col min="5" max="5" width="12" customWidth="1"/>
    <col min="6" max="6" width="5" customWidth="1"/>
    <col min="7" max="7" width="13" customWidth="1"/>
    <col min="8" max="8" width="5.33203125" customWidth="1"/>
    <col min="9" max="9" width="13.6640625" customWidth="1"/>
    <col min="10" max="10" width="5" customWidth="1"/>
    <col min="11" max="11" width="5.6640625" customWidth="1"/>
    <col min="12" max="12" width="11.5" customWidth="1"/>
    <col min="13" max="13" width="5.83203125" customWidth="1"/>
    <col min="14" max="14" width="13.6640625" customWidth="1"/>
    <col min="15" max="15" width="12.5" customWidth="1"/>
    <col min="16" max="16" width="2.5" customWidth="1"/>
    <col min="17" max="35" width="11.5" customWidth="1"/>
  </cols>
  <sheetData>
    <row r="1" spans="1:35" ht="12.75" customHeight="1">
      <c r="A1" s="1"/>
      <c r="B1" s="1"/>
      <c r="C1" s="1"/>
      <c r="D1" s="1"/>
      <c r="E1" s="1"/>
      <c r="F1" s="1"/>
      <c r="G1" s="1"/>
      <c r="H1" s="1"/>
      <c r="I1" s="1"/>
      <c r="J1" s="1"/>
      <c r="K1" s="1"/>
      <c r="L1" s="400" t="s">
        <v>153</v>
      </c>
      <c r="M1" s="401"/>
      <c r="N1" s="401"/>
      <c r="O1" s="402"/>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400" t="s">
        <v>922</v>
      </c>
      <c r="N2" s="401"/>
      <c r="O2" s="402"/>
      <c r="P2" s="1"/>
      <c r="Q2" s="1"/>
      <c r="R2" s="1"/>
      <c r="S2" s="1"/>
      <c r="T2" s="1"/>
      <c r="U2" s="1"/>
      <c r="V2" s="1"/>
      <c r="W2" s="1"/>
      <c r="X2" s="1"/>
      <c r="Y2" s="1"/>
      <c r="Z2" s="1"/>
      <c r="AA2" s="1"/>
      <c r="AB2" s="1"/>
      <c r="AC2" s="1"/>
      <c r="AD2" s="1"/>
      <c r="AE2" s="1"/>
      <c r="AF2" s="1"/>
      <c r="AG2" s="1"/>
      <c r="AH2" s="1"/>
      <c r="AI2" s="1"/>
    </row>
    <row r="3" spans="1:35" ht="24" customHeight="1">
      <c r="A3" s="1"/>
      <c r="B3" s="403" t="s">
        <v>154</v>
      </c>
      <c r="C3" s="401"/>
      <c r="D3" s="401"/>
      <c r="E3" s="401"/>
      <c r="F3" s="401"/>
      <c r="G3" s="401"/>
      <c r="H3" s="401"/>
      <c r="I3" s="401"/>
      <c r="J3" s="401"/>
      <c r="K3" s="401"/>
      <c r="L3" s="401"/>
      <c r="M3" s="401"/>
      <c r="N3" s="401"/>
      <c r="O3" s="402"/>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155</v>
      </c>
      <c r="D5" s="404"/>
      <c r="E5" s="405"/>
      <c r="F5" s="405"/>
      <c r="G5" s="406"/>
      <c r="H5" s="1"/>
      <c r="I5" s="1"/>
      <c r="J5" s="1"/>
      <c r="K5" s="48" t="s">
        <v>156</v>
      </c>
      <c r="L5" s="407" t="s">
        <v>117</v>
      </c>
      <c r="M5" s="405"/>
      <c r="N5" s="406"/>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157</v>
      </c>
      <c r="D7" s="407"/>
      <c r="E7" s="406"/>
      <c r="F7" s="1"/>
      <c r="G7" s="1"/>
      <c r="H7" s="1"/>
      <c r="I7" s="1"/>
      <c r="J7" s="1"/>
      <c r="K7" s="48" t="s">
        <v>158</v>
      </c>
      <c r="L7" s="407"/>
      <c r="M7" s="405"/>
      <c r="N7" s="406"/>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159</v>
      </c>
      <c r="D9" s="404"/>
      <c r="E9" s="405"/>
      <c r="F9" s="405"/>
      <c r="G9" s="406"/>
      <c r="H9" s="1"/>
      <c r="I9" s="1"/>
      <c r="J9" s="1"/>
      <c r="K9" s="48" t="s">
        <v>160</v>
      </c>
      <c r="L9" s="407"/>
      <c r="M9" s="405"/>
      <c r="N9" s="405"/>
      <c r="O9" s="406"/>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08" t="s">
        <v>161</v>
      </c>
      <c r="C11" s="409"/>
      <c r="D11" s="409"/>
      <c r="E11" s="409"/>
      <c r="F11" s="409"/>
      <c r="G11" s="409"/>
      <c r="H11" s="409"/>
      <c r="I11" s="409"/>
      <c r="J11" s="409"/>
      <c r="K11" s="409"/>
      <c r="L11" s="409"/>
      <c r="M11" s="409"/>
      <c r="N11" s="409"/>
      <c r="O11" s="410"/>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162</v>
      </c>
      <c r="E13" s="55"/>
      <c r="F13" s="1"/>
      <c r="G13" s="1"/>
      <c r="H13" s="1"/>
      <c r="I13" s="1"/>
      <c r="J13" s="48" t="s">
        <v>163</v>
      </c>
      <c r="K13" s="411"/>
      <c r="L13" s="405"/>
      <c r="M13" s="406"/>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03" t="s">
        <v>164</v>
      </c>
      <c r="C16" s="401"/>
      <c r="D16" s="401"/>
      <c r="E16" s="401"/>
      <c r="F16" s="401"/>
      <c r="G16" s="401"/>
      <c r="H16" s="401"/>
      <c r="I16" s="401"/>
      <c r="J16" s="401"/>
      <c r="K16" s="401"/>
      <c r="L16" s="401"/>
      <c r="M16" s="401"/>
      <c r="N16" s="401"/>
      <c r="O16" s="402"/>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165</v>
      </c>
      <c r="D18" s="412"/>
      <c r="E18" s="405"/>
      <c r="F18" s="406"/>
      <c r="G18" s="1"/>
      <c r="H18" s="1"/>
      <c r="I18" s="1"/>
      <c r="J18" s="1"/>
      <c r="K18" s="48" t="s">
        <v>166</v>
      </c>
      <c r="L18" s="60"/>
      <c r="M18" s="61" t="s">
        <v>167</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168</v>
      </c>
      <c r="D20" s="413"/>
      <c r="E20" s="406"/>
      <c r="F20" s="1"/>
      <c r="G20" s="1"/>
      <c r="H20" s="1"/>
      <c r="I20" s="1"/>
      <c r="J20" s="1"/>
      <c r="K20" s="48" t="s">
        <v>169</v>
      </c>
      <c r="L20" s="60"/>
      <c r="M20" s="61" t="s">
        <v>170</v>
      </c>
      <c r="N20" s="62">
        <f>+L20/2.2</f>
        <v>0</v>
      </c>
      <c r="O20" s="61" t="s">
        <v>171</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172</v>
      </c>
      <c r="D22" s="414"/>
      <c r="E22" s="406"/>
      <c r="F22" s="1"/>
      <c r="G22" s="1"/>
      <c r="H22" s="1"/>
      <c r="I22" s="1"/>
      <c r="J22" s="1"/>
      <c r="K22" s="48" t="s">
        <v>173</v>
      </c>
      <c r="L22" s="60"/>
      <c r="M22" s="11" t="s">
        <v>174</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175</v>
      </c>
      <c r="D24" s="6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03" t="str">
        <f>IF(L5=info!H43,"NO APLICA TAPE","DATOS REQUERIDOS – TAPE")</f>
        <v>DATOS REQUERIDOS – TAPE</v>
      </c>
      <c r="C27" s="401"/>
      <c r="D27" s="401"/>
      <c r="E27" s="401"/>
      <c r="F27" s="401"/>
      <c r="G27" s="401"/>
      <c r="H27" s="401"/>
      <c r="I27" s="401"/>
      <c r="J27" s="401"/>
      <c r="K27" s="401"/>
      <c r="L27" s="401"/>
      <c r="M27" s="401"/>
      <c r="N27" s="401"/>
      <c r="O27" s="402"/>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QUINCENAL: </v>
      </c>
      <c r="D29" s="68"/>
      <c r="E29" s="7"/>
      <c r="F29" s="415" t="str">
        <f>IF(OR(L5=info!F43,L5=info!H43,L5=info!K43,L5=info!M43),"Se deben registrar TODOS los descuentos que tenga el cliente, incluyendo las pensiones","")</f>
        <v/>
      </c>
      <c r="G29" s="416"/>
      <c r="H29" s="416"/>
      <c r="I29" s="417"/>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18"/>
      <c r="G30" s="419"/>
      <c r="H30" s="419"/>
      <c r="I30" s="420"/>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QUINCENAL: </v>
      </c>
      <c r="D31" s="68" cm="1">
        <f t="array" ref="D31:E31">IF(D35="QUINCENAL",'NIVEL DE END'!D69:E69/2,'NIVEL DE END'!D69:E69)</f>
        <v>0</v>
      </c>
      <c r="E31" s="69">
        <v>0</v>
      </c>
      <c r="F31" s="421" t="s">
        <v>176</v>
      </c>
      <c r="G31" s="405"/>
      <c r="H31" s="405"/>
      <c r="I31" s="406"/>
      <c r="J31" s="1"/>
      <c r="K31" s="421" t="s">
        <v>177</v>
      </c>
      <c r="L31" s="405"/>
      <c r="M31" s="405"/>
      <c r="N31" s="406"/>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22" t="str">
        <f>IFERROR(IF(HLOOKUP($L$5,info!$A$43:$N$58,12,0)="QUINCENAL","LETRA QUINCENAL","LETRA MENSUAL"),"LETRA")</f>
        <v>LETRA QUINCENAL</v>
      </c>
      <c r="G32" s="423"/>
      <c r="H32" s="423"/>
      <c r="I32" s="424"/>
      <c r="J32" s="1"/>
      <c r="K32" s="422" t="str">
        <f>IFERROR(IF(HLOOKUP($L$5,info!$A$43:$N$58,12,0)="QUINCENAL","LETRA QUINCENAL","LETRA MENSUAL"),"LETRA")</f>
        <v>LETRA QUINCENAL</v>
      </c>
      <c r="L32" s="423"/>
      <c r="M32" s="423"/>
      <c r="N32" s="424"/>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178</v>
      </c>
      <c r="D33" s="68"/>
      <c r="E33" s="69"/>
      <c r="F33" s="70">
        <v>1</v>
      </c>
      <c r="G33" s="71"/>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71"/>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179</v>
      </c>
      <c r="D35" s="395" t="str">
        <f>_xlfn.IFNA(VLOOKUP(L5,info!Q:R,2,0),"ERROR CARTERA")</f>
        <v>QUINCENAL</v>
      </c>
      <c r="E35" s="69"/>
      <c r="F35" s="70">
        <v>3</v>
      </c>
      <c r="G35" s="71"/>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71"/>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180</v>
      </c>
      <c r="D37" s="72"/>
      <c r="E37" s="69"/>
      <c r="F37" s="70">
        <v>5</v>
      </c>
      <c r="G37" s="71"/>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71"/>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181</v>
      </c>
      <c r="D39" s="72"/>
      <c r="E39" s="75"/>
      <c r="F39" s="70">
        <v>7</v>
      </c>
      <c r="G39" s="71"/>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71"/>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25" t="s">
        <v>183</v>
      </c>
      <c r="C41" s="426"/>
      <c r="D41" s="429"/>
      <c r="E41" s="50"/>
      <c r="F41" s="70">
        <v>9</v>
      </c>
      <c r="G41" s="71"/>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27"/>
      <c r="C42" s="428"/>
      <c r="D42" s="430"/>
      <c r="E42" s="75"/>
      <c r="F42" s="70">
        <v>10</v>
      </c>
      <c r="G42" s="71"/>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184</v>
      </c>
      <c r="D44" s="68"/>
      <c r="E44" s="75"/>
      <c r="F44" s="431" t="s">
        <v>185</v>
      </c>
      <c r="G44" s="432"/>
      <c r="H44" s="432"/>
      <c r="I44" s="433"/>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37" t="str">
        <f>IF(D44="","",IF(L5=info!B43,"","No aplica FEJUPEN, elimine el monto registrado"))</f>
        <v/>
      </c>
      <c r="D45" s="402"/>
      <c r="E45" s="75"/>
      <c r="F45" s="434"/>
      <c r="G45" s="435"/>
      <c r="H45" s="435"/>
      <c r="I45" s="436"/>
      <c r="J45" s="79"/>
      <c r="K45" s="425" t="str">
        <f>IF(D39="SÍ","¿SE VA A CANCELAR EL EMBARGO?:","")</f>
        <v/>
      </c>
      <c r="L45" s="416"/>
      <c r="M45" s="417"/>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27"/>
      <c r="L46" s="435"/>
      <c r="M46" s="438"/>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39" t="str">
        <f>IF(AND(D39="SÍ",N46=""),"Recuerde llenar esta respuesta",IF(AND(D39="NO",N46&lt;&gt;""),"No se está tomando en cuenta esta respuesta porque no se registró el embargo",""))</f>
        <v/>
      </c>
      <c r="L47" s="416"/>
      <c r="M47" s="416"/>
      <c r="N47" s="417"/>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27"/>
      <c r="L48" s="435"/>
      <c r="M48" s="435"/>
      <c r="N48" s="438"/>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03" t="s">
        <v>186</v>
      </c>
      <c r="C56" s="401"/>
      <c r="D56" s="401"/>
      <c r="E56" s="401"/>
      <c r="F56" s="401"/>
      <c r="G56" s="401"/>
      <c r="H56" s="401"/>
      <c r="I56" s="401"/>
      <c r="J56" s="401"/>
      <c r="K56" s="401"/>
      <c r="L56" s="401"/>
      <c r="M56" s="401"/>
      <c r="N56" s="401"/>
      <c r="O56" s="402"/>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40" t="s">
        <v>187</v>
      </c>
      <c r="C58" s="401"/>
      <c r="D58" s="401"/>
      <c r="E58" s="401"/>
      <c r="F58" s="401"/>
      <c r="G58" s="401"/>
      <c r="H58" s="401"/>
      <c r="I58" s="401"/>
      <c r="J58" s="401"/>
      <c r="K58" s="401"/>
      <c r="L58" s="401"/>
      <c r="M58" s="401"/>
      <c r="N58" s="401"/>
      <c r="O58" s="402"/>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188</v>
      </c>
      <c r="D60" s="83" t="s">
        <v>134</v>
      </c>
      <c r="E60" s="82"/>
      <c r="F60" s="82"/>
      <c r="G60" s="441" t="str">
        <f>"LETRA "&amp;$D$60&amp;" DEL PRÉSTAMO:"</f>
        <v>LETRA MENSUAL DEL PRÉSTAMO:</v>
      </c>
      <c r="H60" s="405"/>
      <c r="I60" s="405"/>
      <c r="J60" s="406"/>
      <c r="K60" s="442">
        <f>D33</f>
        <v>0</v>
      </c>
      <c r="L60" s="406"/>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41" t="s">
        <v>189</v>
      </c>
      <c r="D62" s="405"/>
      <c r="E62" s="405"/>
      <c r="F62" s="405"/>
      <c r="G62" s="405"/>
      <c r="H62" s="405"/>
      <c r="I62" s="405"/>
      <c r="J62" s="405"/>
      <c r="K62" s="405"/>
      <c r="L62" s="405"/>
      <c r="M62" s="405"/>
      <c r="N62" s="405"/>
      <c r="O62" s="406"/>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41" t="str">
        <f>"SALARIO "&amp;D60&amp;":"</f>
        <v>SALARIO MENSUAL:</v>
      </c>
      <c r="D64" s="406"/>
      <c r="E64" s="442"/>
      <c r="F64" s="406"/>
      <c r="G64" s="7"/>
      <c r="H64" s="10"/>
      <c r="I64" s="441" t="s">
        <v>190</v>
      </c>
      <c r="J64" s="405"/>
      <c r="K64" s="406"/>
      <c r="L64" s="443" t="str">
        <f>"MONTO "&amp;$D$60</f>
        <v>MONTO MENSUAL</v>
      </c>
      <c r="M64" s="444"/>
      <c r="N64" s="87" t="s">
        <v>191</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445" t="s">
        <v>192</v>
      </c>
      <c r="J65" s="405"/>
      <c r="K65" s="406"/>
      <c r="L65" s="446"/>
      <c r="M65" s="444"/>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445" t="s">
        <v>193</v>
      </c>
      <c r="J66" s="405"/>
      <c r="K66" s="406"/>
      <c r="L66" s="442"/>
      <c r="M66" s="406"/>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445" t="s">
        <v>194</v>
      </c>
      <c r="J67" s="405"/>
      <c r="K67" s="406"/>
      <c r="L67" s="448"/>
      <c r="M67" s="449"/>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445" t="s">
        <v>195</v>
      </c>
      <c r="J68" s="405"/>
      <c r="K68" s="406"/>
      <c r="L68" s="448"/>
      <c r="M68" s="449"/>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52" t="str">
        <f>IF(OR($E$53="X",$E$53="x"),"No se está tomando en cuenta el Dcto Legal por ser cliente independiente","")</f>
        <v/>
      </c>
      <c r="L69" s="453"/>
      <c r="M69" s="453"/>
      <c r="N69" s="454"/>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41" t="s">
        <v>196</v>
      </c>
      <c r="D70" s="405"/>
      <c r="E70" s="405"/>
      <c r="F70" s="405"/>
      <c r="G70" s="405"/>
      <c r="H70" s="405"/>
      <c r="I70" s="405"/>
      <c r="J70" s="405"/>
      <c r="K70" s="405"/>
      <c r="L70" s="405"/>
      <c r="M70" s="405"/>
      <c r="N70" s="405"/>
      <c r="O70" s="406"/>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55" t="s">
        <v>197</v>
      </c>
      <c r="D72" s="456"/>
      <c r="E72" s="456"/>
      <c r="F72" s="456"/>
      <c r="G72" s="457"/>
      <c r="H72" s="10"/>
      <c r="I72" s="455" t="s">
        <v>198</v>
      </c>
      <c r="J72" s="456"/>
      <c r="K72" s="456"/>
      <c r="L72" s="456"/>
      <c r="M72" s="456"/>
      <c r="N72" s="456"/>
      <c r="O72" s="457"/>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58" t="s">
        <v>199</v>
      </c>
      <c r="D73" s="444"/>
      <c r="E73" s="443" t="str">
        <f>"MONTO "&amp;$D$60</f>
        <v>MONTO MENSUAL</v>
      </c>
      <c r="F73" s="444"/>
      <c r="G73" s="91" t="s">
        <v>200</v>
      </c>
      <c r="H73" s="10"/>
      <c r="I73" s="451" t="s">
        <v>199</v>
      </c>
      <c r="J73" s="405"/>
      <c r="K73" s="405"/>
      <c r="L73" s="406"/>
      <c r="M73" s="443" t="str">
        <f>"MONTO "&amp;$D$60</f>
        <v>MONTO MENSUAL</v>
      </c>
      <c r="N73" s="444"/>
      <c r="O73" s="91" t="s">
        <v>200</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445" t="s">
        <v>201</v>
      </c>
      <c r="D74" s="406"/>
      <c r="E74" s="446"/>
      <c r="F74" s="444"/>
      <c r="G74" s="88"/>
      <c r="H74" s="10"/>
      <c r="I74" s="445"/>
      <c r="J74" s="405"/>
      <c r="K74" s="405"/>
      <c r="L74" s="447"/>
      <c r="M74" s="446"/>
      <c r="N74" s="444"/>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445" t="s">
        <v>202</v>
      </c>
      <c r="D75" s="406"/>
      <c r="E75" s="442"/>
      <c r="F75" s="406"/>
      <c r="G75" s="88"/>
      <c r="H75" s="10"/>
      <c r="I75" s="445"/>
      <c r="J75" s="405"/>
      <c r="K75" s="405"/>
      <c r="L75" s="447"/>
      <c r="M75" s="446"/>
      <c r="N75" s="444"/>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445"/>
      <c r="D76" s="406"/>
      <c r="E76" s="446"/>
      <c r="F76" s="444"/>
      <c r="G76" s="88"/>
      <c r="H76" s="10"/>
      <c r="I76" s="445"/>
      <c r="J76" s="405"/>
      <c r="K76" s="405"/>
      <c r="L76" s="447"/>
      <c r="M76" s="442"/>
      <c r="N76" s="406"/>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445"/>
      <c r="D77" s="406"/>
      <c r="E77" s="446"/>
      <c r="F77" s="444"/>
      <c r="G77" s="88"/>
      <c r="H77" s="10"/>
      <c r="I77" s="445"/>
      <c r="J77" s="405"/>
      <c r="K77" s="405"/>
      <c r="L77" s="447"/>
      <c r="M77" s="442"/>
      <c r="N77" s="406"/>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50"/>
      <c r="D78" s="406"/>
      <c r="E78" s="446"/>
      <c r="F78" s="444"/>
      <c r="G78" s="93"/>
      <c r="H78" s="10"/>
      <c r="I78" s="445"/>
      <c r="J78" s="405"/>
      <c r="K78" s="405"/>
      <c r="L78" s="447"/>
      <c r="M78" s="448"/>
      <c r="N78" s="449"/>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445"/>
      <c r="D79" s="406"/>
      <c r="E79" s="446"/>
      <c r="F79" s="444"/>
      <c r="G79" s="90"/>
      <c r="H79" s="10"/>
      <c r="I79" s="445"/>
      <c r="J79" s="405"/>
      <c r="K79" s="405"/>
      <c r="L79" s="447"/>
      <c r="M79" s="448"/>
      <c r="N79" s="449"/>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445"/>
      <c r="D80" s="406"/>
      <c r="E80" s="446"/>
      <c r="F80" s="444"/>
      <c r="G80" s="90"/>
      <c r="H80" s="10"/>
      <c r="I80" s="445"/>
      <c r="J80" s="405"/>
      <c r="K80" s="405"/>
      <c r="L80" s="447"/>
      <c r="M80" s="448"/>
      <c r="N80" s="449"/>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445"/>
      <c r="D81" s="406"/>
      <c r="E81" s="446"/>
      <c r="F81" s="444"/>
      <c r="G81" s="90"/>
      <c r="H81" s="10"/>
      <c r="I81" s="445"/>
      <c r="J81" s="405"/>
      <c r="K81" s="405"/>
      <c r="L81" s="447"/>
      <c r="M81" s="448"/>
      <c r="N81" s="449"/>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445"/>
      <c r="D82" s="406"/>
      <c r="E82" s="442"/>
      <c r="F82" s="406"/>
      <c r="G82" s="90"/>
      <c r="H82" s="10"/>
      <c r="I82" s="445"/>
      <c r="J82" s="405"/>
      <c r="K82" s="405"/>
      <c r="L82" s="447"/>
      <c r="M82" s="448"/>
      <c r="N82" s="449"/>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445"/>
      <c r="D83" s="406"/>
      <c r="E83" s="448"/>
      <c r="F83" s="449"/>
      <c r="G83" s="90"/>
      <c r="H83" s="10"/>
      <c r="I83" s="445"/>
      <c r="J83" s="405"/>
      <c r="K83" s="405"/>
      <c r="L83" s="447"/>
      <c r="M83" s="448"/>
      <c r="N83" s="449"/>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445"/>
      <c r="D84" s="406"/>
      <c r="E84" s="448"/>
      <c r="F84" s="449"/>
      <c r="G84" s="90"/>
      <c r="H84" s="10"/>
      <c r="I84" s="445"/>
      <c r="J84" s="405"/>
      <c r="K84" s="405"/>
      <c r="L84" s="447"/>
      <c r="M84" s="448"/>
      <c r="N84" s="449"/>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445"/>
      <c r="D85" s="406"/>
      <c r="E85" s="448"/>
      <c r="F85" s="449"/>
      <c r="G85" s="90"/>
      <c r="H85" s="10"/>
      <c r="I85" s="445"/>
      <c r="J85" s="405"/>
      <c r="K85" s="405"/>
      <c r="L85" s="447"/>
      <c r="M85" s="448"/>
      <c r="N85" s="449"/>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40" t="s">
        <v>203</v>
      </c>
      <c r="D87" s="401"/>
      <c r="E87" s="401"/>
      <c r="F87" s="401"/>
      <c r="G87" s="401"/>
      <c r="H87" s="401"/>
      <c r="I87" s="401"/>
      <c r="J87" s="401"/>
      <c r="K87" s="401"/>
      <c r="L87" s="401"/>
      <c r="M87" s="401"/>
      <c r="N87" s="401"/>
      <c r="O87" s="401"/>
      <c r="P87" s="402"/>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204</v>
      </c>
      <c r="D89" s="407"/>
      <c r="E89" s="405"/>
      <c r="F89" s="405"/>
      <c r="G89" s="406"/>
      <c r="H89" s="10"/>
      <c r="I89" s="10"/>
      <c r="J89" s="10"/>
      <c r="K89" s="48" t="s">
        <v>205</v>
      </c>
      <c r="L89" s="407"/>
      <c r="M89" s="405"/>
      <c r="N89" s="406"/>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206</v>
      </c>
      <c r="D91" s="407"/>
      <c r="E91" s="406"/>
      <c r="F91" s="10"/>
      <c r="G91" s="10"/>
      <c r="H91" s="10"/>
      <c r="I91" s="10"/>
      <c r="J91" s="10"/>
      <c r="K91" s="48" t="s">
        <v>207</v>
      </c>
      <c r="L91" s="407"/>
      <c r="M91" s="405"/>
      <c r="N91" s="405"/>
      <c r="O91" s="406"/>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208</v>
      </c>
      <c r="L93" s="407"/>
      <c r="M93" s="405"/>
      <c r="N93" s="405"/>
      <c r="O93" s="406"/>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188</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41" t="s">
        <v>209</v>
      </c>
      <c r="D97" s="405"/>
      <c r="E97" s="405"/>
      <c r="F97" s="405"/>
      <c r="G97" s="405"/>
      <c r="H97" s="405"/>
      <c r="I97" s="405"/>
      <c r="J97" s="405"/>
      <c r="K97" s="405"/>
      <c r="L97" s="405"/>
      <c r="M97" s="405"/>
      <c r="N97" s="405"/>
      <c r="O97" s="406"/>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41" t="str">
        <f>"SALARIO "&amp;D95&amp;":"</f>
        <v>SALARIO :</v>
      </c>
      <c r="D99" s="406"/>
      <c r="E99" s="442"/>
      <c r="F99" s="406"/>
      <c r="G99" s="7"/>
      <c r="H99" s="10"/>
      <c r="I99" s="441" t="s">
        <v>190</v>
      </c>
      <c r="J99" s="405"/>
      <c r="K99" s="406"/>
      <c r="L99" s="443" t="str">
        <f>"MONTO "&amp;$D$60</f>
        <v>MONTO MENSUAL</v>
      </c>
      <c r="M99" s="444"/>
      <c r="N99" s="87" t="s">
        <v>191</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445" t="s">
        <v>549</v>
      </c>
      <c r="J100" s="405"/>
      <c r="K100" s="406"/>
      <c r="L100" s="446"/>
      <c r="M100" s="444"/>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445" t="s">
        <v>193</v>
      </c>
      <c r="J101" s="405"/>
      <c r="K101" s="406"/>
      <c r="L101" s="442"/>
      <c r="M101" s="406"/>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445" t="s">
        <v>194</v>
      </c>
      <c r="J102" s="405"/>
      <c r="K102" s="406"/>
      <c r="L102" s="448"/>
      <c r="M102" s="449"/>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445" t="s">
        <v>195</v>
      </c>
      <c r="J103" s="405"/>
      <c r="K103" s="406"/>
      <c r="L103" s="448"/>
      <c r="M103" s="449"/>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52" t="str">
        <f>IF(OR($E$53="X",$E$53="x"),"No se está tomando en cuenta el Dcto Legal por ser cliente independiente","")</f>
        <v/>
      </c>
      <c r="L104" s="453"/>
      <c r="M104" s="453"/>
      <c r="N104" s="454"/>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41" t="s">
        <v>210</v>
      </c>
      <c r="D105" s="405"/>
      <c r="E105" s="405"/>
      <c r="F105" s="405"/>
      <c r="G105" s="405"/>
      <c r="H105" s="405"/>
      <c r="I105" s="405"/>
      <c r="J105" s="405"/>
      <c r="K105" s="405"/>
      <c r="L105" s="405"/>
      <c r="M105" s="405"/>
      <c r="N105" s="405"/>
      <c r="O105" s="406"/>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55" t="s">
        <v>197</v>
      </c>
      <c r="D107" s="456"/>
      <c r="E107" s="456"/>
      <c r="F107" s="456"/>
      <c r="G107" s="457"/>
      <c r="H107" s="10"/>
      <c r="I107" s="455" t="s">
        <v>198</v>
      </c>
      <c r="J107" s="456"/>
      <c r="K107" s="456"/>
      <c r="L107" s="456"/>
      <c r="M107" s="456"/>
      <c r="N107" s="456"/>
      <c r="O107" s="457"/>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58" t="s">
        <v>199</v>
      </c>
      <c r="D108" s="444"/>
      <c r="E108" s="443" t="str">
        <f>"MONTO "&amp;$D$60</f>
        <v>MONTO MENSUAL</v>
      </c>
      <c r="F108" s="444"/>
      <c r="G108" s="91" t="s">
        <v>200</v>
      </c>
      <c r="H108" s="10"/>
      <c r="I108" s="451" t="s">
        <v>199</v>
      </c>
      <c r="J108" s="405"/>
      <c r="K108" s="405"/>
      <c r="L108" s="406"/>
      <c r="M108" s="443" t="str">
        <f>"MONTO "&amp;$D$60</f>
        <v>MONTO MENSUAL</v>
      </c>
      <c r="N108" s="444"/>
      <c r="O108" s="91" t="s">
        <v>200</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445" t="s">
        <v>201</v>
      </c>
      <c r="D109" s="406"/>
      <c r="E109" s="446"/>
      <c r="F109" s="444"/>
      <c r="G109" s="88"/>
      <c r="H109" s="10"/>
      <c r="I109" s="445"/>
      <c r="J109" s="405"/>
      <c r="K109" s="405"/>
      <c r="L109" s="447"/>
      <c r="M109" s="446"/>
      <c r="N109" s="444"/>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445" t="s">
        <v>202</v>
      </c>
      <c r="D110" s="406"/>
      <c r="E110" s="442"/>
      <c r="F110" s="406"/>
      <c r="G110" s="88"/>
      <c r="H110" s="10"/>
      <c r="I110" s="445"/>
      <c r="J110" s="405"/>
      <c r="K110" s="405"/>
      <c r="L110" s="447"/>
      <c r="M110" s="446"/>
      <c r="N110" s="444"/>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445"/>
      <c r="D111" s="406"/>
      <c r="E111" s="446"/>
      <c r="F111" s="444"/>
      <c r="G111" s="88"/>
      <c r="H111" s="10"/>
      <c r="I111" s="445"/>
      <c r="J111" s="405"/>
      <c r="K111" s="405"/>
      <c r="L111" s="447"/>
      <c r="M111" s="446"/>
      <c r="N111" s="444"/>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445"/>
      <c r="D112" s="406"/>
      <c r="E112" s="446"/>
      <c r="F112" s="444"/>
      <c r="G112" s="88"/>
      <c r="H112" s="10"/>
      <c r="I112" s="445"/>
      <c r="J112" s="405"/>
      <c r="K112" s="405"/>
      <c r="L112" s="447"/>
      <c r="M112" s="446"/>
      <c r="N112" s="444"/>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445"/>
      <c r="D113" s="406"/>
      <c r="E113" s="446"/>
      <c r="F113" s="444"/>
      <c r="G113" s="93"/>
      <c r="H113" s="10"/>
      <c r="I113" s="445"/>
      <c r="J113" s="405"/>
      <c r="K113" s="405"/>
      <c r="L113" s="447"/>
      <c r="M113" s="442"/>
      <c r="N113" s="406"/>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445"/>
      <c r="D114" s="406"/>
      <c r="E114" s="446"/>
      <c r="F114" s="444"/>
      <c r="G114" s="90"/>
      <c r="H114" s="10"/>
      <c r="I114" s="445"/>
      <c r="J114" s="405"/>
      <c r="K114" s="405"/>
      <c r="L114" s="447"/>
      <c r="M114" s="448"/>
      <c r="N114" s="449"/>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445"/>
      <c r="D115" s="406"/>
      <c r="E115" s="446"/>
      <c r="F115" s="444"/>
      <c r="G115" s="90"/>
      <c r="H115" s="10"/>
      <c r="I115" s="445"/>
      <c r="J115" s="405"/>
      <c r="K115" s="405"/>
      <c r="L115" s="447"/>
      <c r="M115" s="448"/>
      <c r="N115" s="449"/>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445"/>
      <c r="D116" s="406"/>
      <c r="E116" s="446"/>
      <c r="F116" s="444"/>
      <c r="G116" s="90"/>
      <c r="H116" s="10"/>
      <c r="I116" s="445"/>
      <c r="J116" s="405"/>
      <c r="K116" s="405"/>
      <c r="L116" s="447"/>
      <c r="M116" s="448"/>
      <c r="N116" s="449"/>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445"/>
      <c r="D117" s="406"/>
      <c r="E117" s="442"/>
      <c r="F117" s="406"/>
      <c r="G117" s="90"/>
      <c r="H117" s="10"/>
      <c r="I117" s="445"/>
      <c r="J117" s="405"/>
      <c r="K117" s="405"/>
      <c r="L117" s="447"/>
      <c r="M117" s="448"/>
      <c r="N117" s="449"/>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445"/>
      <c r="D118" s="406"/>
      <c r="E118" s="448"/>
      <c r="F118" s="449"/>
      <c r="G118" s="90"/>
      <c r="H118" s="10"/>
      <c r="I118" s="445"/>
      <c r="J118" s="405"/>
      <c r="K118" s="405"/>
      <c r="L118" s="447"/>
      <c r="M118" s="448"/>
      <c r="N118" s="449"/>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445"/>
      <c r="D119" s="406"/>
      <c r="E119" s="448"/>
      <c r="F119" s="449"/>
      <c r="G119" s="90"/>
      <c r="H119" s="10"/>
      <c r="I119" s="445"/>
      <c r="J119" s="405"/>
      <c r="K119" s="405"/>
      <c r="L119" s="447"/>
      <c r="M119" s="448"/>
      <c r="N119" s="449"/>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445"/>
      <c r="D120" s="406"/>
      <c r="E120" s="448"/>
      <c r="F120" s="449"/>
      <c r="G120" s="90"/>
      <c r="H120" s="10"/>
      <c r="I120" s="445"/>
      <c r="J120" s="405"/>
      <c r="K120" s="405"/>
      <c r="L120" s="447"/>
      <c r="M120" s="448"/>
      <c r="N120" s="449"/>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I113:L113"/>
    <mergeCell ref="M113:N113"/>
    <mergeCell ref="C114:D114"/>
    <mergeCell ref="E114:F114"/>
    <mergeCell ref="I114:L114"/>
    <mergeCell ref="M114:N114"/>
    <mergeCell ref="I115:L115"/>
    <mergeCell ref="M115:N115"/>
    <mergeCell ref="M116:N116"/>
    <mergeCell ref="C113:D113"/>
    <mergeCell ref="E113:F113"/>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01:K101"/>
    <mergeCell ref="L101:M101"/>
    <mergeCell ref="L102:M102"/>
    <mergeCell ref="I102:K102"/>
    <mergeCell ref="I103:K103"/>
    <mergeCell ref="L103:M103"/>
    <mergeCell ref="K104:N104"/>
    <mergeCell ref="C105:O105"/>
    <mergeCell ref="C107:G107"/>
    <mergeCell ref="I107:O107"/>
    <mergeCell ref="D91:E91"/>
    <mergeCell ref="L91:O91"/>
    <mergeCell ref="L93:O93"/>
    <mergeCell ref="C97:O97"/>
    <mergeCell ref="C99:D99"/>
    <mergeCell ref="E99:F99"/>
    <mergeCell ref="I99:K99"/>
    <mergeCell ref="L99:M99"/>
    <mergeCell ref="I100:K100"/>
    <mergeCell ref="L100:M100"/>
    <mergeCell ref="I120:L120"/>
    <mergeCell ref="M120:N120"/>
    <mergeCell ref="I116:L116"/>
    <mergeCell ref="I117:L117"/>
    <mergeCell ref="M117:N117"/>
    <mergeCell ref="I118:L118"/>
    <mergeCell ref="M118:N118"/>
    <mergeCell ref="I119:L119"/>
    <mergeCell ref="M119:N119"/>
    <mergeCell ref="C120:D120"/>
    <mergeCell ref="E119:F119"/>
    <mergeCell ref="E120:F120"/>
    <mergeCell ref="C115:D115"/>
    <mergeCell ref="E115:F115"/>
    <mergeCell ref="C116:D116"/>
    <mergeCell ref="E116:F116"/>
    <mergeCell ref="C117:D117"/>
    <mergeCell ref="E117:F117"/>
    <mergeCell ref="E118:F118"/>
    <mergeCell ref="C118:D118"/>
    <mergeCell ref="C119:D119"/>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B58:O58"/>
    <mergeCell ref="G60:J60"/>
    <mergeCell ref="K60:L60"/>
    <mergeCell ref="C62:O62"/>
    <mergeCell ref="C64:D64"/>
    <mergeCell ref="E64:F64"/>
    <mergeCell ref="L64:M64"/>
    <mergeCell ref="I64:K64"/>
    <mergeCell ref="I65:K65"/>
    <mergeCell ref="L65:M65"/>
    <mergeCell ref="F32:I32"/>
    <mergeCell ref="K32:N32"/>
    <mergeCell ref="B41:C42"/>
    <mergeCell ref="D41:D42"/>
    <mergeCell ref="F44:I45"/>
    <mergeCell ref="C45:D45"/>
    <mergeCell ref="K45:M46"/>
    <mergeCell ref="K47:N48"/>
    <mergeCell ref="B56:O56"/>
    <mergeCell ref="B11:O11"/>
    <mergeCell ref="K13:M13"/>
    <mergeCell ref="B16:O16"/>
    <mergeCell ref="D18:F18"/>
    <mergeCell ref="D20:E20"/>
    <mergeCell ref="D22:E22"/>
    <mergeCell ref="B27:O27"/>
    <mergeCell ref="F29:I30"/>
    <mergeCell ref="F31:I31"/>
    <mergeCell ref="K31:N31"/>
    <mergeCell ref="L1:O1"/>
    <mergeCell ref="M2:O2"/>
    <mergeCell ref="B3:O3"/>
    <mergeCell ref="D5:G5"/>
    <mergeCell ref="L5:N5"/>
    <mergeCell ref="D7:E7"/>
    <mergeCell ref="L7:N7"/>
    <mergeCell ref="D9:G9"/>
    <mergeCell ref="L9:O9"/>
  </mergeCells>
  <dataValidations disablePrompts="1" count="3">
    <dataValidation type="list" allowBlank="1" showErrorMessage="1" sqref="D37 D39 D41 N46 N65:N68 G74:G85 O74:O85 G109:G120 O109:O120 N103 N100:N101" xr:uid="{00000000-0002-0000-0200-000000000000}">
      <formula1>"NO,SÍ"</formula1>
    </dataValidation>
    <dataValidation type="list" allowBlank="1" showErrorMessage="1" sqref="D95" xr:uid="{00000000-0002-0000-0200-000006000000}">
      <formula1>"QUINCENAL,MENSUAL"</formula1>
    </dataValidation>
    <dataValidation allowBlank="1" showErrorMessage="1" sqref="D22:E22 D35 D60" xr:uid="{1BB1589C-D5DB-E94D-9D18-34542A4D1EC3}"/>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disablePrompts="1" count="4">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activeCell="E16" sqref="E16"/>
    </sheetView>
  </sheetViews>
  <sheetFormatPr baseColWidth="10" defaultColWidth="14.5" defaultRowHeight="15" customHeight="1"/>
  <cols>
    <col min="1" max="1" width="4" customWidth="1"/>
    <col min="2" max="2" width="11.33203125" customWidth="1"/>
    <col min="3" max="3" width="13.1640625" customWidth="1"/>
    <col min="4" max="4" width="15.6640625" customWidth="1"/>
    <col min="5" max="5" width="14.83203125" customWidth="1"/>
    <col min="6" max="6" width="5.83203125" customWidth="1"/>
    <col min="7" max="7" width="4.83203125" customWidth="1"/>
    <col min="8" max="8" width="5.5" customWidth="1"/>
    <col min="9" max="9" width="24.5" customWidth="1"/>
    <col min="10" max="10" width="7.5" customWidth="1"/>
    <col min="11" max="11" width="6.5" customWidth="1"/>
    <col min="12" max="12" width="25.33203125" customWidth="1"/>
    <col min="13" max="13" width="8.6640625" customWidth="1"/>
    <col min="14" max="14" width="2.5" customWidth="1"/>
    <col min="15" max="16" width="1.83203125" customWidth="1"/>
    <col min="17" max="17" width="18" customWidth="1"/>
    <col min="18" max="26" width="8.664062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86" t="s">
        <v>211</v>
      </c>
      <c r="B2" s="480"/>
      <c r="C2" s="480"/>
      <c r="D2" s="480"/>
      <c r="E2" s="480"/>
      <c r="F2" s="480"/>
      <c r="G2" s="480"/>
      <c r="H2" s="480"/>
      <c r="I2" s="480"/>
      <c r="J2" s="480"/>
      <c r="K2" s="480"/>
      <c r="L2" s="480"/>
      <c r="M2" s="480"/>
      <c r="N2" s="99"/>
      <c r="O2" s="99"/>
      <c r="P2" s="99"/>
      <c r="Q2" s="99"/>
      <c r="R2" s="99"/>
      <c r="S2" s="99"/>
      <c r="T2" s="99"/>
      <c r="U2" s="99"/>
      <c r="V2" s="99"/>
      <c r="W2" s="99"/>
      <c r="X2" s="99"/>
      <c r="Y2" s="99"/>
      <c r="Z2" s="99"/>
    </row>
    <row r="3" spans="1:26" ht="22.5" customHeight="1">
      <c r="A3" s="480"/>
      <c r="B3" s="480"/>
      <c r="C3" s="480"/>
      <c r="D3" s="480"/>
      <c r="E3" s="480"/>
      <c r="F3" s="480"/>
      <c r="G3" s="480"/>
      <c r="H3" s="480"/>
      <c r="I3" s="480"/>
      <c r="J3" s="480"/>
      <c r="K3" s="480"/>
      <c r="L3" s="480"/>
      <c r="M3" s="480"/>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87" t="s">
        <v>212</v>
      </c>
      <c r="B5" s="405"/>
      <c r="C5" s="405"/>
      <c r="D5" s="405"/>
      <c r="E5" s="405"/>
      <c r="F5" s="405"/>
      <c r="G5" s="405"/>
      <c r="H5" s="405"/>
      <c r="I5" s="405"/>
      <c r="J5" s="405"/>
      <c r="K5" s="405"/>
      <c r="L5" s="405"/>
      <c r="M5" s="405"/>
      <c r="N5" s="406"/>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88" t="s">
        <v>157</v>
      </c>
      <c r="B7" s="401"/>
      <c r="C7" s="402"/>
      <c r="D7" s="484" t="str">
        <f>IF(INFORMACIÓN!D7="","FALTA CÉDULA DEL CLIENTE",INFORMACIÓN!D7)</f>
        <v>FALTA CÉDULA DEL CLIENTE</v>
      </c>
      <c r="E7" s="456"/>
      <c r="F7" s="457"/>
      <c r="G7" s="103"/>
      <c r="H7" s="485" t="s">
        <v>155</v>
      </c>
      <c r="I7" s="402"/>
      <c r="J7" s="484" t="str">
        <f>IF(INFORMACIÓN!D5="","FALTA NOMBRE DEL CLIENTE",INFORMACIÓN!D5)</f>
        <v>FALTA NOMBRE DEL CLIENTE</v>
      </c>
      <c r="K7" s="456"/>
      <c r="L7" s="456"/>
      <c r="M7" s="457"/>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88" t="s">
        <v>156</v>
      </c>
      <c r="B9" s="401"/>
      <c r="C9" s="402"/>
      <c r="D9" s="484" t="str">
        <f>IF(INFORMACIÓN!$L$5="","FALTA CARTERA DEL CLIENTE",INFORMACIÓN!L5)</f>
        <v>EMP. CSS</v>
      </c>
      <c r="E9" s="456"/>
      <c r="F9" s="457"/>
      <c r="G9" s="104"/>
      <c r="H9" s="485" t="s">
        <v>213</v>
      </c>
      <c r="I9" s="402"/>
      <c r="J9" s="484" t="str">
        <f>IF(INFORMACIÓN!L7="","FALTA NOMBRE DE OFICIAL",INFORMACIÓN!L7)</f>
        <v>FALTA NOMBRE DE OFICIAL</v>
      </c>
      <c r="K9" s="456"/>
      <c r="L9" s="456"/>
      <c r="M9" s="457"/>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60" t="str">
        <f>IF(D9=info!H43,"NO APLICA EL TAPE","DATOS REQUERIDOS")</f>
        <v>DATOS REQUERIDOS</v>
      </c>
      <c r="B12" s="401"/>
      <c r="C12" s="401"/>
      <c r="D12" s="401"/>
      <c r="E12" s="401"/>
      <c r="F12" s="401"/>
      <c r="G12" s="401"/>
      <c r="H12" s="401"/>
      <c r="I12" s="401"/>
      <c r="J12" s="401"/>
      <c r="K12" s="401"/>
      <c r="L12" s="401"/>
      <c r="M12" s="401"/>
      <c r="N12" s="402"/>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59" t="str">
        <f>INFORMACIÓN!C29</f>
        <v xml:space="preserve">SALARIO BRUTO QUINCENAL: </v>
      </c>
      <c r="C14" s="423"/>
      <c r="D14" s="424"/>
      <c r="E14" s="114">
        <f>INFORMACIÓN!D29</f>
        <v>0</v>
      </c>
      <c r="F14" s="112"/>
      <c r="G14" s="459" t="s">
        <v>176</v>
      </c>
      <c r="H14" s="423"/>
      <c r="I14" s="424"/>
      <c r="J14" s="115"/>
      <c r="K14" s="459" t="s">
        <v>177</v>
      </c>
      <c r="L14" s="424"/>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214</v>
      </c>
      <c r="H15" s="489" t="str">
        <f>INFORMACIÓN!F32</f>
        <v>LETRA QUINCENAL</v>
      </c>
      <c r="I15" s="424"/>
      <c r="J15" s="115"/>
      <c r="K15" s="117" t="s">
        <v>214</v>
      </c>
      <c r="L15" s="117" t="str">
        <f>INFORMACIÓN!K32</f>
        <v>LETRA QUINCENAL</v>
      </c>
      <c r="M15" s="112"/>
      <c r="N15" s="112"/>
      <c r="O15" s="99"/>
      <c r="P15" s="99"/>
      <c r="Q15" s="99"/>
      <c r="R15" s="99"/>
      <c r="S15" s="99"/>
      <c r="T15" s="99"/>
      <c r="U15" s="99"/>
      <c r="V15" s="99"/>
      <c r="W15" s="99"/>
      <c r="X15" s="99"/>
      <c r="Y15" s="99"/>
      <c r="Z15" s="99"/>
    </row>
    <row r="16" spans="1:26" ht="13.5" customHeight="1">
      <c r="A16" s="112"/>
      <c r="B16" s="459" t="str">
        <f>INFORMACIÓN!C31</f>
        <v xml:space="preserve">SALARIO NETO QUINCENAL: </v>
      </c>
      <c r="C16" s="423"/>
      <c r="D16" s="424"/>
      <c r="E16" s="118">
        <f>INFORMACIÓN!D31</f>
        <v>0</v>
      </c>
      <c r="F16" s="112"/>
      <c r="G16" s="119">
        <v>1</v>
      </c>
      <c r="H16" s="490" t="str">
        <f>IF(INFORMACIÓN!G33="","",INFORMACIÓN!G33)</f>
        <v/>
      </c>
      <c r="I16" s="424"/>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90" t="str">
        <f>IF(INFORMACIÓN!G34="","",INFORMACIÓN!G34)</f>
        <v/>
      </c>
      <c r="I17" s="424"/>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59" t="s">
        <v>215</v>
      </c>
      <c r="C18" s="423"/>
      <c r="D18" s="424"/>
      <c r="E18" s="118">
        <f>INFORMACIÓN!D33</f>
        <v>0</v>
      </c>
      <c r="F18" s="112"/>
      <c r="G18" s="119">
        <v>3</v>
      </c>
      <c r="H18" s="490" t="str">
        <f>IF(INFORMACIÓN!G35="","",INFORMACIÓN!G35)</f>
        <v/>
      </c>
      <c r="I18" s="424"/>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90" t="str">
        <f>IF(INFORMACIÓN!G36="","",INFORMACIÓN!G36)</f>
        <v/>
      </c>
      <c r="I19" s="424"/>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59" t="s">
        <v>216</v>
      </c>
      <c r="C20" s="423"/>
      <c r="D20" s="424"/>
      <c r="E20" s="118" t="str">
        <f>INFORMACIÓN!D35</f>
        <v>QUINCENAL</v>
      </c>
      <c r="F20" s="112"/>
      <c r="G20" s="119">
        <v>5</v>
      </c>
      <c r="H20" s="490" t="str">
        <f>IF(INFORMACIÓN!G37="","",INFORMACIÓN!G37)</f>
        <v/>
      </c>
      <c r="I20" s="424"/>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90" t="str">
        <f>IF(INFORMACIÓN!G38="","",INFORMACIÓN!G38)</f>
        <v/>
      </c>
      <c r="I21" s="424"/>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59" t="s">
        <v>217</v>
      </c>
      <c r="C22" s="423"/>
      <c r="D22" s="424"/>
      <c r="E22" s="118">
        <f>IFERROR(HLOOKUP(D9,info!B43:Y58,11,0),0)</f>
        <v>50</v>
      </c>
      <c r="F22" s="112"/>
      <c r="G22" s="119">
        <v>7</v>
      </c>
      <c r="H22" s="490" t="str">
        <f>IF(INFORMACIÓN!G39="","",INFORMACIÓN!G39)</f>
        <v/>
      </c>
      <c r="I22" s="424"/>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90" t="str">
        <f>IF(INFORMACIÓN!G40="","",INFORMACIÓN!G40)</f>
        <v/>
      </c>
      <c r="I23" s="424"/>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91" t="s">
        <v>218</v>
      </c>
      <c r="C24" s="483"/>
      <c r="D24" s="483"/>
      <c r="E24" s="472"/>
      <c r="F24" s="112"/>
      <c r="G24" s="119">
        <v>9</v>
      </c>
      <c r="H24" s="490" t="str">
        <f>IF(INFORMACIÓN!G41="","",INFORMACIÓN!G41)</f>
        <v/>
      </c>
      <c r="I24" s="424"/>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59" t="s">
        <v>219</v>
      </c>
      <c r="C25" s="423"/>
      <c r="D25" s="424"/>
      <c r="E25" s="118" t="str">
        <f>IF($D$9="ACP",INFORMACIÓN!D46,"N/A")</f>
        <v>N/A</v>
      </c>
      <c r="F25" s="112"/>
      <c r="G25" s="119">
        <v>10</v>
      </c>
      <c r="H25" s="490" t="str">
        <f>IF(INFORMACIÓN!G42="","",INFORMACIÓN!G42)</f>
        <v/>
      </c>
      <c r="I25" s="424"/>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90" t="str">
        <f>IF(INFORMACIÓN!I33="","",INFORMACIÓN!I33)</f>
        <v/>
      </c>
      <c r="I26" s="424"/>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59" t="s">
        <v>220</v>
      </c>
      <c r="C27" s="423"/>
      <c r="D27" s="424"/>
      <c r="E27" s="118" t="str">
        <f>IF($D$9="ACP",INFORMACIÓN!D48,"N/A")</f>
        <v>N/A</v>
      </c>
      <c r="F27" s="112"/>
      <c r="G27" s="119">
        <v>12</v>
      </c>
      <c r="H27" s="490" t="str">
        <f>IF(INFORMACIÓN!I34="","",INFORMACIÓN!I34)</f>
        <v/>
      </c>
      <c r="I27" s="424"/>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90" t="str">
        <f>IF(INFORMACIÓN!I35="","",INFORMACIÓN!I35)</f>
        <v/>
      </c>
      <c r="I28" s="424"/>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59" t="s">
        <v>221</v>
      </c>
      <c r="C29" s="423"/>
      <c r="D29" s="424"/>
      <c r="E29" s="118" t="str">
        <f>IF($D$9="ACP",INFORMACIÓN!D50,"N/A")</f>
        <v>N/A</v>
      </c>
      <c r="F29" s="112"/>
      <c r="G29" s="119">
        <v>14</v>
      </c>
      <c r="H29" s="490" t="str">
        <f>IF(INFORMACIÓN!I36="","",INFORMACIÓN!I36)</f>
        <v/>
      </c>
      <c r="I29" s="424"/>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90" t="str">
        <f>IF(INFORMACIÓN!I37="","",INFORMACIÓN!I37)</f>
        <v/>
      </c>
      <c r="I30" s="424"/>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59" t="s">
        <v>222</v>
      </c>
      <c r="C31" s="423"/>
      <c r="D31" s="424"/>
      <c r="E31" s="118" t="str">
        <f>IF($D$9="ACP",INFORMACIÓN!D52,"N/A")</f>
        <v>N/A</v>
      </c>
      <c r="F31" s="112"/>
      <c r="G31" s="119">
        <v>16</v>
      </c>
      <c r="H31" s="490" t="str">
        <f>IF(INFORMACIÓN!I38="","",INFORMACIÓN!I38)</f>
        <v/>
      </c>
      <c r="I31" s="424"/>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90" t="str">
        <f>IF(INFORMACIÓN!I39="","",INFORMACIÓN!I39)</f>
        <v/>
      </c>
      <c r="I32" s="424"/>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90" t="str">
        <f>IF(INFORMACIÓN!I40="","",INFORMACIÓN!I40)</f>
        <v/>
      </c>
      <c r="I33" s="424"/>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59" t="s">
        <v>223</v>
      </c>
      <c r="C34" s="423"/>
      <c r="D34" s="424"/>
      <c r="E34" s="118">
        <f>INFORMACIÓN!D37</f>
        <v>0</v>
      </c>
      <c r="F34" s="112"/>
      <c r="G34" s="119">
        <v>19</v>
      </c>
      <c r="H34" s="490" t="str">
        <f>IF(INFORMACIÓN!I41="","",INFORMACIÓN!I41)</f>
        <v/>
      </c>
      <c r="I34" s="424"/>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90" t="str">
        <f>IF(INFORMACIÓN!I42="","",INFORMACIÓN!I42)</f>
        <v/>
      </c>
      <c r="I35" s="424"/>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59" t="s">
        <v>224</v>
      </c>
      <c r="C36" s="423"/>
      <c r="D36" s="424"/>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59" t="s">
        <v>225</v>
      </c>
      <c r="C38" s="423"/>
      <c r="D38" s="424"/>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59" t="s">
        <v>226</v>
      </c>
      <c r="C40" s="423"/>
      <c r="D40" s="424"/>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60" t="str">
        <f>IF(D9=info!H43,"NO APLICA EL TAPE","TAPE")</f>
        <v>TAPE</v>
      </c>
      <c r="B42" s="401"/>
      <c r="C42" s="401"/>
      <c r="D42" s="401"/>
      <c r="E42" s="401"/>
      <c r="F42" s="401"/>
      <c r="G42" s="401"/>
      <c r="H42" s="401"/>
      <c r="I42" s="401"/>
      <c r="J42" s="401"/>
      <c r="K42" s="401"/>
      <c r="L42" s="401"/>
      <c r="M42" s="401"/>
      <c r="N42" s="402"/>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61">
        <f>IF(AND(D9&lt;&gt;info!F43,D9&lt;&gt;info!K43,D9&lt;&gt;info!M43,E36="SÍ",B37="No se va a cancelar el embargo."),0.2,IF($E$34="SÍ",HLOOKUP(D9,info!A43:U55,10,0),IFERROR(HLOOKUP(D9,info!A43:U55,9,0),"FALTA CARTERA DEL CLIENTE")))</f>
        <v>0.35</v>
      </c>
      <c r="B44" s="401"/>
      <c r="C44" s="401"/>
      <c r="D44" s="401"/>
      <c r="E44" s="401"/>
      <c r="F44" s="401"/>
      <c r="G44" s="401"/>
      <c r="H44" s="401"/>
      <c r="I44" s="401"/>
      <c r="J44" s="401"/>
      <c r="K44" s="401"/>
      <c r="L44" s="401"/>
      <c r="M44" s="401"/>
      <c r="N44" s="402"/>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0.35</v>
      </c>
      <c r="C46" s="129"/>
      <c r="D46" s="129"/>
      <c r="E46" s="130">
        <f>ROUNDDOWN(IF($D$9="ACP",0,IF(A44="N/A",A44,IFERROR(IF(OR(D9=info!F43,D9=info!K43,D9=info!M43),(E14-(E14*6.75%))*A44,E14*A44),0))),2)</f>
        <v>0</v>
      </c>
      <c r="F46" s="112"/>
      <c r="G46" s="113"/>
      <c r="H46" s="113"/>
      <c r="I46" s="464" t="s">
        <v>227</v>
      </c>
      <c r="J46" s="465"/>
      <c r="K46" s="466"/>
      <c r="L46" s="462">
        <f>E47</f>
        <v>0</v>
      </c>
      <c r="M46" s="99"/>
      <c r="N46" s="99"/>
      <c r="O46" s="99"/>
      <c r="P46" s="99"/>
      <c r="Q46" s="99"/>
      <c r="R46" s="99"/>
      <c r="S46" s="99"/>
      <c r="T46" s="99"/>
      <c r="U46" s="99"/>
      <c r="V46" s="99"/>
      <c r="W46" s="99"/>
      <c r="X46" s="99"/>
      <c r="Y46" s="99"/>
      <c r="Z46" s="99"/>
    </row>
    <row r="47" spans="1:26" ht="18.75" customHeight="1">
      <c r="A47" s="99"/>
      <c r="B47" s="129" t="s">
        <v>228</v>
      </c>
      <c r="C47" s="129"/>
      <c r="D47" s="129"/>
      <c r="E47" s="131">
        <f>ROUNDDOWN(IFERROR(IF(D9="ACP",E25,IF(A44="N/A",A44,IF(HLOOKUP($D$9,info!$A$43:$N$58,12,0)="QUINCENAL",(E46-SUM(H16:H35)),(E46-SUM(H16:H35))/2))),0),2)</f>
        <v>0</v>
      </c>
      <c r="F47" s="112"/>
      <c r="G47" s="113"/>
      <c r="H47" s="113"/>
      <c r="I47" s="467"/>
      <c r="J47" s="468"/>
      <c r="K47" s="469"/>
      <c r="L47" s="463"/>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70" t="str">
        <f>IF(L46&lt;0,"Cliente no posee capacidad para el préstamo","")</f>
        <v/>
      </c>
      <c r="J48" s="401"/>
      <c r="K48" s="401"/>
      <c r="L48" s="402"/>
      <c r="M48" s="99"/>
      <c r="N48" s="99"/>
      <c r="O48" s="99"/>
      <c r="P48" s="99"/>
      <c r="Q48" s="99"/>
      <c r="R48" s="99"/>
      <c r="S48" s="99"/>
      <c r="T48" s="99"/>
      <c r="U48" s="99"/>
      <c r="V48" s="99"/>
      <c r="W48" s="99"/>
      <c r="X48" s="99"/>
      <c r="Y48" s="99"/>
      <c r="Z48" s="99"/>
    </row>
    <row r="49" spans="1:26" ht="18.75" customHeight="1">
      <c r="A49" s="461">
        <f>IF(OR(D9=info!F43,D9=info!H43,D9=info!K43,D9=info!M43),"N/A",25%)</f>
        <v>0.25</v>
      </c>
      <c r="B49" s="401"/>
      <c r="C49" s="401"/>
      <c r="D49" s="401"/>
      <c r="E49" s="401"/>
      <c r="F49" s="401"/>
      <c r="G49" s="401"/>
      <c r="H49" s="401"/>
      <c r="I49" s="401"/>
      <c r="J49" s="401"/>
      <c r="K49" s="401"/>
      <c r="L49" s="401"/>
      <c r="M49" s="401"/>
      <c r="N49" s="402"/>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64" t="s">
        <v>229</v>
      </c>
      <c r="J51" s="465"/>
      <c r="K51" s="466"/>
      <c r="L51" s="462">
        <f>IF(AND(E40&lt;&gt;"NO",D9=info!B43),E52-E40,TAPE!E52)</f>
        <v>0</v>
      </c>
      <c r="M51" s="99"/>
      <c r="N51" s="99"/>
      <c r="O51" s="99"/>
      <c r="P51" s="99"/>
      <c r="Q51" s="125"/>
      <c r="R51" s="99"/>
      <c r="S51" s="99"/>
      <c r="T51" s="99"/>
      <c r="U51" s="99"/>
      <c r="V51" s="99"/>
      <c r="W51" s="99"/>
      <c r="X51" s="99"/>
      <c r="Y51" s="99"/>
      <c r="Z51" s="99"/>
    </row>
    <row r="52" spans="1:26" ht="18.75" customHeight="1">
      <c r="A52" s="99"/>
      <c r="B52" s="129" t="s">
        <v>230</v>
      </c>
      <c r="C52" s="132"/>
      <c r="D52" s="132"/>
      <c r="E52" s="133">
        <f>ROUNDDOWN(IFERROR(IF(A49="N/A",A49,IF($D$9="ACP",((E29*2)-E31+SUM(L16:L35)-E51-L56-E18),IF(HLOOKUP($D$9,info!$A$43:$N$58,12,0)="QUINCENAL",(E16+SUM(L16:L35)-E51-IF(E20="QUINCENAL",E18,E18/2)),(E16+SUM(L16:L35)-E51-IF(E20="QUINCENAL",E18*2,E18))/2))),0),2)</f>
        <v>0</v>
      </c>
      <c r="F52" s="99"/>
      <c r="G52" s="111"/>
      <c r="H52" s="111"/>
      <c r="I52" s="467"/>
      <c r="J52" s="468"/>
      <c r="K52" s="469"/>
      <c r="L52" s="463"/>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61">
        <f>IF(OR(D9=info!F43,D9=info!H43,D9=info!K43,D9=info!M43),"N/A",15%)</f>
        <v>0.15</v>
      </c>
      <c r="B54" s="401"/>
      <c r="C54" s="401"/>
      <c r="D54" s="401"/>
      <c r="E54" s="401"/>
      <c r="F54" s="401"/>
      <c r="G54" s="401"/>
      <c r="H54" s="401"/>
      <c r="I54" s="401"/>
      <c r="J54" s="401"/>
      <c r="K54" s="401"/>
      <c r="L54" s="401"/>
      <c r="M54" s="401"/>
      <c r="N54" s="402"/>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231</v>
      </c>
      <c r="C56" s="132"/>
      <c r="D56" s="132"/>
      <c r="E56" s="130">
        <f>ROUNDDOWN(IF(A54="N/A","N/A",IF(E14="",0,E14-E22)),2)</f>
        <v>-50</v>
      </c>
      <c r="F56" s="99"/>
      <c r="G56" s="111"/>
      <c r="H56" s="111"/>
      <c r="I56" s="464" t="s">
        <v>232</v>
      </c>
      <c r="J56" s="465"/>
      <c r="K56" s="466"/>
      <c r="L56" s="462">
        <f>E57</f>
        <v>-7.5</v>
      </c>
      <c r="M56" s="99"/>
      <c r="N56" s="99"/>
      <c r="O56" s="99"/>
      <c r="P56" s="99"/>
      <c r="Q56" s="99"/>
      <c r="R56" s="99"/>
      <c r="S56" s="99"/>
      <c r="T56" s="99"/>
      <c r="U56" s="99"/>
      <c r="V56" s="99"/>
      <c r="W56" s="99"/>
      <c r="X56" s="99"/>
      <c r="Y56" s="99"/>
      <c r="Z56" s="99"/>
    </row>
    <row r="57" spans="1:26" ht="18.75" customHeight="1">
      <c r="A57" s="99"/>
      <c r="B57" s="129" t="s">
        <v>233</v>
      </c>
      <c r="C57" s="132"/>
      <c r="D57" s="132"/>
      <c r="E57" s="133">
        <f>ROUNDDOWN(IF(E56="N/A","N/A",IFERROR(IF(HLOOKUP($D$9,info!$A$43:$N$58,12,0)="QUINCENAL",(E56*A54),(E56*A54)/2),0)),2)</f>
        <v>-7.5</v>
      </c>
      <c r="F57" s="99"/>
      <c r="G57" s="111"/>
      <c r="H57" s="111"/>
      <c r="I57" s="467"/>
      <c r="J57" s="468"/>
      <c r="K57" s="469"/>
      <c r="L57" s="463"/>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61" t="s">
        <v>234</v>
      </c>
      <c r="B59" s="401"/>
      <c r="C59" s="401"/>
      <c r="D59" s="401"/>
      <c r="E59" s="401"/>
      <c r="F59" s="401"/>
      <c r="G59" s="401"/>
      <c r="H59" s="401"/>
      <c r="I59" s="401"/>
      <c r="J59" s="401"/>
      <c r="K59" s="401"/>
      <c r="L59" s="401"/>
      <c r="M59" s="401"/>
      <c r="N59" s="402"/>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71" t="s">
        <v>235</v>
      </c>
      <c r="C61" s="472"/>
      <c r="D61" s="130">
        <f>IF(INFORMACIÓN!G46="",0,INFORMACIÓN!G46)</f>
        <v>0</v>
      </c>
      <c r="E61" s="99"/>
      <c r="F61" s="99"/>
      <c r="G61" s="99"/>
      <c r="H61" s="99"/>
      <c r="I61" s="464" t="s">
        <v>236</v>
      </c>
      <c r="J61" s="465"/>
      <c r="K61" s="466"/>
      <c r="L61" s="462"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71" t="s">
        <v>235</v>
      </c>
      <c r="C62" s="472"/>
      <c r="D62" s="135">
        <f>IF(INFORMACIÓN!I46="",0,INFORMACIÓN!I46)</f>
        <v>0</v>
      </c>
      <c r="E62" s="99"/>
      <c r="F62" s="99"/>
      <c r="G62" s="99"/>
      <c r="H62" s="99"/>
      <c r="I62" s="467"/>
      <c r="J62" s="468"/>
      <c r="K62" s="469"/>
      <c r="L62" s="463"/>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77" t="str">
        <f>IFERROR(IF(L61="N/A","",IF(L61&lt;0,CONCATENATE("AFECTA LA LETRA EN UN ",IF(E20="QUINCENAL",TRUNC((-(L61)/(2*E18))*100),TRUNC((-(L61)/E18)*100)),"%"),"")),"")</f>
        <v/>
      </c>
      <c r="J63" s="401"/>
      <c r="K63" s="401"/>
      <c r="L63" s="402"/>
      <c r="M63" s="99"/>
      <c r="N63" s="99"/>
      <c r="O63" s="99"/>
      <c r="P63" s="99"/>
      <c r="Q63" s="99"/>
      <c r="R63" s="99"/>
      <c r="S63" s="99"/>
      <c r="T63" s="99"/>
      <c r="U63" s="99"/>
      <c r="V63" s="99"/>
      <c r="W63" s="99"/>
      <c r="X63" s="99"/>
      <c r="Y63" s="99"/>
      <c r="Z63" s="99"/>
    </row>
    <row r="64" spans="1:26" ht="13.5" customHeight="1">
      <c r="A64" s="461" t="s">
        <v>237</v>
      </c>
      <c r="B64" s="401"/>
      <c r="C64" s="401"/>
      <c r="D64" s="401"/>
      <c r="E64" s="401"/>
      <c r="F64" s="401"/>
      <c r="G64" s="401"/>
      <c r="H64" s="401"/>
      <c r="I64" s="401"/>
      <c r="J64" s="401"/>
      <c r="K64" s="401"/>
      <c r="L64" s="401"/>
      <c r="M64" s="401"/>
      <c r="N64" s="402"/>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78"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16"/>
      <c r="D66" s="416"/>
      <c r="E66" s="416"/>
      <c r="F66" s="416"/>
      <c r="G66" s="416"/>
      <c r="H66" s="416"/>
      <c r="I66" s="416"/>
      <c r="J66" s="416"/>
      <c r="K66" s="416"/>
      <c r="L66" s="416"/>
      <c r="M66" s="417"/>
      <c r="N66" s="99"/>
      <c r="O66" s="99"/>
      <c r="P66" s="99"/>
      <c r="Q66" s="99"/>
      <c r="R66" s="99"/>
      <c r="S66" s="99"/>
      <c r="T66" s="99"/>
      <c r="U66" s="99"/>
      <c r="V66" s="99"/>
      <c r="W66" s="99"/>
      <c r="X66" s="99"/>
      <c r="Y66" s="99"/>
      <c r="Z66" s="99"/>
    </row>
    <row r="67" spans="1:26" ht="15" customHeight="1">
      <c r="A67" s="99"/>
      <c r="B67" s="479"/>
      <c r="C67" s="480"/>
      <c r="D67" s="480"/>
      <c r="E67" s="480"/>
      <c r="F67" s="480"/>
      <c r="G67" s="480"/>
      <c r="H67" s="480"/>
      <c r="I67" s="480"/>
      <c r="J67" s="480"/>
      <c r="K67" s="480"/>
      <c r="L67" s="480"/>
      <c r="M67" s="481"/>
      <c r="N67" s="99"/>
      <c r="O67" s="99"/>
      <c r="P67" s="99"/>
      <c r="Q67" s="99"/>
      <c r="R67" s="99"/>
      <c r="S67" s="99"/>
      <c r="T67" s="99"/>
      <c r="U67" s="99"/>
      <c r="V67" s="99"/>
      <c r="W67" s="99"/>
      <c r="X67" s="99"/>
      <c r="Y67" s="99"/>
      <c r="Z67" s="99"/>
    </row>
    <row r="68" spans="1:26" ht="9.75" customHeight="1">
      <c r="A68" s="99"/>
      <c r="B68" s="479"/>
      <c r="C68" s="480"/>
      <c r="D68" s="480"/>
      <c r="E68" s="480"/>
      <c r="F68" s="480"/>
      <c r="G68" s="480"/>
      <c r="H68" s="480"/>
      <c r="I68" s="480"/>
      <c r="J68" s="480"/>
      <c r="K68" s="480"/>
      <c r="L68" s="480"/>
      <c r="M68" s="481"/>
      <c r="N68" s="99"/>
      <c r="O68" s="99"/>
      <c r="P68" s="99"/>
      <c r="Q68" s="99"/>
      <c r="R68" s="99"/>
      <c r="S68" s="99"/>
      <c r="T68" s="99"/>
      <c r="U68" s="99"/>
      <c r="V68" s="99"/>
      <c r="W68" s="99"/>
      <c r="X68" s="99"/>
      <c r="Y68" s="99"/>
      <c r="Z68" s="99"/>
    </row>
    <row r="69" spans="1:26" ht="12.75" customHeight="1">
      <c r="A69" s="99"/>
      <c r="B69" s="479"/>
      <c r="C69" s="480"/>
      <c r="D69" s="480"/>
      <c r="E69" s="480"/>
      <c r="F69" s="480"/>
      <c r="G69" s="480"/>
      <c r="H69" s="480"/>
      <c r="I69" s="480"/>
      <c r="J69" s="480"/>
      <c r="K69" s="480"/>
      <c r="L69" s="480"/>
      <c r="M69" s="481"/>
      <c r="N69" s="99"/>
      <c r="O69" s="99"/>
      <c r="P69" s="99"/>
      <c r="Q69" s="99"/>
      <c r="R69" s="99"/>
      <c r="S69" s="99"/>
      <c r="T69" s="99"/>
      <c r="U69" s="99"/>
      <c r="V69" s="99"/>
      <c r="W69" s="99"/>
      <c r="X69" s="99"/>
      <c r="Y69" s="99"/>
      <c r="Z69" s="99"/>
    </row>
    <row r="70" spans="1:26" ht="12.75" customHeight="1">
      <c r="A70" s="99"/>
      <c r="B70" s="427"/>
      <c r="C70" s="435"/>
      <c r="D70" s="435"/>
      <c r="E70" s="435"/>
      <c r="F70" s="435"/>
      <c r="G70" s="435"/>
      <c r="H70" s="435"/>
      <c r="I70" s="435"/>
      <c r="J70" s="435"/>
      <c r="K70" s="435"/>
      <c r="L70" s="435"/>
      <c r="M70" s="438"/>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82"/>
      <c r="C72" s="483"/>
      <c r="D72" s="472"/>
      <c r="E72" s="136"/>
      <c r="F72" s="136"/>
      <c r="G72" s="136"/>
      <c r="H72" s="136"/>
      <c r="I72" s="136"/>
      <c r="J72" s="136"/>
      <c r="K72" s="482"/>
      <c r="L72" s="483"/>
      <c r="M72" s="472"/>
      <c r="N72" s="99"/>
      <c r="O72" s="99"/>
      <c r="P72" s="99"/>
      <c r="Q72" s="99"/>
      <c r="R72" s="99"/>
      <c r="S72" s="99"/>
      <c r="T72" s="99"/>
      <c r="U72" s="99"/>
      <c r="V72" s="99"/>
      <c r="W72" s="99"/>
      <c r="X72" s="99"/>
      <c r="Y72" s="99"/>
      <c r="Z72" s="99"/>
    </row>
    <row r="73" spans="1:26" ht="13.5" customHeight="1">
      <c r="A73" s="99"/>
      <c r="B73" s="473" t="s">
        <v>238</v>
      </c>
      <c r="C73" s="474"/>
      <c r="D73" s="475"/>
      <c r="E73" s="99"/>
      <c r="F73" s="99"/>
      <c r="G73" s="99"/>
      <c r="H73" s="99"/>
      <c r="I73" s="99"/>
      <c r="J73" s="99"/>
      <c r="K73" s="473" t="s">
        <v>239</v>
      </c>
      <c r="L73" s="474"/>
      <c r="M73" s="475"/>
      <c r="N73" s="99"/>
      <c r="O73" s="99"/>
      <c r="P73" s="99"/>
      <c r="Q73" s="99"/>
      <c r="R73" s="99"/>
      <c r="S73" s="99"/>
      <c r="T73" s="99"/>
      <c r="U73" s="99"/>
      <c r="V73" s="99"/>
      <c r="W73" s="99"/>
      <c r="X73" s="99"/>
      <c r="Y73" s="99"/>
      <c r="Z73" s="99"/>
    </row>
    <row r="74" spans="1:26" ht="13.5" customHeight="1">
      <c r="A74" s="99"/>
      <c r="B74" s="476" t="s">
        <v>240</v>
      </c>
      <c r="C74" s="401"/>
      <c r="D74" s="402"/>
      <c r="E74" s="99"/>
      <c r="F74" s="99"/>
      <c r="G74" s="99"/>
      <c r="H74" s="99"/>
      <c r="I74" s="99"/>
      <c r="J74" s="99"/>
      <c r="K74" s="476" t="str">
        <f>J9</f>
        <v>FALTA NOMBRE DE OFICIAL</v>
      </c>
      <c r="L74" s="401"/>
      <c r="M74" s="402"/>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29:D29"/>
    <mergeCell ref="B31:D31"/>
    <mergeCell ref="B20:D20"/>
    <mergeCell ref="B22:D22"/>
    <mergeCell ref="B24:E24"/>
    <mergeCell ref="B25:D25"/>
    <mergeCell ref="B27:D27"/>
    <mergeCell ref="H31:I31"/>
    <mergeCell ref="H32:I32"/>
    <mergeCell ref="H33:I33"/>
    <mergeCell ref="H34:I34"/>
    <mergeCell ref="H35:I35"/>
    <mergeCell ref="H19:I19"/>
    <mergeCell ref="H20:I20"/>
    <mergeCell ref="H21:I21"/>
    <mergeCell ref="H29:I29"/>
    <mergeCell ref="H30:I30"/>
    <mergeCell ref="H22:I22"/>
    <mergeCell ref="H23:I23"/>
    <mergeCell ref="H24:I24"/>
    <mergeCell ref="H25:I25"/>
    <mergeCell ref="H26:I26"/>
    <mergeCell ref="H27:I27"/>
    <mergeCell ref="H28:I28"/>
    <mergeCell ref="B16:D16"/>
    <mergeCell ref="H16:I16"/>
    <mergeCell ref="H17:I17"/>
    <mergeCell ref="B18:D18"/>
    <mergeCell ref="H18:I18"/>
    <mergeCell ref="A12:N12"/>
    <mergeCell ref="B14:D14"/>
    <mergeCell ref="G14:I14"/>
    <mergeCell ref="K14:L14"/>
    <mergeCell ref="H15:I15"/>
    <mergeCell ref="D9:F9"/>
    <mergeCell ref="H9:I9"/>
    <mergeCell ref="A2:M3"/>
    <mergeCell ref="A5:N5"/>
    <mergeCell ref="A7:C7"/>
    <mergeCell ref="D7:F7"/>
    <mergeCell ref="H7:I7"/>
    <mergeCell ref="J7:M7"/>
    <mergeCell ref="A9:C9"/>
    <mergeCell ref="J9:M9"/>
    <mergeCell ref="K74:M74"/>
    <mergeCell ref="I63:L63"/>
    <mergeCell ref="A64:N64"/>
    <mergeCell ref="B66:M70"/>
    <mergeCell ref="B72:D72"/>
    <mergeCell ref="K72:M72"/>
    <mergeCell ref="B73:D73"/>
    <mergeCell ref="B74:D74"/>
    <mergeCell ref="B61:C61"/>
    <mergeCell ref="I61:K62"/>
    <mergeCell ref="L61:L62"/>
    <mergeCell ref="B62:C62"/>
    <mergeCell ref="K73:M73"/>
    <mergeCell ref="A44:N44"/>
    <mergeCell ref="L46:L47"/>
    <mergeCell ref="A49:N49"/>
    <mergeCell ref="A54:N54"/>
    <mergeCell ref="A59:N59"/>
    <mergeCell ref="I46:K47"/>
    <mergeCell ref="I48:L48"/>
    <mergeCell ref="I51:K52"/>
    <mergeCell ref="L51:L52"/>
    <mergeCell ref="I56:K57"/>
    <mergeCell ref="L56:L57"/>
    <mergeCell ref="B34:D34"/>
    <mergeCell ref="B36:D36"/>
    <mergeCell ref="B38:D38"/>
    <mergeCell ref="B40:D40"/>
    <mergeCell ref="A42:N42"/>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5" defaultRowHeight="15" customHeight="1"/>
  <cols>
    <col min="1" max="1" width="0.33203125" customWidth="1"/>
    <col min="2" max="2" width="11.5" customWidth="1"/>
    <col min="3" max="3" width="14.6640625" customWidth="1"/>
    <col min="4" max="4" width="12.6640625" customWidth="1"/>
    <col min="5" max="5" width="16.5" customWidth="1"/>
    <col min="6" max="6" width="9.6640625" customWidth="1"/>
    <col min="7" max="7" width="15.33203125" customWidth="1"/>
    <col min="8" max="8" width="11.6640625" customWidth="1"/>
    <col min="9" max="9" width="12.6640625" customWidth="1"/>
    <col min="10" max="10" width="21.5" customWidth="1"/>
    <col min="11" max="11" width="11" customWidth="1"/>
    <col min="12" max="12" width="12.6640625" customWidth="1"/>
    <col min="13" max="26" width="8.664062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492" t="s">
        <v>0</v>
      </c>
      <c r="C5" s="401"/>
      <c r="D5" s="401"/>
      <c r="E5" s="401"/>
      <c r="F5" s="401"/>
      <c r="G5" s="401"/>
      <c r="H5" s="401"/>
      <c r="I5" s="401"/>
      <c r="J5" s="401"/>
      <c r="K5" s="401"/>
      <c r="L5" s="402"/>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493" t="s">
        <v>1</v>
      </c>
      <c r="C9" s="401"/>
      <c r="D9" s="402"/>
      <c r="E9" s="494">
        <f>+INFORMACIÓN!D5</f>
        <v>0</v>
      </c>
      <c r="F9" s="456"/>
      <c r="G9" s="456"/>
      <c r="H9" s="456"/>
      <c r="I9" s="457"/>
      <c r="J9" s="495" t="s">
        <v>2</v>
      </c>
      <c r="K9" s="401"/>
      <c r="L9" s="402"/>
      <c r="M9" s="1"/>
      <c r="N9" s="1"/>
      <c r="O9" s="1"/>
      <c r="P9" s="1"/>
      <c r="Q9" s="1"/>
      <c r="R9" s="1"/>
      <c r="S9" s="1"/>
      <c r="T9" s="1"/>
      <c r="U9" s="1"/>
      <c r="V9" s="1"/>
      <c r="W9" s="1"/>
      <c r="X9" s="1"/>
      <c r="Y9" s="1"/>
      <c r="Z9" s="1"/>
    </row>
    <row r="10" spans="1:26" ht="21.75" customHeight="1">
      <c r="A10" s="1"/>
      <c r="B10" s="495" t="s">
        <v>3</v>
      </c>
      <c r="C10" s="401"/>
      <c r="D10" s="401"/>
      <c r="E10" s="401"/>
      <c r="F10" s="402"/>
      <c r="G10" s="3">
        <f>+INFORMACIÓN!D7</f>
        <v>0</v>
      </c>
      <c r="H10" s="495" t="s">
        <v>4</v>
      </c>
      <c r="I10" s="401"/>
      <c r="J10" s="401"/>
      <c r="K10" s="401"/>
      <c r="L10" s="402"/>
      <c r="M10" s="1"/>
      <c r="N10" s="1"/>
      <c r="O10" s="1"/>
      <c r="P10" s="1"/>
      <c r="Q10" s="1"/>
      <c r="R10" s="1"/>
      <c r="S10" s="1"/>
      <c r="T10" s="1"/>
      <c r="U10" s="1"/>
      <c r="V10" s="1"/>
      <c r="W10" s="1"/>
      <c r="X10" s="1"/>
      <c r="Y10" s="1"/>
      <c r="Z10" s="1"/>
    </row>
    <row r="11" spans="1:26" ht="21" customHeight="1">
      <c r="A11" s="1"/>
      <c r="B11" s="4" t="s">
        <v>5</v>
      </c>
      <c r="C11" s="5"/>
      <c r="D11" s="5"/>
      <c r="E11" s="5"/>
      <c r="F11" s="5"/>
      <c r="G11" s="6"/>
      <c r="H11" s="1"/>
      <c r="I11" s="494">
        <f>+INFORMACIÓN!L7</f>
        <v>0</v>
      </c>
      <c r="J11" s="456"/>
      <c r="K11" s="457"/>
      <c r="L11" s="5"/>
      <c r="M11" s="1"/>
      <c r="N11" s="1"/>
      <c r="O11" s="1"/>
      <c r="P11" s="1"/>
      <c r="Q11" s="1"/>
      <c r="R11" s="1"/>
      <c r="S11" s="1"/>
      <c r="T11" s="1"/>
      <c r="U11" s="1"/>
      <c r="V11" s="1"/>
      <c r="W11" s="1"/>
      <c r="X11" s="1"/>
      <c r="Y11" s="1"/>
      <c r="Z11" s="1"/>
    </row>
    <row r="12" spans="1:26" ht="21" customHeight="1">
      <c r="A12" s="1"/>
      <c r="B12" s="495" t="s">
        <v>6</v>
      </c>
      <c r="C12" s="401"/>
      <c r="D12" s="401"/>
      <c r="E12" s="401"/>
      <c r="F12" s="401"/>
      <c r="G12" s="401"/>
      <c r="H12" s="402"/>
      <c r="I12" s="498" t="str">
        <f>+INFORMACIÓN!L5</f>
        <v>EMP. CSS</v>
      </c>
      <c r="J12" s="402"/>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f>HLOOKUP($I$12,info!$A$43:$AV$58,2,0)</f>
        <v>2</v>
      </c>
      <c r="D22" s="8" t="s">
        <v>17</v>
      </c>
      <c r="E22" s="1"/>
      <c r="F22" s="1"/>
      <c r="G22" s="5"/>
      <c r="H22" s="9">
        <f>HLOOKUP($I$12,info!$A$43:$AV$58,6,0)</f>
        <v>0</v>
      </c>
      <c r="I22" s="8" t="s">
        <v>18</v>
      </c>
      <c r="J22" s="1"/>
      <c r="K22" s="1"/>
      <c r="L22" s="1"/>
      <c r="M22" s="1"/>
      <c r="N22" s="1"/>
      <c r="O22" s="1"/>
      <c r="P22" s="1"/>
      <c r="Q22" s="1"/>
      <c r="R22" s="1"/>
      <c r="S22" s="1"/>
      <c r="T22" s="1"/>
      <c r="U22" s="1"/>
      <c r="V22" s="1"/>
      <c r="W22" s="1"/>
      <c r="X22" s="1"/>
      <c r="Y22" s="1"/>
      <c r="Z22" s="1"/>
    </row>
    <row r="23" spans="1:26" ht="21" customHeight="1">
      <c r="A23" s="1"/>
      <c r="B23" s="1"/>
      <c r="C23" s="3">
        <f>HLOOKUP($I$12,info!$A$43:$AV$58,3,0)</f>
        <v>0</v>
      </c>
      <c r="D23" s="8" t="s">
        <v>19</v>
      </c>
      <c r="E23" s="1"/>
      <c r="F23" s="5"/>
      <c r="G23" s="5"/>
      <c r="H23" s="9">
        <f>HLOOKUP($I$12,info!$A$43:$AV$58,7,0)</f>
        <v>0</v>
      </c>
      <c r="I23" s="8" t="s">
        <v>20</v>
      </c>
      <c r="J23" s="1"/>
      <c r="K23" s="1"/>
      <c r="L23" s="1"/>
      <c r="M23" s="1"/>
      <c r="N23" s="1"/>
      <c r="O23" s="1"/>
      <c r="P23" s="1"/>
      <c r="Q23" s="1"/>
      <c r="R23" s="1"/>
      <c r="S23" s="1"/>
      <c r="T23" s="1"/>
      <c r="U23" s="1"/>
      <c r="V23" s="1"/>
      <c r="W23" s="1"/>
      <c r="X23" s="1"/>
      <c r="Y23" s="1"/>
      <c r="Z23" s="1"/>
    </row>
    <row r="24" spans="1:26" ht="21" customHeight="1">
      <c r="A24" s="1"/>
      <c r="B24" s="1"/>
      <c r="C24" s="3">
        <f>HLOOKUP($I$12,info!$A$43:$AV$58,4,0)</f>
        <v>4</v>
      </c>
      <c r="D24" s="8" t="s">
        <v>21</v>
      </c>
      <c r="E24" s="1"/>
      <c r="F24" s="5"/>
      <c r="G24" s="5"/>
      <c r="H24" s="9">
        <f>HLOOKUP($I$12,info!$A$43:$AV$58,8,0)</f>
        <v>1</v>
      </c>
      <c r="I24" s="8" t="s">
        <v>22</v>
      </c>
      <c r="J24" s="1"/>
      <c r="K24" s="1"/>
      <c r="L24" s="1"/>
      <c r="M24" s="1"/>
      <c r="N24" s="1"/>
      <c r="O24" s="1"/>
      <c r="P24" s="1"/>
      <c r="Q24" s="1"/>
      <c r="R24" s="1"/>
      <c r="S24" s="1"/>
      <c r="T24" s="1"/>
      <c r="U24" s="1"/>
      <c r="V24" s="1"/>
      <c r="W24" s="1"/>
      <c r="X24" s="1"/>
      <c r="Y24" s="1"/>
      <c r="Z24" s="1"/>
    </row>
    <row r="25" spans="1:26" ht="21" customHeight="1">
      <c r="A25" s="1"/>
      <c r="B25" s="1"/>
      <c r="C25" s="3">
        <f>HLOOKUP($I$12,info!$A$43:$AV$58,5,0)</f>
        <v>2</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499" t="s">
        <v>24</v>
      </c>
      <c r="C31" s="416"/>
      <c r="D31" s="416"/>
      <c r="E31" s="416"/>
      <c r="F31" s="416"/>
      <c r="G31" s="416"/>
      <c r="H31" s="416"/>
      <c r="I31" s="416"/>
      <c r="J31" s="416"/>
      <c r="K31" s="416"/>
      <c r="L31" s="417"/>
      <c r="M31" s="1"/>
      <c r="N31" s="1"/>
      <c r="O31" s="1"/>
      <c r="P31" s="1"/>
      <c r="Q31" s="1"/>
      <c r="R31" s="1"/>
      <c r="S31" s="1"/>
      <c r="T31" s="1"/>
      <c r="U31" s="1"/>
      <c r="V31" s="1"/>
      <c r="W31" s="1"/>
      <c r="X31" s="1"/>
      <c r="Y31" s="1"/>
      <c r="Z31" s="1"/>
    </row>
    <row r="32" spans="1:26" ht="19.5" customHeight="1">
      <c r="A32" s="1"/>
      <c r="B32" s="427"/>
      <c r="C32" s="435"/>
      <c r="D32" s="435"/>
      <c r="E32" s="435"/>
      <c r="F32" s="435"/>
      <c r="G32" s="435"/>
      <c r="H32" s="435"/>
      <c r="I32" s="435"/>
      <c r="J32" s="435"/>
      <c r="K32" s="435"/>
      <c r="L32" s="438"/>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500" t="s">
        <v>25</v>
      </c>
      <c r="C35" s="401"/>
      <c r="D35" s="401"/>
      <c r="E35" s="401"/>
      <c r="F35" s="401"/>
      <c r="G35" s="402"/>
      <c r="H35" s="501">
        <f ca="1">TODAY()</f>
        <v>45779</v>
      </c>
      <c r="I35" s="401"/>
      <c r="J35" s="401"/>
      <c r="K35" s="401"/>
      <c r="L35" s="402"/>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496"/>
      <c r="D41" s="456"/>
      <c r="E41" s="457"/>
      <c r="F41" s="12"/>
      <c r="G41" s="1"/>
      <c r="H41" s="1"/>
      <c r="I41" s="496"/>
      <c r="J41" s="456"/>
      <c r="K41" s="457"/>
      <c r="L41" s="1"/>
      <c r="M41" s="1"/>
      <c r="N41" s="1"/>
      <c r="O41" s="1"/>
      <c r="P41" s="1"/>
      <c r="Q41" s="1"/>
      <c r="R41" s="1"/>
      <c r="S41" s="1"/>
      <c r="T41" s="1"/>
      <c r="U41" s="1"/>
      <c r="V41" s="1"/>
      <c r="W41" s="1"/>
      <c r="X41" s="1"/>
      <c r="Y41" s="1"/>
      <c r="Z41" s="1"/>
    </row>
    <row r="42" spans="1:26" ht="25.5" customHeight="1">
      <c r="A42" s="1"/>
      <c r="B42" s="1"/>
      <c r="C42" s="502">
        <f>+INFORMACIÓN!D5</f>
        <v>0</v>
      </c>
      <c r="D42" s="401"/>
      <c r="E42" s="401"/>
      <c r="F42" s="402"/>
      <c r="G42" s="1"/>
      <c r="H42" s="1"/>
      <c r="I42" s="497">
        <f>+INFORMACIÓN!L7</f>
        <v>0</v>
      </c>
      <c r="J42" s="401"/>
      <c r="K42" s="402"/>
      <c r="L42" s="1"/>
      <c r="M42" s="1"/>
      <c r="N42" s="1"/>
      <c r="O42" s="1"/>
      <c r="P42" s="1"/>
      <c r="Q42" s="1"/>
      <c r="R42" s="1"/>
      <c r="S42" s="1"/>
      <c r="T42" s="1"/>
      <c r="U42" s="1"/>
      <c r="V42" s="1"/>
      <c r="W42" s="1"/>
      <c r="X42" s="1"/>
      <c r="Y42" s="1"/>
      <c r="Z42" s="1"/>
    </row>
    <row r="43" spans="1:26" ht="24" customHeight="1">
      <c r="A43" s="1"/>
      <c r="B43" s="1"/>
      <c r="C43" s="8" t="s">
        <v>26</v>
      </c>
      <c r="D43" s="494">
        <f>+INFORMACIÓN!D7</f>
        <v>0</v>
      </c>
      <c r="E43" s="457"/>
      <c r="F43" s="1"/>
      <c r="G43" s="1"/>
      <c r="H43" s="1"/>
      <c r="I43" s="8" t="s">
        <v>26</v>
      </c>
      <c r="J43" s="494" t="e">
        <f>VLOOKUP($I11,info!$A$4:$B$35,2,0)</f>
        <v>#N/A</v>
      </c>
      <c r="K43" s="457"/>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I11:K11"/>
    <mergeCell ref="I41:K41"/>
    <mergeCell ref="I42:K42"/>
    <mergeCell ref="D43:E43"/>
    <mergeCell ref="J43:K43"/>
    <mergeCell ref="B12:H12"/>
    <mergeCell ref="I12:J12"/>
    <mergeCell ref="B31:L32"/>
    <mergeCell ref="B35:G35"/>
    <mergeCell ref="H35:L35"/>
    <mergeCell ref="C41:E41"/>
    <mergeCell ref="C42:F42"/>
    <mergeCell ref="B5:L5"/>
    <mergeCell ref="B9:D9"/>
    <mergeCell ref="E9:I9"/>
    <mergeCell ref="J9:L9"/>
    <mergeCell ref="B10:F10"/>
    <mergeCell ref="H10:L10"/>
  </mergeCells>
  <pageMargins left="0.78819444444444398" right="0.46736111111111101" top="0.24374999999999999" bottom="0.104166666666667" header="0" footer="0"/>
  <pageSetup scale="62"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46" workbookViewId="0">
      <selection activeCell="D52" sqref="D52"/>
    </sheetView>
  </sheetViews>
  <sheetFormatPr baseColWidth="10" defaultColWidth="14.5" defaultRowHeight="15" customHeight="1"/>
  <cols>
    <col min="1" max="1" width="30.5" customWidth="1"/>
    <col min="2" max="14" width="20" customWidth="1"/>
    <col min="15" max="16" width="8.6640625" customWidth="1"/>
    <col min="17" max="17" width="30" customWidth="1"/>
    <col min="18" max="18" width="10" bestFit="1" customWidth="1"/>
    <col min="19" max="26" width="8.6640625" customWidth="1"/>
  </cols>
  <sheetData>
    <row r="1" spans="1:18" ht="29.25" customHeight="1">
      <c r="A1" s="504" t="s">
        <v>27</v>
      </c>
      <c r="B1" s="401"/>
      <c r="C1" s="401"/>
      <c r="D1" s="401"/>
      <c r="E1" s="401"/>
      <c r="F1" s="401"/>
      <c r="G1" s="401"/>
      <c r="H1" s="401"/>
      <c r="I1" s="401"/>
      <c r="J1" s="402"/>
      <c r="Q1" s="25" t="s">
        <v>116</v>
      </c>
      <c r="R1" s="28" t="s">
        <v>134</v>
      </c>
    </row>
    <row r="2" spans="1:18" ht="15.75" customHeight="1">
      <c r="A2" s="13"/>
      <c r="B2" s="13"/>
      <c r="C2" s="13"/>
      <c r="D2" s="13"/>
      <c r="E2" s="13"/>
      <c r="F2" s="13"/>
      <c r="G2" s="13"/>
      <c r="H2" s="13"/>
      <c r="I2" s="13"/>
      <c r="J2" s="13"/>
      <c r="Q2" s="25" t="s">
        <v>117</v>
      </c>
      <c r="R2" s="28" t="s">
        <v>135</v>
      </c>
    </row>
    <row r="3" spans="1:18" ht="13.5" customHeight="1">
      <c r="A3" s="14" t="s">
        <v>28</v>
      </c>
      <c r="B3" s="15" t="s">
        <v>29</v>
      </c>
      <c r="Q3" s="25" t="s">
        <v>118</v>
      </c>
      <c r="R3" s="28" t="s">
        <v>134</v>
      </c>
    </row>
    <row r="4" spans="1:18" ht="13.5" customHeight="1">
      <c r="A4" s="16" t="s">
        <v>30</v>
      </c>
      <c r="B4" s="17" t="s">
        <v>31</v>
      </c>
      <c r="C4" s="18"/>
      <c r="D4" s="19" t="s">
        <v>32</v>
      </c>
      <c r="E4" s="18"/>
      <c r="G4" s="18" t="s">
        <v>33</v>
      </c>
      <c r="H4" s="20"/>
      <c r="I4" s="20" t="s">
        <v>34</v>
      </c>
      <c r="J4" s="18" t="s">
        <v>35</v>
      </c>
      <c r="Q4" s="25" t="s">
        <v>119</v>
      </c>
      <c r="R4" s="28" t="s">
        <v>135</v>
      </c>
    </row>
    <row r="5" spans="1:18" ht="13.5" customHeight="1">
      <c r="A5" s="21" t="s">
        <v>36</v>
      </c>
      <c r="B5" s="17" t="s">
        <v>37</v>
      </c>
      <c r="C5" s="18"/>
      <c r="D5" s="19" t="s">
        <v>38</v>
      </c>
      <c r="E5" s="18"/>
      <c r="G5" s="18" t="s">
        <v>39</v>
      </c>
      <c r="H5" s="20"/>
      <c r="I5" s="18"/>
      <c r="J5" s="18" t="s">
        <v>40</v>
      </c>
      <c r="Q5" s="26" t="s">
        <v>120</v>
      </c>
      <c r="R5" s="28" t="s">
        <v>135</v>
      </c>
    </row>
    <row r="6" spans="1:18" ht="13.5" customHeight="1">
      <c r="A6" s="16" t="s">
        <v>41</v>
      </c>
      <c r="B6" s="17" t="s">
        <v>42</v>
      </c>
      <c r="C6" s="18"/>
      <c r="D6" s="19" t="s">
        <v>43</v>
      </c>
      <c r="E6" s="18"/>
      <c r="G6" s="18" t="s">
        <v>44</v>
      </c>
      <c r="J6" s="18" t="s">
        <v>45</v>
      </c>
      <c r="Q6" s="25" t="s">
        <v>121</v>
      </c>
      <c r="R6" s="28" t="s">
        <v>134</v>
      </c>
    </row>
    <row r="7" spans="1:18" ht="13.5" customHeight="1">
      <c r="A7" s="21" t="s">
        <v>46</v>
      </c>
      <c r="B7" s="17" t="s">
        <v>47</v>
      </c>
      <c r="C7" s="18"/>
      <c r="E7" s="18"/>
      <c r="G7" s="18" t="s">
        <v>48</v>
      </c>
      <c r="J7" s="18" t="s">
        <v>49</v>
      </c>
      <c r="Q7" s="25" t="s">
        <v>122</v>
      </c>
      <c r="R7" s="31" t="s">
        <v>130</v>
      </c>
    </row>
    <row r="8" spans="1:18" ht="13.5" customHeight="1">
      <c r="A8" s="16" t="s">
        <v>50</v>
      </c>
      <c r="B8" s="17" t="s">
        <v>51</v>
      </c>
      <c r="C8" s="18"/>
      <c r="E8" s="18"/>
      <c r="G8" s="18" t="s">
        <v>52</v>
      </c>
      <c r="J8" s="18" t="s">
        <v>53</v>
      </c>
      <c r="Q8" s="25" t="s">
        <v>123</v>
      </c>
      <c r="R8" s="28" t="s">
        <v>134</v>
      </c>
    </row>
    <row r="9" spans="1:18" ht="13.5" customHeight="1">
      <c r="A9" s="21" t="s">
        <v>54</v>
      </c>
      <c r="B9" s="17" t="s">
        <v>55</v>
      </c>
      <c r="C9" s="18"/>
      <c r="E9" s="18"/>
      <c r="G9" s="18" t="s">
        <v>56</v>
      </c>
      <c r="J9" s="18" t="s">
        <v>57</v>
      </c>
      <c r="Q9" s="25" t="s">
        <v>124</v>
      </c>
      <c r="R9" s="28" t="s">
        <v>135</v>
      </c>
    </row>
    <row r="10" spans="1:18" ht="13.5" customHeight="1">
      <c r="A10" s="16" t="s">
        <v>58</v>
      </c>
      <c r="B10" s="17" t="s">
        <v>59</v>
      </c>
      <c r="C10" s="18"/>
      <c r="E10" s="18"/>
      <c r="G10" s="18" t="s">
        <v>60</v>
      </c>
      <c r="Q10" s="25" t="s">
        <v>125</v>
      </c>
      <c r="R10" s="28" t="s">
        <v>134</v>
      </c>
    </row>
    <row r="11" spans="1:18" ht="13.5" customHeight="1">
      <c r="A11" s="21" t="s">
        <v>61</v>
      </c>
      <c r="B11" s="17" t="s">
        <v>62</v>
      </c>
      <c r="C11" s="18"/>
      <c r="E11" s="18"/>
      <c r="G11" s="18" t="s">
        <v>63</v>
      </c>
      <c r="Q11" s="25" t="s">
        <v>126</v>
      </c>
      <c r="R11" s="28" t="s">
        <v>134</v>
      </c>
    </row>
    <row r="12" spans="1:18" ht="13.5" customHeight="1">
      <c r="A12" s="16" t="s">
        <v>64</v>
      </c>
      <c r="B12" s="17" t="s">
        <v>65</v>
      </c>
      <c r="C12" s="18"/>
      <c r="E12" s="18"/>
      <c r="G12" s="18" t="s">
        <v>66</v>
      </c>
      <c r="Q12" s="26" t="s">
        <v>127</v>
      </c>
      <c r="R12" s="28" t="s">
        <v>134</v>
      </c>
    </row>
    <row r="13" spans="1:18" ht="13.5" customHeight="1">
      <c r="A13" s="21" t="s">
        <v>67</v>
      </c>
      <c r="B13" s="17" t="s">
        <v>68</v>
      </c>
      <c r="C13" s="18"/>
      <c r="E13" s="18"/>
      <c r="G13" s="18" t="s">
        <v>69</v>
      </c>
      <c r="Q13" s="25" t="s">
        <v>128</v>
      </c>
      <c r="R13" s="31" t="s">
        <v>130</v>
      </c>
    </row>
    <row r="14" spans="1:18" ht="13.5" customHeight="1">
      <c r="A14" s="16" t="s">
        <v>70</v>
      </c>
      <c r="B14" s="17" t="s">
        <v>71</v>
      </c>
      <c r="C14" s="18"/>
      <c r="E14" s="18"/>
      <c r="G14" s="18" t="s">
        <v>72</v>
      </c>
    </row>
    <row r="15" spans="1:18" ht="13.5" customHeight="1">
      <c r="A15" s="21" t="s">
        <v>73</v>
      </c>
      <c r="B15" s="17" t="s">
        <v>74</v>
      </c>
      <c r="C15" s="18"/>
      <c r="E15" s="18"/>
      <c r="G15" s="18" t="s">
        <v>75</v>
      </c>
    </row>
    <row r="16" spans="1:18"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05" t="s">
        <v>138</v>
      </c>
      <c r="B60" s="480"/>
      <c r="C60" s="480"/>
      <c r="D60" s="480"/>
      <c r="E60" s="480"/>
      <c r="F60" s="480"/>
    </row>
    <row r="61" spans="1:26" ht="13.5" customHeight="1">
      <c r="A61" s="506"/>
      <c r="B61" s="480"/>
      <c r="C61" s="480"/>
      <c r="D61" s="480"/>
      <c r="E61" s="480"/>
      <c r="F61" s="480"/>
    </row>
    <row r="62" spans="1:26" ht="15.75" customHeight="1">
      <c r="A62" s="507" t="s">
        <v>139</v>
      </c>
      <c r="B62" s="508" t="s">
        <v>140</v>
      </c>
      <c r="C62" s="401"/>
      <c r="D62" s="401"/>
      <c r="E62" s="401"/>
      <c r="F62" s="402"/>
    </row>
    <row r="63" spans="1:26" ht="13.5" customHeight="1">
      <c r="A63" s="480"/>
      <c r="B63" s="34" t="s">
        <v>141</v>
      </c>
      <c r="C63" s="35" t="s">
        <v>142</v>
      </c>
      <c r="D63" s="35" t="s">
        <v>143</v>
      </c>
      <c r="E63" s="35" t="s">
        <v>144</v>
      </c>
      <c r="F63" s="36"/>
    </row>
    <row r="64" spans="1:26" ht="13.5" customHeight="1">
      <c r="A64" s="480"/>
      <c r="B64" s="37">
        <f>IF(INFORMACIÓN!D60="MENSUAL",INFORMACIÓN!E64*13,IF(INFORMACIÓN!D60="QUINCENAL",INFORMACIÓN!E64*24,""))</f>
        <v>0</v>
      </c>
      <c r="C64" s="37" t="str">
        <f>IF(B64="","",IF(B64&lt;=11000,"0",IF(AND(B64&gt;11000,B64&lt;50000),(B64-11000)*0.15,IF(AND(B64&gt;11000,B64&gt;=50000),(50000-11000)*0.15))))</f>
        <v>0</v>
      </c>
      <c r="D64" s="37" t="str">
        <f>IF(B64="","",IF(B64&lt;=50000,"0",IF(B64&gt;50000,(B64-50000)*0.25)))</f>
        <v>0</v>
      </c>
      <c r="E64" s="37">
        <f>SUM(C64:D64)</f>
        <v>0</v>
      </c>
      <c r="F64" s="623" t="s">
        <v>245</v>
      </c>
    </row>
    <row r="65" spans="1:6" ht="13.5" customHeight="1">
      <c r="A65" s="480"/>
      <c r="B65" s="235">
        <f>IF(INFORMACIÓN!D60="MENSUAL",'NIVEL DE END'!H23*13,IF(INFORMACIÓN!D60="QUINCENAL",'NIVEL DE END'!H23*26,""))</f>
        <v>0</v>
      </c>
      <c r="C65" s="37" t="str">
        <f>IF(B65="","",IF(B65&lt;=11000,"0",IF(AND(B65&gt;11000,B65&lt;50000),(B65-11000)*0.15,IF(AND(B65&gt;11000,B65&gt;=50000),(50000-11000)*0.15))))</f>
        <v>0</v>
      </c>
      <c r="D65" s="37" t="str">
        <f>IF(B65="","",IF(B65&lt;=50000,"0",IF(B65&gt;50000,(B65-50000)*0.25)))</f>
        <v>0</v>
      </c>
      <c r="E65" s="37">
        <f>SUM(C65:D65)</f>
        <v>0</v>
      </c>
      <c r="F65" s="623" t="s">
        <v>911</v>
      </c>
    </row>
    <row r="66" spans="1:6" ht="13.5" customHeight="1">
      <c r="A66" s="480"/>
      <c r="B66" s="508" t="s">
        <v>145</v>
      </c>
      <c r="C66" s="401"/>
      <c r="D66" s="401"/>
      <c r="E66" s="401"/>
      <c r="F66" s="402"/>
    </row>
    <row r="67" spans="1:6" ht="13.5" customHeight="1">
      <c r="A67" s="480"/>
      <c r="B67" s="38" t="s">
        <v>141</v>
      </c>
      <c r="C67" s="39" t="s">
        <v>142</v>
      </c>
      <c r="D67" s="39" t="s">
        <v>143</v>
      </c>
      <c r="E67" s="40" t="s">
        <v>144</v>
      </c>
      <c r="F67" s="36"/>
    </row>
    <row r="68" spans="1:6" ht="13.5" customHeight="1">
      <c r="A68" s="480"/>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03" t="s">
        <v>146</v>
      </c>
      <c r="B70" s="480"/>
      <c r="C70" s="480"/>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7">
    <mergeCell ref="A70:C70"/>
    <mergeCell ref="A1:J1"/>
    <mergeCell ref="A60:F60"/>
    <mergeCell ref="A61:F61"/>
    <mergeCell ref="A62:A68"/>
    <mergeCell ref="B62:F62"/>
    <mergeCell ref="B66:F66"/>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topLeftCell="A12" workbookViewId="0">
      <selection activeCell="F33" sqref="F33:G33"/>
    </sheetView>
  </sheetViews>
  <sheetFormatPr baseColWidth="10" defaultColWidth="14.5" defaultRowHeight="15" customHeight="1"/>
  <cols>
    <col min="1" max="1" width="1.6640625" customWidth="1"/>
    <col min="2" max="2" width="24.33203125" customWidth="1"/>
    <col min="3" max="3" width="15.83203125" customWidth="1"/>
    <col min="4" max="4" width="14.1640625" customWidth="1"/>
    <col min="5" max="5" width="13.83203125" customWidth="1"/>
    <col min="6" max="6" width="9.5" customWidth="1"/>
    <col min="7" max="7" width="11.83203125" customWidth="1"/>
    <col min="8" max="8" width="6.1640625" customWidth="1"/>
    <col min="9" max="9" width="14"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86" t="s">
        <v>241</v>
      </c>
      <c r="C2" s="480"/>
      <c r="D2" s="480"/>
      <c r="E2" s="480"/>
      <c r="F2" s="480"/>
      <c r="G2" s="480"/>
      <c r="H2" s="480"/>
      <c r="I2" s="480"/>
      <c r="J2" s="480"/>
      <c r="K2" s="480"/>
      <c r="L2" s="480"/>
      <c r="M2" s="480"/>
      <c r="N2" s="480"/>
      <c r="O2" s="137"/>
      <c r="P2" s="137"/>
      <c r="Q2" s="137"/>
      <c r="R2" s="137"/>
      <c r="S2" s="137"/>
      <c r="T2" s="137"/>
      <c r="U2" s="137"/>
      <c r="V2" s="137"/>
      <c r="W2" s="137"/>
      <c r="X2" s="137"/>
      <c r="Y2" s="137"/>
      <c r="Z2" s="137"/>
      <c r="AA2" s="137"/>
      <c r="AB2" s="137"/>
      <c r="AC2" s="137"/>
      <c r="AD2" s="137"/>
      <c r="AE2" s="137"/>
    </row>
    <row r="3" spans="1:31" ht="23.25" customHeight="1">
      <c r="A3" s="137"/>
      <c r="B3" s="480"/>
      <c r="C3" s="480"/>
      <c r="D3" s="480"/>
      <c r="E3" s="480"/>
      <c r="F3" s="480"/>
      <c r="G3" s="480"/>
      <c r="H3" s="480"/>
      <c r="I3" s="480"/>
      <c r="J3" s="480"/>
      <c r="K3" s="480"/>
      <c r="L3" s="480"/>
      <c r="M3" s="480"/>
      <c r="N3" s="480"/>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87" t="s">
        <v>212</v>
      </c>
      <c r="C5" s="405"/>
      <c r="D5" s="405"/>
      <c r="E5" s="405"/>
      <c r="F5" s="405"/>
      <c r="G5" s="405"/>
      <c r="H5" s="405"/>
      <c r="I5" s="405"/>
      <c r="J5" s="405"/>
      <c r="K5" s="405"/>
      <c r="L5" s="405"/>
      <c r="M5" s="405"/>
      <c r="N5" s="406"/>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157</v>
      </c>
      <c r="C7" s="509" t="str">
        <f>IF(INFORMACIÓN!$D$7="","FALTA CÉDULA DEL CLIENTE",INFORMACIÓN!$D$7)</f>
        <v>FALTA CÉDULA DEL CLIENTE</v>
      </c>
      <c r="D7" s="456"/>
      <c r="E7" s="457"/>
      <c r="F7" s="510" t="s">
        <v>155</v>
      </c>
      <c r="G7" s="401"/>
      <c r="H7" s="402"/>
      <c r="I7" s="509" t="str">
        <f>IF(INFORMACIÓN!D5="","FALTA NOMBRE DEL CLIENTE",INFORMACIÓN!D5)</f>
        <v>FALTA NOMBRE DEL CLIENTE</v>
      </c>
      <c r="J7" s="456"/>
      <c r="K7" s="456"/>
      <c r="L7" s="456"/>
      <c r="M7" s="457"/>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156</v>
      </c>
      <c r="C9" s="509" t="str">
        <f>IF(INFORMACIÓN!L5="","FALTA CARTERA DEL CLIENTE",INFORMACIÓN!L5)</f>
        <v>EMP. CSS</v>
      </c>
      <c r="D9" s="456"/>
      <c r="E9" s="457"/>
      <c r="F9" s="510" t="s">
        <v>213</v>
      </c>
      <c r="G9" s="401"/>
      <c r="H9" s="402"/>
      <c r="I9" s="509" t="str">
        <f>IF(INFORMACIÓN!$L$7="","FALTA NOMBRE DE OFICIAL",INFORMACIÓN!$L$7)</f>
        <v>FALTA NOMBRE DE OFICIAL</v>
      </c>
      <c r="J9" s="456"/>
      <c r="K9" s="456"/>
      <c r="L9" s="456"/>
      <c r="M9" s="457"/>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159</v>
      </c>
      <c r="C11" s="509" t="str">
        <f>IF(INFORMACIÓN!D9="","FALTA REGISTRAR",INFORMACIÓN!D9)</f>
        <v>FALTA REGISTRAR</v>
      </c>
      <c r="D11" s="456"/>
      <c r="E11" s="457"/>
      <c r="F11" s="510" t="s">
        <v>160</v>
      </c>
      <c r="G11" s="401"/>
      <c r="H11" s="402"/>
      <c r="I11" s="509" t="str">
        <f>IF(INFORMACIÓN!L9="","FALTA REGISTRAR",INFORMACIÓN!L9)</f>
        <v>FALTA REGISTRAR</v>
      </c>
      <c r="J11" s="456"/>
      <c r="K11" s="456"/>
      <c r="L11" s="456"/>
      <c r="M11" s="457"/>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11" t="s">
        <v>242</v>
      </c>
      <c r="C14" s="401"/>
      <c r="D14" s="401"/>
      <c r="E14" s="401"/>
      <c r="F14" s="401"/>
      <c r="G14" s="401"/>
      <c r="H14" s="401"/>
      <c r="I14" s="401"/>
      <c r="J14" s="401"/>
      <c r="K14" s="401"/>
      <c r="L14" s="401"/>
      <c r="M14" s="401"/>
      <c r="N14" s="402"/>
      <c r="O14" s="99"/>
      <c r="P14" s="99"/>
      <c r="Q14" s="99"/>
      <c r="R14" s="99"/>
      <c r="S14" s="99"/>
      <c r="T14" s="99"/>
      <c r="U14" s="99"/>
      <c r="V14" s="99"/>
      <c r="W14" s="99"/>
      <c r="X14" s="99"/>
      <c r="Y14" s="99"/>
      <c r="Z14" s="99"/>
      <c r="AA14" s="99"/>
      <c r="AB14" s="99"/>
      <c r="AC14" s="99"/>
      <c r="AD14" s="99"/>
      <c r="AE14" s="99"/>
    </row>
    <row r="15" spans="1:31" ht="13.5" customHeight="1">
      <c r="A15" s="99"/>
      <c r="B15" s="512" t="s">
        <v>243</v>
      </c>
      <c r="C15" s="401"/>
      <c r="D15" s="401"/>
      <c r="E15" s="401"/>
      <c r="F15" s="401"/>
      <c r="G15" s="401"/>
      <c r="H15" s="401"/>
      <c r="I15" s="401"/>
      <c r="J15" s="401"/>
      <c r="K15" s="401"/>
      <c r="L15" s="401"/>
      <c r="M15" s="401"/>
      <c r="N15" s="402"/>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13" t="s">
        <v>244</v>
      </c>
      <c r="E17" s="424"/>
      <c r="F17" s="513" t="s">
        <v>245</v>
      </c>
      <c r="G17" s="424"/>
      <c r="H17" s="513" t="s">
        <v>246</v>
      </c>
      <c r="I17" s="424"/>
      <c r="J17" s="148" t="s">
        <v>247</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14" t="s">
        <v>248</v>
      </c>
      <c r="E18" s="424"/>
      <c r="F18" s="515" t="str">
        <f>IF(INFORMACIÓN!E64="","",IF(INFORMACIÓN!D60="QUINCENAL",INFORMACIÓN!E64*2,INFORMACIÓN!E64))</f>
        <v/>
      </c>
      <c r="G18" s="424"/>
      <c r="H18" s="515" t="str">
        <f>F18</f>
        <v/>
      </c>
      <c r="I18" s="424"/>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14" t="str">
        <f>IF(INFORMACIÓN!I65="","",INFORMACIÓN!I65)</f>
        <v>Horas extras</v>
      </c>
      <c r="E19" s="424"/>
      <c r="F19" s="515" t="s">
        <v>249</v>
      </c>
      <c r="G19" s="424"/>
      <c r="H19" s="515" t="str">
        <f>IF(INFORMACIÓN!L65="","",INFORMACIÓN!L65)</f>
        <v/>
      </c>
      <c r="I19" s="424"/>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14" t="str">
        <f>IF(INFORMACIÓN!I66="","",INFORMACIÓN!I66)</f>
        <v>Prima de producción</v>
      </c>
      <c r="E20" s="424"/>
      <c r="F20" s="515" t="s">
        <v>249</v>
      </c>
      <c r="G20" s="424"/>
      <c r="H20" s="515" t="str">
        <f>IF(INFORMACIÓN!L66="","",INFORMACIÓN!L66)</f>
        <v/>
      </c>
      <c r="I20" s="424"/>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14" t="str">
        <f>IF(INFORMACIÓN!I67="","",INFORMACIÓN!I67)</f>
        <v>Bonos</v>
      </c>
      <c r="E21" s="424"/>
      <c r="F21" s="515" t="s">
        <v>249</v>
      </c>
      <c r="G21" s="424"/>
      <c r="H21" s="515" t="str">
        <f>IF(INFORMACIÓN!L67="","",INFORMACIÓN!L67)</f>
        <v/>
      </c>
      <c r="I21" s="424"/>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14" t="str">
        <f>IF(INFORMACIÓN!I68="","",INFORMACIÓN!I68)</f>
        <v>Otros</v>
      </c>
      <c r="E22" s="424"/>
      <c r="F22" s="515" t="s">
        <v>249</v>
      </c>
      <c r="G22" s="424"/>
      <c r="H22" s="515" t="str">
        <f>IF(INFORMACIÓN!L68="","",INFORMACIÓN!L68)</f>
        <v/>
      </c>
      <c r="I22" s="424"/>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16" t="s">
        <v>250</v>
      </c>
      <c r="E23" s="424"/>
      <c r="F23" s="517">
        <f>SUM(F18:F22)</f>
        <v>0</v>
      </c>
      <c r="G23" s="424"/>
      <c r="H23" s="517">
        <f>SUM(H18:H22)</f>
        <v>0</v>
      </c>
      <c r="I23" s="424"/>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18" t="s">
        <v>251</v>
      </c>
      <c r="C24" s="401"/>
      <c r="D24" s="401"/>
      <c r="E24" s="401"/>
      <c r="F24" s="401"/>
      <c r="G24" s="401"/>
      <c r="H24" s="401"/>
      <c r="I24" s="401"/>
      <c r="J24" s="401"/>
      <c r="K24" s="401"/>
      <c r="L24" s="401"/>
      <c r="M24" s="401"/>
      <c r="N24" s="402"/>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11" t="s">
        <v>252</v>
      </c>
      <c r="C26" s="401"/>
      <c r="D26" s="401"/>
      <c r="E26" s="401"/>
      <c r="F26" s="401"/>
      <c r="G26" s="401"/>
      <c r="H26" s="401"/>
      <c r="I26" s="401"/>
      <c r="J26" s="401"/>
      <c r="K26" s="401"/>
      <c r="L26" s="401"/>
      <c r="M26" s="401"/>
      <c r="N26" s="402"/>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19" t="s">
        <v>253</v>
      </c>
      <c r="E28" s="401"/>
      <c r="F28" s="401"/>
      <c r="G28" s="401"/>
      <c r="H28" s="401"/>
      <c r="I28" s="402"/>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13" t="s">
        <v>244</v>
      </c>
      <c r="E29" s="424"/>
      <c r="F29" s="513" t="s">
        <v>245</v>
      </c>
      <c r="G29" s="424"/>
      <c r="H29" s="513" t="s">
        <v>246</v>
      </c>
      <c r="I29" s="424"/>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14" t="s">
        <v>254</v>
      </c>
      <c r="E30" s="424"/>
      <c r="F30" s="515">
        <f>IF(OR(C9=info!F43,C9=info!K43,C9=info!M43,C9=info!H43),(SUMIF(J18:J22,"*",F18:F22)*6.75)/100,(SUMIF(J18:J22,"*",F18:F22)*9.75)/100)</f>
        <v>0</v>
      </c>
      <c r="G30" s="424"/>
      <c r="H30" s="515">
        <f>IF(OR(C9=info!F43,C9=info!K43,C9=info!M43,C9=info!H43),(SUMIF(J18:J22,"*",H18:H22)*6.75)/100,(SUMIF(J18:J22,"*",H18:H22)*9.75)/100)</f>
        <v>0</v>
      </c>
      <c r="I30" s="424"/>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14" t="s">
        <v>255</v>
      </c>
      <c r="E31" s="424"/>
      <c r="F31" s="515">
        <f>IF(OR(C9=info!F43,C9=info!K43,C9=info!M43,C9=info!H43),0,(SUMIF(J18:J22,"*",F18:F22)*1.25)/100)</f>
        <v>0</v>
      </c>
      <c r="G31" s="424"/>
      <c r="H31" s="515">
        <f>IF(OR(C9=info!F43,C9=info!K43,C9=info!M43,C9=info!H43),0,(SUMIF(J18:J22,"*",H18:H22)*1.25)/100)</f>
        <v>0</v>
      </c>
      <c r="I31" s="424"/>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14" t="s">
        <v>256</v>
      </c>
      <c r="E32" s="424"/>
      <c r="F32" s="515">
        <f>IFERROR(IF(OR(C9=info!F43,C9=info!K43,C9=info!M43,C9=info!H43),0,info!$E$64/13),0)</f>
        <v>0</v>
      </c>
      <c r="G32" s="424"/>
      <c r="H32" s="515">
        <f>IFERROR(IF(OR(C9=info!F43,C9=info!K43,C9=info!M43,C9=info!H43),0,info!$E$65/13),0)</f>
        <v>0</v>
      </c>
      <c r="I32" s="424"/>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14" t="s">
        <v>201</v>
      </c>
      <c r="E33" s="424"/>
      <c r="F33" s="515" t="str">
        <f>IF(INFORMACIÓN!E74="","N/A",INFORMACIÓN!E74)</f>
        <v>N/A</v>
      </c>
      <c r="G33" s="424"/>
      <c r="H33" s="515" t="str">
        <f t="shared" ref="H32:H34" si="0">F33</f>
        <v>N/A</v>
      </c>
      <c r="I33" s="424"/>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14" t="s">
        <v>202</v>
      </c>
      <c r="E34" s="424"/>
      <c r="F34" s="515" t="str">
        <f>IF(INFORMACIÓN!E75="","N/A",INFORMACIÓN!E75)</f>
        <v>N/A</v>
      </c>
      <c r="G34" s="424"/>
      <c r="H34" s="515" t="str">
        <f t="shared" si="0"/>
        <v>N/A</v>
      </c>
      <c r="I34" s="424"/>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16" t="s">
        <v>250</v>
      </c>
      <c r="E35" s="424"/>
      <c r="F35" s="517">
        <f>SUM(F30:F34)</f>
        <v>0</v>
      </c>
      <c r="G35" s="424"/>
      <c r="H35" s="517">
        <f>SUM(H30:H34)</f>
        <v>0</v>
      </c>
      <c r="I35" s="424"/>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19" t="s">
        <v>257</v>
      </c>
      <c r="E37" s="401"/>
      <c r="F37" s="401"/>
      <c r="G37" s="401"/>
      <c r="H37" s="401"/>
      <c r="I37" s="402"/>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22" t="s">
        <v>244</v>
      </c>
      <c r="E38" s="424"/>
      <c r="F38" s="522" t="s">
        <v>245</v>
      </c>
      <c r="G38" s="424"/>
      <c r="H38" s="522" t="s">
        <v>246</v>
      </c>
      <c r="I38" s="424"/>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23" t="s">
        <v>258</v>
      </c>
      <c r="D39" s="520" t="str">
        <f>IF(INFORMACIÓN!C76="","",INFORMACIÓN!C76)</f>
        <v/>
      </c>
      <c r="E39" s="424"/>
      <c r="F39" s="521" t="str">
        <f>IF(INFORMACIÓN!$G76="SÍ",IF('NIVEL DE END'!D39&lt;&gt;"",IF(INFORMACIÓN!$D$60="QUINCENAL",INFORMACIÓN!$E76*2,INFORMACIÓN!$E76),"FALTA DESCRIPCIÓN"),"")</f>
        <v/>
      </c>
      <c r="G39" s="424"/>
      <c r="H39" s="521" t="str">
        <f>IF(INFORMACIÓN!G76&lt;&gt;"",IF(D39&lt;&gt;"",IF(INFORMACIÓN!$D$60="QUINCENAL",INFORMACIÓN!$E76*2,INFORMACIÓN!$E76),"FALTA DESCRIPCIÓN"),"")</f>
        <v/>
      </c>
      <c r="I39" s="424"/>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24"/>
      <c r="D40" s="520" t="str">
        <f>IF(INFORMACIÓN!C77="","",INFORMACIÓN!C77)</f>
        <v/>
      </c>
      <c r="E40" s="424"/>
      <c r="F40" s="521" t="str">
        <f>IF(INFORMACIÓN!$G77="SÍ",IF('NIVEL DE END'!D40&lt;&gt;"",IF(INFORMACIÓN!$D$60="QUINCENAL",INFORMACIÓN!$E77*2,INFORMACIÓN!$E77),"FALTA DESCRIPCIÓN"),"")</f>
        <v/>
      </c>
      <c r="G40" s="424"/>
      <c r="H40" s="521" t="str">
        <f>IF(INFORMACIÓN!G77&lt;&gt;"",IF(D40&lt;&gt;"",IF(INFORMACIÓN!$D$60="QUINCENAL",INFORMACIÓN!$E77*2,INFORMACIÓN!$E77),"FALTA DESCRIPCIÓN"),"")</f>
        <v/>
      </c>
      <c r="I40" s="424"/>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24"/>
      <c r="D41" s="520" t="str">
        <f>IF(INFORMACIÓN!C78="","",INFORMACIÓN!C78)</f>
        <v/>
      </c>
      <c r="E41" s="424"/>
      <c r="F41" s="521" t="str">
        <f>IF(INFORMACIÓN!$G78="SÍ",IF('NIVEL DE END'!D41&lt;&gt;"",IF(INFORMACIÓN!$D$60="QUINCENAL",INFORMACIÓN!$E78*2,INFORMACIÓN!$E78),"FALTA DESCRIPCIÓN"),"")</f>
        <v/>
      </c>
      <c r="G41" s="424"/>
      <c r="H41" s="521" t="str">
        <f>IF(INFORMACIÓN!G78&lt;&gt;"",IF(D41&lt;&gt;"",IF(INFORMACIÓN!$D$60="QUINCENAL",INFORMACIÓN!$E78*2,INFORMACIÓN!$E78),"FALTA DESCRIPCIÓN"),"")</f>
        <v/>
      </c>
      <c r="I41" s="424"/>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24"/>
      <c r="D42" s="520" t="str">
        <f>IF(INFORMACIÓN!C79="","",INFORMACIÓN!C79)</f>
        <v/>
      </c>
      <c r="E42" s="424"/>
      <c r="F42" s="521" t="str">
        <f>IF(INFORMACIÓN!$G79="SÍ",IF('NIVEL DE END'!D42&lt;&gt;"",IF(INFORMACIÓN!$D$60="QUINCENAL",INFORMACIÓN!$E79*2,INFORMACIÓN!$E79),"FALTA DESCRIPCIÓN"),"")</f>
        <v/>
      </c>
      <c r="G42" s="424"/>
      <c r="H42" s="521" t="str">
        <f>IF(INFORMACIÓN!G79&lt;&gt;"",IF(D42&lt;&gt;"",IF(INFORMACIÓN!$D$60="QUINCENAL",INFORMACIÓN!$E79*2,INFORMACIÓN!$E79),"FALTA DESCRIPCIÓN"),"")</f>
        <v/>
      </c>
      <c r="I42" s="424"/>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24"/>
      <c r="D43" s="520" t="str">
        <f>IF(INFORMACIÓN!C80="","",INFORMACIÓN!C80)</f>
        <v/>
      </c>
      <c r="E43" s="424"/>
      <c r="F43" s="521" t="str">
        <f>IF(INFORMACIÓN!$G80="SÍ",IF('NIVEL DE END'!D43&lt;&gt;"",IF(INFORMACIÓN!$D$60="QUINCENAL",INFORMACIÓN!$E80*2,INFORMACIÓN!$E80),"FALTA DESCRIPCIÓN"),"")</f>
        <v/>
      </c>
      <c r="G43" s="424"/>
      <c r="H43" s="521" t="str">
        <f>IF(INFORMACIÓN!G80&lt;&gt;"",IF(D43&lt;&gt;"",IF(INFORMACIÓN!$D$60="QUINCENAL",INFORMACIÓN!$E80*2,INFORMACIÓN!$E80),"FALTA DESCRIPCIÓN"),"")</f>
        <v/>
      </c>
      <c r="I43" s="424"/>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24"/>
      <c r="D44" s="520" t="str">
        <f>IF(INFORMACIÓN!C81="","",INFORMACIÓN!C81)</f>
        <v/>
      </c>
      <c r="E44" s="424"/>
      <c r="F44" s="521" t="str">
        <f>IF(INFORMACIÓN!$G81="SÍ",IF('NIVEL DE END'!D44&lt;&gt;"",IF(INFORMACIÓN!$D$60="QUINCENAL",INFORMACIÓN!$E81*2,INFORMACIÓN!$E81),"FALTA DESCRIPCIÓN"),"")</f>
        <v/>
      </c>
      <c r="G44" s="424"/>
      <c r="H44" s="521" t="str">
        <f>IF(INFORMACIÓN!G81&lt;&gt;"",IF(D44&lt;&gt;"",IF(INFORMACIÓN!$D$60="QUINCENAL",INFORMACIÓN!$E81*2,INFORMACIÓN!$E81),"FALTA DESCRIPCIÓN"),"")</f>
        <v/>
      </c>
      <c r="I44" s="424"/>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24"/>
      <c r="D45" s="520" t="str">
        <f>IF(INFORMACIÓN!C82="","",INFORMACIÓN!C82)</f>
        <v/>
      </c>
      <c r="E45" s="424"/>
      <c r="F45" s="521" t="str">
        <f>IF(INFORMACIÓN!$G82="SÍ",IF('NIVEL DE END'!D45&lt;&gt;"",IF(INFORMACIÓN!$D$60="QUINCENAL",INFORMACIÓN!$E82*2,INFORMACIÓN!$E82),"FALTA DESCRIPCIÓN"),"")</f>
        <v/>
      </c>
      <c r="G45" s="424"/>
      <c r="H45" s="521" t="str">
        <f>IF(INFORMACIÓN!G82&lt;&gt;"",IF(D45&lt;&gt;"",IF(INFORMACIÓN!$D$60="QUINCENAL",INFORMACIÓN!$E82*2,INFORMACIÓN!$E82),"FALTA DESCRIPCIÓN"),"")</f>
        <v/>
      </c>
      <c r="I45" s="424"/>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24"/>
      <c r="D46" s="520" t="str">
        <f>IF(INFORMACIÓN!C83="","",INFORMACIÓN!C83)</f>
        <v/>
      </c>
      <c r="E46" s="424"/>
      <c r="F46" s="521" t="str">
        <f>IF(INFORMACIÓN!$G83="SÍ",IF('NIVEL DE END'!D46&lt;&gt;"",IF(INFORMACIÓN!$D$60="QUINCENAL",INFORMACIÓN!$E83*2,INFORMACIÓN!$E83),"FALTA DESCRIPCIÓN"),"")</f>
        <v/>
      </c>
      <c r="G46" s="424"/>
      <c r="H46" s="521" t="str">
        <f>IF(INFORMACIÓN!G83&lt;&gt;"",IF(D46&lt;&gt;"",IF(INFORMACIÓN!$D$60="QUINCENAL",INFORMACIÓN!$E83*2,INFORMACIÓN!$E83),"FALTA DESCRIPCIÓN"),"")</f>
        <v/>
      </c>
      <c r="I46" s="424"/>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24"/>
      <c r="D47" s="520" t="str">
        <f>IF(INFORMACIÓN!C84="","",INFORMACIÓN!C84)</f>
        <v/>
      </c>
      <c r="E47" s="424"/>
      <c r="F47" s="521" t="str">
        <f>IF(INFORMACIÓN!$G84="SÍ",IF('NIVEL DE END'!D47&lt;&gt;"",IF(INFORMACIÓN!$D$60="QUINCENAL",INFORMACIÓN!$E84*2,INFORMACIÓN!$E84),"FALTA DESCRIPCIÓN"),"")</f>
        <v/>
      </c>
      <c r="G47" s="424"/>
      <c r="H47" s="521" t="str">
        <f>IF(INFORMACIÓN!G84&lt;&gt;"",IF(D47&lt;&gt;"",IF(INFORMACIÓN!$D$60="QUINCENAL",INFORMACIÓN!$E84*2,INFORMACIÓN!$E84),"FALTA DESCRIPCIÓN"),"")</f>
        <v/>
      </c>
      <c r="I47" s="424"/>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24"/>
      <c r="D48" s="520" t="str">
        <f>IF(INFORMACIÓN!C85="","",INFORMACIÓN!C85)</f>
        <v/>
      </c>
      <c r="E48" s="424"/>
      <c r="F48" s="521" t="str">
        <f>IF(INFORMACIÓN!$G85="SÍ",IF('NIVEL DE END'!D48&lt;&gt;"",IF(INFORMACIÓN!$D$60="QUINCENAL",INFORMACIÓN!$E85*2,INFORMACIÓN!$E85),"FALTA DESCRIPCIÓN"),"")</f>
        <v/>
      </c>
      <c r="G48" s="424"/>
      <c r="H48" s="521" t="str">
        <f>IF(INFORMACIÓN!G85&lt;&gt;"",IF(D48&lt;&gt;"",IF(INFORMACIÓN!$D$60="QUINCENAL",INFORMACIÓN!$E85*2,INFORMACIÓN!$E85),"FALTA DESCRIPCIÓN"),"")</f>
        <v/>
      </c>
      <c r="I48" s="424"/>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30"/>
      <c r="D49" s="527" t="s">
        <v>250</v>
      </c>
      <c r="E49" s="424"/>
      <c r="F49" s="525">
        <f>SUM(F39:F48)</f>
        <v>0</v>
      </c>
      <c r="G49" s="424"/>
      <c r="H49" s="525">
        <f>SUM(H39:H48)</f>
        <v>0</v>
      </c>
      <c r="I49" s="424"/>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23" t="s">
        <v>43</v>
      </c>
      <c r="D50" s="520" t="str">
        <f>IF(INFORMACIÓN!I74="","",INFORMACIÓN!I74)</f>
        <v/>
      </c>
      <c r="E50" s="424"/>
      <c r="F50" s="521" t="str">
        <f>IF(INFORMACIÓN!O74="SÍ",IF(D50&lt;&gt;"",IF(INFORMACIÓN!$D$60="QUINCENAL",INFORMACIÓN!M74*2,INFORMACIÓN!M74),"FALTA DESCRIPCIÓN"),"")</f>
        <v/>
      </c>
      <c r="G50" s="424"/>
      <c r="H50" s="521" t="str">
        <f>IF(INFORMACIÓN!O74&lt;&gt;"",IF(D50&lt;&gt;"",IF(INFORMACIÓN!$D$60="QUINCENAL",INFORMACIÓN!M74*2,INFORMACIÓN!M74),"FALTA DESCRIPCIÓN"),"")</f>
        <v/>
      </c>
      <c r="I50" s="424"/>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24"/>
      <c r="D51" s="520" t="str">
        <f>IF(INFORMACIÓN!I75="","",INFORMACIÓN!I75)</f>
        <v/>
      </c>
      <c r="E51" s="424"/>
      <c r="F51" s="521" t="str">
        <f>IF(INFORMACIÓN!O75="SÍ",IF(D51&lt;&gt;"",IF(INFORMACIÓN!$D$60="QUINCENAL",INFORMACIÓN!M75*2,INFORMACIÓN!M75),"FALTA DESCRIPCIÓN"),"")</f>
        <v/>
      </c>
      <c r="G51" s="424"/>
      <c r="H51" s="521" t="str">
        <f>IF(INFORMACIÓN!O75&lt;&gt;"",IF(D51&lt;&gt;"",IF(INFORMACIÓN!$D$60="QUINCENAL",INFORMACIÓN!M75*2,INFORMACIÓN!M75),"FALTA DESCRIPCIÓN"),"")</f>
        <v/>
      </c>
      <c r="I51" s="424"/>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24"/>
      <c r="D52" s="520" t="str">
        <f>IF(INFORMACIÓN!I76="","",INFORMACIÓN!I76)</f>
        <v/>
      </c>
      <c r="E52" s="424"/>
      <c r="F52" s="521" t="str">
        <f>IF(INFORMACIÓN!O76="SÍ",IF(D52&lt;&gt;"",IF(INFORMACIÓN!$D$60="QUINCENAL",INFORMACIÓN!M76*2,INFORMACIÓN!M76),"FALTA DESCRIPCIÓN"),"")</f>
        <v/>
      </c>
      <c r="G52" s="424"/>
      <c r="H52" s="521" t="str">
        <f>IF(INFORMACIÓN!O76&lt;&gt;"",IF(D52&lt;&gt;"",IF(INFORMACIÓN!$D$60="QUINCENAL",INFORMACIÓN!M76*2,INFORMACIÓN!M76),"FALTA DESCRIPCIÓN"),"")</f>
        <v/>
      </c>
      <c r="I52" s="424"/>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24"/>
      <c r="D53" s="520" t="str">
        <f>IF(INFORMACIÓN!I77="","",INFORMACIÓN!I77)</f>
        <v/>
      </c>
      <c r="E53" s="424"/>
      <c r="F53" s="521" t="str">
        <f>IF(INFORMACIÓN!O77="SÍ",IF(D53&lt;&gt;"",IF(INFORMACIÓN!$D$60="QUINCENAL",INFORMACIÓN!M77*2,INFORMACIÓN!M77),"FALTA DESCRIPCIÓN"),"")</f>
        <v/>
      </c>
      <c r="G53" s="424"/>
      <c r="H53" s="521" t="str">
        <f>IF(INFORMACIÓN!O77&lt;&gt;"",IF(D53&lt;&gt;"",IF(INFORMACIÓN!$D$60="QUINCENAL",INFORMACIÓN!M77*2,INFORMACIÓN!M77),"FALTA DESCRIPCIÓN"),"")</f>
        <v/>
      </c>
      <c r="I53" s="424"/>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24"/>
      <c r="D54" s="520" t="str">
        <f>IF(INFORMACIÓN!I78="","",INFORMACIÓN!I78)</f>
        <v/>
      </c>
      <c r="E54" s="424"/>
      <c r="F54" s="521" t="str">
        <f>IF(INFORMACIÓN!O78="SÍ",IF(D54&lt;&gt;"",IF(INFORMACIÓN!$D$60="QUINCENAL",INFORMACIÓN!M78*2,INFORMACIÓN!M78),"FALTA DESCRIPCIÓN"),"")</f>
        <v/>
      </c>
      <c r="G54" s="424"/>
      <c r="H54" s="521" t="str">
        <f>IF(INFORMACIÓN!O78&lt;&gt;"",IF(D54&lt;&gt;"",IF(INFORMACIÓN!$D$60="QUINCENAL",INFORMACIÓN!M78*2,INFORMACIÓN!M78),"FALTA DESCRIPCIÓN"),"")</f>
        <v/>
      </c>
      <c r="I54" s="424"/>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24"/>
      <c r="D55" s="520" t="str">
        <f>IF(INFORMACIÓN!I79="","",INFORMACIÓN!I79)</f>
        <v/>
      </c>
      <c r="E55" s="424"/>
      <c r="F55" s="521" t="str">
        <f>IF(INFORMACIÓN!O79="SÍ",IF(D55&lt;&gt;"",IF(INFORMACIÓN!$D$60="QUINCENAL",INFORMACIÓN!M79*2,INFORMACIÓN!M79),"FALTA DESCRIPCIÓN"),"")</f>
        <v/>
      </c>
      <c r="G55" s="424"/>
      <c r="H55" s="521" t="str">
        <f>IF(INFORMACIÓN!O79&lt;&gt;"",IF(D55&lt;&gt;"",IF(INFORMACIÓN!$D$60="QUINCENAL",INFORMACIÓN!M79*2,INFORMACIÓN!M79),"FALTA DESCRIPCIÓN"),"")</f>
        <v/>
      </c>
      <c r="I55" s="424"/>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24"/>
      <c r="D56" s="520" t="str">
        <f>IF(INFORMACIÓN!I80="","",INFORMACIÓN!I80)</f>
        <v/>
      </c>
      <c r="E56" s="424"/>
      <c r="F56" s="521" t="str">
        <f>IF(INFORMACIÓN!O80="SÍ",IF(D56&lt;&gt;"",IF(INFORMACIÓN!$D$60="QUINCENAL",INFORMACIÓN!M80*2,INFORMACIÓN!M80),"FALTA DESCRIPCIÓN"),"")</f>
        <v/>
      </c>
      <c r="G56" s="424"/>
      <c r="H56" s="521" t="str">
        <f>IF(INFORMACIÓN!O80&lt;&gt;"",IF(D56&lt;&gt;"",IF(INFORMACIÓN!$D$60="QUINCENAL",INFORMACIÓN!M80*2,INFORMACIÓN!M80),"FALTA DESCRIPCIÓN"),"")</f>
        <v/>
      </c>
      <c r="I56" s="424"/>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24"/>
      <c r="D57" s="520" t="str">
        <f>IF(INFORMACIÓN!I81="","",INFORMACIÓN!I81)</f>
        <v/>
      </c>
      <c r="E57" s="424"/>
      <c r="F57" s="521" t="str">
        <f>IF(INFORMACIÓN!O81="SÍ",IF(D57&lt;&gt;"",IF(INFORMACIÓN!$D$60="QUINCENAL",INFORMACIÓN!M81*2,INFORMACIÓN!M81),"FALTA DESCRIPCIÓN"),"")</f>
        <v/>
      </c>
      <c r="G57" s="424"/>
      <c r="H57" s="521" t="str">
        <f>IF(INFORMACIÓN!O81&lt;&gt;"",IF(D57&lt;&gt;"",IF(INFORMACIÓN!$D$60="QUINCENAL",INFORMACIÓN!M81*2,INFORMACIÓN!M81),"FALTA DESCRIPCIÓN"),"")</f>
        <v/>
      </c>
      <c r="I57" s="424"/>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24"/>
      <c r="D58" s="520" t="str">
        <f>IF(INFORMACIÓN!I82="","",INFORMACIÓN!I82)</f>
        <v/>
      </c>
      <c r="E58" s="424"/>
      <c r="F58" s="521" t="str">
        <f>IF(INFORMACIÓN!O82="SÍ",IF(D58&lt;&gt;"",IF(INFORMACIÓN!$D$60="QUINCENAL",INFORMACIÓN!M82*2,INFORMACIÓN!M82),"FALTA DESCRIPCIÓN"),"")</f>
        <v/>
      </c>
      <c r="G58" s="424"/>
      <c r="H58" s="521" t="str">
        <f>IF(INFORMACIÓN!O82&lt;&gt;"",IF(D58&lt;&gt;"",IF(INFORMACIÓN!$D$60="QUINCENAL",INFORMACIÓN!M82*2,INFORMACIÓN!M82),"FALTA DESCRIPCIÓN"),"")</f>
        <v/>
      </c>
      <c r="I58" s="424"/>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24"/>
      <c r="D59" s="520" t="str">
        <f>IF(INFORMACIÓN!I83="","",INFORMACIÓN!I83)</f>
        <v/>
      </c>
      <c r="E59" s="424"/>
      <c r="F59" s="521" t="str">
        <f>IF(INFORMACIÓN!O83="SÍ",IF(D59&lt;&gt;"",IF(INFORMACIÓN!$D$60="QUINCENAL",INFORMACIÓN!M83*2,INFORMACIÓN!M83),"FALTA DESCRIPCIÓN"),"")</f>
        <v/>
      </c>
      <c r="G59" s="424"/>
      <c r="H59" s="521" t="str">
        <f>IF(INFORMACIÓN!O83&lt;&gt;"",IF(D59&lt;&gt;"",IF(INFORMACIÓN!$D$60="QUINCENAL",INFORMACIÓN!M83*2,INFORMACIÓN!M83),"FALTA DESCRIPCIÓN"),"")</f>
        <v/>
      </c>
      <c r="I59" s="424"/>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30"/>
      <c r="D60" s="527" t="s">
        <v>250</v>
      </c>
      <c r="E60" s="424"/>
      <c r="F60" s="525">
        <f>SUM(F50:F59)</f>
        <v>0</v>
      </c>
      <c r="G60" s="424"/>
      <c r="H60" s="525">
        <f>SUM(H50:H59)</f>
        <v>0</v>
      </c>
      <c r="I60" s="424"/>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28" t="s">
        <v>259</v>
      </c>
      <c r="D62" s="423"/>
      <c r="E62" s="424"/>
      <c r="F62" s="526">
        <f>SUM(F35,F49,F60)</f>
        <v>0</v>
      </c>
      <c r="G62" s="424"/>
      <c r="H62" s="526">
        <f>SUM(H35,H49,H60)</f>
        <v>0</v>
      </c>
      <c r="I62" s="424"/>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32" t="s">
        <v>260</v>
      </c>
      <c r="C64" s="401"/>
      <c r="D64" s="401"/>
      <c r="E64" s="401"/>
      <c r="F64" s="401"/>
      <c r="G64" s="401"/>
      <c r="H64" s="401"/>
      <c r="I64" s="401"/>
      <c r="J64" s="401"/>
      <c r="K64" s="401"/>
      <c r="L64" s="401"/>
      <c r="M64" s="401"/>
      <c r="N64" s="402"/>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60" t="s">
        <v>261</v>
      </c>
      <c r="C66" s="401"/>
      <c r="D66" s="401"/>
      <c r="E66" s="401"/>
      <c r="F66" s="401"/>
      <c r="G66" s="401"/>
      <c r="H66" s="401"/>
      <c r="I66" s="401"/>
      <c r="J66" s="401"/>
      <c r="K66" s="401"/>
      <c r="L66" s="401"/>
      <c r="M66" s="401"/>
      <c r="N66" s="402"/>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33" t="s">
        <v>245</v>
      </c>
      <c r="E68" s="423"/>
      <c r="F68" s="424"/>
      <c r="G68" s="533" t="s">
        <v>246</v>
      </c>
      <c r="H68" s="423"/>
      <c r="I68" s="424"/>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31" t="s">
        <v>262</v>
      </c>
      <c r="C69" s="402"/>
      <c r="D69" s="530">
        <f>F23-F62</f>
        <v>0</v>
      </c>
      <c r="E69" s="475"/>
      <c r="F69" s="168">
        <f t="shared" ref="F69:F70" si="1">IFERROR(D69/$F$23,0)</f>
        <v>0</v>
      </c>
      <c r="G69" s="530">
        <f>H23-H62</f>
        <v>0</v>
      </c>
      <c r="H69" s="475"/>
      <c r="I69" s="168">
        <f t="shared" ref="I69:I70" si="2">IFERROR(G69/$H$23,0)</f>
        <v>0</v>
      </c>
      <c r="J69" s="156"/>
      <c r="K69" s="110" t="s">
        <v>263</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31" t="s">
        <v>264</v>
      </c>
      <c r="C70" s="402"/>
      <c r="D70" s="530">
        <f>IF(INFORMACIÓN!$K$60="","DATO FALTANTE",INFORMACIÓN!K60)</f>
        <v>0</v>
      </c>
      <c r="E70" s="475"/>
      <c r="F70" s="169">
        <f t="shared" si="1"/>
        <v>0</v>
      </c>
      <c r="G70" s="530">
        <f>IF(INFORMACIÓN!$K$60="","DATO FALTANTE",INFORMACIÓN!K60)</f>
        <v>0</v>
      </c>
      <c r="H70" s="475"/>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31" t="s">
        <v>265</v>
      </c>
      <c r="C71" s="402"/>
      <c r="D71" s="526">
        <f>IFERROR(D69-D70,0)</f>
        <v>0</v>
      </c>
      <c r="E71" s="424"/>
      <c r="F71" s="170">
        <f>IFERROR(D71/F23,0)</f>
        <v>0</v>
      </c>
      <c r="G71" s="526">
        <f>IFERROR(G69-G70,0)</f>
        <v>0</v>
      </c>
      <c r="H71" s="424"/>
      <c r="I71" s="170">
        <f>IFERROR(G71/H23,0)</f>
        <v>0</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29"/>
      <c r="E72" s="401"/>
      <c r="F72" s="401"/>
      <c r="G72" s="401"/>
      <c r="H72" s="402"/>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12" t="s">
        <v>266</v>
      </c>
      <c r="C73" s="401"/>
      <c r="D73" s="401"/>
      <c r="E73" s="401"/>
      <c r="F73" s="401"/>
      <c r="G73" s="401"/>
      <c r="H73" s="401"/>
      <c r="I73" s="401"/>
      <c r="J73" s="401"/>
      <c r="K73" s="401"/>
      <c r="L73" s="401"/>
      <c r="M73" s="401"/>
      <c r="N73" s="402"/>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82"/>
      <c r="C76" s="472"/>
      <c r="D76" s="99"/>
      <c r="E76" s="136"/>
      <c r="F76" s="136"/>
      <c r="G76" s="136"/>
      <c r="H76" s="136"/>
      <c r="I76" s="136"/>
      <c r="J76" s="482"/>
      <c r="K76" s="483"/>
      <c r="L76" s="483"/>
      <c r="M76" s="472"/>
      <c r="N76" s="99"/>
      <c r="O76" s="99"/>
      <c r="P76" s="99"/>
      <c r="Q76" s="99"/>
      <c r="R76" s="99"/>
      <c r="S76" s="99"/>
      <c r="T76" s="99"/>
      <c r="U76" s="99"/>
      <c r="V76" s="99"/>
      <c r="W76" s="99"/>
      <c r="X76" s="99"/>
      <c r="Y76" s="99"/>
      <c r="Z76" s="99"/>
      <c r="AA76" s="99"/>
      <c r="AB76" s="99"/>
      <c r="AC76" s="99"/>
      <c r="AD76" s="99"/>
      <c r="AE76" s="99"/>
    </row>
    <row r="77" spans="1:31" ht="16.5" customHeight="1">
      <c r="A77" s="99"/>
      <c r="B77" s="473" t="s">
        <v>238</v>
      </c>
      <c r="C77" s="475"/>
      <c r="D77" s="99"/>
      <c r="E77" s="99"/>
      <c r="F77" s="99"/>
      <c r="G77" s="99"/>
      <c r="H77" s="99"/>
      <c r="I77" s="99"/>
      <c r="J77" s="473" t="s">
        <v>239</v>
      </c>
      <c r="K77" s="474"/>
      <c r="L77" s="474"/>
      <c r="M77" s="475"/>
      <c r="N77" s="99"/>
      <c r="O77" s="99"/>
      <c r="P77" s="99"/>
      <c r="Q77" s="99"/>
      <c r="R77" s="99"/>
      <c r="S77" s="99"/>
      <c r="T77" s="99"/>
      <c r="U77" s="99"/>
      <c r="V77" s="99"/>
      <c r="W77" s="99"/>
      <c r="X77" s="99"/>
      <c r="Y77" s="99"/>
      <c r="Z77" s="99"/>
      <c r="AA77" s="99"/>
      <c r="AB77" s="99"/>
      <c r="AC77" s="99"/>
      <c r="AD77" s="99"/>
      <c r="AE77" s="99"/>
    </row>
    <row r="78" spans="1:31" ht="13.5" customHeight="1">
      <c r="A78" s="99"/>
      <c r="B78" s="476" t="s">
        <v>240</v>
      </c>
      <c r="C78" s="402"/>
      <c r="D78" s="99"/>
      <c r="E78" s="99"/>
      <c r="F78" s="99"/>
      <c r="G78" s="99"/>
      <c r="H78" s="99"/>
      <c r="I78" s="99"/>
      <c r="J78" s="476">
        <f>J14</f>
        <v>0</v>
      </c>
      <c r="K78" s="401"/>
      <c r="L78" s="401"/>
      <c r="M78" s="402"/>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D39:E39"/>
    <mergeCell ref="D40:E40"/>
    <mergeCell ref="F40:G40"/>
    <mergeCell ref="H40:I40"/>
    <mergeCell ref="D41:E41"/>
    <mergeCell ref="F41:G41"/>
    <mergeCell ref="F42:G42"/>
    <mergeCell ref="H42:I42"/>
    <mergeCell ref="D43:E43"/>
    <mergeCell ref="F43:G43"/>
    <mergeCell ref="F35:G35"/>
    <mergeCell ref="H35:I35"/>
    <mergeCell ref="D33:E33"/>
    <mergeCell ref="F33:G33"/>
    <mergeCell ref="H33:I33"/>
    <mergeCell ref="D34:E34"/>
    <mergeCell ref="F34:G34"/>
    <mergeCell ref="H34:I34"/>
    <mergeCell ref="D35:E35"/>
    <mergeCell ref="F30:G30"/>
    <mergeCell ref="H30:I30"/>
    <mergeCell ref="D30:E30"/>
    <mergeCell ref="D31:E31"/>
    <mergeCell ref="F31:G31"/>
    <mergeCell ref="H31:I31"/>
    <mergeCell ref="D32:E32"/>
    <mergeCell ref="F32:G32"/>
    <mergeCell ref="H32:I32"/>
    <mergeCell ref="D23:E23"/>
    <mergeCell ref="F23:G23"/>
    <mergeCell ref="H23:I23"/>
    <mergeCell ref="B24:N24"/>
    <mergeCell ref="B26:N26"/>
    <mergeCell ref="D28:I28"/>
    <mergeCell ref="D29:E29"/>
    <mergeCell ref="F29:G29"/>
    <mergeCell ref="H29:I29"/>
    <mergeCell ref="D20:E20"/>
    <mergeCell ref="F20:G20"/>
    <mergeCell ref="H20:I20"/>
    <mergeCell ref="D21:E21"/>
    <mergeCell ref="F21:G21"/>
    <mergeCell ref="H21:I21"/>
    <mergeCell ref="D22:E22"/>
    <mergeCell ref="F22:G22"/>
    <mergeCell ref="H22:I22"/>
    <mergeCell ref="B14:N14"/>
    <mergeCell ref="B15:N15"/>
    <mergeCell ref="D17:E17"/>
    <mergeCell ref="F17:G17"/>
    <mergeCell ref="H17:I17"/>
    <mergeCell ref="D18:E18"/>
    <mergeCell ref="F18:G18"/>
    <mergeCell ref="H18:I18"/>
    <mergeCell ref="F19:G19"/>
    <mergeCell ref="H19:I19"/>
    <mergeCell ref="D19:E19"/>
    <mergeCell ref="B2:N3"/>
    <mergeCell ref="B5:N5"/>
    <mergeCell ref="C7:E7"/>
    <mergeCell ref="F7:H7"/>
    <mergeCell ref="I7:M7"/>
    <mergeCell ref="F9:H9"/>
    <mergeCell ref="I9:M9"/>
    <mergeCell ref="C9:E9"/>
    <mergeCell ref="C11:E11"/>
    <mergeCell ref="F11:H11"/>
    <mergeCell ref="I11:M11"/>
  </mergeCells>
  <pageMargins left="0.78819444444444398" right="0.46736111111111101" top="0.24374999999999999" bottom="0.104166666666667" header="0" footer="0"/>
  <pageSetup scale="62"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5" defaultRowHeight="15" customHeight="1"/>
  <cols>
    <col min="1" max="1" width="7" customWidth="1"/>
    <col min="2" max="2" width="24.1640625" customWidth="1"/>
    <col min="3" max="3" width="18.5" customWidth="1"/>
    <col min="4" max="4" width="8.5" customWidth="1"/>
    <col min="5" max="5" width="14.5" customWidth="1"/>
    <col min="6" max="6" width="9" customWidth="1"/>
    <col min="7" max="7" width="8" customWidth="1"/>
    <col min="8" max="8" width="8.5" customWidth="1"/>
    <col min="9" max="9" width="12.5" customWidth="1"/>
    <col min="10" max="10" width="17.6640625" customWidth="1"/>
    <col min="11" max="11" width="8.5" customWidth="1"/>
    <col min="12" max="12" width="17.6640625" customWidth="1"/>
    <col min="13" max="13" width="7" customWidth="1"/>
    <col min="14" max="14" width="6.83203125" customWidth="1"/>
    <col min="15" max="15" width="5.5" customWidth="1"/>
    <col min="16" max="34" width="11.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86" t="s">
        <v>267</v>
      </c>
      <c r="C2" s="480"/>
      <c r="D2" s="480"/>
      <c r="E2" s="480"/>
      <c r="F2" s="480"/>
      <c r="G2" s="480"/>
      <c r="H2" s="480"/>
      <c r="I2" s="480"/>
      <c r="J2" s="480"/>
      <c r="K2" s="480"/>
      <c r="L2" s="480"/>
      <c r="M2" s="480"/>
      <c r="N2" s="480"/>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80"/>
      <c r="C3" s="480"/>
      <c r="D3" s="480"/>
      <c r="E3" s="480"/>
      <c r="F3" s="480"/>
      <c r="G3" s="480"/>
      <c r="H3" s="480"/>
      <c r="I3" s="480"/>
      <c r="J3" s="480"/>
      <c r="K3" s="480"/>
      <c r="L3" s="480"/>
      <c r="M3" s="480"/>
      <c r="N3" s="480"/>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10" t="s">
        <v>213</v>
      </c>
      <c r="I5" s="401"/>
      <c r="J5" s="402"/>
      <c r="K5" s="509" t="str">
        <f>IF(INFORMACIÓN!$L$7="","FALTA NOMBRE DE OFICIAL",INFORMACIÓN!$L$7)</f>
        <v>FALTA NOMBRE DE OFICIAL</v>
      </c>
      <c r="L5" s="456"/>
      <c r="M5" s="456"/>
      <c r="N5" s="457"/>
      <c r="O5" s="99"/>
      <c r="P5" s="99"/>
      <c r="Q5" s="99"/>
      <c r="R5" s="99"/>
      <c r="S5" s="99"/>
      <c r="T5" s="99"/>
      <c r="U5" s="99"/>
      <c r="V5" s="99"/>
      <c r="W5" s="99"/>
      <c r="X5" s="99"/>
      <c r="Y5" s="99"/>
      <c r="Z5" s="99"/>
      <c r="AA5" s="99"/>
      <c r="AB5" s="99"/>
      <c r="AC5" s="99"/>
      <c r="AD5" s="99"/>
      <c r="AE5" s="99"/>
      <c r="AF5" s="99"/>
      <c r="AG5" s="99"/>
      <c r="AH5" s="99"/>
    </row>
    <row r="6" spans="1:34" ht="13.5" customHeight="1">
      <c r="A6" s="487" t="s">
        <v>212</v>
      </c>
      <c r="B6" s="405"/>
      <c r="C6" s="405"/>
      <c r="D6" s="405"/>
      <c r="E6" s="405"/>
      <c r="F6" s="405"/>
      <c r="G6" s="405"/>
      <c r="H6" s="405"/>
      <c r="I6" s="405"/>
      <c r="J6" s="405"/>
      <c r="K6" s="405"/>
      <c r="L6" s="405"/>
      <c r="M6" s="405"/>
      <c r="N6" s="406"/>
      <c r="O6" s="99"/>
      <c r="P6" s="99"/>
      <c r="Q6" s="137"/>
      <c r="R6" s="137"/>
      <c r="S6" s="137"/>
      <c r="T6" s="137"/>
      <c r="U6" s="137"/>
      <c r="V6" s="99"/>
      <c r="W6" s="99"/>
      <c r="X6" s="99"/>
      <c r="Y6" s="99"/>
      <c r="Z6" s="99"/>
      <c r="AA6" s="99"/>
      <c r="AB6" s="99"/>
      <c r="AC6" s="99"/>
      <c r="AD6" s="99"/>
      <c r="AE6" s="99"/>
      <c r="AF6" s="99"/>
      <c r="AG6" s="99"/>
      <c r="AH6" s="99"/>
    </row>
    <row r="7" spans="1:34" ht="22.5" customHeight="1">
      <c r="A7" s="138"/>
      <c r="B7" s="541" t="s">
        <v>187</v>
      </c>
      <c r="C7" s="432"/>
      <c r="D7" s="432"/>
      <c r="E7" s="432"/>
      <c r="F7" s="173"/>
      <c r="G7" s="173"/>
      <c r="H7" s="541" t="s">
        <v>203</v>
      </c>
      <c r="I7" s="432"/>
      <c r="J7" s="432"/>
      <c r="K7" s="432"/>
      <c r="L7" s="432"/>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10" t="s">
        <v>155</v>
      </c>
      <c r="B9" s="402"/>
      <c r="C9" s="542" t="str">
        <f>IF(INFORMACIÓN!D5="","FALTA NOMBRE DEL CLIENTE",INFORMACIÓN!D5)</f>
        <v>FALTA NOMBRE DEL CLIENTE</v>
      </c>
      <c r="D9" s="456"/>
      <c r="E9" s="457"/>
      <c r="F9" s="137"/>
      <c r="G9" s="510" t="s">
        <v>155</v>
      </c>
      <c r="H9" s="401"/>
      <c r="I9" s="402"/>
      <c r="J9" s="542" t="str">
        <f>IF(INFORMACIÓN!D89="","FALTA NOMBRE DEL FIADOR",INFORMACIÓN!D89)</f>
        <v>FALTA NOMBRE DEL FIADOR</v>
      </c>
      <c r="K9" s="456"/>
      <c r="L9" s="457"/>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44" t="s">
        <v>157</v>
      </c>
      <c r="B10" s="402"/>
      <c r="C10" s="542" t="str">
        <f>IF(INFORMACIÓN!$D$7="","FALTA CÉDULA DEL CLIENTE",INFORMACIÓN!$D$7)</f>
        <v>FALTA CÉDULA DEL CLIENTE</v>
      </c>
      <c r="D10" s="456"/>
      <c r="E10" s="457"/>
      <c r="F10" s="143"/>
      <c r="G10" s="510" t="s">
        <v>157</v>
      </c>
      <c r="H10" s="401"/>
      <c r="I10" s="402"/>
      <c r="J10" s="543" t="str">
        <f>IF(INFORMACIÓN!D91="","FALTA CÉDULA DEL FIADOR",INFORMACIÓN!$D$91)</f>
        <v>FALTA CÉDULA DEL FIADOR</v>
      </c>
      <c r="K10" s="405"/>
      <c r="L10" s="447"/>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44" t="s">
        <v>156</v>
      </c>
      <c r="B11" s="402"/>
      <c r="C11" s="542" t="str">
        <f>IF(INFORMACIÓN!L5="","FALTA CARTERA DEL CLIENTE",INFORMACIÓN!L5)</f>
        <v>EMP. CSS</v>
      </c>
      <c r="D11" s="456"/>
      <c r="E11" s="457"/>
      <c r="F11" s="137"/>
      <c r="G11" s="510" t="s">
        <v>156</v>
      </c>
      <c r="H11" s="401"/>
      <c r="I11" s="402"/>
      <c r="J11" s="543" t="str">
        <f>IF(INFORMACIÓN!S99="","FALTA CARTERA DEL FIADOR",INFORMACIÓN!S99)</f>
        <v>FALTA CARTERA DEL FIADOR</v>
      </c>
      <c r="K11" s="405"/>
      <c r="L11" s="447"/>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44" t="s">
        <v>159</v>
      </c>
      <c r="B12" s="402"/>
      <c r="C12" s="542" t="str">
        <f>IF(INFORMACIÓN!D9="","FALTA REGISTRAR",INFORMACIÓN!D9)</f>
        <v>FALTA REGISTRAR</v>
      </c>
      <c r="D12" s="456"/>
      <c r="E12" s="457"/>
      <c r="F12" s="143"/>
      <c r="G12" s="510" t="s">
        <v>159</v>
      </c>
      <c r="H12" s="401"/>
      <c r="I12" s="402"/>
      <c r="J12" s="542" t="str">
        <f>IF(INFORMACIÓN!L91="","FALTA REGISTRAR",INFORMACIÓN!L91)</f>
        <v>FALTA REGISTRAR</v>
      </c>
      <c r="K12" s="456"/>
      <c r="L12" s="457"/>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160</v>
      </c>
      <c r="C13" s="543" t="str">
        <f>IF(INFORMACIÓN!L9="","FALTA REGISTRAR",INFORMACIÓN!L9)</f>
        <v>FALTA REGISTRAR</v>
      </c>
      <c r="D13" s="405"/>
      <c r="E13" s="447"/>
      <c r="F13" s="143"/>
      <c r="G13" s="510" t="s">
        <v>268</v>
      </c>
      <c r="H13" s="401"/>
      <c r="I13" s="402"/>
      <c r="J13" s="543" t="str">
        <f>IF(INFORMACIÓN!L93="","FALTA REGISTRAR",INFORMACIÓN!L93)</f>
        <v>FALTA REGISTRAR</v>
      </c>
      <c r="K13" s="405"/>
      <c r="L13" s="447"/>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11" t="s">
        <v>242</v>
      </c>
      <c r="B16" s="401"/>
      <c r="C16" s="401"/>
      <c r="D16" s="401"/>
      <c r="E16" s="401"/>
      <c r="F16" s="401"/>
      <c r="G16" s="401"/>
      <c r="H16" s="401"/>
      <c r="I16" s="401"/>
      <c r="J16" s="401"/>
      <c r="K16" s="401"/>
      <c r="L16" s="401"/>
      <c r="M16" s="401"/>
      <c r="N16" s="402"/>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12" t="s">
        <v>243</v>
      </c>
      <c r="C17" s="401"/>
      <c r="D17" s="401"/>
      <c r="E17" s="401"/>
      <c r="F17" s="401"/>
      <c r="G17" s="401"/>
      <c r="H17" s="401"/>
      <c r="I17" s="401"/>
      <c r="J17" s="401"/>
      <c r="K17" s="401"/>
      <c r="L17" s="401"/>
      <c r="M17" s="401"/>
      <c r="N17" s="402"/>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244</v>
      </c>
      <c r="C19" s="175" t="s">
        <v>245</v>
      </c>
      <c r="D19" s="513" t="s">
        <v>246</v>
      </c>
      <c r="E19" s="424"/>
      <c r="F19" s="148" t="s">
        <v>247</v>
      </c>
      <c r="G19" s="99"/>
      <c r="H19" s="513" t="s">
        <v>244</v>
      </c>
      <c r="I19" s="424"/>
      <c r="J19" s="513" t="s">
        <v>245</v>
      </c>
      <c r="K19" s="424"/>
      <c r="L19" s="513" t="s">
        <v>246</v>
      </c>
      <c r="M19" s="424"/>
      <c r="N19" s="148" t="s">
        <v>247</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248</v>
      </c>
      <c r="C20" s="177" t="str">
        <f>IF(INFORMACIÓN!E64="","",IF(INFORMACIÓN!D60="QUINCENAL",INFORMACIÓN!E64*2,INFORMACIÓN!E64))</f>
        <v/>
      </c>
      <c r="D20" s="515" t="str">
        <f>C20</f>
        <v/>
      </c>
      <c r="E20" s="424"/>
      <c r="F20" s="149" t="str">
        <f>IF(INFORMACIÓN!L5="INDEPENDIENTE","","*")</f>
        <v>*</v>
      </c>
      <c r="G20" s="137"/>
      <c r="H20" s="514" t="s">
        <v>248</v>
      </c>
      <c r="I20" s="424"/>
      <c r="J20" s="515" t="str">
        <f>IF(INFORMACIÓN!E99="","",IF(INFORMACIÓN!D95="QUINCENAL",INFORMACIÓN!E99*2,INFORMACIÓN!E99))</f>
        <v/>
      </c>
      <c r="K20" s="424"/>
      <c r="L20" s="515" t="str">
        <f>J20</f>
        <v/>
      </c>
      <c r="M20" s="424"/>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249</v>
      </c>
      <c r="D21" s="515" t="str">
        <f>IF(INFORMACIÓN!L65="","",INFORMACIÓN!L65)</f>
        <v/>
      </c>
      <c r="E21" s="424"/>
      <c r="F21" s="149" t="str">
        <f>IF($C$11="INDEPENDIENTE","",IF(INFORMACIÓN!N65="SÍ","*",""))</f>
        <v/>
      </c>
      <c r="G21" s="137"/>
      <c r="H21" s="514" t="str">
        <f>IF(INFORMACIÓN!I100="","",INFORMACIÓN!I100)</f>
        <v>Horas Extras</v>
      </c>
      <c r="I21" s="424"/>
      <c r="J21" s="515" t="s">
        <v>249</v>
      </c>
      <c r="K21" s="424"/>
      <c r="L21" s="515" t="str">
        <f>IF(INFORMACIÓN!L100="","",IF(INFORMACIÓN!$D$95="QUINCENAL",INFORMACIÓN!L100*2,INFORMACIÓN!L100))</f>
        <v/>
      </c>
      <c r="M21" s="424"/>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249</v>
      </c>
      <c r="D22" s="515" t="str">
        <f>IF(INFORMACIÓN!L66="","",INFORMACIÓN!L66)</f>
        <v/>
      </c>
      <c r="E22" s="424"/>
      <c r="F22" s="149" t="str">
        <f>IF($C$11="INDEPENDIENTE","",IF(INFORMACIÓN!N66="SÍ","*",""))</f>
        <v/>
      </c>
      <c r="G22" s="137"/>
      <c r="H22" s="514" t="str">
        <f>IF(INFORMACIÓN!I101="","",INFORMACIÓN!I101)</f>
        <v>Prima de producción</v>
      </c>
      <c r="I22" s="424"/>
      <c r="J22" s="515" t="s">
        <v>249</v>
      </c>
      <c r="K22" s="424"/>
      <c r="L22" s="515" t="str">
        <f>IF(INFORMACIÓN!L101="","",IF(INFORMACIÓN!$D$95="QUINCENAL",INFORMACIÓN!L101*2,INFORMACIÓN!L101))</f>
        <v/>
      </c>
      <c r="M22" s="424"/>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249</v>
      </c>
      <c r="D23" s="515" t="str">
        <f>IF(INFORMACIÓN!L67="","",INFORMACIÓN!L67)</f>
        <v/>
      </c>
      <c r="E23" s="424"/>
      <c r="F23" s="149" t="str">
        <f>IF($C$11="INDEPENDIENTE","",IF(INFORMACIÓN!N67="SÍ","*",""))</f>
        <v/>
      </c>
      <c r="G23" s="137"/>
      <c r="H23" s="514" t="str">
        <f>IF(INFORMACIÓN!I102="","",INFORMACIÓN!I102)</f>
        <v>Bonos</v>
      </c>
      <c r="I23" s="424"/>
      <c r="J23" s="515" t="s">
        <v>249</v>
      </c>
      <c r="K23" s="424"/>
      <c r="L23" s="515" t="str">
        <f>IF(INFORMACIÓN!L102="","",IF(INFORMACIÓN!$D$95="QUINCENAL",INFORMACIÓN!L102*2,INFORMACIÓN!L102))</f>
        <v/>
      </c>
      <c r="M23" s="424"/>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249</v>
      </c>
      <c r="D24" s="515" t="str">
        <f>IF(INFORMACIÓN!L68="","",INFORMACIÓN!L68)</f>
        <v/>
      </c>
      <c r="E24" s="424"/>
      <c r="F24" s="149" t="str">
        <f>IF($C$11="INDEPENDIENTE","",IF(INFORMACIÓN!N68="SÍ","*",""))</f>
        <v/>
      </c>
      <c r="G24" s="137"/>
      <c r="H24" s="514" t="str">
        <f>IF(INFORMACIÓN!I103="","",INFORMACIÓN!I103)</f>
        <v>Otros</v>
      </c>
      <c r="I24" s="424"/>
      <c r="J24" s="515" t="s">
        <v>249</v>
      </c>
      <c r="K24" s="424"/>
      <c r="L24" s="515" t="str">
        <f>IF(INFORMACIÓN!L103="","",IF(INFORMACIÓN!$D$95="QUINCENAL",INFORMACIÓN!L103*2,INFORMACIÓN!L103))</f>
        <v/>
      </c>
      <c r="M24" s="424"/>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250</v>
      </c>
      <c r="C25" s="179">
        <f t="shared" ref="C25:D25" si="0">SUM(C20:C24)</f>
        <v>0</v>
      </c>
      <c r="D25" s="517">
        <f t="shared" si="0"/>
        <v>0</v>
      </c>
      <c r="E25" s="424"/>
      <c r="F25" s="112"/>
      <c r="G25" s="112"/>
      <c r="H25" s="516" t="s">
        <v>250</v>
      </c>
      <c r="I25" s="424"/>
      <c r="J25" s="517">
        <f>SUM(J20:J24)</f>
        <v>0</v>
      </c>
      <c r="K25" s="424"/>
      <c r="L25" s="545">
        <f>SUM(L20:L24)</f>
        <v>0</v>
      </c>
      <c r="M25" s="424"/>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18" t="s">
        <v>269</v>
      </c>
      <c r="C26" s="401"/>
      <c r="D26" s="401"/>
      <c r="E26" s="401"/>
      <c r="F26" s="401"/>
      <c r="G26" s="401"/>
      <c r="H26" s="401"/>
      <c r="I26" s="401"/>
      <c r="J26" s="401"/>
      <c r="K26" s="401"/>
      <c r="L26" s="401"/>
      <c r="M26" s="401"/>
      <c r="N26" s="402"/>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35" t="s">
        <v>270</v>
      </c>
      <c r="E28" s="423"/>
      <c r="F28" s="423"/>
      <c r="G28" s="423"/>
      <c r="H28" s="423"/>
      <c r="I28" s="424"/>
      <c r="J28" s="526">
        <f>SUM(C25,J25)</f>
        <v>0</v>
      </c>
      <c r="K28" s="424"/>
      <c r="L28" s="526">
        <f>SUM(D25,L25)</f>
        <v>0</v>
      </c>
      <c r="M28" s="424"/>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11" t="s">
        <v>252</v>
      </c>
      <c r="B30" s="401"/>
      <c r="C30" s="401"/>
      <c r="D30" s="401"/>
      <c r="E30" s="401"/>
      <c r="F30" s="401"/>
      <c r="G30" s="401"/>
      <c r="H30" s="401"/>
      <c r="I30" s="401"/>
      <c r="J30" s="401"/>
      <c r="K30" s="401"/>
      <c r="L30" s="401"/>
      <c r="M30" s="401"/>
      <c r="N30" s="402"/>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40" t="s">
        <v>253</v>
      </c>
      <c r="C32" s="483"/>
      <c r="D32" s="483"/>
      <c r="E32" s="472"/>
      <c r="F32" s="181"/>
      <c r="G32" s="181"/>
      <c r="H32" s="519" t="s">
        <v>253</v>
      </c>
      <c r="I32" s="401"/>
      <c r="J32" s="401"/>
      <c r="K32" s="401"/>
      <c r="L32" s="401"/>
      <c r="M32" s="402"/>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244</v>
      </c>
      <c r="C33" s="175" t="s">
        <v>245</v>
      </c>
      <c r="D33" s="513" t="s">
        <v>246</v>
      </c>
      <c r="E33" s="424"/>
      <c r="F33" s="137"/>
      <c r="G33" s="137"/>
      <c r="H33" s="513" t="s">
        <v>244</v>
      </c>
      <c r="I33" s="424"/>
      <c r="J33" s="513" t="s">
        <v>245</v>
      </c>
      <c r="K33" s="424"/>
      <c r="L33" s="513" t="s">
        <v>246</v>
      </c>
      <c r="M33" s="424"/>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254</v>
      </c>
      <c r="C34" s="177">
        <f>IF(OR(C11=info!F43,C11=info!K43,C11=info!M43,C11=info!H43),(SUMIF(F20:F24,"*",C20:C24)*6.75)/100,(SUMIF(F20:F24,"*",C20:C24)*9.75)/100)</f>
        <v>0</v>
      </c>
      <c r="D34" s="515">
        <f>IF(OR(C11=info!F43,C11=info!K43,C11=info!M43,C11=info!H43),(SUMIF(F20:F24,"*",D20:D24)*6.75)/100,(SUMIF(F20:F24,"*",D20:D24)*9.75)/100)</f>
        <v>0</v>
      </c>
      <c r="E34" s="424"/>
      <c r="F34" s="137"/>
      <c r="G34" s="137"/>
      <c r="H34" s="514" t="s">
        <v>254</v>
      </c>
      <c r="I34" s="424"/>
      <c r="J34" s="515">
        <f>IF(OR(J11=info!F43,J11=info!K43,J11=info!M43,J11=info!H43),(SUMIF(N20:N24,"*",J20:J24)*6.75)/100,(SUMIF(N20:N24,"*",J20:J24)*9.75)/100)</f>
        <v>0</v>
      </c>
      <c r="K34" s="424"/>
      <c r="L34" s="515">
        <f>IF(OR(J11=info!H43,J11=info!M43,J11=info!O43,J11=info!J43),(SUMIF(N20:N24,"*",L20:L24)*6.75)/100,(SUMIF(N20:N24,"*",L20:L24)*9.75)/100)</f>
        <v>0</v>
      </c>
      <c r="M34" s="424"/>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255</v>
      </c>
      <c r="C35" s="177">
        <f>IF(OR(C11=info!F43,C11=info!K43,C11=info!M43,C11=info!H43),0,(SUMIF(F20:F24,"*",C20:C24)*1.25)/100)</f>
        <v>0</v>
      </c>
      <c r="D35" s="515">
        <f>IF(OR(C11=info!F43,C11=info!K43,C11=info!M43,C11=info!H43),0,(SUMIF(F20:F24,"*",D20:D24)*1.25)/100)</f>
        <v>0</v>
      </c>
      <c r="E35" s="424"/>
      <c r="F35" s="137"/>
      <c r="G35" s="137"/>
      <c r="H35" s="514" t="s">
        <v>255</v>
      </c>
      <c r="I35" s="424"/>
      <c r="J35" s="515">
        <f>IF(OR(J11=info!M43,J11=info!R43,J11=info!T43,J11=info!O43),0,(SUMIF(N20:N24,"*",J20:J24)*1.25)/100)</f>
        <v>0</v>
      </c>
      <c r="K35" s="424"/>
      <c r="L35" s="515">
        <f>IF(OR(J11=info!M43,J11=info!R43,J11=info!T43,J11=info!O43),0,(SUMIF(N20:N24,"*",L20:L24)*1.25)/100)</f>
        <v>0</v>
      </c>
      <c r="M35" s="424"/>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256</v>
      </c>
      <c r="C36" s="177">
        <f>IFERROR(IF(OR(C11=info!F43,C11=info!K43,C11=info!M43,C11=info!H43),0,info!$E$64/12),0)</f>
        <v>0</v>
      </c>
      <c r="D36" s="515">
        <f t="shared" ref="D36:D38" si="1">C36</f>
        <v>0</v>
      </c>
      <c r="E36" s="424"/>
      <c r="F36" s="137"/>
      <c r="G36" s="137"/>
      <c r="H36" s="514" t="s">
        <v>256</v>
      </c>
      <c r="I36" s="424"/>
      <c r="J36" s="515">
        <f>IFERROR(IF(OR(J11=info!F43,J11=info!K43,J11=info!M43,J11=info!H43),0,info!$E$68/12),0)</f>
        <v>0</v>
      </c>
      <c r="K36" s="424"/>
      <c r="L36" s="515">
        <f>IFERROR(IF(OR(J11=info!H43,J11=info!M43,J11=info!O43,J11=info!J43),0,info!$E$68/12),0)</f>
        <v>0</v>
      </c>
      <c r="M36" s="424"/>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201</v>
      </c>
      <c r="C37" s="177" t="str">
        <f>IF(INFORMACIÓN!E74="","N/A",INFORMACIÓN!E74)</f>
        <v>N/A</v>
      </c>
      <c r="D37" s="515" t="str">
        <f t="shared" si="1"/>
        <v>N/A</v>
      </c>
      <c r="E37" s="424"/>
      <c r="F37" s="137"/>
      <c r="G37" s="137"/>
      <c r="H37" s="514" t="s">
        <v>201</v>
      </c>
      <c r="I37" s="424"/>
      <c r="J37" s="515" t="str">
        <f>IF(INFORMACIÓN!E109="","N/A",INFORMACIÓN!E109)</f>
        <v>N/A</v>
      </c>
      <c r="K37" s="424"/>
      <c r="L37" s="515" t="str">
        <f t="shared" ref="L37:L38" si="2">J37</f>
        <v>N/A</v>
      </c>
      <c r="M37" s="424"/>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202</v>
      </c>
      <c r="C38" s="177" t="str">
        <f>IF(INFORMACIÓN!E75="","N/A",INFORMACIÓN!E75)</f>
        <v>N/A</v>
      </c>
      <c r="D38" s="515" t="str">
        <f t="shared" si="1"/>
        <v>N/A</v>
      </c>
      <c r="E38" s="424"/>
      <c r="F38" s="137"/>
      <c r="G38" s="137"/>
      <c r="H38" s="514" t="s">
        <v>202</v>
      </c>
      <c r="I38" s="424"/>
      <c r="J38" s="515" t="str">
        <f>IF(INFORMACIÓN!E110="","N/A",INFORMACIÓN!E110)</f>
        <v>N/A</v>
      </c>
      <c r="K38" s="424"/>
      <c r="L38" s="515" t="str">
        <f t="shared" si="2"/>
        <v>N/A</v>
      </c>
      <c r="M38" s="424"/>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250</v>
      </c>
      <c r="C39" s="179">
        <f t="shared" ref="C39:D39" si="3">SUM(C34:C38)</f>
        <v>0</v>
      </c>
      <c r="D39" s="517">
        <f t="shared" si="3"/>
        <v>0</v>
      </c>
      <c r="E39" s="424"/>
      <c r="F39" s="137"/>
      <c r="G39" s="137"/>
      <c r="H39" s="516" t="s">
        <v>250</v>
      </c>
      <c r="I39" s="424"/>
      <c r="J39" s="517">
        <f>SUM(J34:J38)</f>
        <v>0</v>
      </c>
      <c r="K39" s="424"/>
      <c r="L39" s="517">
        <f>SUM(L34:L38)</f>
        <v>0</v>
      </c>
      <c r="M39" s="424"/>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40" t="s">
        <v>257</v>
      </c>
      <c r="C41" s="483"/>
      <c r="D41" s="483"/>
      <c r="E41" s="472"/>
      <c r="F41" s="181"/>
      <c r="G41" s="181"/>
      <c r="H41" s="519" t="s">
        <v>257</v>
      </c>
      <c r="I41" s="401"/>
      <c r="J41" s="401"/>
      <c r="K41" s="401"/>
      <c r="L41" s="401"/>
      <c r="M41" s="402"/>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244</v>
      </c>
      <c r="C42" s="182" t="s">
        <v>245</v>
      </c>
      <c r="D42" s="513" t="s">
        <v>246</v>
      </c>
      <c r="E42" s="424"/>
      <c r="F42" s="137"/>
      <c r="G42" s="137"/>
      <c r="H42" s="513" t="s">
        <v>244</v>
      </c>
      <c r="I42" s="424"/>
      <c r="J42" s="513" t="s">
        <v>245</v>
      </c>
      <c r="K42" s="424"/>
      <c r="L42" s="513" t="s">
        <v>246</v>
      </c>
      <c r="M42" s="424"/>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37" t="s">
        <v>258</v>
      </c>
      <c r="B43" s="176" t="str">
        <f>IF(INFORMACIÓN!C76="","",INFORMACIÓN!C76)</f>
        <v/>
      </c>
      <c r="C43" s="183" t="str">
        <f>IF(INFORMACIÓN!$G76="SÍ",IF('NIVEL DE END FAMILIAR'!B43&lt;&gt;"",IF(INFORMACIÓN!$D$60="QUINCENAL",INFORMACIÓN!$E76*2,INFORMACIÓN!$E76),"FALTA DESCRIPCIÓN"),"")</f>
        <v/>
      </c>
      <c r="D43" s="515" t="str">
        <f>IF(INFORMACIÓN!G76&lt;&gt;"",IF(B43&lt;&gt;"",IF(INFORMACIÓN!$D$60="QUINCENAL",INFORMACIÓN!$E76*2,INFORMACIÓN!$E76),"FALTA DESCRIPCIÓN"),"")</f>
        <v/>
      </c>
      <c r="E43" s="424"/>
      <c r="F43" s="137"/>
      <c r="G43" s="537" t="s">
        <v>258</v>
      </c>
      <c r="H43" s="514" t="str">
        <f>IF(INFORMACIÓN!C111="","",INFORMACIÓN!C111)</f>
        <v/>
      </c>
      <c r="I43" s="424"/>
      <c r="J43" s="515" t="str">
        <f>IF(INFORMACIÓN!$G111="SÍ",IF('NIVEL DE END FAMILIAR'!$H43&lt;&gt;"",IF(INFORMACIÓN!$D$95="QUINCENAL",INFORMACIÓN!E111*2,INFORMACIÓN!E111),"FALTA DESCRIPCIÓN"),"")</f>
        <v/>
      </c>
      <c r="K43" s="424"/>
      <c r="L43" s="515" t="str">
        <f>IF(INFORMACIÓN!G111&lt;&gt;"",IF(H43&lt;&gt;"",IF(INFORMACIÓN!$D$95="QUINCENAL",INFORMACIÓN!$E111*2,INFORMACIÓN!$E111),"FALTA DESCRIPCIÓN"),"")</f>
        <v/>
      </c>
      <c r="M43" s="424"/>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38"/>
      <c r="B44" s="176" t="str">
        <f>IF(INFORMACIÓN!C77="","",INFORMACIÓN!C77)</f>
        <v/>
      </c>
      <c r="C44" s="183" t="str">
        <f>IF(INFORMACIÓN!$G77="SÍ",IF('NIVEL DE END FAMILIAR'!B44&lt;&gt;"",IF(INFORMACIÓN!$D$60="QUINCENAL",INFORMACIÓN!$E77*2,INFORMACIÓN!$E77),"FALTA DESCRIPCIÓN"),"")</f>
        <v/>
      </c>
      <c r="D44" s="515" t="str">
        <f>IF(INFORMACIÓN!G77&lt;&gt;"",IF(B44&lt;&gt;"",IF(INFORMACIÓN!$D$60="QUINCENAL",INFORMACIÓN!$E77*2,INFORMACIÓN!$E77),"FALTA DESCRIPCIÓN"),"")</f>
        <v/>
      </c>
      <c r="E44" s="424"/>
      <c r="F44" s="137"/>
      <c r="G44" s="538"/>
      <c r="H44" s="514" t="str">
        <f>IF(INFORMACIÓN!C112="","",INFORMACIÓN!C112)</f>
        <v/>
      </c>
      <c r="I44" s="424"/>
      <c r="J44" s="515" t="str">
        <f>IF(INFORMACIÓN!$G112="SÍ",IF('NIVEL DE END FAMILIAR'!$H44&lt;&gt;"",IF(INFORMACIÓN!$D$95="QUINCENAL",INFORMACIÓN!E112*2,INFORMACIÓN!E112),"FALTA DESCRIPCIÓN"),"")</f>
        <v/>
      </c>
      <c r="K44" s="424"/>
      <c r="L44" s="515" t="str">
        <f>IF(INFORMACIÓN!G112&lt;&gt;"",IF(H44&lt;&gt;"",IF(INFORMACIÓN!$D$95="QUINCENAL",INFORMACIÓN!$E112*2,INFORMACIÓN!$E112),"FALTA DESCRIPCIÓN"),"")</f>
        <v/>
      </c>
      <c r="M44" s="424"/>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38"/>
      <c r="B45" s="176" t="str">
        <f>IF(INFORMACIÓN!C78="","",INFORMACIÓN!C78)</f>
        <v/>
      </c>
      <c r="C45" s="183" t="str">
        <f>IF(INFORMACIÓN!$G78="SÍ",IF('NIVEL DE END FAMILIAR'!B45&lt;&gt;"",IF(INFORMACIÓN!$D$60="QUINCENAL",INFORMACIÓN!$E78*2,INFORMACIÓN!$E78),"FALTA DESCRIPCIÓN"),"")</f>
        <v/>
      </c>
      <c r="D45" s="515" t="str">
        <f>IF(INFORMACIÓN!G78&lt;&gt;"",IF(B45&lt;&gt;"",IF(INFORMACIÓN!$D$60="QUINCENAL",INFORMACIÓN!$E78*2,INFORMACIÓN!$E78),"FALTA DESCRIPCIÓN"),"")</f>
        <v/>
      </c>
      <c r="E45" s="424"/>
      <c r="F45" s="137"/>
      <c r="G45" s="538"/>
      <c r="H45" s="514" t="str">
        <f>IF(INFORMACIÓN!C113="","",INFORMACIÓN!C113)</f>
        <v/>
      </c>
      <c r="I45" s="424"/>
      <c r="J45" s="515" t="str">
        <f>IF(INFORMACIÓN!$G113="SÍ",IF('NIVEL DE END FAMILIAR'!$H45&lt;&gt;"",IF(INFORMACIÓN!$D$95="QUINCENAL",INFORMACIÓN!E113*2,INFORMACIÓN!E113),"FALTA DESCRIPCIÓN"),"")</f>
        <v/>
      </c>
      <c r="K45" s="424"/>
      <c r="L45" s="515" t="str">
        <f>IF(INFORMACIÓN!G113&lt;&gt;"",IF(H45&lt;&gt;"",IF(INFORMACIÓN!$D$95="QUINCENAL",INFORMACIÓN!$E113*2,INFORMACIÓN!$E113),"FALTA DESCRIPCIÓN"),"")</f>
        <v/>
      </c>
      <c r="M45" s="424"/>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38"/>
      <c r="B46" s="176" t="str">
        <f>IF(INFORMACIÓN!C79="","",INFORMACIÓN!C79)</f>
        <v/>
      </c>
      <c r="C46" s="183" t="str">
        <f>IF(INFORMACIÓN!$G79="SÍ",IF('NIVEL DE END FAMILIAR'!B46&lt;&gt;"",IF(INFORMACIÓN!$D$60="QUINCENAL",INFORMACIÓN!$E79*2,INFORMACIÓN!$E79),"FALTA DESCRIPCIÓN"),"")</f>
        <v/>
      </c>
      <c r="D46" s="515" t="str">
        <f>IF(INFORMACIÓN!G79&lt;&gt;"",IF(B46&lt;&gt;"",IF(INFORMACIÓN!$D$60="QUINCENAL",INFORMACIÓN!$E79*2,INFORMACIÓN!$E79),"FALTA DESCRIPCIÓN"),"")</f>
        <v/>
      </c>
      <c r="E46" s="424"/>
      <c r="F46" s="137"/>
      <c r="G46" s="538"/>
      <c r="H46" s="514" t="str">
        <f>IF(INFORMACIÓN!C114="","",INFORMACIÓN!C114)</f>
        <v/>
      </c>
      <c r="I46" s="424"/>
      <c r="J46" s="515" t="str">
        <f>IF(INFORMACIÓN!$G114="SÍ",IF('NIVEL DE END FAMILIAR'!$H46&lt;&gt;"",IF(INFORMACIÓN!$D$95="QUINCENAL",INFORMACIÓN!E114*2,INFORMACIÓN!E114),"FALTA DESCRIPCIÓN"),"")</f>
        <v/>
      </c>
      <c r="K46" s="424"/>
      <c r="L46" s="515" t="str">
        <f>IF(INFORMACIÓN!G114&lt;&gt;"",IF(H46&lt;&gt;"",IF(INFORMACIÓN!$D$95="QUINCENAL",INFORMACIÓN!$E114*2,INFORMACIÓN!$E114),"FALTA DESCRIPCIÓN"),"")</f>
        <v/>
      </c>
      <c r="M46" s="424"/>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38"/>
      <c r="B47" s="176" t="str">
        <f>IF(INFORMACIÓN!C80="","",INFORMACIÓN!C80)</f>
        <v/>
      </c>
      <c r="C47" s="183" t="str">
        <f>IF(INFORMACIÓN!$G80="SÍ",IF('NIVEL DE END FAMILIAR'!B47&lt;&gt;"",IF(INFORMACIÓN!$D$60="QUINCENAL",INFORMACIÓN!$E80*2,INFORMACIÓN!$E80),"FALTA DESCRIPCIÓN"),"")</f>
        <v/>
      </c>
      <c r="D47" s="515" t="str">
        <f>IF(INFORMACIÓN!G80&lt;&gt;"",IF(B47&lt;&gt;"",IF(INFORMACIÓN!$D$60="QUINCENAL",INFORMACIÓN!$E80*2,INFORMACIÓN!$E80),"FALTA DESCRIPCIÓN"),"")</f>
        <v/>
      </c>
      <c r="E47" s="424"/>
      <c r="F47" s="137"/>
      <c r="G47" s="538"/>
      <c r="H47" s="514" t="str">
        <f>IF(INFORMACIÓN!C115="","",INFORMACIÓN!C115)</f>
        <v/>
      </c>
      <c r="I47" s="424"/>
      <c r="J47" s="515" t="str">
        <f>IF(INFORMACIÓN!$G115="SÍ",IF('NIVEL DE END FAMILIAR'!$H47&lt;&gt;"",IF(INFORMACIÓN!$D$95="QUINCENAL",INFORMACIÓN!E115*2,INFORMACIÓN!E115),"FALTA DESCRIPCIÓN"),"")</f>
        <v/>
      </c>
      <c r="K47" s="424"/>
      <c r="L47" s="515" t="str">
        <f>IF(INFORMACIÓN!G115&lt;&gt;"",IF(H47&lt;&gt;"",IF(INFORMACIÓN!$D$95="QUINCENAL",INFORMACIÓN!$E115*2,INFORMACIÓN!$E115),"FALTA DESCRIPCIÓN"),"")</f>
        <v/>
      </c>
      <c r="M47" s="424"/>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38"/>
      <c r="B48" s="176" t="str">
        <f>IF(INFORMACIÓN!C81="","",INFORMACIÓN!C81)</f>
        <v/>
      </c>
      <c r="C48" s="183" t="str">
        <f>IF(INFORMACIÓN!$G81="SÍ",IF('NIVEL DE END FAMILIAR'!B48&lt;&gt;"",IF(INFORMACIÓN!$D$60="QUINCENAL",INFORMACIÓN!$E81*2,INFORMACIÓN!$E81),"FALTA DESCRIPCIÓN"),"")</f>
        <v/>
      </c>
      <c r="D48" s="515" t="str">
        <f>IF(INFORMACIÓN!G81&lt;&gt;"",IF(B48&lt;&gt;"",IF(INFORMACIÓN!$D$60="QUINCENAL",INFORMACIÓN!$E81*2,INFORMACIÓN!$E81),"FALTA DESCRIPCIÓN"),"")</f>
        <v/>
      </c>
      <c r="E48" s="424"/>
      <c r="F48" s="137"/>
      <c r="G48" s="538"/>
      <c r="H48" s="514" t="str">
        <f>IF(INFORMACIÓN!C116="","",INFORMACIÓN!C116)</f>
        <v/>
      </c>
      <c r="I48" s="424"/>
      <c r="J48" s="515" t="str">
        <f>IF(INFORMACIÓN!$G116="SÍ",IF('NIVEL DE END FAMILIAR'!$H48&lt;&gt;"",IF(INFORMACIÓN!$D$95="QUINCENAL",INFORMACIÓN!E116*2,INFORMACIÓN!E116),"FALTA DESCRIPCIÓN"),"")</f>
        <v/>
      </c>
      <c r="K48" s="424"/>
      <c r="L48" s="515" t="str">
        <f>IF(INFORMACIÓN!G116&lt;&gt;"",IF(H48&lt;&gt;"",IF(INFORMACIÓN!$D$95="QUINCENAL",INFORMACIÓN!$E116*2,INFORMACIÓN!$E116),"FALTA DESCRIPCIÓN"),"")</f>
        <v/>
      </c>
      <c r="M48" s="424"/>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38"/>
      <c r="B49" s="176" t="str">
        <f>IF(INFORMACIÓN!C82="","",INFORMACIÓN!C82)</f>
        <v/>
      </c>
      <c r="C49" s="183" t="str">
        <f>IF(INFORMACIÓN!$G82="SÍ",IF('NIVEL DE END FAMILIAR'!B49&lt;&gt;"",IF(INFORMACIÓN!$D$60="QUINCENAL",INFORMACIÓN!$E82*2,INFORMACIÓN!$E82),"FALTA DESCRIPCIÓN"),"")</f>
        <v/>
      </c>
      <c r="D49" s="515" t="str">
        <f>IF(INFORMACIÓN!G82&lt;&gt;"",IF(B49&lt;&gt;"",IF(INFORMACIÓN!$D$60="QUINCENAL",INFORMACIÓN!$E82*2,INFORMACIÓN!$E82),"FALTA DESCRIPCIÓN"),"")</f>
        <v/>
      </c>
      <c r="E49" s="424"/>
      <c r="F49" s="137"/>
      <c r="G49" s="538"/>
      <c r="H49" s="514" t="str">
        <f>IF(INFORMACIÓN!C117="","",INFORMACIÓN!C117)</f>
        <v/>
      </c>
      <c r="I49" s="424"/>
      <c r="J49" s="515" t="str">
        <f>IF(INFORMACIÓN!$G117="SÍ",IF('NIVEL DE END FAMILIAR'!$H49&lt;&gt;"",IF(INFORMACIÓN!$D$95="QUINCENAL",INFORMACIÓN!E117*2,INFORMACIÓN!E117),"FALTA DESCRIPCIÓN"),"")</f>
        <v/>
      </c>
      <c r="K49" s="424"/>
      <c r="L49" s="515" t="str">
        <f>IF(INFORMACIÓN!G117&lt;&gt;"",IF(H49&lt;&gt;"",IF(INFORMACIÓN!$D$95="QUINCENAL",INFORMACIÓN!$E117*2,INFORMACIÓN!$E117),"FALTA DESCRIPCIÓN"),"")</f>
        <v/>
      </c>
      <c r="M49" s="424"/>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38"/>
      <c r="B50" s="176" t="str">
        <f>IF(INFORMACIÓN!C83="","",INFORMACIÓN!C83)</f>
        <v/>
      </c>
      <c r="C50" s="183" t="str">
        <f>IF(INFORMACIÓN!$G83="SÍ",IF('NIVEL DE END FAMILIAR'!B50&lt;&gt;"",IF(INFORMACIÓN!$D$60="QUINCENAL",INFORMACIÓN!$E83*2,INFORMACIÓN!$E83),"FALTA DESCRIPCIÓN"),"")</f>
        <v/>
      </c>
      <c r="D50" s="515" t="str">
        <f>IF(INFORMACIÓN!G83&lt;&gt;"",IF(B50&lt;&gt;"",IF(INFORMACIÓN!$D$60="QUINCENAL",INFORMACIÓN!$E83*2,INFORMACIÓN!$E83),"FALTA DESCRIPCIÓN"),"")</f>
        <v/>
      </c>
      <c r="E50" s="424"/>
      <c r="F50" s="137"/>
      <c r="G50" s="538"/>
      <c r="H50" s="514" t="str">
        <f>IF(INFORMACIÓN!C118="","",INFORMACIÓN!C118)</f>
        <v/>
      </c>
      <c r="I50" s="424"/>
      <c r="J50" s="515" t="str">
        <f>IF(INFORMACIÓN!$G118="SÍ",IF('NIVEL DE END FAMILIAR'!$H50&lt;&gt;"",IF(INFORMACIÓN!$D$95="QUINCENAL",INFORMACIÓN!E118*2,INFORMACIÓN!E118),"FALTA DESCRIPCIÓN"),"")</f>
        <v/>
      </c>
      <c r="K50" s="424"/>
      <c r="L50" s="515" t="str">
        <f>IF(INFORMACIÓN!G118&lt;&gt;"",IF(H50&lt;&gt;"",IF(INFORMACIÓN!$D$95="QUINCENAL",INFORMACIÓN!$E118*2,INFORMACIÓN!$E118),"FALTA DESCRIPCIÓN"),"")</f>
        <v/>
      </c>
      <c r="M50" s="424"/>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38"/>
      <c r="B51" s="176" t="str">
        <f>IF(INFORMACIÓN!C84="","",INFORMACIÓN!C84)</f>
        <v/>
      </c>
      <c r="C51" s="183" t="str">
        <f>IF(INFORMACIÓN!$G84="SÍ",IF('NIVEL DE END FAMILIAR'!B51&lt;&gt;"",IF(INFORMACIÓN!$D$60="QUINCENAL",INFORMACIÓN!$E84*2,INFORMACIÓN!$E84),"FALTA DESCRIPCIÓN"),"")</f>
        <v/>
      </c>
      <c r="D51" s="515" t="str">
        <f>IF(INFORMACIÓN!G84&lt;&gt;"",IF(B51&lt;&gt;"",IF(INFORMACIÓN!$D$60="QUINCENAL",INFORMACIÓN!$E84*2,INFORMACIÓN!$E84),"FALTA DESCRIPCIÓN"),"")</f>
        <v/>
      </c>
      <c r="E51" s="424"/>
      <c r="F51" s="137"/>
      <c r="G51" s="538"/>
      <c r="H51" s="514" t="str">
        <f>IF(INFORMACIÓN!C119="","",INFORMACIÓN!C119)</f>
        <v/>
      </c>
      <c r="I51" s="424"/>
      <c r="J51" s="515" t="str">
        <f>IF(INFORMACIÓN!$G119="SÍ",IF('NIVEL DE END FAMILIAR'!$H51&lt;&gt;"",IF(INFORMACIÓN!$D$95="QUINCENAL",INFORMACIÓN!E119*2,INFORMACIÓN!E119),"FALTA DESCRIPCIÓN"),"")</f>
        <v/>
      </c>
      <c r="K51" s="424"/>
      <c r="L51" s="515" t="str">
        <f>IF(INFORMACIÓN!G119&lt;&gt;"",IF(H51&lt;&gt;"",IF(INFORMACIÓN!$D$95="QUINCENAL",INFORMACIÓN!$E119*2,INFORMACIÓN!$E119),"FALTA DESCRIPCIÓN"),"")</f>
        <v/>
      </c>
      <c r="M51" s="424"/>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38"/>
      <c r="B52" s="176" t="str">
        <f>IF(INFORMACIÓN!C85="","",INFORMACIÓN!C85)</f>
        <v/>
      </c>
      <c r="C52" s="183" t="str">
        <f>IF(INFORMACIÓN!$G85="SÍ",IF('NIVEL DE END FAMILIAR'!B52&lt;&gt;"",IF(INFORMACIÓN!$D$60="QUINCENAL",INFORMACIÓN!$E85*2,INFORMACIÓN!$E85),"FALTA DESCRIPCIÓN"),"")</f>
        <v/>
      </c>
      <c r="D52" s="515" t="str">
        <f>IF(INFORMACIÓN!G85&lt;&gt;"",IF(B52&lt;&gt;"",IF(INFORMACIÓN!$D$60="QUINCENAL",INFORMACIÓN!$E85*2,INFORMACIÓN!$E85),"FALTA DESCRIPCIÓN"),"")</f>
        <v/>
      </c>
      <c r="E52" s="424"/>
      <c r="F52" s="137"/>
      <c r="G52" s="538"/>
      <c r="H52" s="514" t="str">
        <f>IF(INFORMACIÓN!C120="","",INFORMACIÓN!C120)</f>
        <v/>
      </c>
      <c r="I52" s="424"/>
      <c r="J52" s="515" t="str">
        <f>IF(INFORMACIÓN!$G120="SÍ",IF('NIVEL DE END FAMILIAR'!$H52&lt;&gt;"",IF(INFORMACIÓN!$D$95="QUINCENAL",INFORMACIÓN!E120*2,INFORMACIÓN!E120),"FALTA DESCRIPCIÓN"),"")</f>
        <v/>
      </c>
      <c r="K52" s="424"/>
      <c r="L52" s="515" t="str">
        <f>IF(INFORMACIÓN!G120&lt;&gt;"",IF(H52&lt;&gt;"",IF(INFORMACIÓN!$D$95="QUINCENAL",INFORMACIÓN!$E120*2,INFORMACIÓN!$E120),"FALTA DESCRIPCIÓN"),"")</f>
        <v/>
      </c>
      <c r="M52" s="424"/>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39"/>
      <c r="B53" s="184" t="s">
        <v>271</v>
      </c>
      <c r="C53" s="185">
        <f t="shared" ref="C53:D53" si="4">SUM(C43:C52)</f>
        <v>0</v>
      </c>
      <c r="D53" s="517">
        <f t="shared" si="4"/>
        <v>0</v>
      </c>
      <c r="E53" s="424"/>
      <c r="F53" s="137"/>
      <c r="G53" s="539"/>
      <c r="H53" s="534" t="s">
        <v>271</v>
      </c>
      <c r="I53" s="424"/>
      <c r="J53" s="517">
        <f>SUM(J43:J52)</f>
        <v>0</v>
      </c>
      <c r="K53" s="424"/>
      <c r="L53" s="517">
        <f>SUM(L43:L52)</f>
        <v>0</v>
      </c>
      <c r="M53" s="424"/>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37" t="s">
        <v>43</v>
      </c>
      <c r="B54" s="176" t="str">
        <f>IF(INFORMACIÓN!I74="","",INFORMACIÓN!I74)</f>
        <v/>
      </c>
      <c r="C54" s="183" t="str">
        <f>IF(INFORMACIÓN!O74="SÍ",IF(B54&lt;&gt;"",IF(INFORMACIÓN!$D$60="QUINCENAL",INFORMACIÓN!M74*2,INFORMACIÓN!M74),"FALTA DESCRIPCIÓN"),"")</f>
        <v/>
      </c>
      <c r="D54" s="515" t="str">
        <f>IF(INFORMACIÓN!O74&lt;&gt;"",IF(B54&lt;&gt;"",IF(INFORMACIÓN!$D$60="QUINCENAL",INFORMACIÓN!M74*2,INFORMACIÓN!M74),"FALTA DESCRIPCIÓN"),"")</f>
        <v/>
      </c>
      <c r="E54" s="424"/>
      <c r="F54" s="137"/>
      <c r="G54" s="537" t="s">
        <v>43</v>
      </c>
      <c r="H54" s="514" t="str">
        <f>IF(INFORMACIÓN!I109="","",INFORMACIÓN!I109)</f>
        <v/>
      </c>
      <c r="I54" s="424"/>
      <c r="J54" s="515" t="str">
        <f>IF(INFORMACIÓN!$G111="SÍ",IF('NIVEL DE END FAMILIAR'!H54&lt;&gt;"",IF(INFORMACIÓN!$D$95="QUINCENAL",INFORMACIÓN!M109*2,INFORMACIÓN!$M109),"FALTA DESCRIPCIÓN"),"")</f>
        <v/>
      </c>
      <c r="K54" s="424"/>
      <c r="L54" s="515" t="str">
        <f>IF(INFORMACIÓN!$O109&lt;&gt;"",IF('NIVEL DE END FAMILIAR'!$H54&lt;&gt;"",IF(INFORMACIÓN!$D$95="QUINCENAL",INFORMACIÓN!M109*2,INFORMACIÓN!M109),"FALTA DESCRIPCIÓN"),"")</f>
        <v/>
      </c>
      <c r="M54" s="424"/>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38"/>
      <c r="B55" s="176" t="str">
        <f>IF(INFORMACIÓN!I75="","",INFORMACIÓN!I75)</f>
        <v/>
      </c>
      <c r="C55" s="183" t="str">
        <f>IF(INFORMACIÓN!O75="SÍ",IF(B55&lt;&gt;"",IF(INFORMACIÓN!$D$60="QUINCENAL",INFORMACIÓN!M75*2,INFORMACIÓN!M75),"FALTA DESCRIPCIÓN"),"")</f>
        <v/>
      </c>
      <c r="D55" s="515" t="str">
        <f>IF(INFORMACIÓN!O75&lt;&gt;"",IF(B55&lt;&gt;"",IF(INFORMACIÓN!$D$60="QUINCENAL",INFORMACIÓN!M75*2,INFORMACIÓN!M75),"FALTA DESCRIPCIÓN"),"")</f>
        <v/>
      </c>
      <c r="E55" s="424"/>
      <c r="F55" s="137"/>
      <c r="G55" s="538"/>
      <c r="H55" s="514" t="str">
        <f>IF(INFORMACIÓN!I110="","",INFORMACIÓN!I110)</f>
        <v/>
      </c>
      <c r="I55" s="424"/>
      <c r="J55" s="515" t="str">
        <f>IF(INFORMACIÓN!$G112="SÍ",IF('NIVEL DE END FAMILIAR'!H55&lt;&gt;"",IF(INFORMACIÓN!$D$95="QUINCENAL",INFORMACIÓN!M110*2,INFORMACIÓN!$M110),"FALTA DESCRIPCIÓN"),"")</f>
        <v/>
      </c>
      <c r="K55" s="424"/>
      <c r="L55" s="515" t="str">
        <f>IF(INFORMACIÓN!$O110&lt;&gt;"",IF('NIVEL DE END FAMILIAR'!$H55&lt;&gt;"",IF(INFORMACIÓN!$D$95="QUINCENAL",INFORMACIÓN!M110*2,INFORMACIÓN!M110),"FALTA DESCRIPCIÓN"),"")</f>
        <v/>
      </c>
      <c r="M55" s="424"/>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38"/>
      <c r="B56" s="176" t="str">
        <f>IF(INFORMACIÓN!I76="","",INFORMACIÓN!I76)</f>
        <v/>
      </c>
      <c r="C56" s="183" t="str">
        <f>IF(INFORMACIÓN!O76="SÍ",IF(B56&lt;&gt;"",IF(INFORMACIÓN!$D$60="QUINCENAL",INFORMACIÓN!M76*2,INFORMACIÓN!M76),"FALTA DESCRIPCIÓN"),"")</f>
        <v/>
      </c>
      <c r="D56" s="515" t="str">
        <f>IF(INFORMACIÓN!O76&lt;&gt;"",IF(B56&lt;&gt;"",IF(INFORMACIÓN!$D$60="QUINCENAL",INFORMACIÓN!M76*2,INFORMACIÓN!M76),"FALTA DESCRIPCIÓN"),"")</f>
        <v/>
      </c>
      <c r="E56" s="424"/>
      <c r="F56" s="137"/>
      <c r="G56" s="538"/>
      <c r="H56" s="514" t="str">
        <f>IF(INFORMACIÓN!I111="","",INFORMACIÓN!I111)</f>
        <v/>
      </c>
      <c r="I56" s="424"/>
      <c r="J56" s="515" t="str">
        <f>IF(INFORMACIÓN!$G113="SÍ",IF('NIVEL DE END FAMILIAR'!H56&lt;&gt;"",IF(INFORMACIÓN!$D$95="QUINCENAL",INFORMACIÓN!M111*2,INFORMACIÓN!$M111),"FALTA DESCRIPCIÓN"),"")</f>
        <v/>
      </c>
      <c r="K56" s="424"/>
      <c r="L56" s="515" t="str">
        <f>IF(INFORMACIÓN!$O111&lt;&gt;"",IF('NIVEL DE END FAMILIAR'!$H56&lt;&gt;"",IF(INFORMACIÓN!$D$95="QUINCENAL",INFORMACIÓN!M111*2,INFORMACIÓN!M111),"FALTA DESCRIPCIÓN"),"")</f>
        <v/>
      </c>
      <c r="M56" s="424"/>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38"/>
      <c r="B57" s="176" t="str">
        <f>IF(INFORMACIÓN!I77="","",INFORMACIÓN!I77)</f>
        <v/>
      </c>
      <c r="C57" s="183" t="str">
        <f>IF(INFORMACIÓN!O77="SÍ",IF(B57&lt;&gt;"",IF(INFORMACIÓN!$D$60="QUINCENAL",INFORMACIÓN!M77*2,INFORMACIÓN!M77),"FALTA DESCRIPCIÓN"),"")</f>
        <v/>
      </c>
      <c r="D57" s="515" t="str">
        <f>IF(INFORMACIÓN!O77&lt;&gt;"",IF(B57&lt;&gt;"",IF(INFORMACIÓN!$D$60="QUINCENAL",INFORMACIÓN!M77*2,INFORMACIÓN!M77),"FALTA DESCRIPCIÓN"),"")</f>
        <v/>
      </c>
      <c r="E57" s="424"/>
      <c r="F57" s="137"/>
      <c r="G57" s="538"/>
      <c r="H57" s="514" t="str">
        <f>IF(INFORMACIÓN!I112="","",INFORMACIÓN!I112)</f>
        <v/>
      </c>
      <c r="I57" s="424"/>
      <c r="J57" s="515" t="str">
        <f>IF(INFORMACIÓN!$G114="SÍ",IF('NIVEL DE END FAMILIAR'!H57&lt;&gt;"",IF(INFORMACIÓN!$D$95="QUINCENAL",INFORMACIÓN!M112*2,INFORMACIÓN!$M112),"FALTA DESCRIPCIÓN"),"")</f>
        <v/>
      </c>
      <c r="K57" s="424"/>
      <c r="L57" s="515" t="str">
        <f>IF(INFORMACIÓN!$O112&lt;&gt;"",IF('NIVEL DE END FAMILIAR'!$H57&lt;&gt;"",IF(INFORMACIÓN!$D$95="QUINCENAL",INFORMACIÓN!M112*2,INFORMACIÓN!M112),"FALTA DESCRIPCIÓN"),"")</f>
        <v/>
      </c>
      <c r="M57" s="424"/>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38"/>
      <c r="B58" s="176" t="str">
        <f>IF(INFORMACIÓN!I78="","",INFORMACIÓN!I78)</f>
        <v/>
      </c>
      <c r="C58" s="183" t="str">
        <f>IF(INFORMACIÓN!O78="SÍ",IF(B58&lt;&gt;"",IF(INFORMACIÓN!$D$60="QUINCENAL",INFORMACIÓN!M78*2,INFORMACIÓN!M78),"FALTA DESCRIPCIÓN"),"")</f>
        <v/>
      </c>
      <c r="D58" s="515" t="str">
        <f>IF(INFORMACIÓN!O78&lt;&gt;"",IF(B58&lt;&gt;"",IF(INFORMACIÓN!$D$60="QUINCENAL",INFORMACIÓN!M78*2,INFORMACIÓN!M78),"FALTA DESCRIPCIÓN"),"")</f>
        <v/>
      </c>
      <c r="E58" s="424"/>
      <c r="F58" s="137"/>
      <c r="G58" s="538"/>
      <c r="H58" s="514" t="str">
        <f>IF(INFORMACIÓN!I113="","",INFORMACIÓN!I113)</f>
        <v/>
      </c>
      <c r="I58" s="424"/>
      <c r="J58" s="515" t="str">
        <f>IF(INFORMACIÓN!$G115="SÍ",IF('NIVEL DE END FAMILIAR'!H58&lt;&gt;"",IF(INFORMACIÓN!$D$95="QUINCENAL",INFORMACIÓN!M113*2,INFORMACIÓN!$M113),"FALTA DESCRIPCIÓN"),"")</f>
        <v/>
      </c>
      <c r="K58" s="424"/>
      <c r="L58" s="515" t="str">
        <f>IF(INFORMACIÓN!$O113&lt;&gt;"",IF('NIVEL DE END FAMILIAR'!$H58&lt;&gt;"",IF(INFORMACIÓN!$D$95="QUINCENAL",INFORMACIÓN!M113*2,INFORMACIÓN!M113),"FALTA DESCRIPCIÓN"),"")</f>
        <v/>
      </c>
      <c r="M58" s="424"/>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38"/>
      <c r="B59" s="176" t="str">
        <f>IF(INFORMACIÓN!I79="","",INFORMACIÓN!I79)</f>
        <v/>
      </c>
      <c r="C59" s="183" t="str">
        <f>IF(INFORMACIÓN!O79="SÍ",IF(B59&lt;&gt;"",IF(INFORMACIÓN!$D$60="QUINCENAL",INFORMACIÓN!M79*2,INFORMACIÓN!M79),"FALTA DESCRIPCIÓN"),"")</f>
        <v/>
      </c>
      <c r="D59" s="515" t="str">
        <f>IF(INFORMACIÓN!O79&lt;&gt;"",IF(B59&lt;&gt;"",IF(INFORMACIÓN!$D$60="QUINCENAL",INFORMACIÓN!M79*2,INFORMACIÓN!M79),"FALTA DESCRIPCIÓN"),"")</f>
        <v/>
      </c>
      <c r="E59" s="424"/>
      <c r="F59" s="137"/>
      <c r="G59" s="538"/>
      <c r="H59" s="514" t="str">
        <f>IF(INFORMACIÓN!I114="","",INFORMACIÓN!I114)</f>
        <v/>
      </c>
      <c r="I59" s="424"/>
      <c r="J59" s="515" t="str">
        <f>IF(INFORMACIÓN!$G116="SÍ",IF('NIVEL DE END FAMILIAR'!H59&lt;&gt;"",IF(INFORMACIÓN!$D$95="QUINCENAL",INFORMACIÓN!M114*2,INFORMACIÓN!$M114),"FALTA DESCRIPCIÓN"),"")</f>
        <v/>
      </c>
      <c r="K59" s="424"/>
      <c r="L59" s="515" t="str">
        <f>IF(INFORMACIÓN!$O114&lt;&gt;"",IF('NIVEL DE END FAMILIAR'!$H59&lt;&gt;"",IF(INFORMACIÓN!$D$95="QUINCENAL",INFORMACIÓN!M114*2,INFORMACIÓN!M114),"FALTA DESCRIPCIÓN"),"")</f>
        <v/>
      </c>
      <c r="M59" s="424"/>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38"/>
      <c r="B60" s="176" t="str">
        <f>IF(INFORMACIÓN!I80="","",INFORMACIÓN!I80)</f>
        <v/>
      </c>
      <c r="C60" s="183" t="str">
        <f>IF(INFORMACIÓN!O80="SÍ",IF(B60&lt;&gt;"",IF(INFORMACIÓN!$D$60="QUINCENAL",INFORMACIÓN!M80*2,INFORMACIÓN!M80),"FALTA DESCRIPCIÓN"),"")</f>
        <v/>
      </c>
      <c r="D60" s="515" t="str">
        <f>IF(INFORMACIÓN!O80&lt;&gt;"",IF(B60&lt;&gt;"",IF(INFORMACIÓN!$D$60="QUINCENAL",INFORMACIÓN!M80*2,INFORMACIÓN!M80),"FALTA DESCRIPCIÓN"),"")</f>
        <v/>
      </c>
      <c r="E60" s="424"/>
      <c r="F60" s="137"/>
      <c r="G60" s="538"/>
      <c r="H60" s="514" t="str">
        <f>IF(INFORMACIÓN!I115="","",INFORMACIÓN!I115)</f>
        <v/>
      </c>
      <c r="I60" s="424"/>
      <c r="J60" s="515" t="str">
        <f>IF(INFORMACIÓN!$G117="SÍ",IF('NIVEL DE END FAMILIAR'!H60&lt;&gt;"",IF(INFORMACIÓN!$D$95="QUINCENAL",INFORMACIÓN!M115*2,INFORMACIÓN!$M115),"FALTA DESCRIPCIÓN"),"")</f>
        <v/>
      </c>
      <c r="K60" s="424"/>
      <c r="L60" s="515" t="str">
        <f>IF(INFORMACIÓN!$O115&lt;&gt;"",IF('NIVEL DE END FAMILIAR'!$H60&lt;&gt;"",IF(INFORMACIÓN!$D$95="QUINCENAL",INFORMACIÓN!M115*2,INFORMACIÓN!M115),"FALTA DESCRIPCIÓN"),"")</f>
        <v/>
      </c>
      <c r="M60" s="424"/>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38"/>
      <c r="B61" s="176" t="str">
        <f>IF(INFORMACIÓN!I81="","",INFORMACIÓN!I81)</f>
        <v/>
      </c>
      <c r="C61" s="183" t="str">
        <f>IF(INFORMACIÓN!O81="SÍ",IF(B61&lt;&gt;"",IF(INFORMACIÓN!$D$60="QUINCENAL",INFORMACIÓN!M81*2,INFORMACIÓN!M81),"FALTA DESCRIPCIÓN"),"")</f>
        <v/>
      </c>
      <c r="D61" s="515" t="str">
        <f>IF(INFORMACIÓN!O81&lt;&gt;"",IF(B61&lt;&gt;"",IF(INFORMACIÓN!$D$60="QUINCENAL",INFORMACIÓN!M81*2,INFORMACIÓN!M81),"FALTA DESCRIPCIÓN"),"")</f>
        <v/>
      </c>
      <c r="E61" s="424"/>
      <c r="F61" s="137"/>
      <c r="G61" s="538"/>
      <c r="H61" s="514" t="str">
        <f>IF(INFORMACIÓN!I116="","",INFORMACIÓN!I116)</f>
        <v/>
      </c>
      <c r="I61" s="424"/>
      <c r="J61" s="515" t="str">
        <f>IF(INFORMACIÓN!$G118="SÍ",IF('NIVEL DE END FAMILIAR'!H61&lt;&gt;"",IF(INFORMACIÓN!$D$95="QUINCENAL",INFORMACIÓN!M116*2,INFORMACIÓN!$M116),"FALTA DESCRIPCIÓN"),"")</f>
        <v/>
      </c>
      <c r="K61" s="424"/>
      <c r="L61" s="515" t="str">
        <f>IF(INFORMACIÓN!$O116&lt;&gt;"",IF('NIVEL DE END FAMILIAR'!$H61&lt;&gt;"",IF(INFORMACIÓN!$D$95="QUINCENAL",INFORMACIÓN!M116*2,INFORMACIÓN!M116),"FALTA DESCRIPCIÓN"),"")</f>
        <v/>
      </c>
      <c r="M61" s="424"/>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38"/>
      <c r="B62" s="176" t="str">
        <f>IF(INFORMACIÓN!I82="","",INFORMACIÓN!I82)</f>
        <v/>
      </c>
      <c r="C62" s="183" t="str">
        <f>IF(INFORMACIÓN!O82="SÍ",IF(B62&lt;&gt;"",IF(INFORMACIÓN!$D$60="QUINCENAL",INFORMACIÓN!M82*2,INFORMACIÓN!M82),"FALTA DESCRIPCIÓN"),"")</f>
        <v/>
      </c>
      <c r="D62" s="515" t="str">
        <f>IF(INFORMACIÓN!O82&lt;&gt;"",IF(B62&lt;&gt;"",IF(INFORMACIÓN!$D$60="QUINCENAL",INFORMACIÓN!M82*2,INFORMACIÓN!M82),"FALTA DESCRIPCIÓN"),"")</f>
        <v/>
      </c>
      <c r="E62" s="424"/>
      <c r="F62" s="137"/>
      <c r="G62" s="538"/>
      <c r="H62" s="514" t="str">
        <f>IF(INFORMACIÓN!I117="","",INFORMACIÓN!I117)</f>
        <v/>
      </c>
      <c r="I62" s="424"/>
      <c r="J62" s="515" t="str">
        <f>IF(INFORMACIÓN!$G119="SÍ",IF('NIVEL DE END FAMILIAR'!H62&lt;&gt;"",IF(INFORMACIÓN!$D$95="QUINCENAL",INFORMACIÓN!M117*2,INFORMACIÓN!$M117),"FALTA DESCRIPCIÓN"),"")</f>
        <v/>
      </c>
      <c r="K62" s="424"/>
      <c r="L62" s="515" t="str">
        <f>IF(INFORMACIÓN!$O117&lt;&gt;"",IF('NIVEL DE END FAMILIAR'!$H62&lt;&gt;"",IF(INFORMACIÓN!$D$95="QUINCENAL",INFORMACIÓN!M117*2,INFORMACIÓN!M117),"FALTA DESCRIPCIÓN"),"")</f>
        <v/>
      </c>
      <c r="M62" s="424"/>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38"/>
      <c r="B63" s="176" t="str">
        <f>IF(INFORMACIÓN!I83="","",INFORMACIÓN!I83)</f>
        <v/>
      </c>
      <c r="C63" s="183" t="str">
        <f>IF(INFORMACIÓN!O83="SÍ",IF(B63&lt;&gt;"",IF(INFORMACIÓN!$D$60="QUINCENAL",INFORMACIÓN!M83*2,INFORMACIÓN!M83),"FALTA DESCRIPCIÓN"),"")</f>
        <v/>
      </c>
      <c r="D63" s="515" t="str">
        <f>IF(INFORMACIÓN!O83&lt;&gt;"",IF(B63&lt;&gt;"",IF(INFORMACIÓN!$D$60="QUINCENAL",INFORMACIÓN!M83*2,INFORMACIÓN!M83),"FALTA DESCRIPCIÓN"),"")</f>
        <v/>
      </c>
      <c r="E63" s="424"/>
      <c r="F63" s="137"/>
      <c r="G63" s="538"/>
      <c r="H63" s="514" t="str">
        <f>IF(INFORMACIÓN!I118="","",INFORMACIÓN!I118)</f>
        <v/>
      </c>
      <c r="I63" s="424"/>
      <c r="J63" s="515" t="str">
        <f>IF(INFORMACIÓN!$G120="SÍ",IF('NIVEL DE END FAMILIAR'!H63&lt;&gt;"",IF(INFORMACIÓN!$D$95="QUINCENAL",INFORMACIÓN!M118*2,INFORMACIÓN!$M118),"FALTA DESCRIPCIÓN"),"")</f>
        <v/>
      </c>
      <c r="K63" s="424"/>
      <c r="L63" s="515" t="str">
        <f>IF(INFORMACIÓN!$O118&lt;&gt;"",IF('NIVEL DE END FAMILIAR'!$H63&lt;&gt;"",IF(INFORMACIÓN!$D$95="QUINCENAL",INFORMACIÓN!M118*2,INFORMACIÓN!M118),"FALTA DESCRIPCIÓN"),"")</f>
        <v/>
      </c>
      <c r="M63" s="424"/>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39"/>
      <c r="B64" s="186" t="s">
        <v>272</v>
      </c>
      <c r="C64" s="185">
        <f t="shared" ref="C64:D64" si="5">SUM(C54:C63)</f>
        <v>0</v>
      </c>
      <c r="D64" s="517">
        <f t="shared" si="5"/>
        <v>0</v>
      </c>
      <c r="E64" s="424"/>
      <c r="F64" s="137"/>
      <c r="G64" s="539"/>
      <c r="H64" s="534" t="s">
        <v>272</v>
      </c>
      <c r="I64" s="424"/>
      <c r="J64" s="517">
        <f>SUM(J54:J63)</f>
        <v>0</v>
      </c>
      <c r="K64" s="424"/>
      <c r="L64" s="517">
        <f>SUM(L54:L63)</f>
        <v>0</v>
      </c>
      <c r="M64" s="424"/>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35" t="s">
        <v>273</v>
      </c>
      <c r="B66" s="424"/>
      <c r="C66" s="187">
        <f t="shared" ref="C66:D66" si="6">SUM(C39,C53,C64)</f>
        <v>0</v>
      </c>
      <c r="D66" s="526">
        <f t="shared" si="6"/>
        <v>0</v>
      </c>
      <c r="E66" s="424"/>
      <c r="F66" s="137"/>
      <c r="G66" s="535" t="s">
        <v>273</v>
      </c>
      <c r="H66" s="423"/>
      <c r="I66" s="424"/>
      <c r="J66" s="526">
        <f>SUM(J39,J53,J64)</f>
        <v>0</v>
      </c>
      <c r="K66" s="424"/>
      <c r="L66" s="526">
        <f>SUM(L39,L53,L64)</f>
        <v>0</v>
      </c>
      <c r="M66" s="424"/>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35" t="s">
        <v>259</v>
      </c>
      <c r="E68" s="423"/>
      <c r="F68" s="423"/>
      <c r="G68" s="423"/>
      <c r="H68" s="423"/>
      <c r="I68" s="424"/>
      <c r="J68" s="526">
        <f>SUM(C66,J66)</f>
        <v>0</v>
      </c>
      <c r="K68" s="424"/>
      <c r="L68" s="526">
        <f>SUM(D66,L66)</f>
        <v>0</v>
      </c>
      <c r="M68" s="424"/>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32" t="s">
        <v>260</v>
      </c>
      <c r="C70" s="401"/>
      <c r="D70" s="401"/>
      <c r="E70" s="401"/>
      <c r="F70" s="401"/>
      <c r="G70" s="401"/>
      <c r="H70" s="401"/>
      <c r="I70" s="401"/>
      <c r="J70" s="401"/>
      <c r="K70" s="401"/>
      <c r="L70" s="401"/>
      <c r="M70" s="401"/>
      <c r="N70" s="402"/>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60" t="s">
        <v>261</v>
      </c>
      <c r="B72" s="401"/>
      <c r="C72" s="401"/>
      <c r="D72" s="401"/>
      <c r="E72" s="401"/>
      <c r="F72" s="401"/>
      <c r="G72" s="401"/>
      <c r="H72" s="401"/>
      <c r="I72" s="401"/>
      <c r="J72" s="401"/>
      <c r="K72" s="401"/>
      <c r="L72" s="401"/>
      <c r="M72" s="401"/>
      <c r="N72" s="402"/>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33" t="s">
        <v>245</v>
      </c>
      <c r="D74" s="424"/>
      <c r="E74" s="533" t="s">
        <v>246</v>
      </c>
      <c r="F74" s="424"/>
      <c r="G74" s="137"/>
      <c r="H74" s="137"/>
      <c r="I74" s="137"/>
      <c r="J74" s="533" t="s">
        <v>245</v>
      </c>
      <c r="K74" s="424"/>
      <c r="L74" s="533" t="s">
        <v>246</v>
      </c>
      <c r="M74" s="424"/>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262</v>
      </c>
      <c r="C75" s="189">
        <f>C25-C66</f>
        <v>0</v>
      </c>
      <c r="D75" s="190">
        <f t="shared" ref="D75:D76" si="7">IFERROR(C75/$C$25,0)</f>
        <v>0</v>
      </c>
      <c r="E75" s="191">
        <f>D25-D66</f>
        <v>0</v>
      </c>
      <c r="F75" s="190">
        <f t="shared" ref="F75:F76" si="8">IFERROR(E75/$D$25,0)</f>
        <v>0</v>
      </c>
      <c r="G75" s="137"/>
      <c r="H75" s="137"/>
      <c r="I75" s="188" t="s">
        <v>262</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264</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264</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265</v>
      </c>
      <c r="C77" s="195">
        <f>IFERROR(C75-C76,"N/D")</f>
        <v>0</v>
      </c>
      <c r="D77" s="170">
        <f>IFERROR(C77/C25,0)</f>
        <v>0</v>
      </c>
      <c r="E77" s="195">
        <f>IFERROR(E75-E76,"N/D")</f>
        <v>0</v>
      </c>
      <c r="F77" s="170">
        <f>IFERROR(E77/D25,0)</f>
        <v>0</v>
      </c>
      <c r="G77" s="137"/>
      <c r="H77" s="137"/>
      <c r="I77" s="188" t="s">
        <v>265</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29"/>
      <c r="E78" s="401"/>
      <c r="F78" s="401"/>
      <c r="G78" s="402"/>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33" t="s">
        <v>245</v>
      </c>
      <c r="E80" s="423"/>
      <c r="F80" s="423"/>
      <c r="G80" s="423"/>
      <c r="H80" s="424"/>
      <c r="I80" s="533" t="s">
        <v>246</v>
      </c>
      <c r="J80" s="423"/>
      <c r="K80" s="424"/>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262</v>
      </c>
      <c r="D81" s="536">
        <f>J28-J68</f>
        <v>0</v>
      </c>
      <c r="E81" s="423"/>
      <c r="F81" s="423"/>
      <c r="G81" s="424"/>
      <c r="H81" s="190">
        <f>IFERROR(D81/$J$28,0)</f>
        <v>0</v>
      </c>
      <c r="I81" s="536">
        <f>L28-L68</f>
        <v>0</v>
      </c>
      <c r="J81" s="424"/>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264</v>
      </c>
      <c r="D82" s="536">
        <f>C76</f>
        <v>0</v>
      </c>
      <c r="E82" s="423"/>
      <c r="F82" s="423"/>
      <c r="G82" s="424"/>
      <c r="H82" s="190">
        <f>IFERROR(D82/$C$25,0)</f>
        <v>0</v>
      </c>
      <c r="I82" s="536">
        <f>E76</f>
        <v>0</v>
      </c>
      <c r="J82" s="424"/>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265</v>
      </c>
      <c r="D83" s="526">
        <f>D81-D82</f>
        <v>0</v>
      </c>
      <c r="E83" s="423"/>
      <c r="F83" s="423"/>
      <c r="G83" s="424"/>
      <c r="H83" s="170">
        <f>IFERROR(D83/J28,0)</f>
        <v>0</v>
      </c>
      <c r="I83" s="526">
        <f>IFERROR(I81-I82,"N/D")</f>
        <v>0</v>
      </c>
      <c r="J83" s="424"/>
      <c r="K83" s="170">
        <f>IFERROR(I83/L28,0)</f>
        <v>0</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12" t="s">
        <v>266</v>
      </c>
      <c r="C85" s="401"/>
      <c r="D85" s="401"/>
      <c r="E85" s="401"/>
      <c r="F85" s="401"/>
      <c r="G85" s="401"/>
      <c r="H85" s="401"/>
      <c r="I85" s="401"/>
      <c r="J85" s="401"/>
      <c r="K85" s="401"/>
      <c r="L85" s="401"/>
      <c r="M85" s="401"/>
      <c r="N85" s="402"/>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82"/>
      <c r="C87" s="472"/>
      <c r="D87" s="99"/>
      <c r="E87" s="136"/>
      <c r="F87" s="136"/>
      <c r="G87" s="136"/>
      <c r="H87" s="136"/>
      <c r="I87" s="482"/>
      <c r="J87" s="483"/>
      <c r="K87" s="483"/>
      <c r="L87" s="483"/>
      <c r="M87" s="472"/>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73" t="s">
        <v>238</v>
      </c>
      <c r="C88" s="475"/>
      <c r="D88" s="99"/>
      <c r="E88" s="99"/>
      <c r="F88" s="99"/>
      <c r="G88" s="99"/>
      <c r="H88" s="99"/>
      <c r="I88" s="473" t="s">
        <v>239</v>
      </c>
      <c r="J88" s="474"/>
      <c r="K88" s="474"/>
      <c r="L88" s="474"/>
      <c r="M88" s="475"/>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76" t="s">
        <v>240</v>
      </c>
      <c r="C89" s="402"/>
      <c r="D89" s="99"/>
      <c r="E89" s="99"/>
      <c r="F89" s="99"/>
      <c r="G89" s="99"/>
      <c r="H89" s="99"/>
      <c r="I89" s="476">
        <f>I16</f>
        <v>0</v>
      </c>
      <c r="J89" s="401"/>
      <c r="K89" s="401"/>
      <c r="L89" s="401"/>
      <c r="M89" s="402"/>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 ref="D48:E48"/>
    <mergeCell ref="H48:I48"/>
    <mergeCell ref="J48:K48"/>
    <mergeCell ref="L48:M48"/>
    <mergeCell ref="D49:E49"/>
    <mergeCell ref="H49:I49"/>
    <mergeCell ref="J49:K49"/>
    <mergeCell ref="L49:M49"/>
    <mergeCell ref="D50:E50"/>
    <mergeCell ref="H50:I50"/>
    <mergeCell ref="J50:K50"/>
    <mergeCell ref="L50:M50"/>
    <mergeCell ref="D51:E51"/>
    <mergeCell ref="H51:I51"/>
    <mergeCell ref="J51:K51"/>
    <mergeCell ref="L51:M51"/>
    <mergeCell ref="D52:E52"/>
    <mergeCell ref="H52:I52"/>
    <mergeCell ref="J52:K52"/>
    <mergeCell ref="L52:M52"/>
    <mergeCell ref="B32:E32"/>
    <mergeCell ref="H32:M32"/>
    <mergeCell ref="D33:E33"/>
    <mergeCell ref="H33:I33"/>
    <mergeCell ref="J33:K33"/>
    <mergeCell ref="L33:M33"/>
    <mergeCell ref="H34:I34"/>
    <mergeCell ref="J34:K34"/>
    <mergeCell ref="L34:M34"/>
    <mergeCell ref="D34:E34"/>
    <mergeCell ref="D35:E35"/>
    <mergeCell ref="H35:I35"/>
    <mergeCell ref="J35:K35"/>
    <mergeCell ref="L35:M35"/>
    <mergeCell ref="D36:E36"/>
    <mergeCell ref="D37:E37"/>
    <mergeCell ref="L24:M24"/>
    <mergeCell ref="J25:K25"/>
    <mergeCell ref="L25:M25"/>
    <mergeCell ref="B26:N26"/>
    <mergeCell ref="H25:I25"/>
    <mergeCell ref="D28:I28"/>
    <mergeCell ref="J28:K28"/>
    <mergeCell ref="L28:M28"/>
    <mergeCell ref="A30:N30"/>
    <mergeCell ref="D38:E38"/>
    <mergeCell ref="H38:I38"/>
    <mergeCell ref="J38:K38"/>
    <mergeCell ref="L38:M38"/>
    <mergeCell ref="J36:K36"/>
    <mergeCell ref="L36:M36"/>
    <mergeCell ref="H36:I36"/>
    <mergeCell ref="H37:I37"/>
    <mergeCell ref="J37:K37"/>
    <mergeCell ref="L37:M37"/>
    <mergeCell ref="L20:M20"/>
    <mergeCell ref="L21:M21"/>
    <mergeCell ref="H21:I21"/>
    <mergeCell ref="J21:K21"/>
    <mergeCell ref="H22:I22"/>
    <mergeCell ref="J22:K22"/>
    <mergeCell ref="L22:M22"/>
    <mergeCell ref="J23:K23"/>
    <mergeCell ref="L23:M23"/>
    <mergeCell ref="H23:I23"/>
    <mergeCell ref="D21:E21"/>
    <mergeCell ref="D22:E22"/>
    <mergeCell ref="D23:E23"/>
    <mergeCell ref="D24:E24"/>
    <mergeCell ref="D25:E25"/>
    <mergeCell ref="H19:I19"/>
    <mergeCell ref="J19:K19"/>
    <mergeCell ref="D20:E20"/>
    <mergeCell ref="H20:I20"/>
    <mergeCell ref="J20:K20"/>
    <mergeCell ref="H24:I24"/>
    <mergeCell ref="J24:K24"/>
    <mergeCell ref="C11:E11"/>
    <mergeCell ref="J11:L11"/>
    <mergeCell ref="A11:B11"/>
    <mergeCell ref="A12:B12"/>
    <mergeCell ref="C12:E12"/>
    <mergeCell ref="C13:E13"/>
    <mergeCell ref="A16:N16"/>
    <mergeCell ref="B17:N17"/>
    <mergeCell ref="D19:E19"/>
    <mergeCell ref="L19:M19"/>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5" defaultRowHeight="15"/>
  <cols>
    <col min="1" max="1" width="7.6640625" style="292" customWidth="1"/>
    <col min="2" max="2" width="3.1640625" style="292" hidden="1" customWidth="1"/>
    <col min="3" max="3" width="12.83203125" style="292" bestFit="1" customWidth="1"/>
    <col min="4" max="4" width="13.5" style="292" customWidth="1"/>
    <col min="5" max="5" width="17.1640625" style="292" customWidth="1"/>
    <col min="6" max="7" width="18.83203125" style="292" customWidth="1"/>
    <col min="8" max="26" width="10.5" style="292" customWidth="1"/>
    <col min="27" max="16384" width="14.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46" t="s">
        <v>920</v>
      </c>
      <c r="D3" s="546"/>
      <c r="E3" s="546"/>
      <c r="F3" s="546"/>
      <c r="G3" s="546"/>
      <c r="H3" s="291"/>
    </row>
    <row r="4" spans="2:8" ht="14.25" customHeight="1">
      <c r="B4" s="289"/>
      <c r="C4" s="290"/>
      <c r="D4" s="293"/>
      <c r="E4" s="290"/>
      <c r="F4" s="290"/>
      <c r="G4" s="290"/>
      <c r="H4" s="291"/>
    </row>
    <row r="5" spans="2:8" ht="14.25" customHeight="1">
      <c r="B5" s="289"/>
      <c r="C5" s="294"/>
      <c r="D5" s="294"/>
      <c r="E5" s="295" t="s">
        <v>550</v>
      </c>
      <c r="F5" s="295">
        <v>0</v>
      </c>
      <c r="G5" s="296"/>
      <c r="H5" s="291"/>
    </row>
    <row r="6" spans="2:8" ht="14.25" customHeight="1">
      <c r="B6" s="289">
        <f>VLOOKUP(C6,AUX!Z:AA,2,0)</f>
        <v>8</v>
      </c>
      <c r="C6" s="297" t="s">
        <v>551</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552</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553</v>
      </c>
      <c r="F20" s="306" t="s">
        <v>192</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5" defaultRowHeight="15"/>
  <cols>
    <col min="1" max="1" width="11" style="292" hidden="1" customWidth="1"/>
    <col min="2" max="2" width="1.5" style="292" customWidth="1"/>
    <col min="3" max="4" width="11.5" style="292" customWidth="1"/>
    <col min="5" max="5" width="1.5" style="292" hidden="1" customWidth="1"/>
    <col min="6" max="7" width="11.5" style="292" customWidth="1"/>
    <col min="8" max="8" width="1.5" style="292" hidden="1" customWidth="1"/>
    <col min="9" max="10" width="11.5" style="292" customWidth="1"/>
    <col min="11" max="11" width="1.5" style="292" hidden="1" customWidth="1"/>
    <col min="12" max="13" width="11.5" style="292" customWidth="1"/>
    <col min="14" max="14" width="1.5" style="292" hidden="1" customWidth="1"/>
    <col min="15" max="16" width="11.5" style="292" customWidth="1"/>
    <col min="17" max="17" width="1.5" style="292" hidden="1" customWidth="1"/>
    <col min="18" max="19" width="11.5" style="292" customWidth="1"/>
    <col min="20" max="20" width="1.5" style="292" hidden="1" customWidth="1"/>
    <col min="21" max="22" width="11.5" style="292" customWidth="1"/>
    <col min="23" max="23" width="17.83203125" style="292" customWidth="1"/>
    <col min="24" max="42" width="11" style="292" customWidth="1"/>
    <col min="43" max="16384" width="14.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912</v>
      </c>
      <c r="D2" s="372"/>
      <c r="E2" s="373"/>
      <c r="F2" s="372"/>
      <c r="G2" s="374"/>
      <c r="H2" s="372"/>
      <c r="I2" s="372"/>
      <c r="J2" s="374"/>
      <c r="K2" s="372"/>
      <c r="L2" s="372"/>
      <c r="M2" s="374"/>
      <c r="N2" s="372"/>
      <c r="O2" s="372"/>
      <c r="P2" s="374"/>
      <c r="Q2" s="372"/>
      <c r="R2" s="372"/>
      <c r="S2" s="375" t="s">
        <v>921</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v>10</v>
      </c>
      <c r="B6" s="368"/>
      <c r="C6" s="552" t="s">
        <v>621</v>
      </c>
      <c r="D6" s="552"/>
      <c r="E6" s="370"/>
      <c r="F6" s="547" t="s">
        <v>617</v>
      </c>
      <c r="G6" s="547"/>
      <c r="H6" s="368"/>
      <c r="I6" s="547" t="s">
        <v>551</v>
      </c>
      <c r="J6" s="547"/>
      <c r="K6" s="368"/>
      <c r="L6" s="547" t="s">
        <v>609</v>
      </c>
      <c r="M6" s="547"/>
      <c r="N6" s="368"/>
      <c r="O6" s="547" t="s">
        <v>604</v>
      </c>
      <c r="P6" s="547"/>
      <c r="Q6" s="368"/>
      <c r="R6" s="547" t="s">
        <v>599</v>
      </c>
      <c r="S6" s="547"/>
      <c r="T6" s="368"/>
      <c r="U6" s="547" t="s">
        <v>913</v>
      </c>
      <c r="V6" s="547"/>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914</v>
      </c>
      <c r="D7" s="379" t="s">
        <v>915</v>
      </c>
      <c r="E7" s="376"/>
      <c r="F7" s="378" t="s">
        <v>914</v>
      </c>
      <c r="G7" s="379" t="s">
        <v>915</v>
      </c>
      <c r="H7" s="377"/>
      <c r="I7" s="378" t="s">
        <v>914</v>
      </c>
      <c r="J7" s="379" t="s">
        <v>915</v>
      </c>
      <c r="K7" s="377"/>
      <c r="L7" s="378" t="s">
        <v>914</v>
      </c>
      <c r="M7" s="379" t="s">
        <v>915</v>
      </c>
      <c r="N7" s="377"/>
      <c r="O7" s="378" t="s">
        <v>914</v>
      </c>
      <c r="P7" s="379" t="s">
        <v>915</v>
      </c>
      <c r="Q7" s="377"/>
      <c r="R7" s="378" t="s">
        <v>914</v>
      </c>
      <c r="S7" s="379" t="s">
        <v>915</v>
      </c>
      <c r="T7" s="377"/>
      <c r="U7" s="378" t="s">
        <v>914</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915</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916</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48" t="s">
        <v>917</v>
      </c>
      <c r="V11" s="548"/>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49">
        <f>V7</f>
        <v>0</v>
      </c>
      <c r="V12" s="549"/>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50" t="s">
        <v>918</v>
      </c>
      <c r="V13" s="550"/>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51" t="s">
        <v>919</v>
      </c>
      <c r="V14" s="551"/>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51"/>
      <c r="V15" s="551"/>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51"/>
      <c r="V16" s="551"/>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51"/>
      <c r="V17" s="551"/>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51"/>
      <c r="V18" s="551"/>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51"/>
      <c r="V19" s="551"/>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51"/>
      <c r="V20" s="551"/>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6">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6">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6">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6">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6">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6">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6">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6">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6">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6">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6">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6">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6">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6">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6">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6">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6">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6">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6">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6">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6">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6">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6">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6">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6">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6">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6">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6">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6">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6">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6">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6">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6">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6">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6">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6">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6">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6">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6">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6">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6">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6">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6">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6">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6">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6">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6">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6">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6">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6">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6">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6">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6">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6">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6">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6">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6">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6">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6">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6">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6">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6">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6">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6">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6">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6">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6">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6">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6">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6">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6">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6">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6">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6">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6">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6">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6">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6">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6">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6">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6">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6">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6">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6">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6">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6">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6">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6">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6">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6">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6">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6">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6">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6">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6">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6">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6">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6">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6">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6">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6">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6">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6">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6">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6">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6">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6">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6">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6">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6">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6">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6">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6">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6">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6">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6">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6">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6">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6">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6">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6">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6">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6">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6">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6">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6">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6">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6">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6">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6">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6">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6">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6">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6">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6">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6">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6">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6">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6">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6">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6">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6">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6">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6">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6">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6">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6">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6">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6">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6">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6">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6">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6">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6">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6">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6">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6">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6">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6">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6">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6">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6">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6">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6">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6">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6">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6">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6">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6">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6">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6">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6">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6">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6">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6">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6">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6">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6">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6">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6">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6">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6">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6">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6">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6">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6">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6">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6">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6">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6">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6">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6">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6">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6">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6">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6">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6">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6">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6">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6">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6">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6">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6">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6">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6">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6">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6">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6">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6">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6">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6">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6">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6">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6">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6">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6">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6">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6">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6">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6">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6">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6">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6">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6">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6">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6">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6">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6">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6">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6">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6">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6">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6">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6">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6">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6">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6">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6">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6">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6">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6">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6">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6">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6">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6">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6">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6">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6">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6">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6">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6">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6">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6">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6">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6">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6">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6">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6">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6">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6">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6">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6">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6">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6">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6">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6">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6">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6">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6">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6">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6">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6">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6">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6">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6">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6">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6">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6">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6">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6">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6">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6">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6">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6">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6">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6">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6">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6">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6">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6">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6">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6">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6">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6">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6">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6">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6">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6">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6">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6">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6">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6">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6">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6">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6">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6">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6">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6">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6">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6">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6">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6">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6">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6">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6">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6">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6">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6">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6">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6">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6">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6">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6">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6">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6">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6">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6">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6">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6">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6">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6">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6">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6">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6">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6">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6">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6">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6">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6">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6">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6">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6">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6">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6">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6">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6">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6">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6">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6">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6">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6">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6">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6">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6">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6">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6">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6">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6">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6">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6">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6">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6">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6">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6">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6">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6">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6">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6">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6">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6">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6">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6">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6">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6">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6">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6">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6">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6">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6">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6">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6">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6">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6">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6">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6">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6">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6">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6">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6">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6">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6">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6">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6">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6">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6">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6">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6">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6">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6">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6">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6">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6">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6">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6">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6">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6">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6">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6">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6">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6">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6">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6">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6">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6">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6">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6">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6">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6">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6">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6">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6">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6">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6">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6">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6">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6">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6">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6">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6">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6">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6">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6">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6">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6">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6">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6">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6">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6">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6">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6">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6">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6">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6">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6">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6">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6">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6">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6">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6">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6">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6">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6">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6">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6">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6">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6">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6">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6">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6">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6">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6">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6">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6">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6">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6">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6">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6">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6">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6">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6">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6">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6">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6">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6">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6">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6">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6">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6">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6">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6">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6">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6">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6">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6">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6">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6">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6">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6">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6">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6">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6">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6">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6">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6">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6">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6">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6">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6">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6">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6">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6">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6">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6">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6">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6">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6">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6">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6">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6">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6">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6">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6">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6">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6">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6">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6">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6">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6">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6">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6">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6">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6">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6">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6">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6">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6">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6">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6">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6">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6">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6">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6">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6">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6">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6">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6">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6">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6">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6">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6">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6">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6">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6">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6">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6">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6">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6">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6">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6">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6">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6">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6">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6">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6">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6">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6">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6">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6">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6">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6">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6">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6">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6">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6">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6">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6">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6">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6">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6">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6">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6">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6">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6">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6">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6">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6">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6">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6">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6">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6">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6">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6">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6">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6">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6">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6">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6">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6">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6">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6">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6">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6">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6">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6">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6">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6">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6">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6">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6">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6">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6">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6">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6">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6">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6">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6">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6">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6">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6">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6">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6">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6">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6">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6">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6">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6">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6">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6">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6">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6">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6">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6">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6">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6">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6">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6">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6">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6">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6">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6">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6">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6">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6">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6">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6">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6">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6">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6">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6">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6">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6">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6">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6">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6">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6">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6">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6">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6">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6">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6">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6">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6">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6">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6">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6">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6">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6">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6">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6">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6">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6">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6">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6">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6">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6">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6">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6">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6">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6">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6">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6">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6">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6">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6">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6">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6">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6">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6">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6">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6">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6">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6">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6">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6">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6">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6">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6">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6">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6">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6">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6">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6">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6">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6">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6">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6">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6">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6">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6">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6">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6">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6">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6">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6">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6">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6">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6">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6">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6">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6">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6">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6">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6">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6">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6">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6">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6">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6">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6">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6">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6">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6">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6">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6">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6">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6">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6">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6">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6">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6">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6">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6">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6">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6">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6">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6">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6">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6">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6">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6">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6">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6">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6">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6">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6">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6">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6">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6">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6">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6">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6">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6">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6">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6">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6">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6">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6">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6">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6">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6">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6">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6">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6">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6">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6">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6">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6">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6">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6">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6">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6">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6">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6">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6">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6">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6">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6">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6">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6">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6">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R6:S6"/>
    <mergeCell ref="C6:D6"/>
    <mergeCell ref="F6:G6"/>
    <mergeCell ref="I6:J6"/>
    <mergeCell ref="L6:M6"/>
    <mergeCell ref="O6:P6"/>
    <mergeCell ref="U6:V6"/>
    <mergeCell ref="U11:V11"/>
    <mergeCell ref="U12:V12"/>
    <mergeCell ref="U13:V13"/>
    <mergeCell ref="U14:V20"/>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5" defaultRowHeight="15" customHeight="1"/>
  <cols>
    <col min="1" max="1" width="10" customWidth="1"/>
    <col min="2" max="2" width="42.5" customWidth="1"/>
    <col min="3" max="3" width="20.5" customWidth="1"/>
    <col min="4" max="6" width="11.5" customWidth="1"/>
    <col min="7" max="26" width="8.664062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53" t="s">
        <v>274</v>
      </c>
      <c r="C2" s="402"/>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54" t="s">
        <v>275</v>
      </c>
      <c r="C4" s="424"/>
      <c r="D4" s="1"/>
      <c r="E4" s="1"/>
      <c r="F4" s="1"/>
      <c r="G4" s="1"/>
      <c r="H4" s="1"/>
      <c r="I4" s="1"/>
      <c r="J4" s="1"/>
      <c r="K4" s="1"/>
      <c r="L4" s="1"/>
      <c r="M4" s="1"/>
      <c r="N4" s="1"/>
      <c r="O4" s="1"/>
      <c r="P4" s="1"/>
      <c r="Q4" s="1"/>
      <c r="R4" s="1"/>
      <c r="S4" s="1"/>
      <c r="T4" s="1"/>
      <c r="U4" s="1"/>
      <c r="V4" s="1"/>
      <c r="W4" s="1"/>
      <c r="X4" s="1"/>
      <c r="Y4" s="1"/>
      <c r="Z4" s="1"/>
    </row>
    <row r="5" spans="1:26" ht="13.5" customHeight="1">
      <c r="A5" s="1"/>
      <c r="B5" s="197" t="s">
        <v>276</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277</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278</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279</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54" t="s">
        <v>280</v>
      </c>
      <c r="C10" s="424"/>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281</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282</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54" t="s">
        <v>283</v>
      </c>
      <c r="C14" s="424"/>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284</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55"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56"/>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27"/>
      <c r="C17" s="438"/>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C5" sqref="C5"/>
    </sheetView>
  </sheetViews>
  <sheetFormatPr baseColWidth="10" defaultColWidth="14.5" defaultRowHeight="15" customHeight="1"/>
  <cols>
    <col min="1" max="1" width="11.5" customWidth="1"/>
    <col min="2" max="2" width="14.5" customWidth="1"/>
    <col min="3" max="3" width="14" customWidth="1"/>
    <col min="4" max="4" width="8.5" customWidth="1"/>
    <col min="5" max="5" width="13.1640625" customWidth="1"/>
    <col min="6" max="6" width="10.33203125" customWidth="1"/>
    <col min="7" max="7" width="8.1640625" customWidth="1"/>
    <col min="8" max="8" width="14.6640625" customWidth="1"/>
    <col min="9" max="9" width="16.1640625" customWidth="1"/>
    <col min="10" max="10" width="6.83203125" customWidth="1"/>
    <col min="11" max="11" width="9.83203125" customWidth="1"/>
    <col min="12" max="12" width="8.1640625" customWidth="1"/>
    <col min="13" max="26" width="8.664062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57" t="s">
        <v>285</v>
      </c>
      <c r="G3" s="401"/>
      <c r="H3" s="402"/>
      <c r="I3" s="1"/>
      <c r="J3" s="1"/>
      <c r="K3" s="1"/>
      <c r="L3" s="1"/>
      <c r="M3" s="1"/>
      <c r="N3" s="1"/>
      <c r="O3" s="1"/>
      <c r="P3" s="1"/>
      <c r="Q3" s="1"/>
      <c r="R3" s="1"/>
      <c r="S3" s="1"/>
      <c r="T3" s="1"/>
      <c r="U3" s="1"/>
      <c r="V3" s="1"/>
      <c r="W3" s="1"/>
      <c r="X3" s="1"/>
      <c r="Y3" s="1"/>
      <c r="Z3" s="1"/>
    </row>
    <row r="4" spans="1:26" ht="15.75" customHeight="1">
      <c r="A4" s="1"/>
      <c r="B4" s="1"/>
      <c r="C4" s="1"/>
      <c r="D4" s="558" t="s">
        <v>286</v>
      </c>
      <c r="E4" s="416"/>
      <c r="F4" s="416"/>
      <c r="G4" s="416"/>
      <c r="H4" s="416"/>
      <c r="I4" s="416"/>
      <c r="J4" s="417"/>
      <c r="K4" s="1"/>
      <c r="L4" s="1"/>
      <c r="M4" s="1"/>
      <c r="N4" s="1"/>
      <c r="O4" s="1"/>
      <c r="P4" s="1"/>
      <c r="Q4" s="1"/>
      <c r="R4" s="1"/>
      <c r="S4" s="1"/>
      <c r="T4" s="1"/>
      <c r="U4" s="1"/>
      <c r="V4" s="1"/>
      <c r="W4" s="1"/>
      <c r="X4" s="1"/>
      <c r="Y4" s="1"/>
      <c r="Z4" s="1"/>
    </row>
    <row r="5" spans="1:26" ht="13.5" customHeight="1">
      <c r="A5" s="1"/>
      <c r="B5" s="1"/>
      <c r="C5" s="1"/>
      <c r="D5" s="479"/>
      <c r="E5" s="480"/>
      <c r="F5" s="480"/>
      <c r="G5" s="480"/>
      <c r="H5" s="480"/>
      <c r="I5" s="480"/>
      <c r="J5" s="481"/>
      <c r="K5" s="1"/>
      <c r="L5" s="1"/>
      <c r="M5" s="1"/>
      <c r="N5" s="1"/>
      <c r="O5" s="1"/>
      <c r="P5" s="1"/>
      <c r="Q5" s="1"/>
      <c r="R5" s="1"/>
      <c r="S5" s="1"/>
      <c r="T5" s="1"/>
      <c r="U5" s="1"/>
      <c r="V5" s="1"/>
      <c r="W5" s="1"/>
      <c r="X5" s="1"/>
      <c r="Y5" s="1"/>
      <c r="Z5" s="1"/>
    </row>
    <row r="6" spans="1:26" ht="11.25" customHeight="1">
      <c r="A6" s="1"/>
      <c r="B6" s="1"/>
      <c r="C6" s="1"/>
      <c r="D6" s="427"/>
      <c r="E6" s="435"/>
      <c r="F6" s="435"/>
      <c r="G6" s="435"/>
      <c r="H6" s="435"/>
      <c r="I6" s="435"/>
      <c r="J6" s="438"/>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287</v>
      </c>
      <c r="C8" s="559">
        <f>+INFORMACIÓN!D5</f>
        <v>0</v>
      </c>
      <c r="D8" s="456"/>
      <c r="E8" s="456"/>
      <c r="F8" s="456"/>
      <c r="G8" s="456"/>
      <c r="H8" s="457"/>
      <c r="I8" s="495" t="s">
        <v>288</v>
      </c>
      <c r="J8" s="401"/>
      <c r="K8" s="401"/>
      <c r="L8" s="402"/>
      <c r="M8" s="1"/>
      <c r="N8" s="1"/>
      <c r="O8" s="1"/>
      <c r="P8" s="1"/>
      <c r="Q8" s="1"/>
      <c r="R8" s="1"/>
      <c r="S8" s="1"/>
      <c r="T8" s="1"/>
      <c r="U8" s="1"/>
      <c r="V8" s="1"/>
      <c r="W8" s="1"/>
      <c r="X8" s="1"/>
      <c r="Y8" s="1"/>
      <c r="Z8" s="1"/>
    </row>
    <row r="9" spans="1:26" ht="13.5" customHeight="1">
      <c r="A9" s="1"/>
      <c r="B9" s="559">
        <f>+INFORMACIÓN!D7</f>
        <v>0</v>
      </c>
      <c r="C9" s="457"/>
      <c r="D9" s="495" t="s">
        <v>289</v>
      </c>
      <c r="E9" s="401"/>
      <c r="F9" s="401"/>
      <c r="G9" s="401"/>
      <c r="H9" s="401"/>
      <c r="I9" s="401"/>
      <c r="J9" s="401"/>
      <c r="K9" s="401"/>
      <c r="L9" s="402"/>
      <c r="M9" s="1"/>
      <c r="N9" s="1"/>
      <c r="O9" s="1"/>
      <c r="P9" s="1"/>
      <c r="Q9" s="1"/>
      <c r="R9" s="1"/>
      <c r="S9" s="1"/>
      <c r="T9" s="1"/>
      <c r="U9" s="1"/>
      <c r="V9" s="1"/>
      <c r="W9" s="1"/>
      <c r="X9" s="1"/>
      <c r="Y9" s="1"/>
      <c r="Z9" s="1"/>
    </row>
    <row r="10" spans="1:26" ht="15.75" customHeight="1">
      <c r="A10" s="1"/>
      <c r="B10" s="560" t="s">
        <v>290</v>
      </c>
      <c r="C10" s="416"/>
      <c r="D10" s="416"/>
      <c r="E10" s="416"/>
      <c r="F10" s="416"/>
      <c r="G10" s="416"/>
      <c r="H10" s="416"/>
      <c r="I10" s="416"/>
      <c r="J10" s="416"/>
      <c r="K10" s="416"/>
      <c r="L10" s="417"/>
      <c r="M10" s="1"/>
      <c r="N10" s="1"/>
      <c r="O10" s="1"/>
      <c r="P10" s="1"/>
      <c r="Q10" s="1"/>
      <c r="R10" s="1"/>
      <c r="S10" s="1"/>
      <c r="T10" s="1"/>
      <c r="U10" s="1"/>
      <c r="V10" s="1"/>
      <c r="W10" s="1"/>
      <c r="X10" s="1"/>
      <c r="Y10" s="1"/>
      <c r="Z10" s="1"/>
    </row>
    <row r="11" spans="1:26" ht="13.5" customHeight="1">
      <c r="A11" s="1"/>
      <c r="B11" s="479"/>
      <c r="C11" s="480"/>
      <c r="D11" s="480"/>
      <c r="E11" s="480"/>
      <c r="F11" s="480"/>
      <c r="G11" s="480"/>
      <c r="H11" s="480"/>
      <c r="I11" s="480"/>
      <c r="J11" s="480"/>
      <c r="K11" s="480"/>
      <c r="L11" s="481"/>
      <c r="M11" s="1"/>
      <c r="N11" s="1"/>
      <c r="O11" s="1"/>
      <c r="P11" s="1"/>
      <c r="Q11" s="1"/>
      <c r="R11" s="1"/>
      <c r="S11" s="1"/>
      <c r="T11" s="1"/>
      <c r="U11" s="1"/>
      <c r="V11" s="1"/>
      <c r="W11" s="1"/>
      <c r="X11" s="1"/>
      <c r="Y11" s="1"/>
      <c r="Z11" s="1"/>
    </row>
    <row r="12" spans="1:26" ht="13.5" customHeight="1">
      <c r="A12" s="1"/>
      <c r="B12" s="479"/>
      <c r="C12" s="480"/>
      <c r="D12" s="480"/>
      <c r="E12" s="480"/>
      <c r="F12" s="480"/>
      <c r="G12" s="480"/>
      <c r="H12" s="480"/>
      <c r="I12" s="480"/>
      <c r="J12" s="480"/>
      <c r="K12" s="480"/>
      <c r="L12" s="481"/>
      <c r="M12" s="1"/>
      <c r="N12" s="1"/>
      <c r="O12" s="1"/>
      <c r="P12" s="1"/>
      <c r="Q12" s="1"/>
      <c r="R12" s="1"/>
      <c r="S12" s="1"/>
      <c r="T12" s="1"/>
      <c r="U12" s="1"/>
      <c r="V12" s="1"/>
      <c r="W12" s="1"/>
      <c r="X12" s="1"/>
      <c r="Y12" s="1"/>
      <c r="Z12" s="1"/>
    </row>
    <row r="13" spans="1:26" ht="13.5" customHeight="1">
      <c r="A13" s="1"/>
      <c r="B13" s="479"/>
      <c r="C13" s="480"/>
      <c r="D13" s="480"/>
      <c r="E13" s="480"/>
      <c r="F13" s="480"/>
      <c r="G13" s="480"/>
      <c r="H13" s="480"/>
      <c r="I13" s="480"/>
      <c r="J13" s="480"/>
      <c r="K13" s="480"/>
      <c r="L13" s="481"/>
      <c r="M13" s="1"/>
      <c r="N13" s="1"/>
      <c r="O13" s="1"/>
      <c r="P13" s="1"/>
      <c r="Q13" s="1"/>
      <c r="R13" s="1"/>
      <c r="S13" s="1"/>
      <c r="T13" s="1"/>
      <c r="U13" s="1"/>
      <c r="V13" s="1"/>
      <c r="W13" s="1"/>
      <c r="X13" s="1"/>
      <c r="Y13" s="1"/>
      <c r="Z13" s="1"/>
    </row>
    <row r="14" spans="1:26" ht="13.5" customHeight="1">
      <c r="A14" s="1"/>
      <c r="B14" s="479"/>
      <c r="C14" s="480"/>
      <c r="D14" s="480"/>
      <c r="E14" s="480"/>
      <c r="F14" s="480"/>
      <c r="G14" s="480"/>
      <c r="H14" s="480"/>
      <c r="I14" s="480"/>
      <c r="J14" s="480"/>
      <c r="K14" s="480"/>
      <c r="L14" s="481"/>
      <c r="M14" s="1"/>
      <c r="N14" s="1"/>
      <c r="O14" s="1"/>
      <c r="P14" s="1"/>
      <c r="Q14" s="1"/>
      <c r="R14" s="1"/>
      <c r="S14" s="1"/>
      <c r="T14" s="1"/>
      <c r="U14" s="1"/>
      <c r="V14" s="1"/>
      <c r="W14" s="1"/>
      <c r="X14" s="1"/>
      <c r="Y14" s="1"/>
      <c r="Z14" s="1"/>
    </row>
    <row r="15" spans="1:26" ht="13.5" customHeight="1">
      <c r="A15" s="1"/>
      <c r="B15" s="479"/>
      <c r="C15" s="480"/>
      <c r="D15" s="480"/>
      <c r="E15" s="480"/>
      <c r="F15" s="480"/>
      <c r="G15" s="480"/>
      <c r="H15" s="480"/>
      <c r="I15" s="480"/>
      <c r="J15" s="480"/>
      <c r="K15" s="480"/>
      <c r="L15" s="481"/>
      <c r="M15" s="1"/>
      <c r="N15" s="1"/>
      <c r="O15" s="1"/>
      <c r="P15" s="1"/>
      <c r="Q15" s="1"/>
      <c r="R15" s="1"/>
      <c r="S15" s="1"/>
      <c r="T15" s="1"/>
      <c r="U15" s="1"/>
      <c r="V15" s="1"/>
      <c r="W15" s="1"/>
      <c r="X15" s="1"/>
      <c r="Y15" s="1"/>
      <c r="Z15" s="1"/>
    </row>
    <row r="16" spans="1:26" ht="13.5" customHeight="1">
      <c r="A16" s="1"/>
      <c r="B16" s="479"/>
      <c r="C16" s="480"/>
      <c r="D16" s="480"/>
      <c r="E16" s="480"/>
      <c r="F16" s="480"/>
      <c r="G16" s="480"/>
      <c r="H16" s="480"/>
      <c r="I16" s="480"/>
      <c r="J16" s="480"/>
      <c r="K16" s="480"/>
      <c r="L16" s="481"/>
      <c r="M16" s="1"/>
      <c r="N16" s="1"/>
      <c r="O16" s="1"/>
      <c r="P16" s="1"/>
      <c r="Q16" s="1"/>
      <c r="R16" s="1"/>
      <c r="S16" s="1"/>
      <c r="T16" s="1"/>
      <c r="U16" s="1"/>
      <c r="V16" s="1"/>
      <c r="W16" s="1"/>
      <c r="X16" s="1"/>
      <c r="Y16" s="1"/>
      <c r="Z16" s="1"/>
    </row>
    <row r="17" spans="1:26" ht="13.5" customHeight="1">
      <c r="A17" s="1"/>
      <c r="B17" s="479"/>
      <c r="C17" s="480"/>
      <c r="D17" s="480"/>
      <c r="E17" s="480"/>
      <c r="F17" s="480"/>
      <c r="G17" s="480"/>
      <c r="H17" s="480"/>
      <c r="I17" s="480"/>
      <c r="J17" s="480"/>
      <c r="K17" s="480"/>
      <c r="L17" s="481"/>
      <c r="M17" s="1"/>
      <c r="N17" s="1"/>
      <c r="O17" s="1"/>
      <c r="P17" s="1"/>
      <c r="Q17" s="1"/>
      <c r="R17" s="1"/>
      <c r="S17" s="1"/>
      <c r="T17" s="1"/>
      <c r="U17" s="1"/>
      <c r="V17" s="1"/>
      <c r="W17" s="1"/>
      <c r="X17" s="1"/>
      <c r="Y17" s="1"/>
      <c r="Z17" s="1"/>
    </row>
    <row r="18" spans="1:26" ht="13.5" customHeight="1">
      <c r="A18" s="1"/>
      <c r="B18" s="479"/>
      <c r="C18" s="480"/>
      <c r="D18" s="480"/>
      <c r="E18" s="480"/>
      <c r="F18" s="480"/>
      <c r="G18" s="480"/>
      <c r="H18" s="480"/>
      <c r="I18" s="480"/>
      <c r="J18" s="480"/>
      <c r="K18" s="480"/>
      <c r="L18" s="481"/>
      <c r="M18" s="1"/>
      <c r="N18" s="1"/>
      <c r="O18" s="1"/>
      <c r="P18" s="1"/>
      <c r="Q18" s="1"/>
      <c r="R18" s="1"/>
      <c r="S18" s="1"/>
      <c r="T18" s="1"/>
      <c r="U18" s="1"/>
      <c r="V18" s="1"/>
      <c r="W18" s="1"/>
      <c r="X18" s="1"/>
      <c r="Y18" s="1"/>
      <c r="Z18" s="1"/>
    </row>
    <row r="19" spans="1:26" ht="13.5" customHeight="1">
      <c r="A19" s="1"/>
      <c r="B19" s="427"/>
      <c r="C19" s="435"/>
      <c r="D19" s="435"/>
      <c r="E19" s="435"/>
      <c r="F19" s="435"/>
      <c r="G19" s="435"/>
      <c r="H19" s="435"/>
      <c r="I19" s="435"/>
      <c r="J19" s="435"/>
      <c r="K19" s="435"/>
      <c r="L19" s="438"/>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499" t="s">
        <v>291</v>
      </c>
      <c r="C21" s="416"/>
      <c r="D21" s="416"/>
      <c r="E21" s="416"/>
      <c r="F21" s="416"/>
      <c r="G21" s="416"/>
      <c r="H21" s="416"/>
      <c r="I21" s="416"/>
      <c r="J21" s="416"/>
      <c r="K21" s="416"/>
      <c r="L21" s="417"/>
      <c r="M21" s="1"/>
      <c r="N21" s="1"/>
      <c r="O21" s="1"/>
      <c r="P21" s="1"/>
      <c r="Q21" s="1"/>
      <c r="R21" s="1"/>
      <c r="S21" s="1"/>
      <c r="T21" s="1"/>
      <c r="U21" s="1"/>
      <c r="V21" s="1"/>
      <c r="W21" s="1"/>
      <c r="X21" s="1"/>
      <c r="Y21" s="1"/>
      <c r="Z21" s="1"/>
    </row>
    <row r="22" spans="1:26" ht="13.5" customHeight="1">
      <c r="A22" s="1"/>
      <c r="B22" s="479"/>
      <c r="C22" s="480"/>
      <c r="D22" s="480"/>
      <c r="E22" s="480"/>
      <c r="F22" s="480"/>
      <c r="G22" s="480"/>
      <c r="H22" s="480"/>
      <c r="I22" s="480"/>
      <c r="J22" s="480"/>
      <c r="K22" s="480"/>
      <c r="L22" s="481"/>
      <c r="M22" s="1"/>
      <c r="N22" s="1"/>
      <c r="O22" s="1"/>
      <c r="P22" s="1"/>
      <c r="Q22" s="1"/>
      <c r="R22" s="1"/>
      <c r="S22" s="1"/>
      <c r="T22" s="1"/>
      <c r="U22" s="1"/>
      <c r="V22" s="1"/>
      <c r="W22" s="1"/>
      <c r="X22" s="1"/>
      <c r="Y22" s="1"/>
      <c r="Z22" s="1"/>
    </row>
    <row r="23" spans="1:26" ht="13.5" customHeight="1">
      <c r="A23" s="1"/>
      <c r="B23" s="479"/>
      <c r="C23" s="480"/>
      <c r="D23" s="480"/>
      <c r="E23" s="480"/>
      <c r="F23" s="480"/>
      <c r="G23" s="480"/>
      <c r="H23" s="480"/>
      <c r="I23" s="480"/>
      <c r="J23" s="480"/>
      <c r="K23" s="480"/>
      <c r="L23" s="481"/>
      <c r="M23" s="1"/>
      <c r="N23" s="1"/>
      <c r="O23" s="1"/>
      <c r="P23" s="1"/>
      <c r="Q23" s="1"/>
      <c r="R23" s="1"/>
      <c r="S23" s="1"/>
      <c r="T23" s="1"/>
      <c r="U23" s="1"/>
      <c r="V23" s="1"/>
      <c r="W23" s="1"/>
      <c r="X23" s="1"/>
      <c r="Y23" s="1"/>
      <c r="Z23" s="1"/>
    </row>
    <row r="24" spans="1:26" ht="15.75" customHeight="1">
      <c r="A24" s="1"/>
      <c r="B24" s="427"/>
      <c r="C24" s="435"/>
      <c r="D24" s="435"/>
      <c r="E24" s="435"/>
      <c r="F24" s="435"/>
      <c r="G24" s="435"/>
      <c r="H24" s="435"/>
      <c r="I24" s="435"/>
      <c r="J24" s="435"/>
      <c r="K24" s="435"/>
      <c r="L24" s="438"/>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499" t="s">
        <v>292</v>
      </c>
      <c r="C26" s="416"/>
      <c r="D26" s="416"/>
      <c r="E26" s="416"/>
      <c r="F26" s="416"/>
      <c r="G26" s="416"/>
      <c r="H26" s="416"/>
      <c r="I26" s="416"/>
      <c r="J26" s="416"/>
      <c r="K26" s="416"/>
      <c r="L26" s="417"/>
      <c r="M26" s="1"/>
      <c r="N26" s="1"/>
      <c r="O26" s="1"/>
      <c r="P26" s="1"/>
      <c r="Q26" s="1"/>
      <c r="R26" s="1"/>
      <c r="S26" s="1"/>
      <c r="T26" s="1"/>
      <c r="U26" s="1"/>
      <c r="V26" s="1"/>
      <c r="W26" s="1"/>
      <c r="X26" s="1"/>
      <c r="Y26" s="1"/>
      <c r="Z26" s="1"/>
    </row>
    <row r="27" spans="1:26" ht="15" customHeight="1">
      <c r="A27" s="1"/>
      <c r="B27" s="479"/>
      <c r="C27" s="480"/>
      <c r="D27" s="480"/>
      <c r="E27" s="480"/>
      <c r="F27" s="480"/>
      <c r="G27" s="480"/>
      <c r="H27" s="480"/>
      <c r="I27" s="480"/>
      <c r="J27" s="480"/>
      <c r="K27" s="480"/>
      <c r="L27" s="481"/>
      <c r="M27" s="1"/>
      <c r="N27" s="1"/>
      <c r="O27" s="1"/>
      <c r="P27" s="1"/>
      <c r="Q27" s="1"/>
      <c r="R27" s="1"/>
      <c r="S27" s="1"/>
      <c r="T27" s="1"/>
      <c r="U27" s="1"/>
      <c r="V27" s="1"/>
      <c r="W27" s="1"/>
      <c r="X27" s="1"/>
      <c r="Y27" s="1"/>
      <c r="Z27" s="1"/>
    </row>
    <row r="28" spans="1:26" ht="15" customHeight="1">
      <c r="A28" s="1"/>
      <c r="B28" s="427"/>
      <c r="C28" s="435"/>
      <c r="D28" s="435"/>
      <c r="E28" s="435"/>
      <c r="F28" s="435"/>
      <c r="G28" s="435"/>
      <c r="H28" s="435"/>
      <c r="I28" s="435"/>
      <c r="J28" s="435"/>
      <c r="K28" s="435"/>
      <c r="L28" s="438"/>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499" t="s">
        <v>293</v>
      </c>
      <c r="C30" s="416"/>
      <c r="D30" s="416"/>
      <c r="E30" s="416"/>
      <c r="F30" s="416"/>
      <c r="G30" s="416"/>
      <c r="H30" s="416"/>
      <c r="I30" s="416"/>
      <c r="J30" s="416"/>
      <c r="K30" s="416"/>
      <c r="L30" s="417"/>
      <c r="M30" s="1"/>
      <c r="N30" s="1"/>
      <c r="O30" s="1"/>
      <c r="P30" s="1"/>
      <c r="Q30" s="1"/>
      <c r="R30" s="1"/>
      <c r="S30" s="1"/>
      <c r="T30" s="1"/>
      <c r="U30" s="1"/>
      <c r="V30" s="1"/>
      <c r="W30" s="1"/>
      <c r="X30" s="1"/>
      <c r="Y30" s="1"/>
      <c r="Z30" s="1"/>
    </row>
    <row r="31" spans="1:26" ht="14.25" customHeight="1">
      <c r="A31" s="1"/>
      <c r="B31" s="479"/>
      <c r="C31" s="480"/>
      <c r="D31" s="480"/>
      <c r="E31" s="480"/>
      <c r="F31" s="480"/>
      <c r="G31" s="480"/>
      <c r="H31" s="480"/>
      <c r="I31" s="480"/>
      <c r="J31" s="480"/>
      <c r="K31" s="480"/>
      <c r="L31" s="481"/>
      <c r="M31" s="1"/>
      <c r="N31" s="1"/>
      <c r="O31" s="1"/>
      <c r="P31" s="1"/>
      <c r="Q31" s="1"/>
      <c r="R31" s="1"/>
      <c r="S31" s="1"/>
      <c r="T31" s="1"/>
      <c r="U31" s="1"/>
      <c r="V31" s="1"/>
      <c r="W31" s="1"/>
      <c r="X31" s="1"/>
      <c r="Y31" s="1"/>
      <c r="Z31" s="1"/>
    </row>
    <row r="32" spans="1:26" ht="15.75" customHeight="1">
      <c r="A32" s="1"/>
      <c r="B32" s="427"/>
      <c r="C32" s="435"/>
      <c r="D32" s="435"/>
      <c r="E32" s="435"/>
      <c r="F32" s="435"/>
      <c r="G32" s="435"/>
      <c r="H32" s="435"/>
      <c r="I32" s="435"/>
      <c r="J32" s="435"/>
      <c r="K32" s="435"/>
      <c r="L32" s="438"/>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60" t="s">
        <v>294</v>
      </c>
      <c r="C34" s="416"/>
      <c r="D34" s="416"/>
      <c r="E34" s="416"/>
      <c r="F34" s="416"/>
      <c r="G34" s="416"/>
      <c r="H34" s="416"/>
      <c r="I34" s="416"/>
      <c r="J34" s="416"/>
      <c r="K34" s="416"/>
      <c r="L34" s="417"/>
      <c r="M34" s="1"/>
      <c r="N34" s="1"/>
      <c r="O34" s="1"/>
      <c r="P34" s="1"/>
      <c r="Q34" s="1"/>
      <c r="R34" s="1"/>
      <c r="S34" s="1"/>
      <c r="T34" s="1"/>
      <c r="U34" s="1"/>
      <c r="V34" s="1"/>
      <c r="W34" s="1"/>
      <c r="X34" s="1"/>
      <c r="Y34" s="1"/>
      <c r="Z34" s="1"/>
    </row>
    <row r="35" spans="1:26" ht="16.5" customHeight="1">
      <c r="A35" s="1"/>
      <c r="B35" s="479"/>
      <c r="C35" s="480"/>
      <c r="D35" s="480"/>
      <c r="E35" s="480"/>
      <c r="F35" s="480"/>
      <c r="G35" s="480"/>
      <c r="H35" s="480"/>
      <c r="I35" s="480"/>
      <c r="J35" s="480"/>
      <c r="K35" s="480"/>
      <c r="L35" s="481"/>
      <c r="M35" s="1"/>
      <c r="N35" s="1"/>
      <c r="O35" s="1"/>
      <c r="P35" s="1"/>
      <c r="Q35" s="1"/>
      <c r="R35" s="1"/>
      <c r="S35" s="1"/>
      <c r="T35" s="1"/>
      <c r="U35" s="1"/>
      <c r="V35" s="1"/>
      <c r="W35" s="1"/>
      <c r="X35" s="1"/>
      <c r="Y35" s="1"/>
      <c r="Z35" s="1"/>
    </row>
    <row r="36" spans="1:26" ht="16.5" customHeight="1">
      <c r="A36" s="1"/>
      <c r="B36" s="479"/>
      <c r="C36" s="480"/>
      <c r="D36" s="480"/>
      <c r="E36" s="480"/>
      <c r="F36" s="480"/>
      <c r="G36" s="480"/>
      <c r="H36" s="480"/>
      <c r="I36" s="480"/>
      <c r="J36" s="480"/>
      <c r="K36" s="480"/>
      <c r="L36" s="481"/>
      <c r="M36" s="1"/>
      <c r="N36" s="1"/>
      <c r="O36" s="1"/>
      <c r="P36" s="1"/>
      <c r="Q36" s="1"/>
      <c r="R36" s="1"/>
      <c r="S36" s="1"/>
      <c r="T36" s="1"/>
      <c r="U36" s="1"/>
      <c r="V36" s="1"/>
      <c r="W36" s="1"/>
      <c r="X36" s="1"/>
      <c r="Y36" s="1"/>
      <c r="Z36" s="1"/>
    </row>
    <row r="37" spans="1:26" ht="15" customHeight="1">
      <c r="A37" s="1"/>
      <c r="B37" s="427"/>
      <c r="C37" s="435"/>
      <c r="D37" s="435"/>
      <c r="E37" s="435"/>
      <c r="F37" s="435"/>
      <c r="G37" s="435"/>
      <c r="H37" s="435"/>
      <c r="I37" s="435"/>
      <c r="J37" s="435"/>
      <c r="K37" s="435"/>
      <c r="L37" s="438"/>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499" t="s">
        <v>295</v>
      </c>
      <c r="C39" s="416"/>
      <c r="D39" s="416"/>
      <c r="E39" s="416"/>
      <c r="F39" s="416"/>
      <c r="G39" s="416"/>
      <c r="H39" s="416"/>
      <c r="I39" s="416"/>
      <c r="J39" s="416"/>
      <c r="K39" s="416"/>
      <c r="L39" s="417"/>
      <c r="M39" s="1"/>
      <c r="N39" s="1"/>
      <c r="O39" s="1"/>
      <c r="P39" s="1"/>
      <c r="Q39" s="1"/>
      <c r="R39" s="1"/>
      <c r="S39" s="1"/>
      <c r="T39" s="1"/>
      <c r="U39" s="1"/>
      <c r="V39" s="1"/>
      <c r="W39" s="1"/>
      <c r="X39" s="1"/>
      <c r="Y39" s="1"/>
      <c r="Z39" s="1"/>
    </row>
    <row r="40" spans="1:26" ht="37.5" customHeight="1">
      <c r="A40" s="1"/>
      <c r="B40" s="427"/>
      <c r="C40" s="435"/>
      <c r="D40" s="435"/>
      <c r="E40" s="435"/>
      <c r="F40" s="435"/>
      <c r="G40" s="435"/>
      <c r="H40" s="435"/>
      <c r="I40" s="435"/>
      <c r="J40" s="435"/>
      <c r="K40" s="435"/>
      <c r="L40" s="438"/>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296</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297</v>
      </c>
      <c r="C44" s="496"/>
      <c r="D44" s="456"/>
      <c r="E44" s="457"/>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298</v>
      </c>
      <c r="C46" s="559">
        <f>+INFORMACIÓN!D7</f>
        <v>0</v>
      </c>
      <c r="D46" s="457"/>
      <c r="E46" s="1"/>
      <c r="F46" s="1"/>
      <c r="G46" s="1"/>
      <c r="H46" s="208" t="s">
        <v>299</v>
      </c>
      <c r="I46" s="561"/>
      <c r="J46" s="456"/>
      <c r="K46" s="457"/>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300</v>
      </c>
      <c r="C48" s="562">
        <f ca="1">TODAY()</f>
        <v>45779</v>
      </c>
      <c r="D48" s="457"/>
      <c r="E48" s="1"/>
      <c r="F48" s="1"/>
      <c r="G48" s="1"/>
      <c r="H48" s="208" t="s">
        <v>301</v>
      </c>
      <c r="I48" s="559">
        <f>+INFORMACIÓN!L7</f>
        <v>0</v>
      </c>
      <c r="J48" s="456"/>
      <c r="K48" s="457"/>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63" t="s">
        <v>302</v>
      </c>
      <c r="G51" s="401"/>
      <c r="H51" s="402"/>
      <c r="I51" s="1"/>
      <c r="J51" s="1"/>
      <c r="K51" s="1"/>
      <c r="L51" s="1"/>
      <c r="M51" s="1"/>
      <c r="N51" s="1"/>
      <c r="O51" s="1"/>
      <c r="P51" s="1"/>
      <c r="Q51" s="1"/>
      <c r="R51" s="1"/>
      <c r="S51" s="1"/>
      <c r="T51" s="1"/>
      <c r="U51" s="1"/>
      <c r="V51" s="1"/>
      <c r="W51" s="1"/>
      <c r="X51" s="1"/>
      <c r="Y51" s="1"/>
      <c r="Z51" s="1"/>
    </row>
    <row r="52" spans="1:26" ht="13.5" customHeight="1">
      <c r="A52" s="1"/>
      <c r="B52" s="1"/>
      <c r="C52" s="1"/>
      <c r="D52" s="1"/>
      <c r="E52" s="492" t="s">
        <v>303</v>
      </c>
      <c r="F52" s="401"/>
      <c r="G52" s="401"/>
      <c r="H52" s="401"/>
      <c r="I52" s="402"/>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287</v>
      </c>
      <c r="C54" s="559">
        <f>+INFORMACIÓN!D5</f>
        <v>0</v>
      </c>
      <c r="D54" s="456"/>
      <c r="E54" s="456"/>
      <c r="F54" s="456"/>
      <c r="G54" s="456"/>
      <c r="H54" s="457"/>
      <c r="I54" s="495" t="s">
        <v>288</v>
      </c>
      <c r="J54" s="401"/>
      <c r="K54" s="401"/>
      <c r="L54" s="402"/>
      <c r="M54" s="1"/>
      <c r="N54" s="1"/>
      <c r="O54" s="1"/>
      <c r="P54" s="1"/>
      <c r="Q54" s="1"/>
      <c r="R54" s="1"/>
      <c r="S54" s="1"/>
      <c r="T54" s="1"/>
      <c r="U54" s="1"/>
      <c r="V54" s="1"/>
      <c r="W54" s="1"/>
      <c r="X54" s="1"/>
      <c r="Y54" s="1"/>
      <c r="Z54" s="1"/>
    </row>
    <row r="55" spans="1:26" ht="16.5" customHeight="1">
      <c r="A55" s="1"/>
      <c r="B55" s="559">
        <f>+INFORMACIÓN!D7</f>
        <v>0</v>
      </c>
      <c r="C55" s="457"/>
      <c r="D55" s="495" t="s">
        <v>304</v>
      </c>
      <c r="E55" s="401"/>
      <c r="F55" s="401"/>
      <c r="G55" s="401"/>
      <c r="H55" s="401"/>
      <c r="I55" s="401"/>
      <c r="J55" s="401"/>
      <c r="K55" s="401"/>
      <c r="L55" s="402"/>
      <c r="M55" s="1"/>
      <c r="N55" s="1"/>
      <c r="O55" s="1"/>
      <c r="P55" s="1"/>
      <c r="Q55" s="1"/>
      <c r="R55" s="1"/>
      <c r="S55" s="1"/>
      <c r="T55" s="1"/>
      <c r="U55" s="1"/>
      <c r="V55" s="1"/>
      <c r="W55" s="1"/>
      <c r="X55" s="1"/>
      <c r="Y55" s="1"/>
      <c r="Z55" s="1"/>
    </row>
    <row r="56" spans="1:26" ht="15.75" customHeight="1">
      <c r="A56" s="1"/>
      <c r="B56" s="560" t="s">
        <v>305</v>
      </c>
      <c r="C56" s="416"/>
      <c r="D56" s="416"/>
      <c r="E56" s="416"/>
      <c r="F56" s="416"/>
      <c r="G56" s="416"/>
      <c r="H56" s="416"/>
      <c r="I56" s="416"/>
      <c r="J56" s="416"/>
      <c r="K56" s="416"/>
      <c r="L56" s="417"/>
      <c r="M56" s="1"/>
      <c r="N56" s="1"/>
      <c r="O56" s="1"/>
      <c r="P56" s="1"/>
      <c r="Q56" s="1"/>
      <c r="R56" s="1"/>
      <c r="S56" s="1"/>
      <c r="T56" s="1"/>
      <c r="U56" s="1"/>
      <c r="V56" s="1"/>
      <c r="W56" s="1"/>
      <c r="X56" s="1"/>
      <c r="Y56" s="1"/>
      <c r="Z56" s="1"/>
    </row>
    <row r="57" spans="1:26" ht="13.5" customHeight="1">
      <c r="A57" s="1"/>
      <c r="B57" s="479"/>
      <c r="C57" s="480"/>
      <c r="D57" s="480"/>
      <c r="E57" s="480"/>
      <c r="F57" s="480"/>
      <c r="G57" s="480"/>
      <c r="H57" s="480"/>
      <c r="I57" s="480"/>
      <c r="J57" s="480"/>
      <c r="K57" s="480"/>
      <c r="L57" s="481"/>
      <c r="M57" s="1"/>
      <c r="N57" s="1"/>
      <c r="O57" s="1"/>
      <c r="P57" s="1"/>
      <c r="Q57" s="1"/>
      <c r="R57" s="1"/>
      <c r="S57" s="1"/>
      <c r="T57" s="1"/>
      <c r="U57" s="1"/>
      <c r="V57" s="1"/>
      <c r="W57" s="1"/>
      <c r="X57" s="1"/>
      <c r="Y57" s="1"/>
      <c r="Z57" s="1"/>
    </row>
    <row r="58" spans="1:26" ht="13.5" customHeight="1">
      <c r="A58" s="1"/>
      <c r="B58" s="479"/>
      <c r="C58" s="480"/>
      <c r="D58" s="480"/>
      <c r="E58" s="480"/>
      <c r="F58" s="480"/>
      <c r="G58" s="480"/>
      <c r="H58" s="480"/>
      <c r="I58" s="480"/>
      <c r="J58" s="480"/>
      <c r="K58" s="480"/>
      <c r="L58" s="481"/>
      <c r="M58" s="1"/>
      <c r="N58" s="1"/>
      <c r="O58" s="1"/>
      <c r="P58" s="1"/>
      <c r="Q58" s="1"/>
      <c r="R58" s="1"/>
      <c r="S58" s="1"/>
      <c r="T58" s="1"/>
      <c r="U58" s="1"/>
      <c r="V58" s="1"/>
      <c r="W58" s="1"/>
      <c r="X58" s="1"/>
      <c r="Y58" s="1"/>
      <c r="Z58" s="1"/>
    </row>
    <row r="59" spans="1:26" ht="13.5" customHeight="1">
      <c r="A59" s="1"/>
      <c r="B59" s="479"/>
      <c r="C59" s="480"/>
      <c r="D59" s="480"/>
      <c r="E59" s="480"/>
      <c r="F59" s="480"/>
      <c r="G59" s="480"/>
      <c r="H59" s="480"/>
      <c r="I59" s="480"/>
      <c r="J59" s="480"/>
      <c r="K59" s="480"/>
      <c r="L59" s="481"/>
      <c r="M59" s="1"/>
      <c r="N59" s="1"/>
      <c r="O59" s="1"/>
      <c r="P59" s="1"/>
      <c r="Q59" s="1"/>
      <c r="R59" s="1"/>
      <c r="S59" s="1"/>
      <c r="T59" s="1"/>
      <c r="U59" s="1"/>
      <c r="V59" s="1"/>
      <c r="W59" s="1"/>
      <c r="X59" s="1"/>
      <c r="Y59" s="1"/>
      <c r="Z59" s="1"/>
    </row>
    <row r="60" spans="1:26" ht="13.5" customHeight="1">
      <c r="A60" s="1"/>
      <c r="B60" s="427"/>
      <c r="C60" s="435"/>
      <c r="D60" s="435"/>
      <c r="E60" s="435"/>
      <c r="F60" s="435"/>
      <c r="G60" s="435"/>
      <c r="H60" s="435"/>
      <c r="I60" s="435"/>
      <c r="J60" s="435"/>
      <c r="K60" s="435"/>
      <c r="L60" s="438"/>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296</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297</v>
      </c>
      <c r="C64" s="496"/>
      <c r="D64" s="456"/>
      <c r="E64" s="457"/>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298</v>
      </c>
      <c r="C66" s="559">
        <f>+INFORMACIÓN!D7</f>
        <v>0</v>
      </c>
      <c r="D66" s="457"/>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300</v>
      </c>
      <c r="C68" s="562">
        <f ca="1">TODAY()</f>
        <v>45779</v>
      </c>
      <c r="D68" s="457"/>
      <c r="E68" s="1"/>
      <c r="F68" s="1"/>
      <c r="G68" s="1"/>
      <c r="H68" s="208" t="s">
        <v>299</v>
      </c>
      <c r="I68" s="561"/>
      <c r="J68" s="456"/>
      <c r="K68" s="457"/>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56:L60"/>
    <mergeCell ref="C64:E64"/>
    <mergeCell ref="C66:D66"/>
    <mergeCell ref="C68:D68"/>
    <mergeCell ref="I68:K68"/>
    <mergeCell ref="B39:L40"/>
    <mergeCell ref="C44:E44"/>
    <mergeCell ref="I46:K46"/>
    <mergeCell ref="B55:C55"/>
    <mergeCell ref="D55:L55"/>
    <mergeCell ref="C46:D46"/>
    <mergeCell ref="C48:D48"/>
    <mergeCell ref="I48:K48"/>
    <mergeCell ref="F51:H51"/>
    <mergeCell ref="E52:I52"/>
    <mergeCell ref="C54:H54"/>
    <mergeCell ref="I54:L54"/>
    <mergeCell ref="B10:L19"/>
    <mergeCell ref="B21:L24"/>
    <mergeCell ref="B26:L28"/>
    <mergeCell ref="B30:L32"/>
    <mergeCell ref="B34:L37"/>
    <mergeCell ref="F3:H3"/>
    <mergeCell ref="D4:J6"/>
    <mergeCell ref="C8:H8"/>
    <mergeCell ref="I8:L8"/>
    <mergeCell ref="B9:C9"/>
    <mergeCell ref="D9:L9"/>
  </mergeCell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5" defaultRowHeight="15" customHeight="1"/>
  <cols>
    <col min="1" max="1" width="0.1640625" customWidth="1"/>
    <col min="2" max="2" width="20" customWidth="1"/>
    <col min="3" max="3" width="12.6640625" customWidth="1"/>
    <col min="4" max="4" width="11.83203125" customWidth="1"/>
    <col min="5" max="5" width="13.5" customWidth="1"/>
    <col min="6" max="6" width="9" customWidth="1"/>
    <col min="7" max="7" width="16.1640625" customWidth="1"/>
    <col min="8" max="8" width="13.5" customWidth="1"/>
    <col min="9" max="9" width="15.6640625" customWidth="1"/>
    <col min="10" max="10" width="11.5" customWidth="1"/>
    <col min="11" max="11" width="12.5" customWidth="1"/>
    <col min="12" max="12" width="11.5" customWidth="1"/>
    <col min="13" max="26" width="8.664062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57" t="s">
        <v>306</v>
      </c>
      <c r="C4" s="401"/>
      <c r="D4" s="401"/>
      <c r="E4" s="401"/>
      <c r="F4" s="401"/>
      <c r="G4" s="401"/>
      <c r="H4" s="401"/>
      <c r="I4" s="401"/>
      <c r="J4" s="401"/>
      <c r="K4" s="401"/>
      <c r="L4" s="402"/>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64" t="s">
        <v>307</v>
      </c>
      <c r="C7" s="401"/>
      <c r="D7" s="401"/>
      <c r="E7" s="401"/>
      <c r="F7" s="401"/>
      <c r="G7" s="402"/>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308</v>
      </c>
      <c r="C10" s="559">
        <f>+INFORMACIÓN!D5</f>
        <v>0</v>
      </c>
      <c r="D10" s="456"/>
      <c r="E10" s="456"/>
      <c r="F10" s="456"/>
      <c r="G10" s="457"/>
      <c r="H10" s="565" t="s">
        <v>309</v>
      </c>
      <c r="I10" s="401"/>
      <c r="J10" s="402"/>
      <c r="K10" s="559">
        <f>+INFORMACIÓN!D7</f>
        <v>0</v>
      </c>
      <c r="L10" s="457"/>
      <c r="M10" s="1"/>
      <c r="N10" s="1"/>
      <c r="O10" s="1"/>
      <c r="P10" s="1"/>
      <c r="Q10" s="1"/>
      <c r="R10" s="1"/>
      <c r="S10" s="1"/>
      <c r="T10" s="1"/>
      <c r="U10" s="1"/>
      <c r="V10" s="1"/>
      <c r="W10" s="1"/>
      <c r="X10" s="1"/>
      <c r="Y10" s="1"/>
      <c r="Z10" s="1"/>
    </row>
    <row r="11" spans="1:26" ht="9.75" customHeight="1">
      <c r="A11" s="1"/>
      <c r="B11" s="566" t="s">
        <v>310</v>
      </c>
      <c r="C11" s="416"/>
      <c r="D11" s="416"/>
      <c r="E11" s="416"/>
      <c r="F11" s="416"/>
      <c r="G11" s="416"/>
      <c r="H11" s="416"/>
      <c r="I11" s="416"/>
      <c r="J11" s="416"/>
      <c r="K11" s="416"/>
      <c r="L11" s="417"/>
      <c r="M11" s="1"/>
      <c r="N11" s="1"/>
      <c r="O11" s="1"/>
      <c r="P11" s="1"/>
      <c r="Q11" s="1"/>
      <c r="R11" s="1"/>
      <c r="S11" s="1"/>
      <c r="T11" s="1"/>
      <c r="U11" s="1"/>
      <c r="V11" s="1"/>
      <c r="W11" s="1"/>
      <c r="X11" s="1"/>
      <c r="Y11" s="1"/>
      <c r="Z11" s="1"/>
    </row>
    <row r="12" spans="1:26" ht="18" customHeight="1">
      <c r="A12" s="1"/>
      <c r="B12" s="479"/>
      <c r="C12" s="480"/>
      <c r="D12" s="480"/>
      <c r="E12" s="480"/>
      <c r="F12" s="480"/>
      <c r="G12" s="480"/>
      <c r="H12" s="480"/>
      <c r="I12" s="480"/>
      <c r="J12" s="480"/>
      <c r="K12" s="480"/>
      <c r="L12" s="481"/>
      <c r="M12" s="1"/>
      <c r="N12" s="1"/>
      <c r="O12" s="1"/>
      <c r="P12" s="1"/>
      <c r="Q12" s="1"/>
      <c r="R12" s="1"/>
      <c r="S12" s="1"/>
      <c r="T12" s="1"/>
      <c r="U12" s="1"/>
      <c r="V12" s="1"/>
      <c r="W12" s="1"/>
      <c r="X12" s="1"/>
      <c r="Y12" s="1"/>
      <c r="Z12" s="1"/>
    </row>
    <row r="13" spans="1:26" ht="18" customHeight="1">
      <c r="A13" s="1"/>
      <c r="B13" s="479"/>
      <c r="C13" s="480"/>
      <c r="D13" s="480"/>
      <c r="E13" s="480"/>
      <c r="F13" s="480"/>
      <c r="G13" s="480"/>
      <c r="H13" s="480"/>
      <c r="I13" s="480"/>
      <c r="J13" s="480"/>
      <c r="K13" s="480"/>
      <c r="L13" s="481"/>
      <c r="M13" s="1"/>
      <c r="N13" s="1"/>
      <c r="O13" s="1"/>
      <c r="P13" s="1"/>
      <c r="Q13" s="1"/>
      <c r="R13" s="1"/>
      <c r="S13" s="1"/>
      <c r="T13" s="1"/>
      <c r="U13" s="1"/>
      <c r="V13" s="1"/>
      <c r="W13" s="1"/>
      <c r="X13" s="1"/>
      <c r="Y13" s="1"/>
      <c r="Z13" s="1"/>
    </row>
    <row r="14" spans="1:26" ht="21.75" customHeight="1">
      <c r="A14" s="1"/>
      <c r="B14" s="427"/>
      <c r="C14" s="435"/>
      <c r="D14" s="435"/>
      <c r="E14" s="435"/>
      <c r="F14" s="435"/>
      <c r="G14" s="435"/>
      <c r="H14" s="435"/>
      <c r="I14" s="435"/>
      <c r="J14" s="435"/>
      <c r="K14" s="435"/>
      <c r="L14" s="438"/>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502" t="s">
        <v>311</v>
      </c>
      <c r="C18" s="402"/>
      <c r="D18" s="5"/>
      <c r="E18" s="5"/>
      <c r="F18" s="5"/>
      <c r="G18" s="5"/>
      <c r="H18" s="1"/>
      <c r="I18" s="502" t="s">
        <v>312</v>
      </c>
      <c r="J18" s="401"/>
      <c r="K18" s="402"/>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59">
        <f>+INFORMACIÓN!D5</f>
        <v>0</v>
      </c>
      <c r="C20" s="456"/>
      <c r="D20" s="456"/>
      <c r="E20" s="456"/>
      <c r="F20" s="457"/>
      <c r="G20" s="1"/>
      <c r="H20" s="1"/>
      <c r="I20" s="559">
        <f>+INFORMACIÓN!D7</f>
        <v>0</v>
      </c>
      <c r="J20" s="456"/>
      <c r="K20" s="457"/>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502" t="s">
        <v>313</v>
      </c>
      <c r="C23" s="401"/>
      <c r="D23" s="401"/>
      <c r="E23" s="401"/>
      <c r="F23" s="401"/>
      <c r="G23" s="401"/>
      <c r="H23" s="401"/>
      <c r="I23" s="401"/>
      <c r="J23" s="402"/>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64" t="s">
        <v>314</v>
      </c>
      <c r="C26" s="401"/>
      <c r="D26" s="401"/>
      <c r="E26" s="402"/>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499" t="s">
        <v>315</v>
      </c>
      <c r="C28" s="416"/>
      <c r="D28" s="416"/>
      <c r="E28" s="416"/>
      <c r="F28" s="416"/>
      <c r="G28" s="416"/>
      <c r="H28" s="416"/>
      <c r="I28" s="416"/>
      <c r="J28" s="416"/>
      <c r="K28" s="416"/>
      <c r="L28" s="417"/>
      <c r="M28" s="1"/>
      <c r="N28" s="1"/>
      <c r="O28" s="1"/>
      <c r="P28" s="1"/>
      <c r="Q28" s="1"/>
      <c r="R28" s="1"/>
      <c r="S28" s="1"/>
      <c r="T28" s="1"/>
      <c r="U28" s="1"/>
      <c r="V28" s="1"/>
      <c r="W28" s="1"/>
      <c r="X28" s="1"/>
      <c r="Y28" s="1"/>
      <c r="Z28" s="1"/>
    </row>
    <row r="29" spans="1:26" ht="16.5" customHeight="1">
      <c r="A29" s="1"/>
      <c r="B29" s="427"/>
      <c r="C29" s="435"/>
      <c r="D29" s="435"/>
      <c r="E29" s="435"/>
      <c r="F29" s="435"/>
      <c r="G29" s="435"/>
      <c r="H29" s="435"/>
      <c r="I29" s="435"/>
      <c r="J29" s="435"/>
      <c r="K29" s="435"/>
      <c r="L29" s="438"/>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66" t="s">
        <v>316</v>
      </c>
      <c r="C31" s="416"/>
      <c r="D31" s="416"/>
      <c r="E31" s="416"/>
      <c r="F31" s="416"/>
      <c r="G31" s="416"/>
      <c r="H31" s="416"/>
      <c r="I31" s="416"/>
      <c r="J31" s="416"/>
      <c r="K31" s="416"/>
      <c r="L31" s="417"/>
      <c r="M31" s="1"/>
      <c r="N31" s="1"/>
      <c r="O31" s="1"/>
      <c r="P31" s="1"/>
      <c r="Q31" s="1"/>
      <c r="R31" s="1"/>
      <c r="S31" s="1"/>
      <c r="T31" s="1"/>
      <c r="U31" s="1"/>
      <c r="V31" s="1"/>
      <c r="W31" s="1"/>
      <c r="X31" s="1"/>
      <c r="Y31" s="1"/>
      <c r="Z31" s="1"/>
    </row>
    <row r="32" spans="1:26" ht="16.5" customHeight="1">
      <c r="A32" s="1"/>
      <c r="B32" s="427"/>
      <c r="C32" s="435"/>
      <c r="D32" s="435"/>
      <c r="E32" s="435"/>
      <c r="F32" s="435"/>
      <c r="G32" s="435"/>
      <c r="H32" s="435"/>
      <c r="I32" s="435"/>
      <c r="J32" s="435"/>
      <c r="K32" s="435"/>
      <c r="L32" s="438"/>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64" t="s">
        <v>317</v>
      </c>
      <c r="C38" s="401"/>
      <c r="D38" s="401"/>
      <c r="E38" s="401"/>
      <c r="F38" s="401"/>
      <c r="G38" s="401"/>
      <c r="H38" s="401"/>
      <c r="I38" s="401"/>
      <c r="J38" s="401"/>
      <c r="K38" s="402"/>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502" t="s">
        <v>318</v>
      </c>
      <c r="C40" s="401"/>
      <c r="D40" s="401"/>
      <c r="E40" s="401"/>
      <c r="F40" s="401"/>
      <c r="G40" s="401"/>
      <c r="H40" s="401"/>
      <c r="I40" s="401"/>
      <c r="J40" s="401"/>
      <c r="K40" s="402"/>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65" t="s">
        <v>319</v>
      </c>
      <c r="C42" s="401"/>
      <c r="D42" s="402"/>
      <c r="E42" s="5"/>
      <c r="F42" s="5"/>
      <c r="G42" s="1"/>
      <c r="H42" s="565" t="s">
        <v>320</v>
      </c>
      <c r="I42" s="402"/>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496"/>
      <c r="C44" s="456"/>
      <c r="D44" s="457"/>
      <c r="E44" s="1"/>
      <c r="F44" s="1"/>
      <c r="G44" s="1"/>
      <c r="H44" s="496"/>
      <c r="I44" s="457"/>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502" t="s">
        <v>321</v>
      </c>
      <c r="C46" s="401"/>
      <c r="D46" s="401"/>
      <c r="E46" s="401"/>
      <c r="F46" s="401"/>
      <c r="G46" s="402"/>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502" t="s">
        <v>322</v>
      </c>
      <c r="C48" s="401"/>
      <c r="D48" s="401"/>
      <c r="E48" s="401"/>
      <c r="F48" s="402"/>
      <c r="G48" s="208" t="s">
        <v>137</v>
      </c>
      <c r="H48" s="213"/>
      <c r="I48" s="208" t="s">
        <v>182</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67" t="s">
        <v>323</v>
      </c>
      <c r="C50" s="401"/>
      <c r="D50" s="401"/>
      <c r="E50" s="401"/>
      <c r="F50" s="401"/>
      <c r="G50" s="402"/>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500" t="s">
        <v>324</v>
      </c>
      <c r="C57" s="401"/>
      <c r="D57" s="402"/>
      <c r="E57" s="501">
        <f ca="1">TODAY()</f>
        <v>45779</v>
      </c>
      <c r="F57" s="401"/>
      <c r="G57" s="401"/>
      <c r="H57" s="401"/>
      <c r="I57" s="402"/>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502" t="s">
        <v>325</v>
      </c>
      <c r="C60" s="402"/>
      <c r="D60" s="559">
        <f>+INFORMACIÓN!D5</f>
        <v>0</v>
      </c>
      <c r="E60" s="456"/>
      <c r="F60" s="456"/>
      <c r="G60" s="456"/>
      <c r="H60" s="457"/>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502" t="s">
        <v>326</v>
      </c>
      <c r="C64" s="402"/>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64:C64"/>
    <mergeCell ref="B38:K38"/>
    <mergeCell ref="B40:K40"/>
    <mergeCell ref="B42:D42"/>
    <mergeCell ref="H42:I42"/>
    <mergeCell ref="B44:D44"/>
    <mergeCell ref="H44:I44"/>
    <mergeCell ref="B46:G46"/>
    <mergeCell ref="B50:G50"/>
    <mergeCell ref="B57:D57"/>
    <mergeCell ref="E57:I57"/>
    <mergeCell ref="B60:C60"/>
    <mergeCell ref="D60:H60"/>
    <mergeCell ref="B23:J23"/>
    <mergeCell ref="B26:E26"/>
    <mergeCell ref="B28:L29"/>
    <mergeCell ref="B31:L32"/>
    <mergeCell ref="B48:F48"/>
    <mergeCell ref="B11:L14"/>
    <mergeCell ref="I18:K18"/>
    <mergeCell ref="B18:C18"/>
    <mergeCell ref="B20:F20"/>
    <mergeCell ref="I20:K20"/>
    <mergeCell ref="B4:L4"/>
    <mergeCell ref="B7:G7"/>
    <mergeCell ref="C10:G10"/>
    <mergeCell ref="H10:J10"/>
    <mergeCell ref="K10:L1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election activeCell="C5" sqref="C5"/>
    </sheetView>
  </sheetViews>
  <sheetFormatPr baseColWidth="10" defaultColWidth="14.5" defaultRowHeight="15" customHeight="1"/>
  <cols>
    <col min="1" max="1" width="1.5" customWidth="1"/>
    <col min="2" max="2" width="10.33203125" customWidth="1"/>
    <col min="3" max="3" width="12.83203125" customWidth="1"/>
    <col min="4" max="4" width="12.6640625" customWidth="1"/>
    <col min="5" max="5" width="14.5" customWidth="1"/>
    <col min="6" max="6" width="8.33203125" customWidth="1"/>
    <col min="7" max="7" width="9.1640625" customWidth="1"/>
    <col min="8" max="8" width="19.6640625" customWidth="1"/>
    <col min="9" max="9" width="9.5" customWidth="1"/>
    <col min="10" max="10" width="11.33203125" customWidth="1"/>
    <col min="11" max="11" width="7.33203125" customWidth="1"/>
    <col min="12" max="12" width="14.83203125" customWidth="1"/>
    <col min="13" max="13" width="9.33203125" customWidth="1"/>
    <col min="14" max="14" width="7.83203125" customWidth="1"/>
    <col min="15" max="15" width="0.5" customWidth="1"/>
    <col min="16" max="34" width="11.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72" t="s">
        <v>327</v>
      </c>
      <c r="C2" s="453"/>
      <c r="D2" s="453"/>
      <c r="E2" s="453"/>
      <c r="F2" s="453"/>
      <c r="G2" s="453"/>
      <c r="H2" s="453"/>
      <c r="I2" s="453"/>
      <c r="J2" s="453"/>
      <c r="K2" s="453"/>
      <c r="L2" s="453"/>
      <c r="M2" s="453"/>
      <c r="N2" s="444"/>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73" t="s">
        <v>328</v>
      </c>
      <c r="C3" s="456"/>
      <c r="D3" s="456"/>
      <c r="E3" s="456"/>
      <c r="F3" s="456"/>
      <c r="G3" s="456"/>
      <c r="H3" s="456"/>
      <c r="I3" s="456"/>
      <c r="J3" s="456"/>
      <c r="K3" s="456"/>
      <c r="L3" s="456"/>
      <c r="M3" s="456"/>
      <c r="N3" s="449"/>
      <c r="O3" s="1"/>
      <c r="P3" s="1"/>
      <c r="Q3" s="1"/>
      <c r="R3" s="1"/>
      <c r="S3" s="1"/>
      <c r="T3" s="1"/>
      <c r="U3" s="1"/>
      <c r="V3" s="1"/>
      <c r="W3" s="1"/>
      <c r="X3" s="1"/>
      <c r="Y3" s="1"/>
      <c r="Z3" s="1"/>
      <c r="AA3" s="1"/>
      <c r="AB3" s="1"/>
      <c r="AC3" s="1"/>
      <c r="AD3" s="1"/>
      <c r="AE3" s="1"/>
      <c r="AF3" s="1"/>
      <c r="AG3" s="1"/>
      <c r="AH3" s="1"/>
    </row>
    <row r="4" spans="1:34" ht="13.5" customHeight="1">
      <c r="A4" s="215"/>
      <c r="B4" s="568" t="s">
        <v>329</v>
      </c>
      <c r="C4" s="405"/>
      <c r="D4" s="406"/>
      <c r="E4" s="574" t="str">
        <f>IF(INFORMACIÓN!$D$5="","INTRODUCIR EL NOMBRE DEL CLIENTE",INFORMACIÓN!$D$5)</f>
        <v>INTRODUCIR EL NOMBRE DEL CLIENTE</v>
      </c>
      <c r="F4" s="405"/>
      <c r="G4" s="405"/>
      <c r="H4" s="405"/>
      <c r="I4" s="405"/>
      <c r="J4" s="405"/>
      <c r="K4" s="406"/>
      <c r="L4" s="216" t="s">
        <v>330</v>
      </c>
      <c r="M4" s="217">
        <f>INFORMACIÓN!L20</f>
        <v>0</v>
      </c>
      <c r="N4" s="218" t="s">
        <v>331</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68" t="s">
        <v>332</v>
      </c>
      <c r="C5" s="405"/>
      <c r="D5" s="406"/>
      <c r="E5" s="574" t="str">
        <f>IF(INFORMACIÓN!D18="","",INFORMACIÓN!D18)</f>
        <v/>
      </c>
      <c r="F5" s="405"/>
      <c r="G5" s="406"/>
      <c r="H5" s="575" t="s">
        <v>333</v>
      </c>
      <c r="I5" s="406"/>
      <c r="J5" s="576" t="str">
        <f>IF(INFORMACIÓN!D20="","",INFORMACIÓN!D20)</f>
        <v/>
      </c>
      <c r="K5" s="406"/>
      <c r="L5" s="216" t="s">
        <v>334</v>
      </c>
      <c r="M5" s="219">
        <f>INFORMACIÓN!L18</f>
        <v>0</v>
      </c>
      <c r="N5" s="218" t="s">
        <v>335</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68" t="s">
        <v>336</v>
      </c>
      <c r="C6" s="405"/>
      <c r="D6" s="405"/>
      <c r="E6" s="405"/>
      <c r="F6" s="405"/>
      <c r="G6" s="405"/>
      <c r="H6" s="405"/>
      <c r="I6" s="405"/>
      <c r="J6" s="405"/>
      <c r="K6" s="405"/>
      <c r="L6" s="406"/>
      <c r="M6" s="221" t="s">
        <v>137</v>
      </c>
      <c r="N6" s="221" t="s">
        <v>182</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69" t="s">
        <v>337</v>
      </c>
      <c r="C7" s="405"/>
      <c r="D7" s="405"/>
      <c r="E7" s="405"/>
      <c r="F7" s="405"/>
      <c r="G7" s="405"/>
      <c r="H7" s="405"/>
      <c r="I7" s="405"/>
      <c r="J7" s="405"/>
      <c r="K7" s="405"/>
      <c r="L7" s="406"/>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70" t="s">
        <v>338</v>
      </c>
      <c r="C8" s="405"/>
      <c r="D8" s="405"/>
      <c r="E8" s="405"/>
      <c r="F8" s="405"/>
      <c r="G8" s="405"/>
      <c r="H8" s="405"/>
      <c r="I8" s="405"/>
      <c r="J8" s="405"/>
      <c r="K8" s="405"/>
      <c r="L8" s="406"/>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69" t="s">
        <v>339</v>
      </c>
      <c r="C9" s="405"/>
      <c r="D9" s="405"/>
      <c r="E9" s="405"/>
      <c r="F9" s="405"/>
      <c r="G9" s="405"/>
      <c r="H9" s="405"/>
      <c r="I9" s="405"/>
      <c r="J9" s="405"/>
      <c r="K9" s="405"/>
      <c r="L9" s="406"/>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70" t="s">
        <v>340</v>
      </c>
      <c r="C10" s="405"/>
      <c r="D10" s="405"/>
      <c r="E10" s="405"/>
      <c r="F10" s="405"/>
      <c r="G10" s="405"/>
      <c r="H10" s="405"/>
      <c r="I10" s="405"/>
      <c r="J10" s="405"/>
      <c r="K10" s="405"/>
      <c r="L10" s="406"/>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69" t="s">
        <v>341</v>
      </c>
      <c r="C11" s="405"/>
      <c r="D11" s="405"/>
      <c r="E11" s="405"/>
      <c r="F11" s="405"/>
      <c r="G11" s="405"/>
      <c r="H11" s="405"/>
      <c r="I11" s="405"/>
      <c r="J11" s="405"/>
      <c r="K11" s="405"/>
      <c r="L11" s="406"/>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70" t="s">
        <v>342</v>
      </c>
      <c r="C12" s="405"/>
      <c r="D12" s="405"/>
      <c r="E12" s="405"/>
      <c r="F12" s="405"/>
      <c r="G12" s="405"/>
      <c r="H12" s="405"/>
      <c r="I12" s="405"/>
      <c r="J12" s="405"/>
      <c r="K12" s="405"/>
      <c r="L12" s="406"/>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69" t="s">
        <v>343</v>
      </c>
      <c r="C13" s="405"/>
      <c r="D13" s="405"/>
      <c r="E13" s="405"/>
      <c r="F13" s="405"/>
      <c r="G13" s="405"/>
      <c r="H13" s="405"/>
      <c r="I13" s="405"/>
      <c r="J13" s="405"/>
      <c r="K13" s="405"/>
      <c r="L13" s="406"/>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70" t="s">
        <v>344</v>
      </c>
      <c r="C14" s="405"/>
      <c r="D14" s="405"/>
      <c r="E14" s="405"/>
      <c r="F14" s="405"/>
      <c r="G14" s="405"/>
      <c r="H14" s="405"/>
      <c r="I14" s="405"/>
      <c r="J14" s="405"/>
      <c r="K14" s="405"/>
      <c r="L14" s="406"/>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69" t="s">
        <v>345</v>
      </c>
      <c r="C15" s="405"/>
      <c r="D15" s="405"/>
      <c r="E15" s="405"/>
      <c r="F15" s="405"/>
      <c r="G15" s="405"/>
      <c r="H15" s="405"/>
      <c r="I15" s="405"/>
      <c r="J15" s="405"/>
      <c r="K15" s="405"/>
      <c r="L15" s="406"/>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70" t="s">
        <v>346</v>
      </c>
      <c r="C16" s="405"/>
      <c r="D16" s="405"/>
      <c r="E16" s="405"/>
      <c r="F16" s="405"/>
      <c r="G16" s="405"/>
      <c r="H16" s="405"/>
      <c r="I16" s="405"/>
      <c r="J16" s="405"/>
      <c r="K16" s="405"/>
      <c r="L16" s="406"/>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69" t="s">
        <v>347</v>
      </c>
      <c r="C17" s="405"/>
      <c r="D17" s="405"/>
      <c r="E17" s="405"/>
      <c r="F17" s="405"/>
      <c r="G17" s="405"/>
      <c r="H17" s="405"/>
      <c r="I17" s="405"/>
      <c r="J17" s="405"/>
      <c r="K17" s="405"/>
      <c r="L17" s="406"/>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70" t="s">
        <v>348</v>
      </c>
      <c r="C18" s="405"/>
      <c r="D18" s="405"/>
      <c r="E18" s="405"/>
      <c r="F18" s="405"/>
      <c r="G18" s="405"/>
      <c r="H18" s="405"/>
      <c r="I18" s="405"/>
      <c r="J18" s="405"/>
      <c r="K18" s="405"/>
      <c r="L18" s="406"/>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69" t="s">
        <v>349</v>
      </c>
      <c r="C19" s="405"/>
      <c r="D19" s="405"/>
      <c r="E19" s="405"/>
      <c r="F19" s="405"/>
      <c r="G19" s="405"/>
      <c r="H19" s="405"/>
      <c r="I19" s="405"/>
      <c r="J19" s="405"/>
      <c r="K19" s="405"/>
      <c r="L19" s="406"/>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70" t="s">
        <v>350</v>
      </c>
      <c r="C20" s="405"/>
      <c r="D20" s="405"/>
      <c r="E20" s="405"/>
      <c r="F20" s="405"/>
      <c r="G20" s="405"/>
      <c r="H20" s="405"/>
      <c r="I20" s="405"/>
      <c r="J20" s="405"/>
      <c r="K20" s="405"/>
      <c r="L20" s="406"/>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69" t="s">
        <v>351</v>
      </c>
      <c r="C21" s="405"/>
      <c r="D21" s="405"/>
      <c r="E21" s="405"/>
      <c r="F21" s="405"/>
      <c r="G21" s="405"/>
      <c r="H21" s="405"/>
      <c r="I21" s="405"/>
      <c r="J21" s="405"/>
      <c r="K21" s="405"/>
      <c r="L21" s="406"/>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70" t="s">
        <v>352</v>
      </c>
      <c r="C22" s="405"/>
      <c r="D22" s="405"/>
      <c r="E22" s="405"/>
      <c r="F22" s="405"/>
      <c r="G22" s="405"/>
      <c r="H22" s="405"/>
      <c r="I22" s="405"/>
      <c r="J22" s="405"/>
      <c r="K22" s="405"/>
      <c r="L22" s="406"/>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77" t="s">
        <v>353</v>
      </c>
      <c r="C23" s="405"/>
      <c r="D23" s="405"/>
      <c r="E23" s="405"/>
      <c r="F23" s="405"/>
      <c r="G23" s="405"/>
      <c r="H23" s="405"/>
      <c r="I23" s="405"/>
      <c r="J23" s="405"/>
      <c r="K23" s="405"/>
      <c r="L23" s="406"/>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78" t="s">
        <v>354</v>
      </c>
      <c r="C24" s="405"/>
      <c r="D24" s="405"/>
      <c r="E24" s="405"/>
      <c r="F24" s="405"/>
      <c r="G24" s="405"/>
      <c r="H24" s="405"/>
      <c r="I24" s="405"/>
      <c r="J24" s="405"/>
      <c r="K24" s="405"/>
      <c r="L24" s="406"/>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77" t="s">
        <v>355</v>
      </c>
      <c r="C25" s="405"/>
      <c r="D25" s="405"/>
      <c r="E25" s="405"/>
      <c r="F25" s="405"/>
      <c r="G25" s="405"/>
      <c r="H25" s="405"/>
      <c r="I25" s="405"/>
      <c r="J25" s="405"/>
      <c r="K25" s="405"/>
      <c r="L25" s="406"/>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78" t="s">
        <v>356</v>
      </c>
      <c r="C26" s="405"/>
      <c r="D26" s="405"/>
      <c r="E26" s="405"/>
      <c r="F26" s="405"/>
      <c r="G26" s="405"/>
      <c r="H26" s="405"/>
      <c r="I26" s="405"/>
      <c r="J26" s="405"/>
      <c r="K26" s="405"/>
      <c r="L26" s="406"/>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77" t="s">
        <v>357</v>
      </c>
      <c r="C27" s="405"/>
      <c r="D27" s="405"/>
      <c r="E27" s="405"/>
      <c r="F27" s="405"/>
      <c r="G27" s="405"/>
      <c r="H27" s="405"/>
      <c r="I27" s="405"/>
      <c r="J27" s="405"/>
      <c r="K27" s="405"/>
      <c r="L27" s="406"/>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78" t="s">
        <v>358</v>
      </c>
      <c r="C28" s="405"/>
      <c r="D28" s="405"/>
      <c r="E28" s="405"/>
      <c r="F28" s="405"/>
      <c r="G28" s="405"/>
      <c r="H28" s="405"/>
      <c r="I28" s="405"/>
      <c r="J28" s="405"/>
      <c r="K28" s="405"/>
      <c r="L28" s="406"/>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77" t="s">
        <v>359</v>
      </c>
      <c r="C29" s="405"/>
      <c r="D29" s="405"/>
      <c r="E29" s="405"/>
      <c r="F29" s="405"/>
      <c r="G29" s="405"/>
      <c r="H29" s="405"/>
      <c r="I29" s="405"/>
      <c r="J29" s="405"/>
      <c r="K29" s="405"/>
      <c r="L29" s="406"/>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78" t="s">
        <v>360</v>
      </c>
      <c r="C30" s="405"/>
      <c r="D30" s="405"/>
      <c r="E30" s="405"/>
      <c r="F30" s="405"/>
      <c r="G30" s="405"/>
      <c r="H30" s="405"/>
      <c r="I30" s="405"/>
      <c r="J30" s="405"/>
      <c r="K30" s="405"/>
      <c r="L30" s="406"/>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77" t="s">
        <v>361</v>
      </c>
      <c r="C31" s="405"/>
      <c r="D31" s="405"/>
      <c r="E31" s="405"/>
      <c r="F31" s="405"/>
      <c r="G31" s="405"/>
      <c r="H31" s="405"/>
      <c r="I31" s="405"/>
      <c r="J31" s="405"/>
      <c r="K31" s="405"/>
      <c r="L31" s="406"/>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78" t="s">
        <v>362</v>
      </c>
      <c r="C32" s="405"/>
      <c r="D32" s="405"/>
      <c r="E32" s="405"/>
      <c r="F32" s="405"/>
      <c r="G32" s="405"/>
      <c r="H32" s="405"/>
      <c r="I32" s="405"/>
      <c r="J32" s="405"/>
      <c r="K32" s="405"/>
      <c r="L32" s="406"/>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77" t="s">
        <v>363</v>
      </c>
      <c r="C33" s="405"/>
      <c r="D33" s="405"/>
      <c r="E33" s="405"/>
      <c r="F33" s="405"/>
      <c r="G33" s="405"/>
      <c r="H33" s="405"/>
      <c r="I33" s="405"/>
      <c r="J33" s="405"/>
      <c r="K33" s="405"/>
      <c r="L33" s="406"/>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78" t="s">
        <v>364</v>
      </c>
      <c r="C34" s="405"/>
      <c r="D34" s="405"/>
      <c r="E34" s="405"/>
      <c r="F34" s="405"/>
      <c r="G34" s="405"/>
      <c r="H34" s="405"/>
      <c r="I34" s="405"/>
      <c r="J34" s="405"/>
      <c r="K34" s="405"/>
      <c r="L34" s="406"/>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77" t="s">
        <v>365</v>
      </c>
      <c r="C35" s="405"/>
      <c r="D35" s="405"/>
      <c r="E35" s="405"/>
      <c r="F35" s="405"/>
      <c r="G35" s="405"/>
      <c r="H35" s="405"/>
      <c r="I35" s="405"/>
      <c r="J35" s="405"/>
      <c r="K35" s="405"/>
      <c r="L35" s="406"/>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78" t="s">
        <v>366</v>
      </c>
      <c r="C36" s="405"/>
      <c r="D36" s="405"/>
      <c r="E36" s="405"/>
      <c r="F36" s="405"/>
      <c r="G36" s="405"/>
      <c r="H36" s="405"/>
      <c r="I36" s="405"/>
      <c r="J36" s="405"/>
      <c r="K36" s="405"/>
      <c r="L36" s="405"/>
      <c r="M36" s="405"/>
      <c r="N36" s="406"/>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69" t="s">
        <v>367</v>
      </c>
      <c r="C37" s="405"/>
      <c r="D37" s="405"/>
      <c r="E37" s="405"/>
      <c r="F37" s="405"/>
      <c r="G37" s="405"/>
      <c r="H37" s="405"/>
      <c r="I37" s="405"/>
      <c r="J37" s="405"/>
      <c r="K37" s="405"/>
      <c r="L37" s="406"/>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70" t="s">
        <v>368</v>
      </c>
      <c r="C38" s="405"/>
      <c r="D38" s="405"/>
      <c r="E38" s="405"/>
      <c r="F38" s="405"/>
      <c r="G38" s="405"/>
      <c r="H38" s="405"/>
      <c r="I38" s="405"/>
      <c r="J38" s="405"/>
      <c r="K38" s="405"/>
      <c r="L38" s="406"/>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69" t="s">
        <v>369</v>
      </c>
      <c r="C39" s="405"/>
      <c r="D39" s="405"/>
      <c r="E39" s="405"/>
      <c r="F39" s="405"/>
      <c r="G39" s="405"/>
      <c r="H39" s="405"/>
      <c r="I39" s="405"/>
      <c r="J39" s="405"/>
      <c r="K39" s="405"/>
      <c r="L39" s="406"/>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70" t="s">
        <v>370</v>
      </c>
      <c r="C40" s="405"/>
      <c r="D40" s="405"/>
      <c r="E40" s="405"/>
      <c r="F40" s="405"/>
      <c r="G40" s="405"/>
      <c r="H40" s="405"/>
      <c r="I40" s="405"/>
      <c r="J40" s="405"/>
      <c r="K40" s="405"/>
      <c r="L40" s="406"/>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69" t="s">
        <v>371</v>
      </c>
      <c r="C41" s="405"/>
      <c r="D41" s="405"/>
      <c r="E41" s="405"/>
      <c r="F41" s="405"/>
      <c r="G41" s="405"/>
      <c r="H41" s="405"/>
      <c r="I41" s="405"/>
      <c r="J41" s="405"/>
      <c r="K41" s="405"/>
      <c r="L41" s="406"/>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70" t="s">
        <v>372</v>
      </c>
      <c r="C42" s="405"/>
      <c r="D42" s="405"/>
      <c r="E42" s="405"/>
      <c r="F42" s="405"/>
      <c r="G42" s="405"/>
      <c r="H42" s="405"/>
      <c r="I42" s="405"/>
      <c r="J42" s="405"/>
      <c r="K42" s="405"/>
      <c r="L42" s="406"/>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69" t="s">
        <v>373</v>
      </c>
      <c r="C43" s="405"/>
      <c r="D43" s="405"/>
      <c r="E43" s="405"/>
      <c r="F43" s="405"/>
      <c r="G43" s="405"/>
      <c r="H43" s="405"/>
      <c r="I43" s="405"/>
      <c r="J43" s="405"/>
      <c r="K43" s="405"/>
      <c r="L43" s="406"/>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70" t="s">
        <v>374</v>
      </c>
      <c r="C44" s="405"/>
      <c r="D44" s="405"/>
      <c r="E44" s="405"/>
      <c r="F44" s="405"/>
      <c r="G44" s="405"/>
      <c r="H44" s="405"/>
      <c r="I44" s="405"/>
      <c r="J44" s="405"/>
      <c r="K44" s="405"/>
      <c r="L44" s="406"/>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71" t="s">
        <v>375</v>
      </c>
      <c r="C45" s="405"/>
      <c r="D45" s="405"/>
      <c r="E45" s="405"/>
      <c r="F45" s="405"/>
      <c r="G45" s="405"/>
      <c r="H45" s="405"/>
      <c r="I45" s="405"/>
      <c r="J45" s="405"/>
      <c r="K45" s="405"/>
      <c r="L45" s="405"/>
      <c r="M45" s="405"/>
      <c r="N45" s="406"/>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81"/>
      <c r="C46" s="405"/>
      <c r="D46" s="405"/>
      <c r="E46" s="405"/>
      <c r="F46" s="405"/>
      <c r="G46" s="405"/>
      <c r="H46" s="405"/>
      <c r="I46" s="405"/>
      <c r="J46" s="405"/>
      <c r="K46" s="405"/>
      <c r="L46" s="405"/>
      <c r="M46" s="405"/>
      <c r="N46" s="406"/>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81"/>
      <c r="C47" s="405"/>
      <c r="D47" s="405"/>
      <c r="E47" s="405"/>
      <c r="F47" s="405"/>
      <c r="G47" s="405"/>
      <c r="H47" s="405"/>
      <c r="I47" s="405"/>
      <c r="J47" s="405"/>
      <c r="K47" s="405"/>
      <c r="L47" s="405"/>
      <c r="M47" s="405"/>
      <c r="N47" s="406"/>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81"/>
      <c r="C48" s="405"/>
      <c r="D48" s="405"/>
      <c r="E48" s="405"/>
      <c r="F48" s="405"/>
      <c r="G48" s="405"/>
      <c r="H48" s="405"/>
      <c r="I48" s="405"/>
      <c r="J48" s="405"/>
      <c r="K48" s="405"/>
      <c r="L48" s="405"/>
      <c r="M48" s="405"/>
      <c r="N48" s="406"/>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81"/>
      <c r="C49" s="405"/>
      <c r="D49" s="405"/>
      <c r="E49" s="405"/>
      <c r="F49" s="405"/>
      <c r="G49" s="405"/>
      <c r="H49" s="405"/>
      <c r="I49" s="405"/>
      <c r="J49" s="405"/>
      <c r="K49" s="405"/>
      <c r="L49" s="405"/>
      <c r="M49" s="405"/>
      <c r="N49" s="406"/>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81"/>
      <c r="C50" s="405"/>
      <c r="D50" s="405"/>
      <c r="E50" s="405"/>
      <c r="F50" s="405"/>
      <c r="G50" s="405"/>
      <c r="H50" s="405"/>
      <c r="I50" s="405"/>
      <c r="J50" s="405"/>
      <c r="K50" s="405"/>
      <c r="L50" s="405"/>
      <c r="M50" s="405"/>
      <c r="N50" s="406"/>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82" t="s">
        <v>376</v>
      </c>
      <c r="C51" s="432"/>
      <c r="D51" s="432"/>
      <c r="E51" s="432"/>
      <c r="F51" s="432"/>
      <c r="G51" s="432"/>
      <c r="H51" s="432"/>
      <c r="I51" s="432"/>
      <c r="J51" s="432"/>
      <c r="K51" s="432"/>
      <c r="L51" s="432"/>
      <c r="M51" s="432"/>
      <c r="N51" s="433"/>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83"/>
      <c r="C52" s="480"/>
      <c r="D52" s="480"/>
      <c r="E52" s="480"/>
      <c r="F52" s="480"/>
      <c r="G52" s="480"/>
      <c r="H52" s="480"/>
      <c r="I52" s="480"/>
      <c r="J52" s="480"/>
      <c r="K52" s="480"/>
      <c r="L52" s="480"/>
      <c r="M52" s="480"/>
      <c r="N52" s="584"/>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85"/>
      <c r="C53" s="419"/>
      <c r="D53" s="419"/>
      <c r="E53" s="419"/>
      <c r="F53" s="419"/>
      <c r="G53" s="419"/>
      <c r="H53" s="419"/>
      <c r="I53" s="419"/>
      <c r="J53" s="419"/>
      <c r="K53" s="419"/>
      <c r="L53" s="419"/>
      <c r="M53" s="419"/>
      <c r="N53" s="586"/>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87" t="s">
        <v>377</v>
      </c>
      <c r="C54" s="401"/>
      <c r="D54" s="401"/>
      <c r="E54" s="402"/>
      <c r="F54" s="588">
        <f ca="1">TODAY()</f>
        <v>45779</v>
      </c>
      <c r="G54" s="401"/>
      <c r="H54" s="401"/>
      <c r="I54" s="401"/>
      <c r="J54" s="401"/>
      <c r="K54" s="401"/>
      <c r="L54" s="401"/>
      <c r="M54" s="401"/>
      <c r="N54" s="401"/>
      <c r="O54" s="402"/>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79" t="s">
        <v>378</v>
      </c>
      <c r="D56" s="453"/>
      <c r="E56" s="453"/>
      <c r="F56" s="454"/>
      <c r="G56" s="228"/>
      <c r="H56" s="225"/>
      <c r="I56" s="580" t="s">
        <v>379</v>
      </c>
      <c r="J56" s="453"/>
      <c r="K56" s="453"/>
      <c r="L56" s="454"/>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C56:F56"/>
    <mergeCell ref="I56:L56"/>
    <mergeCell ref="B35:L35"/>
    <mergeCell ref="B36:N36"/>
    <mergeCell ref="B37:L37"/>
    <mergeCell ref="B38:L38"/>
    <mergeCell ref="B39:L39"/>
    <mergeCell ref="B50:N50"/>
    <mergeCell ref="B51:N53"/>
    <mergeCell ref="B54:E54"/>
    <mergeCell ref="F54:O54"/>
    <mergeCell ref="B46:N46"/>
    <mergeCell ref="B47:N47"/>
    <mergeCell ref="B48:N48"/>
    <mergeCell ref="B49:N49"/>
    <mergeCell ref="B31:L31"/>
    <mergeCell ref="B32:L32"/>
    <mergeCell ref="B33:L33"/>
    <mergeCell ref="B34:L34"/>
    <mergeCell ref="B21:L21"/>
    <mergeCell ref="B22:L22"/>
    <mergeCell ref="B23:L23"/>
    <mergeCell ref="B24:L24"/>
    <mergeCell ref="B25:L25"/>
    <mergeCell ref="B26:L26"/>
    <mergeCell ref="B27:L27"/>
    <mergeCell ref="B28:L28"/>
    <mergeCell ref="B29:L29"/>
    <mergeCell ref="B30:L30"/>
    <mergeCell ref="B16:L16"/>
    <mergeCell ref="B17:L17"/>
    <mergeCell ref="B18:L18"/>
    <mergeCell ref="B19:L19"/>
    <mergeCell ref="B20:L20"/>
    <mergeCell ref="B2:N2"/>
    <mergeCell ref="B3:N3"/>
    <mergeCell ref="B4:D4"/>
    <mergeCell ref="E4:K4"/>
    <mergeCell ref="B5:D5"/>
    <mergeCell ref="H5:I5"/>
    <mergeCell ref="J5:K5"/>
    <mergeCell ref="E5:G5"/>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s>
  <pageMargins left="0.78819444444444398" right="0.46736111111111101" top="0.24374999999999999" bottom="0.104166666666667" header="0" footer="0"/>
  <pageSetup scale="62"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C5" sqref="C5"/>
    </sheetView>
  </sheetViews>
  <sheetFormatPr baseColWidth="10" defaultColWidth="14.5" defaultRowHeight="15" customHeight="1"/>
  <cols>
    <col min="1" max="1" width="8.6640625" customWidth="1"/>
    <col min="2" max="2" width="18.5" customWidth="1"/>
    <col min="3" max="3" width="17.5" customWidth="1"/>
    <col min="4" max="4" width="17.1640625" customWidth="1"/>
    <col min="5" max="5" width="12.6640625" customWidth="1"/>
    <col min="6" max="6" width="17.5" customWidth="1"/>
    <col min="7" max="7" width="16.5" customWidth="1"/>
    <col min="8" max="8" width="14.83203125" customWidth="1"/>
    <col min="9" max="9" width="14" customWidth="1"/>
    <col min="10" max="10" width="6.33203125" customWidth="1"/>
    <col min="11" max="11" width="9.83203125" customWidth="1"/>
    <col min="12" max="26" width="11.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589" t="s">
        <v>380</v>
      </c>
      <c r="C8" s="480"/>
      <c r="D8" s="480"/>
      <c r="E8" s="480"/>
      <c r="F8" s="480"/>
      <c r="G8" s="480"/>
      <c r="H8" s="480"/>
      <c r="I8" s="480"/>
    </row>
    <row r="9" spans="2:9" ht="13.5" customHeight="1"/>
    <row r="10" spans="2:9" ht="13.5" customHeight="1"/>
    <row r="11" spans="2:9" ht="13.5" customHeight="1">
      <c r="B11" s="590" t="s">
        <v>381</v>
      </c>
      <c r="C11" s="480"/>
      <c r="D11" s="591">
        <f>+INFORMACIÓN!D5</f>
        <v>0</v>
      </c>
      <c r="E11" s="419"/>
      <c r="F11" s="419"/>
      <c r="G11" s="419"/>
      <c r="H11" s="419"/>
      <c r="I11" s="419"/>
    </row>
    <row r="12" spans="2:9" ht="13.5" customHeight="1">
      <c r="B12" s="18"/>
      <c r="C12" s="18"/>
      <c r="D12" s="18"/>
      <c r="E12" s="18"/>
      <c r="F12" s="18"/>
      <c r="G12" s="18"/>
    </row>
    <row r="13" spans="2:9" ht="13.5" customHeight="1">
      <c r="B13" s="590" t="s">
        <v>382</v>
      </c>
      <c r="C13" s="480"/>
      <c r="D13" s="591">
        <f>+INFORMACIÓN!D7</f>
        <v>0</v>
      </c>
      <c r="E13" s="419"/>
      <c r="F13" s="18"/>
      <c r="G13" s="18"/>
    </row>
    <row r="14" spans="2:9" ht="13.5" customHeight="1"/>
    <row r="15" spans="2:9" ht="13.5" customHeight="1"/>
    <row r="16" spans="2:9" ht="13.5" customHeight="1">
      <c r="B16" s="592" t="s">
        <v>383</v>
      </c>
      <c r="C16" s="480"/>
      <c r="D16" s="480"/>
      <c r="E16" s="480"/>
    </row>
    <row r="17" spans="1:26" ht="24" customHeight="1">
      <c r="B17" s="593" t="s">
        <v>384</v>
      </c>
      <c r="C17" s="480"/>
      <c r="D17" s="480"/>
      <c r="E17" s="480"/>
      <c r="F17" s="480"/>
      <c r="G17" s="480"/>
      <c r="H17" s="480"/>
    </row>
    <row r="18" spans="1:26" ht="13.5" customHeight="1"/>
    <row r="19" spans="1:26" ht="13.5" customHeight="1"/>
    <row r="20" spans="1:26" ht="18.75" customHeight="1">
      <c r="B20" s="231" t="s">
        <v>385</v>
      </c>
      <c r="E20" s="232">
        <f>+INFORMACIÓN!L18</f>
        <v>0</v>
      </c>
      <c r="F20" s="233" t="s">
        <v>386</v>
      </c>
    </row>
    <row r="21" spans="1:26" ht="13.5" customHeight="1">
      <c r="B21" s="18"/>
    </row>
    <row r="22" spans="1:26" ht="17.25" customHeight="1">
      <c r="B22" s="231" t="s">
        <v>387</v>
      </c>
      <c r="E22" s="234">
        <f>+INFORMACIÓN!N20</f>
        <v>0</v>
      </c>
      <c r="F22" s="233" t="s">
        <v>388</v>
      </c>
    </row>
    <row r="23" spans="1:26" ht="13.5" customHeight="1"/>
    <row r="24" spans="1:26" ht="13.5" customHeight="1"/>
    <row r="25" spans="1:26" ht="27" customHeight="1">
      <c r="A25" s="235"/>
      <c r="B25" s="236" t="s">
        <v>389</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594" t="s">
        <v>390</v>
      </c>
      <c r="C26" s="432"/>
      <c r="D26" s="432"/>
      <c r="E26" s="432"/>
      <c r="F26" s="432"/>
      <c r="G26" s="432"/>
      <c r="H26" s="432"/>
      <c r="I26" s="433"/>
    </row>
    <row r="27" spans="1:26" ht="18.75" customHeight="1">
      <c r="B27" s="583"/>
      <c r="C27" s="480"/>
      <c r="D27" s="480"/>
      <c r="E27" s="480"/>
      <c r="F27" s="480"/>
      <c r="G27" s="480"/>
      <c r="H27" s="480"/>
      <c r="I27" s="584"/>
    </row>
    <row r="28" spans="1:26" ht="16.5" customHeight="1">
      <c r="B28" s="583"/>
      <c r="C28" s="480"/>
      <c r="D28" s="480"/>
      <c r="E28" s="480"/>
      <c r="F28" s="480"/>
      <c r="G28" s="480"/>
      <c r="H28" s="480"/>
      <c r="I28" s="584"/>
    </row>
    <row r="29" spans="1:26" ht="16.5" customHeight="1">
      <c r="B29" s="585"/>
      <c r="C29" s="419"/>
      <c r="D29" s="419"/>
      <c r="E29" s="419"/>
      <c r="F29" s="419"/>
      <c r="G29" s="419"/>
      <c r="H29" s="419"/>
      <c r="I29" s="586"/>
    </row>
    <row r="30" spans="1:26" ht="13.5" customHeight="1"/>
    <row r="31" spans="1:26" ht="13.5" customHeight="1"/>
    <row r="32" spans="1:26" ht="13.5" customHeight="1">
      <c r="B32" s="237" t="s">
        <v>391</v>
      </c>
    </row>
    <row r="33" spans="2:7" ht="13.5" customHeight="1"/>
    <row r="34" spans="2:7" ht="23.25" customHeight="1">
      <c r="B34" s="231" t="s">
        <v>392</v>
      </c>
      <c r="E34" s="238" t="e">
        <f>$E$22/($E$20)^2</f>
        <v>#DIV/0!</v>
      </c>
    </row>
    <row r="35" spans="2:7" ht="16.5" customHeight="1"/>
    <row r="36" spans="2:7" ht="23.25" customHeight="1">
      <c r="B36" s="231" t="s">
        <v>393</v>
      </c>
      <c r="E36" s="595" t="e">
        <f>IF($E$34&lt;$C$42,$E$42,IF(AND($E$34&gt;$C$42,$E$34&lt;16.99)=TRUE(),$E$43,IF(AND($E$34&gt;17,$E$34&lt;18.49)=TRUE(),$E$44,IF(AND($E$34&gt;18.5,$E$34&lt;24.99)=TRUE(),$E$45,IF(AND($E$34&gt;25,$E$34&lt;29.99)=TRUE(),$E$46,IF(AND($E$34&gt;30,$E$34&lt;34.99)=TRUE(),$E$47,IF(AND($E$34&gt;35,$E$34&lt;40)=TRUE(),$E$48,IF($E$34&gt;$C$49,$E$49,0))))))))</f>
        <v>#DIV/0!</v>
      </c>
      <c r="F36" s="405"/>
      <c r="G36" s="406"/>
    </row>
    <row r="37" spans="2:7" ht="13.5" customHeight="1"/>
    <row r="38" spans="2:7" ht="13.5" customHeight="1"/>
    <row r="39" spans="2:7" ht="13.5" customHeight="1">
      <c r="C39" s="593" t="s">
        <v>394</v>
      </c>
      <c r="D39" s="480"/>
      <c r="E39" s="480"/>
      <c r="F39" s="480"/>
      <c r="G39" s="480"/>
    </row>
    <row r="40" spans="2:7" ht="16.5" customHeight="1"/>
    <row r="41" spans="2:7" ht="13.5" customHeight="1">
      <c r="C41" s="596" t="s">
        <v>395</v>
      </c>
      <c r="D41" s="406"/>
      <c r="E41" s="596" t="s">
        <v>396</v>
      </c>
      <c r="F41" s="405"/>
      <c r="G41" s="406"/>
    </row>
    <row r="42" spans="2:7" ht="20.25" customHeight="1">
      <c r="C42" s="597">
        <v>16</v>
      </c>
      <c r="D42" s="406"/>
      <c r="E42" s="598" t="s">
        <v>397</v>
      </c>
      <c r="F42" s="405"/>
      <c r="G42" s="406"/>
    </row>
    <row r="43" spans="2:7" ht="20.25" customHeight="1">
      <c r="C43" s="597" t="s">
        <v>398</v>
      </c>
      <c r="D43" s="406"/>
      <c r="E43" s="598" t="s">
        <v>399</v>
      </c>
      <c r="F43" s="405"/>
      <c r="G43" s="406"/>
    </row>
    <row r="44" spans="2:7" ht="20.25" customHeight="1">
      <c r="C44" s="597" t="s">
        <v>400</v>
      </c>
      <c r="D44" s="406"/>
      <c r="E44" s="598" t="s">
        <v>401</v>
      </c>
      <c r="F44" s="405"/>
      <c r="G44" s="406"/>
    </row>
    <row r="45" spans="2:7" ht="20.25" customHeight="1">
      <c r="C45" s="597" t="s">
        <v>402</v>
      </c>
      <c r="D45" s="406"/>
      <c r="E45" s="598" t="s">
        <v>403</v>
      </c>
      <c r="F45" s="405"/>
      <c r="G45" s="406"/>
    </row>
    <row r="46" spans="2:7" ht="20.25" customHeight="1">
      <c r="C46" s="597" t="s">
        <v>404</v>
      </c>
      <c r="D46" s="406"/>
      <c r="E46" s="598" t="s">
        <v>405</v>
      </c>
      <c r="F46" s="405"/>
      <c r="G46" s="406"/>
    </row>
    <row r="47" spans="2:7" ht="20.25" customHeight="1">
      <c r="C47" s="597" t="s">
        <v>406</v>
      </c>
      <c r="D47" s="406"/>
      <c r="E47" s="598" t="s">
        <v>407</v>
      </c>
      <c r="F47" s="405"/>
      <c r="G47" s="406"/>
    </row>
    <row r="48" spans="2:7" ht="20.25" customHeight="1">
      <c r="C48" s="597" t="s">
        <v>408</v>
      </c>
      <c r="D48" s="406"/>
      <c r="E48" s="598" t="s">
        <v>409</v>
      </c>
      <c r="F48" s="405"/>
      <c r="G48" s="406"/>
    </row>
    <row r="49" spans="2:9" ht="20.25" customHeight="1">
      <c r="C49" s="597">
        <v>40</v>
      </c>
      <c r="D49" s="406"/>
      <c r="E49" s="598" t="s">
        <v>410</v>
      </c>
      <c r="F49" s="405"/>
      <c r="G49" s="406"/>
    </row>
    <row r="50" spans="2:9" ht="13.5" customHeight="1"/>
    <row r="51" spans="2:9" ht="13.5" customHeight="1">
      <c r="B51" s="239" t="s">
        <v>411</v>
      </c>
    </row>
    <row r="52" spans="2:9" ht="14.25" customHeight="1">
      <c r="B52" s="599" t="s">
        <v>412</v>
      </c>
      <c r="C52" s="480"/>
      <c r="D52" s="480"/>
      <c r="E52" s="480"/>
      <c r="F52" s="480"/>
      <c r="G52" s="480"/>
      <c r="H52" s="480"/>
      <c r="I52" s="480"/>
    </row>
    <row r="53" spans="2:9" ht="15.75" customHeight="1">
      <c r="B53" s="480"/>
      <c r="C53" s="480"/>
      <c r="D53" s="480"/>
      <c r="E53" s="480"/>
      <c r="F53" s="480"/>
      <c r="G53" s="480"/>
      <c r="H53" s="480"/>
      <c r="I53" s="480"/>
    </row>
    <row r="54" spans="2:9" ht="18" customHeight="1">
      <c r="B54" s="480"/>
      <c r="C54" s="480"/>
      <c r="D54" s="480"/>
      <c r="E54" s="480"/>
      <c r="F54" s="480"/>
      <c r="G54" s="480"/>
      <c r="H54" s="480"/>
      <c r="I54" s="480"/>
    </row>
    <row r="55" spans="2:9" ht="16.5" customHeight="1"/>
    <row r="56" spans="2:9" ht="13.5" customHeight="1">
      <c r="B56" s="239" t="s">
        <v>413</v>
      </c>
    </row>
    <row r="57" spans="2:9" ht="18.75" customHeight="1">
      <c r="B57" s="599" t="s">
        <v>414</v>
      </c>
      <c r="C57" s="480"/>
      <c r="D57" s="480"/>
      <c r="E57" s="480"/>
      <c r="F57" s="480"/>
      <c r="G57" s="480"/>
      <c r="H57" s="480"/>
      <c r="I57" s="480"/>
    </row>
    <row r="58" spans="2:9" ht="16.5" customHeight="1">
      <c r="B58" s="480"/>
      <c r="C58" s="480"/>
      <c r="D58" s="480"/>
      <c r="E58" s="480"/>
      <c r="F58" s="480"/>
      <c r="G58" s="480"/>
      <c r="H58" s="480"/>
      <c r="I58" s="480"/>
    </row>
    <row r="59" spans="2:9" ht="13.5" customHeight="1"/>
    <row r="60" spans="2:9" ht="13.5" customHeight="1">
      <c r="B60" s="239" t="s">
        <v>415</v>
      </c>
    </row>
    <row r="61" spans="2:9" ht="15.75" customHeight="1">
      <c r="B61" s="599" t="s">
        <v>416</v>
      </c>
      <c r="C61" s="480"/>
      <c r="D61" s="480"/>
      <c r="E61" s="480"/>
      <c r="F61" s="480"/>
      <c r="G61" s="480"/>
      <c r="H61" s="480"/>
      <c r="I61" s="480"/>
    </row>
    <row r="62" spans="2:9" ht="15.75" customHeight="1">
      <c r="B62" s="480"/>
      <c r="C62" s="480"/>
      <c r="D62" s="480"/>
      <c r="E62" s="480"/>
      <c r="F62" s="480"/>
      <c r="G62" s="480"/>
      <c r="H62" s="480"/>
      <c r="I62" s="480"/>
    </row>
    <row r="63" spans="2:9" ht="15" customHeight="1">
      <c r="B63" s="480"/>
      <c r="C63" s="480"/>
      <c r="D63" s="480"/>
      <c r="E63" s="480"/>
      <c r="F63" s="480"/>
      <c r="G63" s="480"/>
      <c r="H63" s="480"/>
      <c r="I63" s="480"/>
    </row>
    <row r="64" spans="2:9" ht="21.75" customHeight="1">
      <c r="B64" s="480"/>
      <c r="C64" s="480"/>
      <c r="D64" s="480"/>
      <c r="E64" s="480"/>
      <c r="F64" s="480"/>
      <c r="G64" s="480"/>
      <c r="H64" s="480"/>
      <c r="I64" s="480"/>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 ref="C41:D41"/>
    <mergeCell ref="E41:G41"/>
    <mergeCell ref="C42:D42"/>
    <mergeCell ref="E42:G42"/>
    <mergeCell ref="C46:D46"/>
    <mergeCell ref="B16:E16"/>
    <mergeCell ref="B17:H17"/>
    <mergeCell ref="B26:I29"/>
    <mergeCell ref="E36:G36"/>
    <mergeCell ref="C39:G39"/>
    <mergeCell ref="B8:I8"/>
    <mergeCell ref="B11:C11"/>
    <mergeCell ref="D11:I11"/>
    <mergeCell ref="B13:C13"/>
    <mergeCell ref="D13:E13"/>
  </mergeCells>
  <pageMargins left="0.78819444444444398" right="0.46736111111111101" top="0.24374999999999999" bottom="0.104166666666667" header="0" footer="0"/>
  <pageSetup scale="62"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C5" sqref="C5"/>
    </sheetView>
  </sheetViews>
  <sheetFormatPr baseColWidth="10" defaultColWidth="14.5" defaultRowHeight="15" customHeight="1"/>
  <cols>
    <col min="1" max="1" width="5.5" customWidth="1"/>
    <col min="2" max="2" width="15.6640625" customWidth="1"/>
    <col min="3" max="3" width="17.5" customWidth="1"/>
    <col min="4" max="4" width="17.6640625" customWidth="1"/>
    <col min="5" max="5" width="12.6640625" customWidth="1"/>
    <col min="6" max="6" width="17.5" customWidth="1"/>
    <col min="7" max="7" width="24.5" customWidth="1"/>
    <col min="8" max="8" width="14.83203125" customWidth="1"/>
    <col min="9" max="9" width="11" customWidth="1"/>
    <col min="10" max="10" width="6.33203125" customWidth="1"/>
    <col min="11" max="11" width="9.83203125" customWidth="1"/>
    <col min="12" max="14" width="11.5" customWidth="1"/>
    <col min="15"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417</v>
      </c>
      <c r="C8" s="604">
        <f ca="1">TODAY()</f>
        <v>45779</v>
      </c>
      <c r="D8" s="480"/>
      <c r="E8" s="480"/>
      <c r="F8" s="480"/>
      <c r="G8" s="480"/>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418</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419</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420</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05" t="s">
        <v>421</v>
      </c>
      <c r="C16" s="480"/>
      <c r="D16" s="480"/>
      <c r="E16" s="480"/>
      <c r="F16" s="480"/>
      <c r="G16" s="480"/>
      <c r="H16" s="480"/>
      <c r="I16" s="480"/>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422</v>
      </c>
      <c r="C18" s="231"/>
      <c r="D18" s="231"/>
      <c r="E18" s="606">
        <f>+INFORMACIÓN!D5</f>
        <v>0</v>
      </c>
      <c r="F18" s="419"/>
      <c r="G18" s="419"/>
      <c r="H18" s="419"/>
      <c r="I18" s="231" t="s">
        <v>423</v>
      </c>
      <c r="J18" s="231"/>
      <c r="K18" s="231"/>
      <c r="L18" s="231"/>
      <c r="M18" s="231"/>
      <c r="N18" s="231"/>
      <c r="O18" s="231"/>
      <c r="P18" s="231"/>
      <c r="Q18" s="231"/>
      <c r="R18" s="231"/>
      <c r="S18" s="231"/>
      <c r="T18" s="231"/>
      <c r="U18" s="231"/>
      <c r="V18" s="231"/>
      <c r="W18" s="231"/>
      <c r="X18" s="231"/>
      <c r="Y18" s="231"/>
      <c r="Z18" s="231"/>
    </row>
    <row r="19" spans="1:26" ht="21.75" customHeight="1">
      <c r="A19" s="231"/>
      <c r="B19" s="602" t="s">
        <v>424</v>
      </c>
      <c r="C19" s="480"/>
      <c r="D19" s="606">
        <f>+INFORMACIÓN!D7</f>
        <v>0</v>
      </c>
      <c r="E19" s="419"/>
      <c r="F19" s="602" t="s">
        <v>425</v>
      </c>
      <c r="G19" s="480"/>
      <c r="H19" s="480"/>
      <c r="I19" s="480"/>
      <c r="J19" s="231"/>
      <c r="K19" s="231"/>
      <c r="L19" s="231"/>
      <c r="M19" s="231"/>
      <c r="N19" s="231"/>
      <c r="O19" s="231"/>
      <c r="P19" s="231"/>
      <c r="Q19" s="231"/>
      <c r="R19" s="231"/>
      <c r="S19" s="231"/>
      <c r="T19" s="231"/>
      <c r="U19" s="231"/>
      <c r="V19" s="231"/>
      <c r="W19" s="231"/>
      <c r="X19" s="231"/>
      <c r="Y19" s="231"/>
      <c r="Z19" s="231"/>
    </row>
    <row r="20" spans="1:26" ht="22.5" customHeight="1">
      <c r="A20" s="231"/>
      <c r="B20" s="603" t="s">
        <v>426</v>
      </c>
      <c r="C20" s="480"/>
      <c r="D20" s="480"/>
      <c r="E20" s="480"/>
      <c r="F20" s="480"/>
      <c r="G20" s="480"/>
      <c r="H20" s="480"/>
      <c r="I20" s="480"/>
      <c r="J20" s="231"/>
      <c r="K20" s="231"/>
      <c r="L20" s="231"/>
      <c r="M20" s="231"/>
      <c r="N20" s="231"/>
      <c r="O20" s="231"/>
      <c r="P20" s="231"/>
      <c r="Q20" s="231"/>
      <c r="R20" s="231"/>
      <c r="S20" s="231"/>
      <c r="T20" s="231"/>
      <c r="U20" s="231"/>
      <c r="V20" s="231"/>
      <c r="W20" s="231"/>
      <c r="X20" s="231"/>
      <c r="Y20" s="231"/>
      <c r="Z20" s="231"/>
    </row>
    <row r="21" spans="1:26" ht="22.5" customHeight="1">
      <c r="A21" s="231"/>
      <c r="B21" s="480"/>
      <c r="C21" s="480"/>
      <c r="D21" s="480"/>
      <c r="E21" s="480"/>
      <c r="F21" s="480"/>
      <c r="G21" s="480"/>
      <c r="H21" s="480"/>
      <c r="I21" s="480"/>
      <c r="J21" s="231"/>
      <c r="K21" s="231"/>
      <c r="L21" s="231"/>
      <c r="M21" s="231"/>
      <c r="N21" s="231"/>
      <c r="O21" s="231"/>
      <c r="P21" s="231"/>
      <c r="Q21" s="231"/>
      <c r="R21" s="231"/>
      <c r="S21" s="231"/>
      <c r="T21" s="231"/>
      <c r="U21" s="231"/>
      <c r="V21" s="231"/>
      <c r="W21" s="231"/>
      <c r="X21" s="231"/>
      <c r="Y21" s="231"/>
      <c r="Z21" s="231"/>
    </row>
    <row r="22" spans="1:26" ht="36.75" customHeight="1">
      <c r="A22" s="231"/>
      <c r="B22" s="480"/>
      <c r="C22" s="480"/>
      <c r="D22" s="480"/>
      <c r="E22" s="480"/>
      <c r="F22" s="480"/>
      <c r="G22" s="480"/>
      <c r="H22" s="480"/>
      <c r="I22" s="480"/>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600" t="s">
        <v>427</v>
      </c>
      <c r="C24" s="480"/>
      <c r="D24" s="480"/>
      <c r="E24" s="480"/>
      <c r="F24" s="480"/>
      <c r="G24" s="480"/>
      <c r="H24" s="480"/>
      <c r="I24" s="480"/>
      <c r="J24" s="231"/>
      <c r="K24" s="231"/>
      <c r="L24" s="231"/>
      <c r="M24" s="231"/>
      <c r="N24" s="231"/>
      <c r="O24" s="231"/>
      <c r="P24" s="231"/>
      <c r="Q24" s="231"/>
      <c r="R24" s="231"/>
      <c r="S24" s="231"/>
      <c r="T24" s="231"/>
      <c r="U24" s="231"/>
      <c r="V24" s="231"/>
      <c r="W24" s="231"/>
      <c r="X24" s="231"/>
      <c r="Y24" s="231"/>
      <c r="Z24" s="231"/>
    </row>
    <row r="25" spans="1:26" ht="23.25" customHeight="1">
      <c r="A25" s="231"/>
      <c r="B25" s="480"/>
      <c r="C25" s="480"/>
      <c r="D25" s="480"/>
      <c r="E25" s="480"/>
      <c r="F25" s="480"/>
      <c r="G25" s="480"/>
      <c r="H25" s="480"/>
      <c r="I25" s="480"/>
      <c r="J25" s="231"/>
      <c r="K25" s="231"/>
      <c r="L25" s="231"/>
      <c r="M25" s="231"/>
      <c r="N25" s="231"/>
      <c r="O25" s="231"/>
      <c r="P25" s="231"/>
      <c r="Q25" s="231"/>
      <c r="R25" s="231"/>
      <c r="S25" s="231"/>
      <c r="T25" s="231"/>
      <c r="U25" s="231"/>
      <c r="V25" s="231"/>
      <c r="W25" s="231"/>
      <c r="X25" s="231"/>
      <c r="Y25" s="231"/>
      <c r="Z25" s="231"/>
    </row>
    <row r="26" spans="1:26" ht="23.25" customHeight="1">
      <c r="A26" s="231"/>
      <c r="B26" s="480"/>
      <c r="C26" s="480"/>
      <c r="D26" s="480"/>
      <c r="E26" s="480"/>
      <c r="F26" s="480"/>
      <c r="G26" s="480"/>
      <c r="H26" s="480"/>
      <c r="I26" s="480"/>
      <c r="J26" s="231"/>
      <c r="K26" s="231"/>
      <c r="L26" s="231"/>
      <c r="M26" s="231"/>
      <c r="N26" s="231"/>
      <c r="O26" s="231"/>
      <c r="P26" s="231"/>
      <c r="Q26" s="231"/>
      <c r="R26" s="231"/>
      <c r="S26" s="231"/>
      <c r="T26" s="231"/>
      <c r="U26" s="231"/>
      <c r="V26" s="231"/>
      <c r="W26" s="231"/>
      <c r="X26" s="231"/>
      <c r="Y26" s="231"/>
      <c r="Z26" s="231"/>
    </row>
    <row r="27" spans="1:26" ht="23.25" customHeight="1">
      <c r="A27" s="231"/>
      <c r="B27" s="480"/>
      <c r="C27" s="480"/>
      <c r="D27" s="480"/>
      <c r="E27" s="480"/>
      <c r="F27" s="480"/>
      <c r="G27" s="480"/>
      <c r="H27" s="480"/>
      <c r="I27" s="480"/>
      <c r="J27" s="231"/>
      <c r="K27" s="231"/>
      <c r="L27" s="231"/>
      <c r="M27" s="231"/>
      <c r="N27" s="231"/>
      <c r="O27" s="231"/>
      <c r="P27" s="231"/>
      <c r="Q27" s="231"/>
      <c r="R27" s="231"/>
      <c r="S27" s="231"/>
      <c r="T27" s="231"/>
      <c r="U27" s="231"/>
      <c r="V27" s="231"/>
      <c r="W27" s="231"/>
      <c r="X27" s="231"/>
      <c r="Y27" s="231"/>
      <c r="Z27" s="231"/>
    </row>
    <row r="28" spans="1:26" ht="18.75" customHeight="1">
      <c r="A28" s="231"/>
      <c r="B28" s="231" t="s">
        <v>428</v>
      </c>
      <c r="C28" s="244"/>
      <c r="D28" s="231"/>
      <c r="E28" s="231"/>
      <c r="F28" s="245">
        <f>INFORMACIÓN!$E$13</f>
        <v>0</v>
      </c>
      <c r="G28" s="246" t="s">
        <v>429</v>
      </c>
      <c r="H28" s="601">
        <f>INFORMACIÓN!$K$13</f>
        <v>0</v>
      </c>
      <c r="I28" s="419"/>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600" t="s">
        <v>430</v>
      </c>
      <c r="C30" s="480"/>
      <c r="D30" s="480"/>
      <c r="E30" s="480"/>
      <c r="F30" s="480"/>
      <c r="G30" s="480"/>
      <c r="H30" s="480"/>
      <c r="I30" s="480"/>
      <c r="J30" s="231"/>
      <c r="K30" s="231"/>
      <c r="L30" s="231"/>
      <c r="M30" s="231"/>
      <c r="N30" s="236"/>
      <c r="O30" s="231"/>
      <c r="P30" s="231"/>
      <c r="Q30" s="231"/>
      <c r="R30" s="231"/>
      <c r="S30" s="231"/>
      <c r="T30" s="231"/>
      <c r="U30" s="231"/>
      <c r="V30" s="231"/>
      <c r="W30" s="231"/>
      <c r="X30" s="231"/>
      <c r="Y30" s="231"/>
      <c r="Z30" s="231"/>
    </row>
    <row r="31" spans="1:26" ht="21.75" customHeight="1">
      <c r="A31" s="231"/>
      <c r="B31" s="480"/>
      <c r="C31" s="480"/>
      <c r="D31" s="480"/>
      <c r="E31" s="480"/>
      <c r="F31" s="480"/>
      <c r="G31" s="480"/>
      <c r="H31" s="480"/>
      <c r="I31" s="480"/>
      <c r="J31" s="231"/>
      <c r="K31" s="231"/>
      <c r="L31" s="231"/>
      <c r="M31" s="231"/>
      <c r="N31" s="231"/>
      <c r="O31" s="231"/>
      <c r="P31" s="231"/>
      <c r="Q31" s="231"/>
      <c r="R31" s="231"/>
      <c r="S31" s="231"/>
      <c r="T31" s="231"/>
      <c r="U31" s="231"/>
      <c r="V31" s="231"/>
      <c r="W31" s="231"/>
      <c r="X31" s="231"/>
      <c r="Y31" s="231"/>
      <c r="Z31" s="231"/>
    </row>
    <row r="32" spans="1:26" ht="17.25" customHeight="1">
      <c r="A32" s="22"/>
      <c r="B32" s="602" t="s">
        <v>431</v>
      </c>
      <c r="C32" s="480"/>
      <c r="D32" s="480"/>
      <c r="E32" s="480"/>
      <c r="F32" s="245">
        <f>INFORMACIÓN!$E$13</f>
        <v>0</v>
      </c>
      <c r="G32" s="248" t="s">
        <v>432</v>
      </c>
      <c r="H32" s="601">
        <f>INFORMACIÓN!$K$13</f>
        <v>0</v>
      </c>
      <c r="I32" s="419"/>
      <c r="J32" s="22"/>
      <c r="K32" s="22"/>
      <c r="L32" s="22"/>
      <c r="M32" s="22"/>
      <c r="N32" s="22"/>
      <c r="O32" s="22"/>
      <c r="P32" s="22"/>
      <c r="Q32" s="22"/>
      <c r="R32" s="22"/>
      <c r="S32" s="22"/>
      <c r="T32" s="22"/>
      <c r="U32" s="22"/>
      <c r="V32" s="22"/>
      <c r="W32" s="22"/>
      <c r="X32" s="22"/>
      <c r="Y32" s="22"/>
      <c r="Z32" s="22"/>
    </row>
    <row r="33" spans="1:26" ht="19.5" customHeight="1">
      <c r="A33" s="22"/>
      <c r="B33" s="231" t="s">
        <v>433</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434</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435</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0:I22"/>
    <mergeCell ref="C8:G8"/>
    <mergeCell ref="B16:I16"/>
    <mergeCell ref="E18:H18"/>
    <mergeCell ref="B19:C19"/>
    <mergeCell ref="D19:E19"/>
    <mergeCell ref="F19:I19"/>
    <mergeCell ref="B24:I27"/>
    <mergeCell ref="H28:I28"/>
    <mergeCell ref="B30:I31"/>
    <mergeCell ref="B32:E32"/>
    <mergeCell ref="H32:I32"/>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5" sqref="C5"/>
    </sheetView>
  </sheetViews>
  <sheetFormatPr baseColWidth="10" defaultColWidth="14.5" defaultRowHeight="15" customHeight="1"/>
  <cols>
    <col min="1" max="1" width="5.5" customWidth="1"/>
    <col min="2" max="2" width="5" customWidth="1"/>
    <col min="3" max="3" width="12.33203125" customWidth="1"/>
    <col min="4" max="4" width="18.33203125" customWidth="1"/>
    <col min="5" max="5" width="17.6640625" customWidth="1"/>
    <col min="6" max="6" width="12.6640625" customWidth="1"/>
    <col min="7" max="7" width="17.5" customWidth="1"/>
    <col min="8" max="8" width="14.6640625" customWidth="1"/>
    <col min="9" max="9" width="18" customWidth="1"/>
    <col min="10" max="10" width="15" customWidth="1"/>
    <col min="11"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417</v>
      </c>
      <c r="C8" s="250"/>
      <c r="D8" s="610">
        <f ca="1">TODAY()</f>
        <v>45779</v>
      </c>
      <c r="E8" s="480"/>
      <c r="F8" s="480"/>
      <c r="G8" s="480"/>
      <c r="H8" s="480"/>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02" t="s">
        <v>418</v>
      </c>
      <c r="C11" s="480"/>
      <c r="D11" s="480"/>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436</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02" t="s">
        <v>437</v>
      </c>
      <c r="C15" s="480"/>
      <c r="D15" s="480"/>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02" t="s">
        <v>438</v>
      </c>
      <c r="C17" s="480"/>
      <c r="D17" s="480"/>
      <c r="E17" s="607">
        <f>+INFORMACIÓN!D5</f>
        <v>0</v>
      </c>
      <c r="F17" s="608"/>
      <c r="G17" s="608"/>
      <c r="H17" s="608"/>
      <c r="I17" s="602" t="s">
        <v>439</v>
      </c>
      <c r="J17" s="480"/>
      <c r="K17" s="231"/>
      <c r="L17" s="231"/>
      <c r="M17" s="231"/>
      <c r="N17" s="231"/>
      <c r="O17" s="231"/>
      <c r="P17" s="231"/>
      <c r="Q17" s="231"/>
      <c r="R17" s="231"/>
      <c r="S17" s="231"/>
      <c r="T17" s="231"/>
      <c r="U17" s="231"/>
      <c r="V17" s="231"/>
      <c r="W17" s="231"/>
      <c r="X17" s="231"/>
      <c r="Y17" s="231"/>
      <c r="Z17" s="231"/>
    </row>
    <row r="18" spans="1:26" ht="21.75" customHeight="1">
      <c r="A18" s="231"/>
      <c r="B18" s="602" t="s">
        <v>440</v>
      </c>
      <c r="C18" s="480"/>
      <c r="D18" s="607">
        <f>+INFORMACIÓN!D7</f>
        <v>0</v>
      </c>
      <c r="E18" s="608"/>
      <c r="F18" s="231" t="s">
        <v>441</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442</v>
      </c>
      <c r="C19" s="609">
        <f>INFORMACIÓN!L22</f>
        <v>0</v>
      </c>
      <c r="D19" s="608"/>
      <c r="E19" s="231" t="s">
        <v>443</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444</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445</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446</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434</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435</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U13" sqref="U13:V13"/>
    </sheetView>
  </sheetViews>
  <sheetFormatPr baseColWidth="10" defaultColWidth="14.5" defaultRowHeight="15" customHeight="1"/>
  <cols>
    <col min="1" max="1" width="7.5" customWidth="1"/>
    <col min="2" max="2" width="13" customWidth="1"/>
    <col min="3" max="3" width="24" customWidth="1"/>
    <col min="4" max="4" width="27.6640625" customWidth="1"/>
    <col min="5" max="5" width="18.5" customWidth="1"/>
    <col min="6" max="6" width="27.83203125" customWidth="1"/>
    <col min="7" max="7" width="26.5" customWidth="1"/>
    <col min="8"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05" t="s">
        <v>447</v>
      </c>
      <c r="C11" s="480"/>
      <c r="D11" s="480"/>
      <c r="E11" s="480"/>
      <c r="F11" s="480"/>
      <c r="G11" s="480"/>
      <c r="H11" s="98"/>
      <c r="I11" s="98"/>
      <c r="J11" s="98"/>
      <c r="K11" s="98"/>
      <c r="L11" s="98"/>
      <c r="M11" s="98"/>
      <c r="N11" s="98"/>
      <c r="O11" s="98"/>
      <c r="P11" s="98"/>
      <c r="Q11" s="98"/>
      <c r="R11" s="98"/>
      <c r="S11" s="98"/>
      <c r="T11" s="98"/>
      <c r="U11" s="98"/>
      <c r="V11" s="98"/>
      <c r="W11" s="98"/>
      <c r="X11" s="98"/>
      <c r="Y11" s="98"/>
      <c r="Z11" s="98"/>
    </row>
    <row r="12" spans="1:26" ht="21" customHeight="1">
      <c r="A12" s="98"/>
      <c r="B12" s="605" t="s">
        <v>448</v>
      </c>
      <c r="C12" s="480"/>
      <c r="D12" s="480"/>
      <c r="E12" s="480"/>
      <c r="F12" s="480"/>
      <c r="G12" s="480"/>
      <c r="H12" s="98"/>
      <c r="I12" s="98"/>
      <c r="J12" s="98"/>
      <c r="K12" s="98"/>
      <c r="L12" s="98"/>
      <c r="M12" s="98"/>
      <c r="N12" s="98"/>
      <c r="O12" s="98"/>
      <c r="P12" s="98"/>
      <c r="Q12" s="98"/>
      <c r="R12" s="98"/>
      <c r="S12" s="98"/>
      <c r="T12" s="98"/>
      <c r="U12" s="98"/>
      <c r="V12" s="98"/>
      <c r="W12" s="98"/>
      <c r="X12" s="98"/>
      <c r="Y12" s="98"/>
      <c r="Z12" s="98"/>
    </row>
    <row r="13" spans="1:26" ht="21.75" customHeight="1">
      <c r="A13" s="98"/>
      <c r="B13" s="605" t="s">
        <v>449</v>
      </c>
      <c r="C13" s="480"/>
      <c r="D13" s="480"/>
      <c r="E13" s="480"/>
      <c r="F13" s="480"/>
      <c r="G13" s="480"/>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1" t="s">
        <v>381</v>
      </c>
      <c r="C17" s="480"/>
      <c r="D17" s="606">
        <f>+INFORMACIÓN!D5</f>
        <v>0</v>
      </c>
      <c r="E17" s="419"/>
      <c r="F17" s="419"/>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1" t="s">
        <v>450</v>
      </c>
      <c r="C18" s="480"/>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1" t="s">
        <v>451</v>
      </c>
      <c r="C19" s="480"/>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452</v>
      </c>
      <c r="C23" s="256" t="s">
        <v>453</v>
      </c>
      <c r="D23" s="257" t="s">
        <v>454</v>
      </c>
      <c r="E23" s="257" t="s">
        <v>455</v>
      </c>
      <c r="F23" s="257" t="s">
        <v>456</v>
      </c>
      <c r="G23" s="257" t="s">
        <v>457</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458</v>
      </c>
      <c r="D24" s="259" t="s">
        <v>459</v>
      </c>
      <c r="E24" s="260">
        <f ca="1">TODAY()</f>
        <v>45779</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460</v>
      </c>
      <c r="D25" s="259" t="s">
        <v>461</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462</v>
      </c>
      <c r="D26" s="259" t="s">
        <v>463</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464</v>
      </c>
      <c r="D27" s="259" t="s">
        <v>465</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466</v>
      </c>
      <c r="D28" s="259" t="s">
        <v>467</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468</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12"/>
      <c r="C34" s="432"/>
      <c r="D34" s="432"/>
      <c r="E34" s="432"/>
      <c r="F34" s="432"/>
      <c r="G34" s="433"/>
      <c r="H34" s="98"/>
      <c r="I34" s="98"/>
      <c r="J34" s="98"/>
      <c r="K34" s="98"/>
      <c r="L34" s="98"/>
      <c r="M34" s="98"/>
      <c r="N34" s="98"/>
      <c r="O34" s="98"/>
      <c r="P34" s="98"/>
      <c r="Q34" s="98"/>
      <c r="R34" s="98"/>
      <c r="S34" s="98"/>
      <c r="T34" s="98"/>
      <c r="U34" s="98"/>
      <c r="V34" s="98"/>
      <c r="W34" s="98"/>
      <c r="X34" s="98"/>
      <c r="Y34" s="98"/>
      <c r="Z34" s="98"/>
    </row>
    <row r="35" spans="1:26" ht="16.5" customHeight="1">
      <c r="A35" s="98"/>
      <c r="B35" s="583"/>
      <c r="C35" s="480"/>
      <c r="D35" s="480"/>
      <c r="E35" s="480"/>
      <c r="F35" s="480"/>
      <c r="G35" s="584"/>
      <c r="H35" s="98"/>
      <c r="I35" s="98"/>
      <c r="J35" s="98"/>
      <c r="K35" s="98"/>
      <c r="L35" s="98"/>
      <c r="M35" s="98"/>
      <c r="N35" s="98"/>
      <c r="O35" s="98"/>
      <c r="P35" s="98"/>
      <c r="Q35" s="98"/>
      <c r="R35" s="98"/>
      <c r="S35" s="98"/>
      <c r="T35" s="98"/>
      <c r="U35" s="98"/>
      <c r="V35" s="98"/>
      <c r="W35" s="98"/>
      <c r="X35" s="98"/>
      <c r="Y35" s="98"/>
      <c r="Z35" s="98"/>
    </row>
    <row r="36" spans="1:26" ht="16.5" customHeight="1">
      <c r="A36" s="98"/>
      <c r="B36" s="583"/>
      <c r="C36" s="480"/>
      <c r="D36" s="480"/>
      <c r="E36" s="480"/>
      <c r="F36" s="480"/>
      <c r="G36" s="584"/>
      <c r="H36" s="98"/>
      <c r="I36" s="98"/>
      <c r="J36" s="98"/>
      <c r="K36" s="98"/>
      <c r="L36" s="98"/>
      <c r="M36" s="98"/>
      <c r="N36" s="98"/>
      <c r="O36" s="98"/>
      <c r="P36" s="98"/>
      <c r="Q36" s="98"/>
      <c r="R36" s="98"/>
      <c r="S36" s="98"/>
      <c r="T36" s="98"/>
      <c r="U36" s="98"/>
      <c r="V36" s="98"/>
      <c r="W36" s="98"/>
      <c r="X36" s="98"/>
      <c r="Y36" s="98"/>
      <c r="Z36" s="98"/>
    </row>
    <row r="37" spans="1:26" ht="16.5" customHeight="1">
      <c r="A37" s="98"/>
      <c r="B37" s="583"/>
      <c r="C37" s="480"/>
      <c r="D37" s="480"/>
      <c r="E37" s="480"/>
      <c r="F37" s="480"/>
      <c r="G37" s="584"/>
      <c r="H37" s="98"/>
      <c r="I37" s="98"/>
      <c r="J37" s="98"/>
      <c r="K37" s="98"/>
      <c r="L37" s="98"/>
      <c r="M37" s="98"/>
      <c r="N37" s="98"/>
      <c r="O37" s="98"/>
      <c r="P37" s="98"/>
      <c r="Q37" s="98"/>
      <c r="R37" s="98"/>
      <c r="S37" s="98"/>
      <c r="T37" s="98"/>
      <c r="U37" s="98"/>
      <c r="V37" s="98"/>
      <c r="W37" s="98"/>
      <c r="X37" s="98"/>
      <c r="Y37" s="98"/>
      <c r="Z37" s="98"/>
    </row>
    <row r="38" spans="1:26" ht="16.5" customHeight="1">
      <c r="A38" s="98"/>
      <c r="B38" s="583"/>
      <c r="C38" s="480"/>
      <c r="D38" s="480"/>
      <c r="E38" s="480"/>
      <c r="F38" s="480"/>
      <c r="G38" s="584"/>
      <c r="H38" s="98"/>
      <c r="I38" s="98"/>
      <c r="J38" s="98"/>
      <c r="K38" s="98"/>
      <c r="L38" s="98"/>
      <c r="M38" s="98"/>
      <c r="N38" s="98"/>
      <c r="O38" s="98"/>
      <c r="P38" s="98"/>
      <c r="Q38" s="98"/>
      <c r="R38" s="98"/>
      <c r="S38" s="98"/>
      <c r="T38" s="98"/>
      <c r="U38" s="98"/>
      <c r="V38" s="98"/>
      <c r="W38" s="98"/>
      <c r="X38" s="98"/>
      <c r="Y38" s="98"/>
      <c r="Z38" s="98"/>
    </row>
    <row r="39" spans="1:26" ht="16.5" customHeight="1">
      <c r="A39" s="98"/>
      <c r="B39" s="583"/>
      <c r="C39" s="480"/>
      <c r="D39" s="480"/>
      <c r="E39" s="480"/>
      <c r="F39" s="480"/>
      <c r="G39" s="584"/>
      <c r="H39" s="98"/>
      <c r="I39" s="98"/>
      <c r="J39" s="98"/>
      <c r="K39" s="98"/>
      <c r="L39" s="98"/>
      <c r="M39" s="98"/>
      <c r="N39" s="98"/>
      <c r="O39" s="98"/>
      <c r="P39" s="98"/>
      <c r="Q39" s="98"/>
      <c r="R39" s="98"/>
      <c r="S39" s="98"/>
      <c r="T39" s="98"/>
      <c r="U39" s="98"/>
      <c r="V39" s="98"/>
      <c r="W39" s="98"/>
      <c r="X39" s="98"/>
      <c r="Y39" s="98"/>
      <c r="Z39" s="98"/>
    </row>
    <row r="40" spans="1:26" ht="16.5" customHeight="1">
      <c r="A40" s="98"/>
      <c r="B40" s="583"/>
      <c r="C40" s="480"/>
      <c r="D40" s="480"/>
      <c r="E40" s="480"/>
      <c r="F40" s="480"/>
      <c r="G40" s="584"/>
      <c r="H40" s="98"/>
      <c r="I40" s="98"/>
      <c r="J40" s="98"/>
      <c r="K40" s="98"/>
      <c r="L40" s="98"/>
      <c r="M40" s="98"/>
      <c r="N40" s="98"/>
      <c r="O40" s="98"/>
      <c r="P40" s="98"/>
      <c r="Q40" s="98"/>
      <c r="R40" s="98"/>
      <c r="S40" s="98"/>
      <c r="T40" s="98"/>
      <c r="U40" s="98"/>
      <c r="V40" s="98"/>
      <c r="W40" s="98"/>
      <c r="X40" s="98"/>
      <c r="Y40" s="98"/>
      <c r="Z40" s="98"/>
    </row>
    <row r="41" spans="1:26" ht="16.5" customHeight="1">
      <c r="A41" s="98"/>
      <c r="B41" s="585"/>
      <c r="C41" s="419"/>
      <c r="D41" s="419"/>
      <c r="E41" s="419"/>
      <c r="F41" s="419"/>
      <c r="G41" s="586"/>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U13" sqref="U13:V13"/>
    </sheetView>
  </sheetViews>
  <sheetFormatPr baseColWidth="10" defaultColWidth="14.5" defaultRowHeight="15" customHeight="1"/>
  <cols>
    <col min="1" max="1" width="8.5" customWidth="1"/>
    <col min="2" max="2" width="19.5" customWidth="1"/>
    <col min="3" max="3" width="90.5" customWidth="1"/>
    <col min="4" max="4" width="14" customWidth="1"/>
    <col min="5" max="5" width="13.83203125" customWidth="1"/>
    <col min="6" max="6" width="7" customWidth="1"/>
    <col min="7" max="25" width="11.5" customWidth="1"/>
    <col min="26" max="26" width="8.664062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15" t="s">
        <v>469</v>
      </c>
      <c r="B2" s="480"/>
      <c r="C2" s="480"/>
      <c r="D2" s="480"/>
      <c r="E2" s="480"/>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470</v>
      </c>
      <c r="C3" s="268">
        <f>+INFORMACIÓN!D5</f>
        <v>0</v>
      </c>
      <c r="D3" s="269" t="s">
        <v>471</v>
      </c>
      <c r="E3" s="270">
        <f>+INFORMACIÓN!D24</f>
        <v>0</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472</v>
      </c>
      <c r="C4" s="271">
        <f>+INFORMACIÓN!D7</f>
        <v>0</v>
      </c>
      <c r="D4" s="269" t="s">
        <v>473</v>
      </c>
      <c r="E4" s="272">
        <f ca="1">TODAY()</f>
        <v>45779</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16" t="s">
        <v>474</v>
      </c>
      <c r="C6" s="406"/>
      <c r="D6" s="276" t="s">
        <v>28</v>
      </c>
      <c r="E6" s="276" t="s">
        <v>475</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13" t="s">
        <v>476</v>
      </c>
      <c r="C7" s="406"/>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16" t="s">
        <v>477</v>
      </c>
      <c r="C8" s="406"/>
      <c r="D8" s="276" t="s">
        <v>28</v>
      </c>
      <c r="E8" s="276" t="s">
        <v>475</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13" t="s">
        <v>478</v>
      </c>
      <c r="C9" s="406"/>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13" t="s">
        <v>479</v>
      </c>
      <c r="C10" s="406"/>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13" t="s">
        <v>480</v>
      </c>
      <c r="C11" s="406"/>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13" t="s">
        <v>481</v>
      </c>
      <c r="C12" s="406"/>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13" t="s">
        <v>482</v>
      </c>
      <c r="C13" s="406"/>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16" t="s">
        <v>483</v>
      </c>
      <c r="C14" s="406"/>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17" t="s">
        <v>484</v>
      </c>
      <c r="C15" s="406"/>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13" t="s">
        <v>485</v>
      </c>
      <c r="C16" s="406"/>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13" t="s">
        <v>486</v>
      </c>
      <c r="C17" s="406"/>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13" t="s">
        <v>487</v>
      </c>
      <c r="C18" s="406"/>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13" t="s">
        <v>488</v>
      </c>
      <c r="C19" s="406"/>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16" t="s">
        <v>489</v>
      </c>
      <c r="C20" s="406"/>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13" t="s">
        <v>490</v>
      </c>
      <c r="C21" s="406"/>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13" t="s">
        <v>491</v>
      </c>
      <c r="C22" s="406"/>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13" t="s">
        <v>492</v>
      </c>
      <c r="C23" s="406"/>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13" t="s">
        <v>493</v>
      </c>
      <c r="C24" s="406"/>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13" t="s">
        <v>494</v>
      </c>
      <c r="C25" s="406"/>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13" t="s">
        <v>495</v>
      </c>
      <c r="C26" s="406"/>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13" t="s">
        <v>496</v>
      </c>
      <c r="C27" s="406"/>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13" t="s">
        <v>497</v>
      </c>
      <c r="C28" s="406"/>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13" t="s">
        <v>498</v>
      </c>
      <c r="C29" s="406"/>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13" t="s">
        <v>499</v>
      </c>
      <c r="C30" s="406"/>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13" t="s">
        <v>500</v>
      </c>
      <c r="C31" s="406"/>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13" t="s">
        <v>501</v>
      </c>
      <c r="C32" s="406"/>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13" t="s">
        <v>502</v>
      </c>
      <c r="C33" s="406"/>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18" t="s">
        <v>503</v>
      </c>
      <c r="C34" s="406"/>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18" t="s">
        <v>504</v>
      </c>
      <c r="C35" s="406"/>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13" t="s">
        <v>505</v>
      </c>
      <c r="C36" s="406"/>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13" t="s">
        <v>506</v>
      </c>
      <c r="C37" s="406"/>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13" t="s">
        <v>507</v>
      </c>
      <c r="C38" s="406"/>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13" t="s">
        <v>508</v>
      </c>
      <c r="C39" s="406"/>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13" t="s">
        <v>509</v>
      </c>
      <c r="C40" s="406"/>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13" t="s">
        <v>510</v>
      </c>
      <c r="C41" s="406"/>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13" t="s">
        <v>511</v>
      </c>
      <c r="C42" s="406"/>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13" t="s">
        <v>512</v>
      </c>
      <c r="C43" s="406"/>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13" t="s">
        <v>513</v>
      </c>
      <c r="C44" s="406"/>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13" t="s">
        <v>514</v>
      </c>
      <c r="C45" s="406"/>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13" t="s">
        <v>515</v>
      </c>
      <c r="C46" s="406"/>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13" t="s">
        <v>516</v>
      </c>
      <c r="C47" s="406"/>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13" t="s">
        <v>517</v>
      </c>
      <c r="C48" s="406"/>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13" t="s">
        <v>518</v>
      </c>
      <c r="C49" s="406"/>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13" t="s">
        <v>519</v>
      </c>
      <c r="C50" s="406"/>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13" t="s">
        <v>520</v>
      </c>
      <c r="C51" s="406"/>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13" t="s">
        <v>521</v>
      </c>
      <c r="C52" s="406"/>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13" t="s">
        <v>522</v>
      </c>
      <c r="C53" s="406"/>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13" t="s">
        <v>523</v>
      </c>
      <c r="C54" s="406"/>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13" t="s">
        <v>524</v>
      </c>
      <c r="C55" s="406"/>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13" t="s">
        <v>525</v>
      </c>
      <c r="C56" s="406"/>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13" t="s">
        <v>526</v>
      </c>
      <c r="C57" s="406"/>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13" t="s">
        <v>527</v>
      </c>
      <c r="C58" s="406"/>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13" t="s">
        <v>528</v>
      </c>
      <c r="C59" s="406"/>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13" t="s">
        <v>529</v>
      </c>
      <c r="C60" s="406"/>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13" t="s">
        <v>530</v>
      </c>
      <c r="C61" s="406"/>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13" t="s">
        <v>531</v>
      </c>
      <c r="C62" s="406"/>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13" t="s">
        <v>532</v>
      </c>
      <c r="C63" s="406"/>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13" t="s">
        <v>533</v>
      </c>
      <c r="C64" s="406"/>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13" t="s">
        <v>534</v>
      </c>
      <c r="C65" s="406"/>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13" t="s">
        <v>535</v>
      </c>
      <c r="C66" s="406"/>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13" t="s">
        <v>536</v>
      </c>
      <c r="C67" s="406"/>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13" t="s">
        <v>537</v>
      </c>
      <c r="C68" s="406"/>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158</v>
      </c>
      <c r="C71" s="229">
        <f>+INFORMACIÓN!L7</f>
        <v>0</v>
      </c>
      <c r="D71" s="282" t="s">
        <v>538</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14" t="s">
        <v>539</v>
      </c>
      <c r="D73" s="480"/>
      <c r="E73" s="480"/>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0:C50"/>
    <mergeCell ref="B51:C51"/>
    <mergeCell ref="B52:C52"/>
    <mergeCell ref="B53:C53"/>
    <mergeCell ref="B45:C45"/>
    <mergeCell ref="B46:C46"/>
    <mergeCell ref="B47:C47"/>
    <mergeCell ref="B48:C48"/>
    <mergeCell ref="B49:C49"/>
    <mergeCell ref="B40:C40"/>
    <mergeCell ref="B41:C41"/>
    <mergeCell ref="B42:C42"/>
    <mergeCell ref="B43:C43"/>
    <mergeCell ref="B44:C44"/>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A2:E2"/>
    <mergeCell ref="B6:C6"/>
    <mergeCell ref="B7:C7"/>
    <mergeCell ref="B8:C8"/>
    <mergeCell ref="B9:C9"/>
    <mergeCell ref="B59:C59"/>
    <mergeCell ref="B60:C60"/>
    <mergeCell ref="B68:C68"/>
    <mergeCell ref="C73:E73"/>
    <mergeCell ref="B61:C61"/>
    <mergeCell ref="B62:C62"/>
    <mergeCell ref="B63:C63"/>
    <mergeCell ref="B64:C64"/>
    <mergeCell ref="B65:C65"/>
    <mergeCell ref="B66:C66"/>
    <mergeCell ref="B67:C67"/>
    <mergeCell ref="B54:C54"/>
    <mergeCell ref="B55:C55"/>
    <mergeCell ref="B56:C56"/>
    <mergeCell ref="B57:C57"/>
    <mergeCell ref="B58:C58"/>
  </mergeCells>
  <pageMargins left="0.78819444444444398" right="0.46736111111111101" top="0.24374999999999999" bottom="0.104166666666667" header="0" footer="0"/>
  <pageSetup scale="62"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U13" sqref="U13:V13"/>
    </sheetView>
  </sheetViews>
  <sheetFormatPr baseColWidth="10" defaultColWidth="14.5" defaultRowHeight="15" customHeight="1"/>
  <cols>
    <col min="1" max="1" width="10.5" customWidth="1"/>
    <col min="2" max="2" width="21.1640625" customWidth="1"/>
    <col min="3" max="3" width="6.83203125" customWidth="1"/>
    <col min="4" max="4" width="7.6640625" customWidth="1"/>
    <col min="5" max="5" width="28.1640625" customWidth="1"/>
    <col min="6" max="6" width="13.5" customWidth="1"/>
    <col min="7" max="7" width="17.6640625" customWidth="1"/>
    <col min="8" max="8" width="11.5" customWidth="1"/>
    <col min="9" max="9" width="19" customWidth="1"/>
    <col min="10" max="10" width="6.5" customWidth="1"/>
    <col min="11"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05" t="s">
        <v>540</v>
      </c>
      <c r="C13" s="480"/>
      <c r="D13" s="480"/>
      <c r="E13" s="480"/>
      <c r="F13" s="480"/>
      <c r="G13" s="480"/>
      <c r="H13" s="480"/>
      <c r="I13" s="480"/>
      <c r="J13" s="480"/>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1" t="s">
        <v>381</v>
      </c>
      <c r="C17" s="480"/>
      <c r="D17" s="480"/>
      <c r="E17" s="619">
        <f>+INFORMACIÓN!D5</f>
        <v>0</v>
      </c>
      <c r="F17" s="405"/>
      <c r="G17" s="405"/>
      <c r="H17" s="406"/>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1" t="s">
        <v>541</v>
      </c>
      <c r="C19" s="480"/>
      <c r="D19" s="480"/>
      <c r="E19" s="619">
        <f>+INFORMACIÓN!D7</f>
        <v>0</v>
      </c>
      <c r="F19" s="406"/>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1" t="s">
        <v>542</v>
      </c>
      <c r="C21" s="480"/>
      <c r="D21" s="480"/>
      <c r="E21" s="619">
        <f>+INFORMACIÓN!L7</f>
        <v>0</v>
      </c>
      <c r="F21" s="405"/>
      <c r="G21" s="405"/>
      <c r="H21" s="406"/>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1" t="s">
        <v>543</v>
      </c>
      <c r="C23" s="480"/>
      <c r="D23" s="480"/>
      <c r="E23" s="619">
        <f>+INFORMACIÓN!D22</f>
        <v>0</v>
      </c>
      <c r="F23" s="406"/>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05" t="s">
        <v>544</v>
      </c>
      <c r="C29" s="480"/>
      <c r="D29" s="480"/>
      <c r="E29" s="480"/>
      <c r="F29" s="480"/>
      <c r="G29" s="480"/>
      <c r="H29" s="480"/>
      <c r="I29" s="480"/>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20" t="s">
        <v>545</v>
      </c>
      <c r="C32" s="432"/>
      <c r="D32" s="432"/>
      <c r="E32" s="433"/>
      <c r="F32" s="620" t="s">
        <v>546</v>
      </c>
      <c r="G32" s="432"/>
      <c r="H32" s="432"/>
      <c r="I32" s="433"/>
      <c r="J32" s="98"/>
      <c r="K32" s="98"/>
      <c r="L32" s="98"/>
      <c r="M32" s="98"/>
      <c r="N32" s="98"/>
      <c r="O32" s="98"/>
      <c r="P32" s="98"/>
      <c r="Q32" s="98"/>
      <c r="R32" s="98"/>
      <c r="S32" s="98"/>
      <c r="T32" s="98"/>
      <c r="U32" s="98"/>
      <c r="V32" s="98"/>
      <c r="W32" s="98"/>
      <c r="X32" s="98"/>
      <c r="Y32" s="98"/>
      <c r="Z32" s="98"/>
    </row>
    <row r="33" spans="1:26" ht="25.5" customHeight="1">
      <c r="A33" s="98"/>
      <c r="B33" s="585"/>
      <c r="C33" s="419"/>
      <c r="D33" s="419"/>
      <c r="E33" s="586"/>
      <c r="F33" s="585"/>
      <c r="G33" s="419"/>
      <c r="H33" s="419"/>
      <c r="I33" s="586"/>
      <c r="J33" s="98"/>
      <c r="K33" s="98"/>
      <c r="L33" s="98"/>
      <c r="M33" s="98"/>
      <c r="N33" s="98"/>
      <c r="O33" s="98"/>
      <c r="P33" s="98"/>
      <c r="Q33" s="98"/>
      <c r="R33" s="98"/>
      <c r="S33" s="98"/>
      <c r="T33" s="98"/>
      <c r="U33" s="98"/>
      <c r="V33" s="98"/>
      <c r="W33" s="98"/>
      <c r="X33" s="98"/>
      <c r="Y33" s="98"/>
      <c r="Z33" s="98"/>
    </row>
    <row r="34" spans="1:26" ht="27.75" customHeight="1">
      <c r="A34" s="98"/>
      <c r="B34" s="622"/>
      <c r="C34" s="432"/>
      <c r="D34" s="432"/>
      <c r="E34" s="433"/>
      <c r="F34" s="622"/>
      <c r="G34" s="432"/>
      <c r="H34" s="432"/>
      <c r="I34" s="433"/>
      <c r="J34" s="98"/>
      <c r="K34" s="98"/>
      <c r="L34" s="98"/>
      <c r="M34" s="98"/>
      <c r="N34" s="98"/>
      <c r="O34" s="98"/>
      <c r="P34" s="98"/>
      <c r="Q34" s="98"/>
      <c r="R34" s="98"/>
      <c r="S34" s="98"/>
      <c r="T34" s="98"/>
      <c r="U34" s="98"/>
      <c r="V34" s="98"/>
      <c r="W34" s="98"/>
      <c r="X34" s="98"/>
      <c r="Y34" s="98"/>
      <c r="Z34" s="98"/>
    </row>
    <row r="35" spans="1:26" ht="28.5" customHeight="1">
      <c r="A35" s="98"/>
      <c r="B35" s="583"/>
      <c r="C35" s="480"/>
      <c r="D35" s="480"/>
      <c r="E35" s="584"/>
      <c r="F35" s="583"/>
      <c r="G35" s="480"/>
      <c r="H35" s="480"/>
      <c r="I35" s="584"/>
      <c r="J35" s="98"/>
      <c r="K35" s="98"/>
      <c r="L35" s="98"/>
      <c r="M35" s="98"/>
      <c r="N35" s="98"/>
      <c r="O35" s="98"/>
      <c r="P35" s="98"/>
      <c r="Q35" s="98"/>
      <c r="R35" s="98"/>
      <c r="S35" s="98"/>
      <c r="T35" s="98"/>
      <c r="U35" s="98"/>
      <c r="V35" s="98"/>
      <c r="W35" s="98"/>
      <c r="X35" s="98"/>
      <c r="Y35" s="98"/>
      <c r="Z35" s="98"/>
    </row>
    <row r="36" spans="1:26" ht="27.75" customHeight="1">
      <c r="A36" s="98"/>
      <c r="B36" s="585"/>
      <c r="C36" s="419"/>
      <c r="D36" s="419"/>
      <c r="E36" s="586"/>
      <c r="F36" s="585"/>
      <c r="G36" s="419"/>
      <c r="H36" s="419"/>
      <c r="I36" s="586"/>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20" t="s">
        <v>547</v>
      </c>
      <c r="C38" s="432"/>
      <c r="D38" s="432"/>
      <c r="E38" s="433"/>
      <c r="F38" s="620" t="s">
        <v>548</v>
      </c>
      <c r="G38" s="432"/>
      <c r="H38" s="432"/>
      <c r="I38" s="433"/>
      <c r="J38" s="98"/>
      <c r="K38" s="98"/>
      <c r="L38" s="98"/>
      <c r="M38" s="98"/>
      <c r="N38" s="98"/>
      <c r="O38" s="98"/>
      <c r="P38" s="98"/>
      <c r="Q38" s="98"/>
      <c r="R38" s="98"/>
      <c r="S38" s="98"/>
      <c r="T38" s="98"/>
      <c r="U38" s="98"/>
      <c r="V38" s="98"/>
      <c r="W38" s="98"/>
      <c r="X38" s="98"/>
      <c r="Y38" s="98"/>
      <c r="Z38" s="98"/>
    </row>
    <row r="39" spans="1:26" ht="24.75" customHeight="1">
      <c r="A39" s="98"/>
      <c r="B39" s="585"/>
      <c r="C39" s="419"/>
      <c r="D39" s="419"/>
      <c r="E39" s="586"/>
      <c r="F39" s="585"/>
      <c r="G39" s="419"/>
      <c r="H39" s="419"/>
      <c r="I39" s="586"/>
      <c r="J39" s="98"/>
      <c r="K39" s="98"/>
      <c r="L39" s="98"/>
      <c r="M39" s="98"/>
      <c r="N39" s="98"/>
      <c r="O39" s="98"/>
      <c r="P39" s="98"/>
      <c r="Q39" s="98"/>
      <c r="R39" s="98"/>
      <c r="S39" s="98"/>
      <c r="T39" s="98"/>
      <c r="U39" s="98"/>
      <c r="V39" s="98"/>
      <c r="W39" s="98"/>
      <c r="X39" s="98"/>
      <c r="Y39" s="98"/>
      <c r="Z39" s="98"/>
    </row>
    <row r="40" spans="1:26" ht="27.75" customHeight="1">
      <c r="A40" s="98"/>
      <c r="B40" s="612"/>
      <c r="C40" s="432"/>
      <c r="D40" s="432"/>
      <c r="E40" s="433"/>
      <c r="F40" s="621"/>
      <c r="G40" s="432"/>
      <c r="H40" s="432"/>
      <c r="I40" s="433"/>
      <c r="J40" s="98"/>
      <c r="K40" s="98"/>
      <c r="L40" s="98"/>
      <c r="M40" s="98"/>
      <c r="N40" s="98"/>
      <c r="O40" s="98"/>
      <c r="P40" s="98"/>
      <c r="Q40" s="98"/>
      <c r="R40" s="98"/>
      <c r="S40" s="98"/>
      <c r="T40" s="98"/>
      <c r="U40" s="98"/>
      <c r="V40" s="98"/>
      <c r="W40" s="98"/>
      <c r="X40" s="98"/>
      <c r="Y40" s="98"/>
      <c r="Z40" s="98"/>
    </row>
    <row r="41" spans="1:26" ht="28.5" customHeight="1">
      <c r="A41" s="98"/>
      <c r="B41" s="583"/>
      <c r="C41" s="480"/>
      <c r="D41" s="480"/>
      <c r="E41" s="584"/>
      <c r="F41" s="583"/>
      <c r="G41" s="480"/>
      <c r="H41" s="480"/>
      <c r="I41" s="584"/>
      <c r="J41" s="98"/>
      <c r="K41" s="98"/>
      <c r="L41" s="98"/>
      <c r="M41" s="98"/>
      <c r="N41" s="98"/>
      <c r="O41" s="98"/>
      <c r="P41" s="98"/>
      <c r="Q41" s="98"/>
      <c r="R41" s="98"/>
      <c r="S41" s="98"/>
      <c r="T41" s="98"/>
      <c r="U41" s="98"/>
      <c r="V41" s="98"/>
      <c r="W41" s="98"/>
      <c r="X41" s="98"/>
      <c r="Y41" s="98"/>
      <c r="Z41" s="98"/>
    </row>
    <row r="42" spans="1:26" ht="28.5" customHeight="1">
      <c r="A42" s="98"/>
      <c r="B42" s="585"/>
      <c r="C42" s="419"/>
      <c r="D42" s="419"/>
      <c r="E42" s="586"/>
      <c r="F42" s="585"/>
      <c r="G42" s="419"/>
      <c r="H42" s="419"/>
      <c r="I42" s="586"/>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21:D21"/>
    <mergeCell ref="E21:H21"/>
    <mergeCell ref="B38:E39"/>
    <mergeCell ref="F38:I39"/>
    <mergeCell ref="B40:E42"/>
    <mergeCell ref="F40:I42"/>
    <mergeCell ref="B23:D23"/>
    <mergeCell ref="E23:F23"/>
    <mergeCell ref="B29:I29"/>
    <mergeCell ref="B32:E33"/>
    <mergeCell ref="F32:I33"/>
    <mergeCell ref="B34:E36"/>
    <mergeCell ref="F34:I36"/>
    <mergeCell ref="B13:J13"/>
    <mergeCell ref="B17:D17"/>
    <mergeCell ref="E17:H17"/>
    <mergeCell ref="B19:D19"/>
    <mergeCell ref="E19:F19"/>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15</vt:i4>
      </vt:variant>
    </vt:vector>
  </HeadingPairs>
  <TitlesOfParts>
    <vt:vector size="34" baseType="lpstr">
      <vt:lpstr>AUX</vt:lpstr>
      <vt:lpstr>INFORMACIÓN</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'MOV. BANCARIOS'!Print_Area</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Andres Rodriguez</cp:lastModifiedBy>
  <dcterms:created xsi:type="dcterms:W3CDTF">2025-03-21T19:03:09Z</dcterms:created>
  <dcterms:modified xsi:type="dcterms:W3CDTF">2025-05-02T21:05:28Z</dcterms:modified>
</cp:coreProperties>
</file>