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rron\Documents\GitHub\prsg-misc\Worksheets\"/>
    </mc:Choice>
  </mc:AlternateContent>
  <bookViews>
    <workbookView xWindow="0" yWindow="0" windowWidth="19080" windowHeight="8535" firstSheet="1" activeTab="1"/>
  </bookViews>
  <sheets>
    <sheet name="Wheels" sheetId="1" r:id="rId1"/>
    <sheet name="Motor size sheet" sheetId="2" r:id="rId2"/>
    <sheet name="Parts List" sheetId="3" r:id="rId3"/>
  </sheets>
  <definedNames>
    <definedName name="Angular_Velocity">'Motor size sheet'!$B$13</definedName>
    <definedName name="Desired_acceleration">'Motor size sheet'!$B$8</definedName>
    <definedName name="Desired_operating_time">'Motor size sheet'!$B$9</definedName>
    <definedName name="Maximum_incline">'Motor size sheet'!$B$6</definedName>
    <definedName name="Number_of_drive_motors">'Motor size sheet'!$B$3</definedName>
    <definedName name="Radius_of_drive_wheel">'Motor size sheet'!$B$4</definedName>
    <definedName name="Robot_Velocity">'Motor size sheet'!$B$5</definedName>
    <definedName name="Supply_voltage">'Motor size sheet'!$B$7</definedName>
    <definedName name="Torque">'Motor size sheet'!$B$14</definedName>
    <definedName name="Total_efficiency">'Motor size sheet'!$B$10</definedName>
    <definedName name="Total_mass">'Motor size sheet'!$B$2</definedName>
    <definedName name="VA">'Motor size sheet'!$B$2</definedName>
    <definedName name="VB">'Motor size sheet'!$B$3</definedName>
    <definedName name="VC">'Motor size sheet'!$B$4</definedName>
    <definedName name="VD">'Motor size sheet'!$B$5</definedName>
    <definedName name="VE">'Motor size sheet'!$B$6</definedName>
  </definedNames>
  <calcPr calcId="152511"/>
</workbook>
</file>

<file path=xl/calcChain.xml><?xml version="1.0" encoding="utf-8"?>
<calcChain xmlns="http://schemas.openxmlformats.org/spreadsheetml/2006/main">
  <c r="D9" i="3" l="1"/>
  <c r="D65" i="2" l="1"/>
  <c r="D66" i="2" s="1"/>
  <c r="B78" i="2"/>
  <c r="B79" i="2" s="1"/>
  <c r="B75" i="2"/>
  <c r="B74" i="2"/>
  <c r="B65" i="2"/>
  <c r="B70" i="2" s="1"/>
  <c r="B71" i="2" s="1"/>
  <c r="B56" i="2"/>
  <c r="B61" i="2" s="1"/>
  <c r="B62" i="2" s="1"/>
  <c r="G50" i="2"/>
  <c r="G51" i="2" s="1"/>
  <c r="B50" i="2"/>
  <c r="B51" i="2" s="1"/>
  <c r="G47" i="2"/>
  <c r="B47" i="2"/>
  <c r="G46" i="2"/>
  <c r="B46" i="2"/>
  <c r="H45" i="2"/>
  <c r="H50" i="2" s="1"/>
  <c r="H51" i="2" s="1"/>
  <c r="F45" i="2"/>
  <c r="F46" i="2" s="1"/>
  <c r="E45" i="2"/>
  <c r="E46" i="2" s="1"/>
  <c r="D45" i="2"/>
  <c r="D50" i="2" s="1"/>
  <c r="D51" i="2" s="1"/>
  <c r="C45" i="2"/>
  <c r="C50" i="2" s="1"/>
  <c r="C51" i="2" s="1"/>
  <c r="C47" i="2" l="1"/>
  <c r="D70" i="2"/>
  <c r="D71" i="2" s="1"/>
  <c r="B66" i="2"/>
  <c r="E50" i="2"/>
  <c r="E51" i="2" s="1"/>
  <c r="F50" i="2"/>
  <c r="F51" i="2" s="1"/>
  <c r="H46" i="2"/>
  <c r="B57" i="2"/>
  <c r="D46" i="2"/>
  <c r="H34" i="2"/>
  <c r="H39" i="2" s="1"/>
  <c r="H40" i="2" s="1"/>
  <c r="G36" i="2"/>
  <c r="G35" i="2"/>
  <c r="F34" i="2"/>
  <c r="F35" i="2" s="1"/>
  <c r="E35" i="2"/>
  <c r="E34" i="2"/>
  <c r="D34" i="2"/>
  <c r="D39" i="2" s="1"/>
  <c r="D40" i="2" s="1"/>
  <c r="G39" i="2"/>
  <c r="G40" i="2" s="1"/>
  <c r="E39" i="2"/>
  <c r="E40" i="2" s="1"/>
  <c r="B36" i="2"/>
  <c r="B35" i="2"/>
  <c r="C34" i="2"/>
  <c r="C36" i="2" s="1"/>
  <c r="B39" i="2"/>
  <c r="B40" i="2" s="1"/>
  <c r="D35" i="2" l="1"/>
  <c r="F39" i="2"/>
  <c r="F40" i="2" s="1"/>
  <c r="C39" i="2"/>
  <c r="C40" i="2" s="1"/>
  <c r="H35" i="2"/>
  <c r="D14" i="3"/>
  <c r="D15" i="3"/>
  <c r="D16" i="3"/>
  <c r="D38" i="3" l="1"/>
  <c r="D37" i="3"/>
  <c r="D36" i="3"/>
  <c r="D35" i="3"/>
  <c r="D34" i="3"/>
  <c r="D33" i="3"/>
  <c r="D21" i="3"/>
  <c r="D25" i="3"/>
  <c r="D30" i="3"/>
  <c r="D31" i="3"/>
  <c r="D32" i="3"/>
  <c r="D40" i="3"/>
  <c r="D39" i="3"/>
  <c r="D28" i="3"/>
  <c r="D27" i="3"/>
  <c r="D24" i="3"/>
  <c r="D23" i="3"/>
  <c r="D20" i="3"/>
  <c r="D19" i="3"/>
  <c r="D12" i="3"/>
  <c r="D11" i="3"/>
  <c r="D10" i="3"/>
  <c r="D8" i="3"/>
  <c r="D7" i="3"/>
  <c r="D6" i="3"/>
  <c r="D5" i="3"/>
  <c r="D4" i="3"/>
  <c r="D3" i="3"/>
  <c r="H22" i="2"/>
  <c r="H24" i="2" s="1"/>
  <c r="B22" i="2"/>
  <c r="B24" i="2"/>
  <c r="B25" i="2" s="1"/>
  <c r="G22" i="2"/>
  <c r="G24" i="2"/>
  <c r="G26" i="2" s="1"/>
  <c r="F22" i="2"/>
  <c r="F24" i="2" s="1"/>
  <c r="E22" i="2"/>
  <c r="E24" i="2" s="1"/>
  <c r="D22" i="2"/>
  <c r="D24" i="2"/>
  <c r="D25" i="2" s="1"/>
  <c r="C22" i="2"/>
  <c r="C24" i="2" s="1"/>
  <c r="B14" i="2"/>
  <c r="D14" i="2" s="1"/>
  <c r="B13" i="2"/>
  <c r="G25" i="2"/>
  <c r="A14" i="1"/>
  <c r="M14" i="1" s="1"/>
  <c r="N14" i="1" s="1"/>
  <c r="A11" i="1"/>
  <c r="A13" i="1"/>
  <c r="K13" i="1" s="1"/>
  <c r="L13" i="1" s="1"/>
  <c r="A7" i="1"/>
  <c r="G7" i="1" s="1"/>
  <c r="H7" i="1" s="1"/>
  <c r="M11" i="1"/>
  <c r="N11" i="1" s="1"/>
  <c r="B9" i="1"/>
  <c r="A6" i="1"/>
  <c r="I6" i="1" s="1"/>
  <c r="J6" i="1" s="1"/>
  <c r="A12" i="1"/>
  <c r="C12" i="1" s="1"/>
  <c r="D12" i="1" s="1"/>
  <c r="A10" i="1"/>
  <c r="E10" i="1" s="1"/>
  <c r="F10" i="1" s="1"/>
  <c r="C9" i="1"/>
  <c r="D9" i="1" s="1"/>
  <c r="A8" i="1"/>
  <c r="K8" i="1" s="1"/>
  <c r="L8" i="1" s="1"/>
  <c r="A5" i="1"/>
  <c r="G5" i="1"/>
  <c r="H5" i="1" s="1"/>
  <c r="A4" i="1"/>
  <c r="G4" i="1" s="1"/>
  <c r="H4" i="1" s="1"/>
  <c r="I4" i="1"/>
  <c r="J4" i="1" s="1"/>
  <c r="K5" i="1"/>
  <c r="L5" i="1"/>
  <c r="E5" i="1"/>
  <c r="F5" i="1"/>
  <c r="C5" i="1"/>
  <c r="D5" i="1"/>
  <c r="K7" i="1"/>
  <c r="L7" i="1"/>
  <c r="E6" i="1"/>
  <c r="F6" i="1"/>
  <c r="M5" i="1"/>
  <c r="N5" i="1"/>
  <c r="E7" i="1"/>
  <c r="F7" i="1"/>
  <c r="I5" i="1"/>
  <c r="J5" i="1"/>
  <c r="G11" i="1"/>
  <c r="H11" i="1"/>
  <c r="I11" i="1"/>
  <c r="J11" i="1"/>
  <c r="C11" i="1"/>
  <c r="D11" i="1"/>
  <c r="E11" i="1"/>
  <c r="F11" i="1"/>
  <c r="C14" i="1"/>
  <c r="D14" i="1"/>
  <c r="K14" i="1"/>
  <c r="L14" i="1"/>
  <c r="G14" i="1"/>
  <c r="H14" i="1"/>
  <c r="I14" i="1"/>
  <c r="J14" i="1"/>
  <c r="E14" i="1"/>
  <c r="F14" i="1"/>
  <c r="C13" i="1"/>
  <c r="D13" i="1"/>
  <c r="G13" i="1"/>
  <c r="H13" i="1"/>
  <c r="E13" i="1"/>
  <c r="F13" i="1"/>
  <c r="M13" i="1"/>
  <c r="N13" i="1"/>
  <c r="I13" i="1"/>
  <c r="J13" i="1"/>
  <c r="G12" i="1"/>
  <c r="H12" i="1"/>
  <c r="K12" i="1"/>
  <c r="L12" i="1"/>
  <c r="M12" i="1"/>
  <c r="N12" i="1"/>
  <c r="K9" i="1"/>
  <c r="L9" i="1"/>
  <c r="M10" i="1"/>
  <c r="N10" i="1"/>
  <c r="I9" i="1"/>
  <c r="J9" i="1"/>
  <c r="I7" i="1"/>
  <c r="J7" i="1"/>
  <c r="M9" i="1"/>
  <c r="N9" i="1"/>
  <c r="C10" i="1"/>
  <c r="D10" i="1"/>
  <c r="I10" i="1"/>
  <c r="J10" i="1"/>
  <c r="C6" i="1"/>
  <c r="D6" i="1"/>
  <c r="G9" i="1"/>
  <c r="H9" i="1"/>
  <c r="M6" i="1"/>
  <c r="N6" i="1"/>
  <c r="C7" i="1"/>
  <c r="D7" i="1"/>
  <c r="E9" i="1"/>
  <c r="F9" i="1"/>
  <c r="G10" i="1"/>
  <c r="H10" i="1"/>
  <c r="K6" i="1"/>
  <c r="L6" i="1"/>
  <c r="M7" i="1"/>
  <c r="N7" i="1"/>
  <c r="K11" i="1"/>
  <c r="L11" i="1"/>
  <c r="B28" i="2" l="1"/>
  <c r="B29" i="2" s="1"/>
  <c r="B30" i="2" s="1"/>
  <c r="K10" i="1"/>
  <c r="L10" i="1" s="1"/>
  <c r="E12" i="1"/>
  <c r="F12" i="1" s="1"/>
  <c r="I12" i="1"/>
  <c r="J12" i="1" s="1"/>
  <c r="C4" i="1"/>
  <c r="D4" i="1" s="1"/>
  <c r="K4" i="1"/>
  <c r="L4" i="1" s="1"/>
  <c r="G6" i="1"/>
  <c r="H6" i="1" s="1"/>
  <c r="E4" i="1"/>
  <c r="F4" i="1" s="1"/>
  <c r="G8" i="1"/>
  <c r="H8" i="1" s="1"/>
  <c r="I8" i="1"/>
  <c r="J8" i="1" s="1"/>
  <c r="M4" i="1"/>
  <c r="N4" i="1" s="1"/>
  <c r="D41" i="3"/>
  <c r="C8" i="1"/>
  <c r="D8" i="1" s="1"/>
  <c r="M8" i="1"/>
  <c r="N8" i="1" s="1"/>
  <c r="E8" i="1"/>
  <c r="F8" i="1" s="1"/>
  <c r="D26" i="2"/>
  <c r="D13" i="2"/>
  <c r="D28" i="2"/>
  <c r="D29" i="2" s="1"/>
  <c r="D30" i="2" s="1"/>
  <c r="C26" i="2"/>
  <c r="C25" i="2"/>
  <c r="C28" i="2"/>
  <c r="C29" i="2" s="1"/>
  <c r="C30" i="2" s="1"/>
  <c r="E25" i="2"/>
  <c r="E26" i="2"/>
  <c r="E28" i="2"/>
  <c r="E29" i="2" s="1"/>
  <c r="E30" i="2" s="1"/>
  <c r="F25" i="2"/>
  <c r="F28" i="2"/>
  <c r="F29" i="2" s="1"/>
  <c r="F30" i="2" s="1"/>
  <c r="F26" i="2"/>
  <c r="H28" i="2"/>
  <c r="H29" i="2" s="1"/>
  <c r="H30" i="2" s="1"/>
  <c r="H25" i="2"/>
  <c r="H26" i="2"/>
  <c r="G28" i="2"/>
  <c r="G29" i="2" s="1"/>
  <c r="G30" i="2" s="1"/>
  <c r="B26" i="2"/>
  <c r="F14" i="2"/>
  <c r="B15" i="2"/>
  <c r="D15" i="2" l="1"/>
  <c r="B16" i="2"/>
  <c r="B17" i="2" s="1"/>
</calcChain>
</file>

<file path=xl/sharedStrings.xml><?xml version="1.0" encoding="utf-8"?>
<sst xmlns="http://schemas.openxmlformats.org/spreadsheetml/2006/main" count="169" uniqueCount="95">
  <si>
    <t>Wheel Size</t>
  </si>
  <si>
    <t>Motor Speed</t>
  </si>
  <si>
    <t>inches</t>
  </si>
  <si>
    <t>mm</t>
  </si>
  <si>
    <t>in/sec</t>
  </si>
  <si>
    <t>m/sec</t>
  </si>
  <si>
    <t>Input</t>
  </si>
  <si>
    <t>Total mass</t>
  </si>
  <si>
    <t>Kg</t>
  </si>
  <si>
    <t>Number of drive motors</t>
  </si>
  <si>
    <t>#</t>
  </si>
  <si>
    <t>Radius of drive wheel</t>
  </si>
  <si>
    <t>m</t>
  </si>
  <si>
    <t>Robot Velocity</t>
  </si>
  <si>
    <t>ms</t>
  </si>
  <si>
    <t>Maximum incline</t>
  </si>
  <si>
    <t>deg</t>
  </si>
  <si>
    <t>Supply voltage</t>
  </si>
  <si>
    <t>V</t>
  </si>
  <si>
    <t>Desired acceleration</t>
  </si>
  <si>
    <t>m/s^2</t>
  </si>
  <si>
    <t>Desired operating time</t>
  </si>
  <si>
    <t>min</t>
  </si>
  <si>
    <t>Total efficiency</t>
  </si>
  <si>
    <t>%</t>
  </si>
  <si>
    <t>Output</t>
  </si>
  <si>
    <t>Angular Velocity</t>
  </si>
  <si>
    <t>rad/s</t>
  </si>
  <si>
    <t>rev/min</t>
  </si>
  <si>
    <t>Torque</t>
  </si>
  <si>
    <t>Nm</t>
  </si>
  <si>
    <t>Kgf-cm</t>
  </si>
  <si>
    <t>ozf-in</t>
  </si>
  <si>
    <t>Total Power</t>
  </si>
  <si>
    <t>W</t>
  </si>
  <si>
    <t>hp</t>
  </si>
  <si>
    <t>Maximum current</t>
  </si>
  <si>
    <t>A</t>
  </si>
  <si>
    <t>Battery Pack</t>
  </si>
  <si>
    <t>Ah</t>
  </si>
  <si>
    <t>Mass(lb)</t>
  </si>
  <si>
    <t>Mass(Kg)</t>
  </si>
  <si>
    <t>Power</t>
  </si>
  <si>
    <t>BASE HARDWARE(MIN)</t>
  </si>
  <si>
    <t xml:space="preserve">Item </t>
  </si>
  <si>
    <t>QTY</t>
  </si>
  <si>
    <t>Cost</t>
  </si>
  <si>
    <t>source</t>
  </si>
  <si>
    <t>Power V</t>
  </si>
  <si>
    <t>Current</t>
  </si>
  <si>
    <t>Weight</t>
  </si>
  <si>
    <t>Raspberry Pi 2</t>
  </si>
  <si>
    <t>Wifi Adapter</t>
  </si>
  <si>
    <t>BLE 4.0 Adapter</t>
  </si>
  <si>
    <t>A-Star 32U4 Robot Controller LV with Raspberry Pi Bridge</t>
  </si>
  <si>
    <t>Pololu</t>
  </si>
  <si>
    <t>https://www.pololu.com/product/3117</t>
  </si>
  <si>
    <t>Motors with built in wheel encoders</t>
  </si>
  <si>
    <t>Pololu Wheel 60×8mm Pair - Blue</t>
  </si>
  <si>
    <t>https://www.pololu.com/product/1423</t>
  </si>
  <si>
    <t>Pololu Universal Aluminum Mounting Hub for 4mm Shaft, #4-40 Holes (2-Pack)</t>
  </si>
  <si>
    <t>https://www.pololu.com/product/1081</t>
  </si>
  <si>
    <t>OPT SENSOR</t>
  </si>
  <si>
    <t>LINE SENSOR IDEAS</t>
  </si>
  <si>
    <t>QTR-3A Reflectance Sensor Array</t>
  </si>
  <si>
    <t>QTR-1A Reflectance Sensor (2-Pack)</t>
  </si>
  <si>
    <t>QTR-8A Reflectance Sensor Array</t>
  </si>
  <si>
    <t>Optical Range Finders</t>
  </si>
  <si>
    <t>GP2Y0A21 Sharp distance sensor (26Hz)  4″ to 32″ (10 cm to 80 cm)</t>
  </si>
  <si>
    <t>GP2Y0A41SK0F Sharp analog distance sensor (60) 1.5″ to 12″ (4 cm to 30 cm)</t>
  </si>
  <si>
    <t>GP2Y0A60SZ distance sensor(60) 4″ to 60″ (10 cm to 150 cm) </t>
  </si>
  <si>
    <t>Sonar Range Finders</t>
  </si>
  <si>
    <t>Parallax PING))) Ultrasonic Sensor</t>
  </si>
  <si>
    <t>HC-SR04 Ultrasonic Distance Sensor Module</t>
  </si>
  <si>
    <t>IMU (Accelerometer and Gyro)</t>
  </si>
  <si>
    <t>SparkFun Triple Axis Accelerometer and Gyro Breakout - MPU-6050</t>
  </si>
  <si>
    <t>SparkFun 9 Degrees of Freedom IMU Breakout - LSM9DS1</t>
  </si>
  <si>
    <t>SparkFun 6 Degrees of Freedom Breakout - LSM6DS3</t>
  </si>
  <si>
    <t>MPU-6050 3 Axis gyroscope + accelerometer module</t>
  </si>
  <si>
    <t>Pololu Ball Caster with TBD″ Plastic Ball</t>
  </si>
  <si>
    <t>SparkFun</t>
  </si>
  <si>
    <t>Chassis Laser Cut</t>
  </si>
  <si>
    <t>Universal Smart Charger for Li-Ion battery Packs 3.7V - 14.8V 1-4 cells</t>
  </si>
  <si>
    <t xml:space="preserve">7.4V 2200mAh Battery Pack </t>
  </si>
  <si>
    <t>7.4V 5200mAh Side By Side Li-Ion Battery Pack</t>
  </si>
  <si>
    <t>Tenergy </t>
  </si>
  <si>
    <t>Battery Power</t>
  </si>
  <si>
    <t>(cost was avg from different sites)</t>
  </si>
  <si>
    <t>http://www.tenergy.com</t>
  </si>
  <si>
    <t>lbf-in</t>
  </si>
  <si>
    <t>Maker Block</t>
  </si>
  <si>
    <t>Mcpro</t>
  </si>
  <si>
    <t>47:1 Metal Gearmotor 25Dx52L mm LP 6V with 48 CPR Encoder</t>
  </si>
  <si>
    <t>25D mm metal gearmotors </t>
  </si>
  <si>
    <t>Metal Gearmotor Bracket Pair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</si>
</sst>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666666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1" fillId="0" borderId="0" xfId="0" applyFont="1"/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ololu.com/category/115/25d-mm-gearmotors" TargetMode="External"/><Relationship Id="rId3" Type="http://schemas.openxmlformats.org/officeDocument/2006/relationships/hyperlink" Target="https://www.pololu.com/product/1081" TargetMode="External"/><Relationship Id="rId7" Type="http://schemas.openxmlformats.org/officeDocument/2006/relationships/hyperlink" Target="https://www.pololu.com/product/2285" TargetMode="External"/><Relationship Id="rId2" Type="http://schemas.openxmlformats.org/officeDocument/2006/relationships/hyperlink" Target="https://www.pololu.com/product/1423" TargetMode="External"/><Relationship Id="rId1" Type="http://schemas.openxmlformats.org/officeDocument/2006/relationships/hyperlink" Target="https://www.pololu.com/product/3117" TargetMode="External"/><Relationship Id="rId6" Type="http://schemas.openxmlformats.org/officeDocument/2006/relationships/hyperlink" Target="http://www.tenergy.com/Tenergy-Li-Ion-18650-7-4V-2200mAh-Rechargeable-PCB-Protected-Battery-Pack" TargetMode="External"/><Relationship Id="rId5" Type="http://schemas.openxmlformats.org/officeDocument/2006/relationships/hyperlink" Target="http://www.tenergy.com/31005_2" TargetMode="External"/><Relationship Id="rId4" Type="http://schemas.openxmlformats.org/officeDocument/2006/relationships/hyperlink" Target="http://www.tenergy.com/01211?sc=59&amp;category=38236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I2" sqref="I2:J2"/>
    </sheetView>
  </sheetViews>
  <sheetFormatPr defaultRowHeight="15" x14ac:dyDescent="0.25"/>
  <cols>
    <col min="1" max="1" width="14.28515625" customWidth="1"/>
  </cols>
  <sheetData>
    <row r="1" spans="1:14" x14ac:dyDescent="0.25">
      <c r="A1" s="16" t="s">
        <v>0</v>
      </c>
      <c r="B1" s="16"/>
      <c r="C1" s="16" t="s">
        <v>1</v>
      </c>
      <c r="D1" s="16"/>
      <c r="E1" s="16" t="s">
        <v>1</v>
      </c>
      <c r="F1" s="16"/>
      <c r="G1" s="16" t="s">
        <v>1</v>
      </c>
      <c r="H1" s="16"/>
      <c r="I1" s="16" t="s">
        <v>1</v>
      </c>
      <c r="J1" s="16"/>
      <c r="K1" s="16" t="s">
        <v>1</v>
      </c>
      <c r="L1" s="16"/>
      <c r="M1" s="16" t="s">
        <v>1</v>
      </c>
      <c r="N1" s="16"/>
    </row>
    <row r="2" spans="1:14" x14ac:dyDescent="0.25">
      <c r="A2" s="15"/>
      <c r="B2" s="15"/>
      <c r="C2" s="15">
        <v>50</v>
      </c>
      <c r="D2" s="15"/>
      <c r="E2" s="15">
        <v>90</v>
      </c>
      <c r="F2" s="15"/>
      <c r="G2" s="15">
        <v>100</v>
      </c>
      <c r="H2" s="15"/>
      <c r="I2" s="15">
        <v>130</v>
      </c>
      <c r="J2" s="15"/>
      <c r="K2" s="15">
        <v>200</v>
      </c>
      <c r="L2" s="15"/>
      <c r="M2" s="15">
        <v>320</v>
      </c>
      <c r="N2" s="15"/>
    </row>
    <row r="3" spans="1:14" x14ac:dyDescent="0.25">
      <c r="A3" s="9" t="s">
        <v>2</v>
      </c>
      <c r="B3" s="9" t="s">
        <v>3</v>
      </c>
      <c r="C3" s="9" t="s">
        <v>4</v>
      </c>
      <c r="D3" s="9" t="s">
        <v>5</v>
      </c>
      <c r="E3" s="9" t="s">
        <v>4</v>
      </c>
      <c r="F3" s="9" t="s">
        <v>5</v>
      </c>
      <c r="G3" s="9" t="s">
        <v>4</v>
      </c>
      <c r="H3" s="9" t="s">
        <v>5</v>
      </c>
      <c r="I3" s="9" t="s">
        <v>4</v>
      </c>
      <c r="J3" s="9" t="s">
        <v>5</v>
      </c>
      <c r="K3" s="9" t="s">
        <v>4</v>
      </c>
      <c r="L3" s="9" t="s">
        <v>5</v>
      </c>
      <c r="M3" s="9" t="s">
        <v>4</v>
      </c>
      <c r="N3" s="9" t="s">
        <v>5</v>
      </c>
    </row>
    <row r="4" spans="1:14" x14ac:dyDescent="0.25">
      <c r="A4" s="2">
        <f>CONVERT(B4,"mm","in")</f>
        <v>1.2598425196850394</v>
      </c>
      <c r="B4" s="3">
        <v>32</v>
      </c>
      <c r="C4" s="2">
        <f t="shared" ref="C4:C9" si="0">(C$2*($A4*PI()))/60</f>
        <v>3.2982600037688115</v>
      </c>
      <c r="D4" s="2">
        <f>CONVERT(C4,"in","m")</f>
        <v>8.377580409572781E-2</v>
      </c>
      <c r="E4" s="2">
        <f t="shared" ref="E4:E14" si="1">(E$2*($A4*PI()))/60</f>
        <v>5.9368680067838602</v>
      </c>
      <c r="F4" s="2">
        <f t="shared" ref="F4:F14" si="2">CONVERT(E4,"in","m")</f>
        <v>0.15079644737231004</v>
      </c>
      <c r="G4" s="2">
        <f t="shared" ref="G4:G14" si="3">(G$2*($A4*PI()))/60</f>
        <v>6.5965200075376229</v>
      </c>
      <c r="H4" s="2">
        <f t="shared" ref="H4:H14" si="4">CONVERT(G4,"in","m")</f>
        <v>0.16755160819145562</v>
      </c>
      <c r="I4" s="2">
        <f>(I$2*($A4*PI()))/60</f>
        <v>8.5754760097989102</v>
      </c>
      <c r="J4" s="2">
        <f t="shared" ref="J4:J14" si="5">CONVERT(I4,"in","m")</f>
        <v>0.21781709064889232</v>
      </c>
      <c r="K4" s="2">
        <f t="shared" ref="K4:K14" si="6">(K$2*($A4*PI()))/60</f>
        <v>13.193040015075246</v>
      </c>
      <c r="L4" s="2">
        <f t="shared" ref="L4:L14" si="7">CONVERT(K4,"in","m")</f>
        <v>0.33510321638291124</v>
      </c>
      <c r="M4" s="2">
        <f t="shared" ref="M4:M14" si="8">(M$2*($A4*PI()))/60</f>
        <v>21.108864024120393</v>
      </c>
      <c r="N4" s="2">
        <f t="shared" ref="N4:N14" si="9">CONVERT(M4,"in","m")</f>
        <v>0.53616514621265798</v>
      </c>
    </row>
    <row r="5" spans="1:14" x14ac:dyDescent="0.25">
      <c r="A5" s="2">
        <f>CONVERT(B5,"mm","in")</f>
        <v>1.5748031496062993</v>
      </c>
      <c r="B5" s="3">
        <v>40</v>
      </c>
      <c r="C5" s="2">
        <f t="shared" si="0"/>
        <v>4.1228250047110144</v>
      </c>
      <c r="D5" s="2">
        <f t="shared" ref="D5:D14" si="10">CONVERT(C5,"in","m")</f>
        <v>0.10471975511965977</v>
      </c>
      <c r="E5" s="2">
        <f t="shared" si="1"/>
        <v>7.4210850084798263</v>
      </c>
      <c r="F5" s="2">
        <f t="shared" si="2"/>
        <v>0.18849555921538758</v>
      </c>
      <c r="G5" s="2">
        <f t="shared" si="3"/>
        <v>8.2456500094220289</v>
      </c>
      <c r="H5" s="2">
        <f t="shared" si="4"/>
        <v>0.20943951023931953</v>
      </c>
      <c r="I5" s="2">
        <f t="shared" ref="I5:I14" si="11">(I$2*($A5*PI()))/60</f>
        <v>10.71934501224864</v>
      </c>
      <c r="J5" s="2">
        <f t="shared" si="5"/>
        <v>0.27227136331111546</v>
      </c>
      <c r="K5" s="2">
        <f t="shared" si="6"/>
        <v>16.491300018844058</v>
      </c>
      <c r="L5" s="2">
        <f t="shared" si="7"/>
        <v>0.41887902047863906</v>
      </c>
      <c r="M5" s="2">
        <f t="shared" si="8"/>
        <v>26.386080030150495</v>
      </c>
      <c r="N5" s="2">
        <f t="shared" si="9"/>
        <v>0.67020643276582259</v>
      </c>
    </row>
    <row r="6" spans="1:14" x14ac:dyDescent="0.25">
      <c r="A6" s="2">
        <f>CONVERT(B6,"mm","in")</f>
        <v>1.6535433070866143</v>
      </c>
      <c r="B6" s="3">
        <v>42</v>
      </c>
      <c r="C6" s="2">
        <f t="shared" si="0"/>
        <v>4.3289662549465664</v>
      </c>
      <c r="D6" s="2">
        <f t="shared" si="10"/>
        <v>0.10995574287564278</v>
      </c>
      <c r="E6" s="2">
        <f t="shared" si="1"/>
        <v>7.792139258903819</v>
      </c>
      <c r="F6" s="2">
        <f t="shared" si="2"/>
        <v>0.19792033717615701</v>
      </c>
      <c r="G6" s="2">
        <f t="shared" si="3"/>
        <v>8.6579325098931328</v>
      </c>
      <c r="H6" s="2">
        <f t="shared" si="4"/>
        <v>0.21991148575128555</v>
      </c>
      <c r="I6" s="2">
        <f t="shared" si="11"/>
        <v>11.255312262861073</v>
      </c>
      <c r="J6" s="2">
        <f t="shared" si="5"/>
        <v>0.28588493147667127</v>
      </c>
      <c r="K6" s="2">
        <f t="shared" si="6"/>
        <v>17.315865019786266</v>
      </c>
      <c r="L6" s="2">
        <f t="shared" si="7"/>
        <v>0.4398229715025711</v>
      </c>
      <c r="M6" s="2">
        <f t="shared" si="8"/>
        <v>27.705384031658021</v>
      </c>
      <c r="N6" s="2">
        <f t="shared" si="9"/>
        <v>0.70371675440411374</v>
      </c>
    </row>
    <row r="7" spans="1:14" x14ac:dyDescent="0.25">
      <c r="A7" s="2">
        <f>CONVERT(B7,"mm","in")</f>
        <v>1.9685039370078741</v>
      </c>
      <c r="B7" s="3">
        <v>50</v>
      </c>
      <c r="C7" s="2">
        <f t="shared" si="0"/>
        <v>5.153531255888768</v>
      </c>
      <c r="D7" s="2">
        <f t="shared" si="10"/>
        <v>0.1308996938995747</v>
      </c>
      <c r="E7" s="2">
        <f t="shared" si="1"/>
        <v>9.2763562605997834</v>
      </c>
      <c r="F7" s="2">
        <f t="shared" si="2"/>
        <v>0.23561944901923451</v>
      </c>
      <c r="G7" s="2">
        <f t="shared" si="3"/>
        <v>10.307062511777536</v>
      </c>
      <c r="H7" s="2">
        <f t="shared" si="4"/>
        <v>0.26179938779914941</v>
      </c>
      <c r="I7" s="2">
        <f t="shared" si="11"/>
        <v>13.399181265310798</v>
      </c>
      <c r="J7" s="2">
        <f t="shared" si="5"/>
        <v>0.34033920413889429</v>
      </c>
      <c r="K7" s="2">
        <f t="shared" si="6"/>
        <v>20.614125023555072</v>
      </c>
      <c r="L7" s="2">
        <f t="shared" si="7"/>
        <v>0.52359877559829882</v>
      </c>
      <c r="M7" s="2">
        <f t="shared" si="8"/>
        <v>32.982600037688115</v>
      </c>
      <c r="N7" s="2">
        <f t="shared" si="9"/>
        <v>0.83775804095727813</v>
      </c>
    </row>
    <row r="8" spans="1:14" x14ac:dyDescent="0.25">
      <c r="A8" s="2">
        <f>CONVERT(B8,"mm","in")</f>
        <v>2.3622047244094486</v>
      </c>
      <c r="B8" s="3">
        <v>60</v>
      </c>
      <c r="C8" s="2">
        <f t="shared" si="0"/>
        <v>6.1842375070665216</v>
      </c>
      <c r="D8" s="2">
        <f t="shared" si="10"/>
        <v>0.15707963267948966</v>
      </c>
      <c r="E8" s="2">
        <f t="shared" si="1"/>
        <v>11.131627512719739</v>
      </c>
      <c r="F8" s="2">
        <f t="shared" si="2"/>
        <v>0.28274333882308134</v>
      </c>
      <c r="G8" s="2">
        <f t="shared" si="3"/>
        <v>12.368475014133043</v>
      </c>
      <c r="H8" s="2">
        <f t="shared" si="4"/>
        <v>0.31415926535897931</v>
      </c>
      <c r="I8" s="2">
        <f t="shared" si="11"/>
        <v>16.079017518372957</v>
      </c>
      <c r="J8" s="2">
        <f t="shared" si="5"/>
        <v>0.40840704496667313</v>
      </c>
      <c r="K8" s="2">
        <f t="shared" si="6"/>
        <v>24.736950028266087</v>
      </c>
      <c r="L8" s="2">
        <f t="shared" si="7"/>
        <v>0.62831853071795862</v>
      </c>
      <c r="M8" s="2">
        <f t="shared" si="8"/>
        <v>39.579120045225736</v>
      </c>
      <c r="N8" s="2">
        <f t="shared" si="9"/>
        <v>1.0053096491487337</v>
      </c>
    </row>
    <row r="9" spans="1:14" x14ac:dyDescent="0.25">
      <c r="A9" s="3">
        <v>2.5</v>
      </c>
      <c r="B9" s="3">
        <f>CONVERT(A9,"in","mm")</f>
        <v>63.5</v>
      </c>
      <c r="C9" s="2">
        <f t="shared" si="0"/>
        <v>6.5449846949787354</v>
      </c>
      <c r="D9" s="2">
        <f t="shared" si="10"/>
        <v>0.16624261125245987</v>
      </c>
      <c r="E9" s="2">
        <f t="shared" si="1"/>
        <v>11.780972450961723</v>
      </c>
      <c r="F9" s="2">
        <f t="shared" si="2"/>
        <v>0.29923670025442778</v>
      </c>
      <c r="G9" s="2">
        <f t="shared" si="3"/>
        <v>13.089969389957471</v>
      </c>
      <c r="H9" s="2">
        <f t="shared" si="4"/>
        <v>0.33248522250491974</v>
      </c>
      <c r="I9" s="2">
        <f t="shared" si="11"/>
        <v>17.016960206944713</v>
      </c>
      <c r="J9" s="2">
        <f t="shared" si="5"/>
        <v>0.43223078925639574</v>
      </c>
      <c r="K9" s="2">
        <f t="shared" si="6"/>
        <v>26.179938779914941</v>
      </c>
      <c r="L9" s="2">
        <f t="shared" si="7"/>
        <v>0.66497044500983948</v>
      </c>
      <c r="M9" s="2">
        <f t="shared" si="8"/>
        <v>41.887902047863911</v>
      </c>
      <c r="N9" s="2">
        <f t="shared" si="9"/>
        <v>1.0639527120157433</v>
      </c>
    </row>
    <row r="10" spans="1:14" x14ac:dyDescent="0.25">
      <c r="A10" s="2">
        <f>CONVERT(B10,"mm","in")</f>
        <v>2.7559055118110236</v>
      </c>
      <c r="B10" s="3">
        <v>70</v>
      </c>
      <c r="C10" s="2">
        <f>(C$2*($A10*PI()))/60</f>
        <v>7.2149437582442761</v>
      </c>
      <c r="D10" s="2">
        <f t="shared" si="10"/>
        <v>0.18325957145940461</v>
      </c>
      <c r="E10" s="2">
        <f t="shared" si="1"/>
        <v>12.986898764839697</v>
      </c>
      <c r="F10" s="2">
        <f t="shared" si="2"/>
        <v>0.32986722862692835</v>
      </c>
      <c r="G10" s="2">
        <f t="shared" si="3"/>
        <v>14.429887516488552</v>
      </c>
      <c r="H10" s="2">
        <f t="shared" si="4"/>
        <v>0.36651914291880922</v>
      </c>
      <c r="I10" s="2">
        <f t="shared" si="11"/>
        <v>18.758853771435117</v>
      </c>
      <c r="J10" s="2">
        <f t="shared" si="5"/>
        <v>0.47647488579445202</v>
      </c>
      <c r="K10" s="2">
        <f t="shared" si="6"/>
        <v>28.859775032977105</v>
      </c>
      <c r="L10" s="2">
        <f t="shared" si="7"/>
        <v>0.73303828583761843</v>
      </c>
      <c r="M10" s="2">
        <f t="shared" si="8"/>
        <v>46.175640052763363</v>
      </c>
      <c r="N10" s="2">
        <f t="shared" si="9"/>
        <v>1.1728612573401893</v>
      </c>
    </row>
    <row r="11" spans="1:14" x14ac:dyDescent="0.25">
      <c r="A11" s="2">
        <f>CONVERT(B11,"mm","in")</f>
        <v>2.9527559055118111</v>
      </c>
      <c r="B11" s="3">
        <v>75</v>
      </c>
      <c r="C11" s="2">
        <f>(C$2*($A11*PI()))/60</f>
        <v>7.7302968838331525</v>
      </c>
      <c r="D11" s="2">
        <f t="shared" si="10"/>
        <v>0.19634954084936207</v>
      </c>
      <c r="E11" s="2">
        <f t="shared" si="1"/>
        <v>13.914534390899673</v>
      </c>
      <c r="F11" s="2">
        <f t="shared" si="2"/>
        <v>0.35342917352885173</v>
      </c>
      <c r="G11" s="2">
        <f t="shared" si="3"/>
        <v>15.460593767666305</v>
      </c>
      <c r="H11" s="2">
        <f t="shared" si="4"/>
        <v>0.39269908169872414</v>
      </c>
      <c r="I11" s="2">
        <f t="shared" si="11"/>
        <v>20.098771897966195</v>
      </c>
      <c r="J11" s="2">
        <f t="shared" si="5"/>
        <v>0.51050880620834127</v>
      </c>
      <c r="K11" s="2">
        <f t="shared" si="6"/>
        <v>30.92118753533261</v>
      </c>
      <c r="L11" s="2">
        <f t="shared" si="7"/>
        <v>0.78539816339744828</v>
      </c>
      <c r="M11" s="2">
        <f t="shared" si="8"/>
        <v>49.47390005653218</v>
      </c>
      <c r="N11" s="2">
        <f t="shared" si="9"/>
        <v>1.2566370614359175</v>
      </c>
    </row>
    <row r="12" spans="1:14" x14ac:dyDescent="0.25">
      <c r="A12" s="2">
        <f>CONVERT(B12,"mm","in")</f>
        <v>3.1496062992125986</v>
      </c>
      <c r="B12" s="3">
        <v>80</v>
      </c>
      <c r="C12" s="2">
        <f>(C$2*($A12*PI()))/60</f>
        <v>8.2456500094220289</v>
      </c>
      <c r="D12" s="2">
        <f t="shared" si="10"/>
        <v>0.20943951023931953</v>
      </c>
      <c r="E12" s="2">
        <f t="shared" si="1"/>
        <v>14.842170016959653</v>
      </c>
      <c r="F12" s="2">
        <f t="shared" si="2"/>
        <v>0.37699111843077515</v>
      </c>
      <c r="G12" s="2">
        <f t="shared" si="3"/>
        <v>16.491300018844058</v>
      </c>
      <c r="H12" s="2">
        <f t="shared" si="4"/>
        <v>0.41887902047863906</v>
      </c>
      <c r="I12" s="2">
        <f t="shared" si="11"/>
        <v>21.43869002449728</v>
      </c>
      <c r="J12" s="2">
        <f t="shared" si="5"/>
        <v>0.54454272662223091</v>
      </c>
      <c r="K12" s="2">
        <f t="shared" si="6"/>
        <v>32.982600037688115</v>
      </c>
      <c r="L12" s="2">
        <f t="shared" si="7"/>
        <v>0.83775804095727813</v>
      </c>
      <c r="M12" s="2">
        <f t="shared" si="8"/>
        <v>52.77216006030099</v>
      </c>
      <c r="N12" s="2">
        <f t="shared" si="9"/>
        <v>1.3404128655316452</v>
      </c>
    </row>
    <row r="13" spans="1:14" x14ac:dyDescent="0.25">
      <c r="A13" s="2">
        <f>CONVERT(B13,"mm","in")</f>
        <v>3.9370078740157481</v>
      </c>
      <c r="B13" s="3">
        <v>100</v>
      </c>
      <c r="C13" s="2">
        <f>(C$2*($A13*PI()))/60</f>
        <v>10.307062511777536</v>
      </c>
      <c r="D13" s="2">
        <f t="shared" si="10"/>
        <v>0.26179938779914941</v>
      </c>
      <c r="E13" s="2">
        <f t="shared" si="1"/>
        <v>18.552712521199567</v>
      </c>
      <c r="F13" s="2">
        <f t="shared" si="2"/>
        <v>0.47123889803846902</v>
      </c>
      <c r="G13" s="2">
        <f t="shared" si="3"/>
        <v>20.614125023555072</v>
      </c>
      <c r="H13" s="2">
        <f t="shared" si="4"/>
        <v>0.52359877559829882</v>
      </c>
      <c r="I13" s="2">
        <f t="shared" si="11"/>
        <v>26.798362530621596</v>
      </c>
      <c r="J13" s="2">
        <f t="shared" si="5"/>
        <v>0.68067840827778858</v>
      </c>
      <c r="K13" s="2">
        <f t="shared" si="6"/>
        <v>41.228250047110144</v>
      </c>
      <c r="L13" s="2">
        <f t="shared" si="7"/>
        <v>1.0471975511965976</v>
      </c>
      <c r="M13" s="2">
        <f t="shared" si="8"/>
        <v>65.965200075376231</v>
      </c>
      <c r="N13" s="2">
        <f t="shared" si="9"/>
        <v>1.6755160819145563</v>
      </c>
    </row>
    <row r="14" spans="1:14" x14ac:dyDescent="0.25">
      <c r="A14" s="2">
        <f>CONVERT(B14,"mm","in")</f>
        <v>4.7244094488188972</v>
      </c>
      <c r="B14" s="3">
        <v>120</v>
      </c>
      <c r="C14" s="2">
        <f>(C$2*($A14*PI()))/60</f>
        <v>12.368475014133043</v>
      </c>
      <c r="D14" s="2">
        <f t="shared" si="10"/>
        <v>0.31415926535897931</v>
      </c>
      <c r="E14" s="2">
        <f t="shared" si="1"/>
        <v>22.263255025439477</v>
      </c>
      <c r="F14" s="2">
        <f t="shared" si="2"/>
        <v>0.56548667764616267</v>
      </c>
      <c r="G14" s="2">
        <f t="shared" si="3"/>
        <v>24.736950028266087</v>
      </c>
      <c r="H14" s="2">
        <f t="shared" si="4"/>
        <v>0.62831853071795862</v>
      </c>
      <c r="I14" s="2">
        <f t="shared" si="11"/>
        <v>32.158035036745915</v>
      </c>
      <c r="J14" s="2">
        <f t="shared" si="5"/>
        <v>0.81681408993334625</v>
      </c>
      <c r="K14" s="2">
        <f t="shared" si="6"/>
        <v>49.473900056532173</v>
      </c>
      <c r="L14" s="2">
        <f t="shared" si="7"/>
        <v>1.2566370614359172</v>
      </c>
      <c r="M14" s="2">
        <f t="shared" si="8"/>
        <v>79.158240090451471</v>
      </c>
      <c r="N14" s="2">
        <f t="shared" si="9"/>
        <v>2.0106192982974673</v>
      </c>
    </row>
    <row r="15" spans="1:14" x14ac:dyDescent="0.25">
      <c r="A15" s="2"/>
      <c r="B15" s="3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3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</sheetData>
  <sortState ref="A4:B14">
    <sortCondition ref="A4:A14"/>
  </sortState>
  <mergeCells count="14">
    <mergeCell ref="M2:N2"/>
    <mergeCell ref="A2:B2"/>
    <mergeCell ref="C1:D1"/>
    <mergeCell ref="E1:F1"/>
    <mergeCell ref="G1:H1"/>
    <mergeCell ref="I1:J1"/>
    <mergeCell ref="K1:L1"/>
    <mergeCell ref="M1:N1"/>
    <mergeCell ref="A1:B1"/>
    <mergeCell ref="C2:D2"/>
    <mergeCell ref="E2:F2"/>
    <mergeCell ref="G2:H2"/>
    <mergeCell ref="I2:J2"/>
    <mergeCell ref="K2:L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tabSelected="1" topLeftCell="A4" workbookViewId="0">
      <selection activeCell="E28" sqref="E28"/>
    </sheetView>
  </sheetViews>
  <sheetFormatPr defaultRowHeight="15" x14ac:dyDescent="0.25"/>
  <cols>
    <col min="1" max="1" width="29" customWidth="1"/>
    <col min="2" max="2" width="13.7109375" style="1" customWidth="1"/>
  </cols>
  <sheetData>
    <row r="1" spans="1:7" x14ac:dyDescent="0.25">
      <c r="B1" s="8" t="s">
        <v>6</v>
      </c>
    </row>
    <row r="2" spans="1:7" x14ac:dyDescent="0.25">
      <c r="A2" s="4" t="s">
        <v>7</v>
      </c>
      <c r="B2" s="8">
        <v>1.81</v>
      </c>
      <c r="C2" s="5" t="s">
        <v>8</v>
      </c>
    </row>
    <row r="3" spans="1:7" x14ac:dyDescent="0.25">
      <c r="A3" s="5" t="s">
        <v>9</v>
      </c>
      <c r="B3" s="8">
        <v>2</v>
      </c>
      <c r="C3" s="5" t="s">
        <v>10</v>
      </c>
    </row>
    <row r="4" spans="1:7" x14ac:dyDescent="0.25">
      <c r="A4" s="5" t="s">
        <v>11</v>
      </c>
      <c r="B4" s="8">
        <v>3.5000000000000003E-2</v>
      </c>
      <c r="C4" s="5" t="s">
        <v>12</v>
      </c>
    </row>
    <row r="5" spans="1:7" x14ac:dyDescent="0.25">
      <c r="A5" s="5" t="s">
        <v>13</v>
      </c>
      <c r="B5" s="8">
        <v>0.4</v>
      </c>
      <c r="C5" s="5" t="s">
        <v>14</v>
      </c>
    </row>
    <row r="6" spans="1:7" x14ac:dyDescent="0.25">
      <c r="A6" s="4" t="s">
        <v>15</v>
      </c>
      <c r="B6" s="8">
        <v>20</v>
      </c>
      <c r="C6" s="5" t="s">
        <v>16</v>
      </c>
    </row>
    <row r="7" spans="1:7" x14ac:dyDescent="0.25">
      <c r="A7" s="4" t="s">
        <v>17</v>
      </c>
      <c r="B7" s="8">
        <v>7.4</v>
      </c>
      <c r="C7" s="5" t="s">
        <v>18</v>
      </c>
    </row>
    <row r="8" spans="1:7" x14ac:dyDescent="0.25">
      <c r="A8" s="4" t="s">
        <v>19</v>
      </c>
      <c r="B8" s="8">
        <v>0.2</v>
      </c>
      <c r="C8" s="5" t="s">
        <v>20</v>
      </c>
    </row>
    <row r="9" spans="1:7" x14ac:dyDescent="0.25">
      <c r="A9" s="4" t="s">
        <v>21</v>
      </c>
      <c r="B9" s="8">
        <v>120</v>
      </c>
      <c r="C9" s="5" t="s">
        <v>22</v>
      </c>
    </row>
    <row r="10" spans="1:7" x14ac:dyDescent="0.25">
      <c r="A10" s="4" t="s">
        <v>23</v>
      </c>
      <c r="B10" s="8">
        <v>65</v>
      </c>
      <c r="C10" s="5" t="s">
        <v>24</v>
      </c>
    </row>
    <row r="12" spans="1:7" x14ac:dyDescent="0.25">
      <c r="B12" s="8" t="s">
        <v>25</v>
      </c>
    </row>
    <row r="13" spans="1:7" x14ac:dyDescent="0.25">
      <c r="A13" s="4" t="s">
        <v>26</v>
      </c>
      <c r="B13" s="6">
        <f>Robot_Velocity/Radius_of_drive_wheel</f>
        <v>11.428571428571429</v>
      </c>
      <c r="C13" s="5" t="s">
        <v>27</v>
      </c>
      <c r="D13" s="7">
        <f>B13*60/(2*3.14)</f>
        <v>109.1901728844404</v>
      </c>
      <c r="E13" s="5" t="s">
        <v>28</v>
      </c>
    </row>
    <row r="14" spans="1:7" x14ac:dyDescent="0.25">
      <c r="A14" s="4" t="s">
        <v>29</v>
      </c>
      <c r="B14" s="6">
        <f>((100/Total_efficiency)*(Desired_acceleration+9.81*(SIN(PI()*Maximum_incline/180)))*Total_mass*Radius_of_drive_wheel)/Number_of_drive_motors</f>
        <v>0.17324848872436291</v>
      </c>
      <c r="C14" s="5" t="s">
        <v>30</v>
      </c>
      <c r="D14" s="7">
        <f>B14*100/9.81</f>
        <v>1.7660396404114465</v>
      </c>
      <c r="E14" s="5" t="s">
        <v>31</v>
      </c>
      <c r="F14" s="7">
        <f>B14*141.593</f>
        <v>24.530773263948717</v>
      </c>
      <c r="G14" s="5" t="s">
        <v>32</v>
      </c>
    </row>
    <row r="15" spans="1:7" x14ac:dyDescent="0.25">
      <c r="A15" s="4" t="s">
        <v>33</v>
      </c>
      <c r="B15" s="6">
        <f>Torque*Angular_Velocity</f>
        <v>1.9799827282784332</v>
      </c>
      <c r="C15" s="5" t="s">
        <v>34</v>
      </c>
      <c r="D15" s="17">
        <f>B15*0.00134102209</f>
        <v>2.6552005764398467E-3</v>
      </c>
      <c r="E15" s="5" t="s">
        <v>35</v>
      </c>
    </row>
    <row r="16" spans="1:7" x14ac:dyDescent="0.25">
      <c r="A16" s="4" t="s">
        <v>36</v>
      </c>
      <c r="B16" s="6">
        <f>B15/Supply_voltage</f>
        <v>0.26756523355113959</v>
      </c>
      <c r="C16" s="5" t="s">
        <v>37</v>
      </c>
    </row>
    <row r="17" spans="1:8" x14ac:dyDescent="0.25">
      <c r="A17" s="4" t="s">
        <v>38</v>
      </c>
      <c r="B17" s="6">
        <f>B16*(Desired_operating_time/60)*Number_of_drive_motors</f>
        <v>1.0702609342045584</v>
      </c>
      <c r="C17" s="5" t="s">
        <v>39</v>
      </c>
    </row>
    <row r="18" spans="1:8" x14ac:dyDescent="0.25">
      <c r="A18" s="4"/>
      <c r="B18" s="6"/>
      <c r="C18" s="5"/>
    </row>
    <row r="19" spans="1:8" x14ac:dyDescent="0.25">
      <c r="A19" s="4"/>
      <c r="B19" s="6" t="s">
        <v>40</v>
      </c>
      <c r="C19" s="5"/>
    </row>
    <row r="20" spans="1:8" x14ac:dyDescent="0.25">
      <c r="B20" s="8">
        <v>1</v>
      </c>
      <c r="C20">
        <v>2</v>
      </c>
      <c r="D20">
        <v>3</v>
      </c>
      <c r="E20">
        <v>4</v>
      </c>
      <c r="F20">
        <v>5</v>
      </c>
      <c r="G20">
        <v>10</v>
      </c>
      <c r="H20">
        <v>20</v>
      </c>
    </row>
    <row r="21" spans="1:8" x14ac:dyDescent="0.25">
      <c r="B21" s="8" t="s">
        <v>41</v>
      </c>
    </row>
    <row r="22" spans="1:8" x14ac:dyDescent="0.25">
      <c r="B22" s="6">
        <f t="shared" ref="B22:H22" si="0">B20*0.45359237</f>
        <v>0.45359237000000002</v>
      </c>
      <c r="C22" s="6">
        <f t="shared" si="0"/>
        <v>0.90718474000000004</v>
      </c>
      <c r="D22" s="6">
        <f t="shared" si="0"/>
        <v>1.3607771100000001</v>
      </c>
      <c r="E22" s="6">
        <f t="shared" si="0"/>
        <v>1.8143694800000001</v>
      </c>
      <c r="F22" s="6">
        <f t="shared" si="0"/>
        <v>2.2679618500000003</v>
      </c>
      <c r="G22" s="6">
        <f t="shared" si="0"/>
        <v>4.5359237000000006</v>
      </c>
      <c r="H22" s="6">
        <f t="shared" si="0"/>
        <v>9.0718474000000011</v>
      </c>
    </row>
    <row r="23" spans="1:8" x14ac:dyDescent="0.25">
      <c r="A23" s="4" t="s">
        <v>29</v>
      </c>
      <c r="B23" s="6"/>
      <c r="C23" s="7"/>
      <c r="D23" s="7"/>
      <c r="E23" s="7"/>
      <c r="F23" s="7"/>
      <c r="G23" s="7"/>
      <c r="H23" s="7"/>
    </row>
    <row r="24" spans="1:8" x14ac:dyDescent="0.25">
      <c r="A24" s="5" t="s">
        <v>30</v>
      </c>
      <c r="B24" s="13">
        <f t="shared" ref="B24:H24" si="1">((100/Total_efficiency)*(Desired_acceleration+9.81*(SIN(PI()*Maximum_incline/180)))*B22*Radius_of_drive_wheel)/Number_of_drive_motors</f>
        <v>4.341668099414478E-2</v>
      </c>
      <c r="C24" s="6">
        <f t="shared" si="1"/>
        <v>8.6833361988289559E-2</v>
      </c>
      <c r="D24" s="6">
        <f t="shared" si="1"/>
        <v>0.13025004298243434</v>
      </c>
      <c r="E24" s="6">
        <f t="shared" si="1"/>
        <v>0.17366672397657912</v>
      </c>
      <c r="F24" s="6">
        <f t="shared" si="1"/>
        <v>0.2170834049707239</v>
      </c>
      <c r="G24" s="6">
        <f t="shared" si="1"/>
        <v>0.4341668099414478</v>
      </c>
      <c r="H24" s="6">
        <f t="shared" si="1"/>
        <v>0.86833361988289559</v>
      </c>
    </row>
    <row r="25" spans="1:8" x14ac:dyDescent="0.25">
      <c r="A25" s="5" t="s">
        <v>31</v>
      </c>
      <c r="B25" s="6">
        <f t="shared" ref="B25:H25" si="2">B24*100/9.81</f>
        <v>0.44257574917578774</v>
      </c>
      <c r="C25" s="6">
        <f t="shared" si="2"/>
        <v>0.88515149835157547</v>
      </c>
      <c r="D25" s="6">
        <f t="shared" si="2"/>
        <v>1.3277272475273634</v>
      </c>
      <c r="E25" s="6">
        <f t="shared" si="2"/>
        <v>1.7703029967031509</v>
      </c>
      <c r="F25" s="6">
        <f t="shared" si="2"/>
        <v>2.2128787458789385</v>
      </c>
      <c r="G25" s="6">
        <f t="shared" si="2"/>
        <v>4.425757491757877</v>
      </c>
      <c r="H25" s="6">
        <f t="shared" si="2"/>
        <v>8.8515149835157541</v>
      </c>
    </row>
    <row r="26" spans="1:8" x14ac:dyDescent="0.25">
      <c r="A26" s="5" t="s">
        <v>32</v>
      </c>
      <c r="B26" s="6">
        <f t="shared" ref="B26:H26" si="3">B24*141.593</f>
        <v>6.1474981120039409</v>
      </c>
      <c r="C26" s="6">
        <f t="shared" si="3"/>
        <v>12.294996224007882</v>
      </c>
      <c r="D26" s="6">
        <f t="shared" si="3"/>
        <v>18.442494336011823</v>
      </c>
      <c r="E26" s="6">
        <f t="shared" si="3"/>
        <v>24.589992448015764</v>
      </c>
      <c r="F26" s="6">
        <f t="shared" si="3"/>
        <v>30.737490560019708</v>
      </c>
      <c r="G26" s="6">
        <f t="shared" si="3"/>
        <v>61.474981120039416</v>
      </c>
      <c r="H26" s="6">
        <f t="shared" si="3"/>
        <v>122.94996224007883</v>
      </c>
    </row>
    <row r="27" spans="1:8" x14ac:dyDescent="0.25">
      <c r="A27" t="s">
        <v>42</v>
      </c>
      <c r="B27" s="6"/>
      <c r="C27" s="7"/>
      <c r="D27" s="7"/>
      <c r="E27" s="7"/>
      <c r="F27" s="7"/>
      <c r="G27" s="7"/>
      <c r="H27" s="7"/>
    </row>
    <row r="28" spans="1:8" x14ac:dyDescent="0.25">
      <c r="A28" s="5" t="s">
        <v>34</v>
      </c>
      <c r="B28" s="6">
        <f t="shared" ref="B28:H28" si="4">B24*Angular_Velocity</f>
        <v>0.49619063993308321</v>
      </c>
      <c r="C28" s="6">
        <f t="shared" si="4"/>
        <v>0.99238127986616642</v>
      </c>
      <c r="D28" s="6">
        <f t="shared" si="4"/>
        <v>1.4885719197992495</v>
      </c>
      <c r="E28" s="6">
        <f t="shared" si="4"/>
        <v>1.9847625597323328</v>
      </c>
      <c r="F28" s="6">
        <f t="shared" si="4"/>
        <v>2.4809531996654162</v>
      </c>
      <c r="G28" s="6">
        <f t="shared" si="4"/>
        <v>4.9619063993308323</v>
      </c>
      <c r="H28" s="6">
        <f t="shared" si="4"/>
        <v>9.9238127986616647</v>
      </c>
    </row>
    <row r="29" spans="1:8" x14ac:dyDescent="0.25">
      <c r="A29" s="5" t="s">
        <v>37</v>
      </c>
      <c r="B29" s="6">
        <f t="shared" ref="B29:H29" si="5">B28/Supply_voltage</f>
        <v>6.7052789180146372E-2</v>
      </c>
      <c r="C29" s="6">
        <f t="shared" si="5"/>
        <v>0.13410557836029274</v>
      </c>
      <c r="D29" s="6">
        <f t="shared" si="5"/>
        <v>0.20115836754043911</v>
      </c>
      <c r="E29" s="6">
        <f t="shared" si="5"/>
        <v>0.26821115672058549</v>
      </c>
      <c r="F29" s="6">
        <f t="shared" si="5"/>
        <v>0.33526394590073189</v>
      </c>
      <c r="G29" s="6">
        <f t="shared" si="5"/>
        <v>0.67052789180146377</v>
      </c>
      <c r="H29" s="6">
        <f t="shared" si="5"/>
        <v>1.3410557836029275</v>
      </c>
    </row>
    <row r="30" spans="1:8" x14ac:dyDescent="0.25">
      <c r="A30" s="5" t="s">
        <v>39</v>
      </c>
      <c r="B30" s="6">
        <f t="shared" ref="B30:H30" si="6">B29*(Desired_operating_time/60)*Number_of_drive_motors</f>
        <v>0.26821115672058549</v>
      </c>
      <c r="C30" s="6">
        <f t="shared" si="6"/>
        <v>0.53642231344117097</v>
      </c>
      <c r="D30" s="6">
        <f t="shared" si="6"/>
        <v>0.80463347016175646</v>
      </c>
      <c r="E30" s="6">
        <f t="shared" si="6"/>
        <v>1.0728446268823419</v>
      </c>
      <c r="F30" s="6">
        <f t="shared" si="6"/>
        <v>1.3410557836029275</v>
      </c>
      <c r="G30" s="6">
        <f t="shared" si="6"/>
        <v>2.6821115672058551</v>
      </c>
      <c r="H30" s="6">
        <f t="shared" si="6"/>
        <v>5.3642231344117102</v>
      </c>
    </row>
    <row r="33" spans="1:8" x14ac:dyDescent="0.25">
      <c r="B33" s="4" t="s">
        <v>29</v>
      </c>
    </row>
    <row r="34" spans="1:8" x14ac:dyDescent="0.25">
      <c r="A34" s="5" t="s">
        <v>30</v>
      </c>
      <c r="B34" s="14">
        <v>3.7199999999999997E-2</v>
      </c>
      <c r="C34" s="14">
        <f>981*C35/10000</f>
        <v>7.4556000000000011E-2</v>
      </c>
      <c r="D34" s="14">
        <f>D36*1000/141593</f>
        <v>0.28249984109383941</v>
      </c>
      <c r="E34" s="14">
        <f>E36*1000/141593</f>
        <v>0.35312480136729923</v>
      </c>
      <c r="F34" s="14">
        <f>F36*1000/141593</f>
        <v>1.7656240068364961</v>
      </c>
      <c r="G34" s="14">
        <v>2.7989999999999999</v>
      </c>
      <c r="H34" s="14">
        <f>H36*1000/141593</f>
        <v>0.56499968218767882</v>
      </c>
    </row>
    <row r="35" spans="1:8" x14ac:dyDescent="0.25">
      <c r="A35" s="5" t="s">
        <v>31</v>
      </c>
      <c r="B35" s="14">
        <f t="shared" ref="B35:E35" si="7">B34*100/9.81</f>
        <v>0.37920489296636078</v>
      </c>
      <c r="C35" s="14">
        <v>0.76</v>
      </c>
      <c r="D35" s="14">
        <f t="shared" si="7"/>
        <v>2.8797129571237452</v>
      </c>
      <c r="E35" s="14">
        <f t="shared" si="7"/>
        <v>3.5996411964046811</v>
      </c>
      <c r="F35" s="14">
        <f t="shared" ref="F35:G35" si="8">F34*100/9.81</f>
        <v>17.998205982023403</v>
      </c>
      <c r="G35" s="14">
        <f t="shared" si="8"/>
        <v>28.532110091743114</v>
      </c>
      <c r="H35" s="14">
        <f t="shared" ref="H35" si="9">H34*100/9.81</f>
        <v>5.7594259142474904</v>
      </c>
    </row>
    <row r="36" spans="1:8" x14ac:dyDescent="0.25">
      <c r="A36" s="5" t="s">
        <v>32</v>
      </c>
      <c r="B36" s="14">
        <f t="shared" ref="B36" si="10">B34*141.593</f>
        <v>5.2672595999999992</v>
      </c>
      <c r="C36" s="14">
        <f t="shared" ref="C36" si="11">C34*141.593</f>
        <v>10.556607708000001</v>
      </c>
      <c r="D36" s="14">
        <v>40</v>
      </c>
      <c r="E36" s="14">
        <v>50</v>
      </c>
      <c r="F36" s="14">
        <v>250</v>
      </c>
      <c r="G36" s="14">
        <f t="shared" ref="G36" si="12">G34*141.593</f>
        <v>396.31880699999994</v>
      </c>
      <c r="H36" s="14">
        <v>80</v>
      </c>
    </row>
    <row r="37" spans="1:8" x14ac:dyDescent="0.25">
      <c r="A37" t="s">
        <v>89</v>
      </c>
      <c r="B37" s="14"/>
      <c r="C37" s="14"/>
      <c r="D37" s="14"/>
      <c r="E37" s="14"/>
      <c r="F37" s="14"/>
      <c r="G37" s="14">
        <v>24.78</v>
      </c>
      <c r="H37" s="14"/>
    </row>
    <row r="39" spans="1:8" x14ac:dyDescent="0.25">
      <c r="A39" s="11" t="s">
        <v>41</v>
      </c>
      <c r="B39" s="1">
        <f t="shared" ref="B39:H39" si="13">(Total_efficiency*Number_of_drive_motors*B34)/(Radius_of_drive_wheel*(981*SIN((PI()*Maximum_incline)/180)+100*Desired_acceleration))</f>
        <v>0.38864408281866597</v>
      </c>
      <c r="C39" s="11">
        <f t="shared" si="13"/>
        <v>0.77891796340399111</v>
      </c>
      <c r="D39" s="11">
        <f t="shared" si="13"/>
        <v>2.9513949365143572</v>
      </c>
      <c r="E39" s="11">
        <f t="shared" si="13"/>
        <v>3.6892436706429472</v>
      </c>
      <c r="F39" s="11">
        <f t="shared" si="13"/>
        <v>18.446218353214732</v>
      </c>
      <c r="G39" s="11">
        <f t="shared" si="13"/>
        <v>29.242333005630272</v>
      </c>
      <c r="H39" s="11">
        <f t="shared" si="13"/>
        <v>5.9027898730287145</v>
      </c>
    </row>
    <row r="40" spans="1:8" x14ac:dyDescent="0.25">
      <c r="A40" s="6" t="s">
        <v>40</v>
      </c>
      <c r="B40" s="1">
        <f>CONVERT(B39*1000,"g","lbm")</f>
        <v>0.85681353682970018</v>
      </c>
      <c r="C40" s="11">
        <f>CONVERT(C39*1000,"g","lbm")</f>
        <v>1.7172201626848156</v>
      </c>
      <c r="D40" s="11">
        <f t="shared" ref="D40:H40" si="14">CONVERT(D39*1000,"g","lbm")</f>
        <v>6.5067120430494834</v>
      </c>
      <c r="E40" s="11">
        <f t="shared" si="14"/>
        <v>8.1333900538118549</v>
      </c>
      <c r="F40" s="11">
        <f t="shared" si="14"/>
        <v>40.666950269059271</v>
      </c>
      <c r="G40" s="11">
        <f t="shared" si="14"/>
        <v>64.468308859847596</v>
      </c>
      <c r="H40" s="11">
        <f t="shared" si="14"/>
        <v>13.013424086098967</v>
      </c>
    </row>
    <row r="44" spans="1:8" x14ac:dyDescent="0.25">
      <c r="B44" s="4" t="s">
        <v>29</v>
      </c>
      <c r="H44" t="s">
        <v>90</v>
      </c>
    </row>
    <row r="45" spans="1:8" x14ac:dyDescent="0.25">
      <c r="A45" s="5" t="s">
        <v>30</v>
      </c>
      <c r="B45" s="14">
        <v>3.7199999999999997E-2</v>
      </c>
      <c r="C45" s="14">
        <f>981*C46/10000</f>
        <v>7.4556000000000011E-2</v>
      </c>
      <c r="D45" s="14">
        <f>D47*1000/141593</f>
        <v>0.28249984109383941</v>
      </c>
      <c r="E45" s="14">
        <f>E47*1000/141593</f>
        <v>0.35312480136729923</v>
      </c>
      <c r="F45" s="14">
        <f>F47*1000/141593</f>
        <v>1.7656240068364961</v>
      </c>
      <c r="G45" s="14">
        <v>2.7989999999999999</v>
      </c>
      <c r="H45" s="14">
        <f>H47*1000/141593</f>
        <v>0.56499968218767882</v>
      </c>
    </row>
    <row r="46" spans="1:8" x14ac:dyDescent="0.25">
      <c r="A46" s="5" t="s">
        <v>31</v>
      </c>
      <c r="B46" s="14">
        <f t="shared" ref="B46" si="15">B45*100/9.81</f>
        <v>0.37920489296636078</v>
      </c>
      <c r="C46" s="14">
        <v>0.76</v>
      </c>
      <c r="D46" s="14">
        <f t="shared" ref="D46:H46" si="16">D45*100/9.81</f>
        <v>2.8797129571237452</v>
      </c>
      <c r="E46" s="14">
        <f t="shared" si="16"/>
        <v>3.5996411964046811</v>
      </c>
      <c r="F46" s="14">
        <f t="shared" si="16"/>
        <v>17.998205982023403</v>
      </c>
      <c r="G46" s="14">
        <f t="shared" si="16"/>
        <v>28.532110091743114</v>
      </c>
      <c r="H46" s="14">
        <f t="shared" si="16"/>
        <v>5.7594259142474904</v>
      </c>
    </row>
    <row r="47" spans="1:8" x14ac:dyDescent="0.25">
      <c r="A47" s="5" t="s">
        <v>32</v>
      </c>
      <c r="B47" s="14">
        <f t="shared" ref="B47:C47" si="17">B45*141.593</f>
        <v>5.2672595999999992</v>
      </c>
      <c r="C47" s="14">
        <f t="shared" si="17"/>
        <v>10.556607708000001</v>
      </c>
      <c r="D47" s="14">
        <v>40</v>
      </c>
      <c r="E47" s="14">
        <v>50</v>
      </c>
      <c r="F47" s="14">
        <v>250</v>
      </c>
      <c r="G47" s="14">
        <f t="shared" ref="G47" si="18">G45*141.593</f>
        <v>396.31880699999994</v>
      </c>
      <c r="H47" s="14">
        <v>80</v>
      </c>
    </row>
    <row r="48" spans="1:8" x14ac:dyDescent="0.25">
      <c r="A48" t="s">
        <v>89</v>
      </c>
      <c r="B48" s="14"/>
      <c r="C48" s="14"/>
      <c r="D48" s="14"/>
      <c r="E48" s="14"/>
      <c r="F48" s="14"/>
      <c r="G48" s="14">
        <v>24.78</v>
      </c>
      <c r="H48" s="14"/>
    </row>
    <row r="49" spans="1:8" x14ac:dyDescent="0.25">
      <c r="B49" s="12"/>
    </row>
    <row r="50" spans="1:8" x14ac:dyDescent="0.25">
      <c r="A50" s="12" t="s">
        <v>41</v>
      </c>
      <c r="B50" s="12">
        <f t="shared" ref="B50:H50" si="19">(Total_efficiency*Number_of_drive_motors*B45)/(Radius_of_drive_wheel*(981*SIN((PI()*Maximum_incline)/180)+100*Desired_acceleration))</f>
        <v>0.38864408281866597</v>
      </c>
      <c r="C50" s="12">
        <f t="shared" si="19"/>
        <v>0.77891796340399111</v>
      </c>
      <c r="D50" s="12">
        <f t="shared" si="19"/>
        <v>2.9513949365143572</v>
      </c>
      <c r="E50" s="12">
        <f t="shared" si="19"/>
        <v>3.6892436706429472</v>
      </c>
      <c r="F50" s="12">
        <f t="shared" si="19"/>
        <v>18.446218353214732</v>
      </c>
      <c r="G50" s="12">
        <f t="shared" si="19"/>
        <v>29.242333005630272</v>
      </c>
      <c r="H50" s="12">
        <f t="shared" si="19"/>
        <v>5.9027898730287145</v>
      </c>
    </row>
    <row r="51" spans="1:8" x14ac:dyDescent="0.25">
      <c r="A51" s="6" t="s">
        <v>40</v>
      </c>
      <c r="B51" s="12">
        <f>CONVERT(B50*1000,"g","lbm")</f>
        <v>0.85681353682970018</v>
      </c>
      <c r="C51" s="12">
        <f>CONVERT(C50*1000,"g","lbm")</f>
        <v>1.7172201626848156</v>
      </c>
      <c r="D51" s="12">
        <f t="shared" ref="D51:H51" si="20">CONVERT(D50*1000,"g","lbm")</f>
        <v>6.5067120430494834</v>
      </c>
      <c r="E51" s="12">
        <f t="shared" si="20"/>
        <v>8.1333900538118549</v>
      </c>
      <c r="F51" s="12">
        <f t="shared" si="20"/>
        <v>40.666950269059271</v>
      </c>
      <c r="G51" s="12">
        <f t="shared" si="20"/>
        <v>64.468308859847596</v>
      </c>
      <c r="H51" s="12">
        <f t="shared" si="20"/>
        <v>13.013424086098967</v>
      </c>
    </row>
    <row r="55" spans="1:8" x14ac:dyDescent="0.25">
      <c r="A55" t="s">
        <v>90</v>
      </c>
    </row>
    <row r="56" spans="1:8" x14ac:dyDescent="0.25">
      <c r="A56" s="5" t="s">
        <v>30</v>
      </c>
      <c r="B56" s="14">
        <f>B58*1000/141593</f>
        <v>0.56499968218767882</v>
      </c>
    </row>
    <row r="57" spans="1:8" x14ac:dyDescent="0.25">
      <c r="A57" s="5" t="s">
        <v>31</v>
      </c>
      <c r="B57" s="14">
        <f t="shared" ref="B57" si="21">B56*100/9.81</f>
        <v>5.7594259142474904</v>
      </c>
    </row>
    <row r="58" spans="1:8" x14ac:dyDescent="0.25">
      <c r="A58" s="5" t="s">
        <v>32</v>
      </c>
      <c r="B58" s="14">
        <v>80</v>
      </c>
    </row>
    <row r="59" spans="1:8" x14ac:dyDescent="0.25">
      <c r="A59" t="s">
        <v>89</v>
      </c>
      <c r="B59" s="14"/>
    </row>
    <row r="60" spans="1:8" x14ac:dyDescent="0.25">
      <c r="B60"/>
    </row>
    <row r="61" spans="1:8" x14ac:dyDescent="0.25">
      <c r="A61" s="12" t="s">
        <v>41</v>
      </c>
      <c r="B61" s="12">
        <f t="shared" ref="B61" si="22">(Total_efficiency*Number_of_drive_motors*B56)/(Radius_of_drive_wheel*(981*SIN((PI()*Maximum_incline)/180)+100*Desired_acceleration))</f>
        <v>5.9027898730287145</v>
      </c>
    </row>
    <row r="62" spans="1:8" x14ac:dyDescent="0.25">
      <c r="A62" s="6" t="s">
        <v>40</v>
      </c>
      <c r="B62" s="12">
        <f t="shared" ref="B62" si="23">CONVERT(B61*1000,"g","lbm")</f>
        <v>13.013424086098967</v>
      </c>
    </row>
    <row r="63" spans="1:8" x14ac:dyDescent="0.25">
      <c r="B63" s="12"/>
    </row>
    <row r="64" spans="1:8" x14ac:dyDescent="0.25">
      <c r="A64" s="12" t="s">
        <v>55</v>
      </c>
    </row>
    <row r="65" spans="1:4" x14ac:dyDescent="0.25">
      <c r="A65" s="5" t="s">
        <v>30</v>
      </c>
      <c r="B65" s="14">
        <f>B67*1000/141593</f>
        <v>0.35312480136729923</v>
      </c>
      <c r="D65" s="14">
        <f>D67*1000/141593</f>
        <v>0.17656240068364962</v>
      </c>
    </row>
    <row r="66" spans="1:4" x14ac:dyDescent="0.25">
      <c r="A66" s="5" t="s">
        <v>31</v>
      </c>
      <c r="B66" s="14">
        <f t="shared" ref="B66:D66" si="24">B65*100/9.81</f>
        <v>3.5996411964046811</v>
      </c>
      <c r="D66" s="14">
        <f t="shared" si="24"/>
        <v>1.7998205982023405</v>
      </c>
    </row>
    <row r="67" spans="1:4" x14ac:dyDescent="0.25">
      <c r="A67" s="5" t="s">
        <v>32</v>
      </c>
      <c r="B67" s="14">
        <v>50</v>
      </c>
      <c r="D67" s="14">
        <v>25</v>
      </c>
    </row>
    <row r="68" spans="1:4" x14ac:dyDescent="0.25">
      <c r="A68" t="s">
        <v>89</v>
      </c>
      <c r="B68" s="14"/>
      <c r="D68" s="14"/>
    </row>
    <row r="69" spans="1:4" x14ac:dyDescent="0.25">
      <c r="B69"/>
    </row>
    <row r="70" spans="1:4" x14ac:dyDescent="0.25">
      <c r="A70" s="12" t="s">
        <v>41</v>
      </c>
      <c r="B70" s="12">
        <f t="shared" ref="B70:D70" si="25">(Total_efficiency*Number_of_drive_motors*B65)/(Radius_of_drive_wheel*(981*SIN((PI()*Maximum_incline)/180)+100*Desired_acceleration))</f>
        <v>3.6892436706429472</v>
      </c>
      <c r="D70" s="12">
        <f t="shared" si="25"/>
        <v>1.8446218353214736</v>
      </c>
    </row>
    <row r="71" spans="1:4" x14ac:dyDescent="0.25">
      <c r="A71" s="6" t="s">
        <v>40</v>
      </c>
      <c r="B71" s="12">
        <f t="shared" ref="B71:D71" si="26">CONVERT(B70*1000,"g","lbm")</f>
        <v>8.1333900538118549</v>
      </c>
      <c r="D71" s="12">
        <f t="shared" si="26"/>
        <v>4.0666950269059274</v>
      </c>
    </row>
    <row r="72" spans="1:4" x14ac:dyDescent="0.25">
      <c r="A72" t="s">
        <v>91</v>
      </c>
    </row>
    <row r="73" spans="1:4" x14ac:dyDescent="0.25">
      <c r="A73" s="5" t="s">
        <v>30</v>
      </c>
      <c r="B73" s="14">
        <v>2.7989999999999999</v>
      </c>
    </row>
    <row r="74" spans="1:4" x14ac:dyDescent="0.25">
      <c r="A74" s="5" t="s">
        <v>31</v>
      </c>
      <c r="B74" s="14">
        <f t="shared" ref="B74" si="27">B73*100/9.81</f>
        <v>28.532110091743114</v>
      </c>
    </row>
    <row r="75" spans="1:4" x14ac:dyDescent="0.25">
      <c r="A75" s="5" t="s">
        <v>32</v>
      </c>
      <c r="B75" s="14">
        <f t="shared" ref="B75" si="28">B73*141.593</f>
        <v>396.31880699999994</v>
      </c>
    </row>
    <row r="76" spans="1:4" x14ac:dyDescent="0.25">
      <c r="A76" t="s">
        <v>89</v>
      </c>
      <c r="B76" s="14">
        <v>24.78</v>
      </c>
    </row>
    <row r="77" spans="1:4" x14ac:dyDescent="0.25">
      <c r="B77"/>
    </row>
    <row r="78" spans="1:4" x14ac:dyDescent="0.25">
      <c r="A78" s="12" t="s">
        <v>41</v>
      </c>
      <c r="B78" s="12">
        <f t="shared" ref="B78" si="29">(Total_efficiency*Number_of_drive_motors*B73)/(Radius_of_drive_wheel*(981*SIN((PI()*Maximum_incline)/180)+100*Desired_acceleration))</f>
        <v>29.242333005630272</v>
      </c>
    </row>
    <row r="79" spans="1:4" x14ac:dyDescent="0.25">
      <c r="A79" s="6" t="s">
        <v>40</v>
      </c>
      <c r="B79" s="12">
        <f t="shared" ref="B79" si="30">CONVERT(B78*1000,"g","lbm")</f>
        <v>64.468308859847596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1"/>
  <sheetViews>
    <sheetView topLeftCell="A4" workbookViewId="0">
      <selection activeCell="B12" sqref="B12"/>
    </sheetView>
  </sheetViews>
  <sheetFormatPr defaultRowHeight="15" x14ac:dyDescent="0.25"/>
  <cols>
    <col min="1" max="1" width="67" customWidth="1"/>
    <col min="5" max="5" width="12.5703125" customWidth="1"/>
    <col min="6" max="6" width="39.42578125" customWidth="1"/>
  </cols>
  <sheetData>
    <row r="1" spans="1:13" x14ac:dyDescent="0.25">
      <c r="A1" s="5" t="s">
        <v>43</v>
      </c>
      <c r="C1" s="5"/>
    </row>
    <row r="2" spans="1:13" x14ac:dyDescent="0.25">
      <c r="A2" s="5" t="s">
        <v>44</v>
      </c>
      <c r="B2" s="5" t="s">
        <v>45</v>
      </c>
      <c r="C2" s="5" t="s">
        <v>46</v>
      </c>
      <c r="E2" s="5" t="s">
        <v>47</v>
      </c>
      <c r="F2" s="5"/>
      <c r="G2" s="5"/>
      <c r="H2" s="5"/>
      <c r="I2" s="5" t="s">
        <v>48</v>
      </c>
      <c r="J2" s="5"/>
      <c r="K2" s="5" t="s">
        <v>49</v>
      </c>
      <c r="L2" s="5"/>
      <c r="M2" s="5" t="s">
        <v>50</v>
      </c>
    </row>
    <row r="3" spans="1:13" x14ac:dyDescent="0.25">
      <c r="A3" t="s">
        <v>51</v>
      </c>
      <c r="B3">
        <v>1</v>
      </c>
      <c r="C3">
        <v>35</v>
      </c>
      <c r="D3">
        <f>B3*C3</f>
        <v>35</v>
      </c>
      <c r="I3">
        <v>5</v>
      </c>
      <c r="J3" t="s">
        <v>18</v>
      </c>
      <c r="K3">
        <v>0.8</v>
      </c>
      <c r="L3" t="s">
        <v>37</v>
      </c>
    </row>
    <row r="4" spans="1:13" x14ac:dyDescent="0.25">
      <c r="A4" t="s">
        <v>52</v>
      </c>
      <c r="B4">
        <v>1</v>
      </c>
      <c r="C4">
        <v>10</v>
      </c>
      <c r="D4">
        <f t="shared" ref="D4:D40" si="0">B4*C4</f>
        <v>10</v>
      </c>
      <c r="I4">
        <v>5</v>
      </c>
      <c r="K4">
        <v>0.3</v>
      </c>
      <c r="L4" t="s">
        <v>37</v>
      </c>
    </row>
    <row r="5" spans="1:13" x14ac:dyDescent="0.25">
      <c r="A5" t="s">
        <v>53</v>
      </c>
      <c r="B5">
        <v>1</v>
      </c>
      <c r="C5">
        <v>10</v>
      </c>
      <c r="D5">
        <f t="shared" si="0"/>
        <v>10</v>
      </c>
      <c r="I5">
        <v>5</v>
      </c>
      <c r="K5">
        <v>1E-3</v>
      </c>
      <c r="L5" t="s">
        <v>37</v>
      </c>
    </row>
    <row r="6" spans="1:13" x14ac:dyDescent="0.25">
      <c r="A6" t="s">
        <v>54</v>
      </c>
      <c r="B6">
        <v>1</v>
      </c>
      <c r="C6">
        <v>32.950000000000003</v>
      </c>
      <c r="D6">
        <f t="shared" si="0"/>
        <v>32.950000000000003</v>
      </c>
      <c r="E6" t="s">
        <v>55</v>
      </c>
      <c r="F6" s="10" t="s">
        <v>56</v>
      </c>
    </row>
    <row r="7" spans="1:13" x14ac:dyDescent="0.25">
      <c r="A7" t="s">
        <v>81</v>
      </c>
      <c r="B7">
        <v>1</v>
      </c>
      <c r="C7">
        <v>0</v>
      </c>
      <c r="D7">
        <f t="shared" si="0"/>
        <v>0</v>
      </c>
    </row>
    <row r="8" spans="1:13" x14ac:dyDescent="0.25">
      <c r="A8" t="s">
        <v>57</v>
      </c>
      <c r="B8">
        <v>2</v>
      </c>
      <c r="C8">
        <v>34.950000000000003</v>
      </c>
      <c r="D8">
        <f t="shared" si="0"/>
        <v>69.900000000000006</v>
      </c>
      <c r="F8" s="10" t="s">
        <v>92</v>
      </c>
    </row>
    <row r="9" spans="1:13" x14ac:dyDescent="0.25">
      <c r="A9" t="s">
        <v>94</v>
      </c>
      <c r="B9">
        <v>1</v>
      </c>
      <c r="C9">
        <v>7.45</v>
      </c>
      <c r="D9">
        <f t="shared" si="0"/>
        <v>7.45</v>
      </c>
      <c r="F9" s="10" t="s">
        <v>93</v>
      </c>
    </row>
    <row r="10" spans="1:13" x14ac:dyDescent="0.25">
      <c r="A10" t="s">
        <v>58</v>
      </c>
      <c r="B10">
        <v>1</v>
      </c>
      <c r="C10">
        <v>7.95</v>
      </c>
      <c r="D10">
        <f t="shared" si="0"/>
        <v>7.95</v>
      </c>
      <c r="E10" t="s">
        <v>55</v>
      </c>
      <c r="F10" s="10" t="s">
        <v>59</v>
      </c>
    </row>
    <row r="11" spans="1:13" x14ac:dyDescent="0.25">
      <c r="A11" t="s">
        <v>60</v>
      </c>
      <c r="B11">
        <v>1</v>
      </c>
      <c r="C11">
        <v>6.95</v>
      </c>
      <c r="D11">
        <f t="shared" si="0"/>
        <v>6.95</v>
      </c>
      <c r="E11" t="s">
        <v>55</v>
      </c>
      <c r="F11" s="10" t="s">
        <v>61</v>
      </c>
    </row>
    <row r="12" spans="1:13" x14ac:dyDescent="0.25">
      <c r="A12" t="s">
        <v>79</v>
      </c>
      <c r="B12">
        <v>2</v>
      </c>
      <c r="C12">
        <v>1.99</v>
      </c>
      <c r="D12">
        <f t="shared" si="0"/>
        <v>3.98</v>
      </c>
      <c r="E12" t="s">
        <v>55</v>
      </c>
    </row>
    <row r="13" spans="1:13" x14ac:dyDescent="0.25">
      <c r="A13" s="5" t="s">
        <v>86</v>
      </c>
      <c r="F13" t="s">
        <v>87</v>
      </c>
    </row>
    <row r="14" spans="1:13" x14ac:dyDescent="0.25">
      <c r="A14" t="s">
        <v>82</v>
      </c>
      <c r="C14">
        <v>23.95</v>
      </c>
      <c r="D14">
        <f t="shared" si="0"/>
        <v>0</v>
      </c>
      <c r="E14" t="s">
        <v>85</v>
      </c>
      <c r="F14" s="10" t="s">
        <v>88</v>
      </c>
    </row>
    <row r="15" spans="1:13" x14ac:dyDescent="0.25">
      <c r="A15" t="s">
        <v>84</v>
      </c>
      <c r="C15">
        <v>42.95</v>
      </c>
      <c r="D15">
        <f t="shared" si="0"/>
        <v>0</v>
      </c>
      <c r="E15" t="s">
        <v>85</v>
      </c>
      <c r="F15" s="10" t="s">
        <v>88</v>
      </c>
    </row>
    <row r="16" spans="1:13" x14ac:dyDescent="0.25">
      <c r="A16" t="s">
        <v>83</v>
      </c>
      <c r="C16">
        <v>21.95</v>
      </c>
      <c r="D16">
        <f t="shared" si="0"/>
        <v>0</v>
      </c>
      <c r="E16" t="s">
        <v>85</v>
      </c>
      <c r="F16" s="10" t="s">
        <v>88</v>
      </c>
    </row>
    <row r="17" spans="1:5" x14ac:dyDescent="0.25">
      <c r="A17" s="5" t="s">
        <v>62</v>
      </c>
    </row>
    <row r="18" spans="1:5" x14ac:dyDescent="0.25">
      <c r="A18" s="5" t="s">
        <v>63</v>
      </c>
    </row>
    <row r="19" spans="1:5" x14ac:dyDescent="0.25">
      <c r="A19" t="s">
        <v>64</v>
      </c>
      <c r="C19">
        <v>4.95</v>
      </c>
      <c r="D19">
        <f t="shared" si="0"/>
        <v>0</v>
      </c>
      <c r="E19" t="s">
        <v>55</v>
      </c>
    </row>
    <row r="20" spans="1:5" x14ac:dyDescent="0.25">
      <c r="A20" t="s">
        <v>65</v>
      </c>
      <c r="C20">
        <v>4.25</v>
      </c>
      <c r="D20">
        <f t="shared" si="0"/>
        <v>0</v>
      </c>
      <c r="E20" t="s">
        <v>55</v>
      </c>
    </row>
    <row r="21" spans="1:5" x14ac:dyDescent="0.25">
      <c r="A21" t="s">
        <v>66</v>
      </c>
      <c r="B21">
        <v>0</v>
      </c>
      <c r="C21">
        <v>9.9499999999999993</v>
      </c>
      <c r="D21">
        <f t="shared" si="0"/>
        <v>0</v>
      </c>
      <c r="E21" t="s">
        <v>55</v>
      </c>
    </row>
    <row r="22" spans="1:5" x14ac:dyDescent="0.25">
      <c r="A22" s="5" t="s">
        <v>67</v>
      </c>
    </row>
    <row r="23" spans="1:5" x14ac:dyDescent="0.25">
      <c r="A23" t="s">
        <v>68</v>
      </c>
      <c r="C23">
        <v>9.9499999999999993</v>
      </c>
      <c r="D23">
        <f t="shared" si="0"/>
        <v>0</v>
      </c>
      <c r="E23" t="s">
        <v>55</v>
      </c>
    </row>
    <row r="24" spans="1:5" x14ac:dyDescent="0.25">
      <c r="A24" t="s">
        <v>69</v>
      </c>
      <c r="C24">
        <v>9.9499999999999993</v>
      </c>
      <c r="D24">
        <f t="shared" si="0"/>
        <v>0</v>
      </c>
      <c r="E24" t="s">
        <v>55</v>
      </c>
    </row>
    <row r="25" spans="1:5" x14ac:dyDescent="0.25">
      <c r="A25" t="s">
        <v>70</v>
      </c>
      <c r="B25">
        <v>0</v>
      </c>
      <c r="C25">
        <v>11.95</v>
      </c>
      <c r="D25">
        <f t="shared" si="0"/>
        <v>0</v>
      </c>
      <c r="E25" t="s">
        <v>55</v>
      </c>
    </row>
    <row r="26" spans="1:5" x14ac:dyDescent="0.25">
      <c r="A26" s="5" t="s">
        <v>71</v>
      </c>
    </row>
    <row r="27" spans="1:5" x14ac:dyDescent="0.25">
      <c r="A27" t="s">
        <v>72</v>
      </c>
      <c r="C27">
        <v>29.99</v>
      </c>
      <c r="D27">
        <f t="shared" si="0"/>
        <v>0</v>
      </c>
    </row>
    <row r="28" spans="1:5" x14ac:dyDescent="0.25">
      <c r="A28" t="s">
        <v>73</v>
      </c>
      <c r="C28">
        <v>2.99</v>
      </c>
      <c r="D28">
        <f t="shared" si="0"/>
        <v>0</v>
      </c>
    </row>
    <row r="29" spans="1:5" x14ac:dyDescent="0.25">
      <c r="A29" s="5" t="s">
        <v>74</v>
      </c>
    </row>
    <row r="30" spans="1:5" x14ac:dyDescent="0.25">
      <c r="A30" t="s">
        <v>75</v>
      </c>
      <c r="C30">
        <v>39.950000000000003</v>
      </c>
      <c r="D30">
        <f t="shared" si="0"/>
        <v>0</v>
      </c>
      <c r="E30" t="s">
        <v>80</v>
      </c>
    </row>
    <row r="31" spans="1:5" x14ac:dyDescent="0.25">
      <c r="A31" t="s">
        <v>76</v>
      </c>
      <c r="C31">
        <v>24.95</v>
      </c>
      <c r="D31">
        <f t="shared" si="0"/>
        <v>0</v>
      </c>
      <c r="E31" t="s">
        <v>80</v>
      </c>
    </row>
    <row r="32" spans="1:5" x14ac:dyDescent="0.25">
      <c r="A32" t="s">
        <v>77</v>
      </c>
      <c r="C32">
        <v>19.95</v>
      </c>
      <c r="D32">
        <f t="shared" si="0"/>
        <v>0</v>
      </c>
      <c r="E32" t="s">
        <v>80</v>
      </c>
    </row>
    <row r="33" spans="1:4" x14ac:dyDescent="0.25">
      <c r="A33" t="s">
        <v>78</v>
      </c>
      <c r="C33">
        <v>4.29</v>
      </c>
      <c r="D33">
        <f t="shared" si="0"/>
        <v>0</v>
      </c>
    </row>
    <row r="34" spans="1:4" x14ac:dyDescent="0.25">
      <c r="D34">
        <f t="shared" si="0"/>
        <v>0</v>
      </c>
    </row>
    <row r="35" spans="1:4" x14ac:dyDescent="0.25">
      <c r="D35">
        <f t="shared" si="0"/>
        <v>0</v>
      </c>
    </row>
    <row r="36" spans="1:4" x14ac:dyDescent="0.25">
      <c r="D36">
        <f t="shared" si="0"/>
        <v>0</v>
      </c>
    </row>
    <row r="37" spans="1:4" x14ac:dyDescent="0.25">
      <c r="D37">
        <f t="shared" si="0"/>
        <v>0</v>
      </c>
    </row>
    <row r="38" spans="1:4" x14ac:dyDescent="0.25">
      <c r="D38">
        <f t="shared" si="0"/>
        <v>0</v>
      </c>
    </row>
    <row r="39" spans="1:4" x14ac:dyDescent="0.25">
      <c r="D39">
        <f t="shared" si="0"/>
        <v>0</v>
      </c>
    </row>
    <row r="40" spans="1:4" x14ac:dyDescent="0.25">
      <c r="D40">
        <f t="shared" si="0"/>
        <v>0</v>
      </c>
    </row>
    <row r="41" spans="1:4" x14ac:dyDescent="0.25">
      <c r="D41">
        <f>SUM(D3:D40)</f>
        <v>184.17999999999998</v>
      </c>
    </row>
  </sheetData>
  <hyperlinks>
    <hyperlink ref="F6" r:id="rId1"/>
    <hyperlink ref="F10" r:id="rId2"/>
    <hyperlink ref="F11" r:id="rId3"/>
    <hyperlink ref="F14" r:id="rId4"/>
    <hyperlink ref="F15" r:id="rId5"/>
    <hyperlink ref="F16" r:id="rId6"/>
    <hyperlink ref="F8" r:id="rId7"/>
    <hyperlink ref="F9" r:id="rId8" display="https://www.pololu.com/category/115/25d-mm-gearmotors"/>
  </hyperlinks>
  <pageMargins left="0.7" right="0.7" top="0.75" bottom="0.75" header="0.3" footer="0.3"/>
  <pageSetup scale="43" orientation="portrait" horizontalDpi="4294967293" verticalDpi="4294967293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16</vt:i4>
      </vt:variant>
    </vt:vector>
  </HeadingPairs>
  <TitlesOfParts>
    <vt:vector size="19" baseType="lpstr">
      <vt:lpstr>Wheels</vt:lpstr>
      <vt:lpstr>Motor size sheet</vt:lpstr>
      <vt:lpstr>Parts List</vt:lpstr>
      <vt:lpstr>Angular_Velocity</vt:lpstr>
      <vt:lpstr>Desired_acceleration</vt:lpstr>
      <vt:lpstr>Desired_operating_time</vt:lpstr>
      <vt:lpstr>Maximum_incline</vt:lpstr>
      <vt:lpstr>Number_of_drive_motors</vt:lpstr>
      <vt:lpstr>Radius_of_drive_wheel</vt:lpstr>
      <vt:lpstr>Robot_Velocity</vt:lpstr>
      <vt:lpstr>Supply_voltage</vt:lpstr>
      <vt:lpstr>Torque</vt:lpstr>
      <vt:lpstr>Total_efficiency</vt:lpstr>
      <vt:lpstr>Total_mass</vt:lpstr>
      <vt:lpstr>VA</vt:lpstr>
      <vt:lpstr>VB</vt:lpstr>
      <vt:lpstr>VC</vt:lpstr>
      <vt:lpstr>VD</vt:lpstr>
      <vt:lpstr>VE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Nielsen, Darron P.</dc:creator>
  <cp:keywords/>
  <dc:description/>
  <cp:lastModifiedBy>darron</cp:lastModifiedBy>
  <cp:revision/>
  <cp:lastPrinted>2015-09-15T04:58:51Z</cp:lastPrinted>
  <dcterms:created xsi:type="dcterms:W3CDTF">2015-09-11T22:12:36Z</dcterms:created>
  <dcterms:modified xsi:type="dcterms:W3CDTF">2015-10-23T13:39:39Z</dcterms:modified>
</cp:coreProperties>
</file>