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trs Villamil\Dropbox\FormacionVirtual\U_Caldas\Ciclo 3\proyecto_base\seguimientos\"/>
    </mc:Choice>
  </mc:AlternateContent>
  <xr:revisionPtr revIDLastSave="0" documentId="13_ncr:1_{15C2ED61-4974-4154-BD00-2F6FF4353E96}" xr6:coauthVersionLast="47" xr6:coauthVersionMax="47" xr10:uidLastSave="{00000000-0000-0000-0000-000000000000}"/>
  <bookViews>
    <workbookView xWindow="-120" yWindow="-120" windowWidth="20730" windowHeight="11160" firstSheet="2" activeTab="9" xr2:uid="{00000000-000D-0000-FFFF-FFFF00000000}"/>
  </bookViews>
  <sheets>
    <sheet name="Responsable" sheetId="28" state="hidden" r:id="rId1"/>
    <sheet name="Parametros" sheetId="30" state="hidden" r:id="rId2"/>
    <sheet name="Backlog" sheetId="29" r:id="rId3"/>
    <sheet name="Dashboard" sheetId="32" state="hidden" r:id="rId4"/>
    <sheet name="Grafico de Avance" sheetId="37" r:id="rId5"/>
    <sheet name="Sprint_Backlog" sheetId="26" r:id="rId6"/>
    <sheet name="BURNDOWN CHART_1" sheetId="38" state="hidden" r:id="rId7"/>
    <sheet name="BURNDOWN CHART_2" sheetId="39" state="hidden" r:id="rId8"/>
    <sheet name="BURNDOWN CHART_3" sheetId="40" state="hidden" r:id="rId9"/>
    <sheet name="BURNDOWN CHART_5" sheetId="42" r:id="rId10"/>
    <sheet name="BURNDOWN CHART_6" sheetId="43" state="hidden" r:id="rId11"/>
    <sheet name="BURNDOWN CHART_7" sheetId="44" state="hidden" r:id="rId12"/>
    <sheet name="BURNDOWN CHART_4" sheetId="45" state="hidden" r:id="rId13"/>
    <sheet name="Tabla Resumen" sheetId="31" r:id="rId14"/>
  </sheets>
  <externalReferences>
    <externalReference r:id="rId15"/>
  </externalReferences>
  <definedNames>
    <definedName name="_xlnm._FilterDatabase" localSheetId="1" hidden="1">Parametros!$C$17:$G$17</definedName>
    <definedName name="_xlnm._FilterDatabase" localSheetId="5" hidden="1">Sprint_Backlog!$N$1:$N$3</definedName>
    <definedName name="_xlnm.Print_Area" localSheetId="7">'BURNDOWN CHART_2'!$A$1:$AI$30</definedName>
    <definedName name="casos" localSheetId="7">Tabla3[]</definedName>
    <definedName name="casos" localSheetId="8">Tabla3[]</definedName>
    <definedName name="casos" localSheetId="12">Tabla3[]</definedName>
    <definedName name="casos" localSheetId="9">Tabla3[]</definedName>
    <definedName name="casos" localSheetId="10">Tabla3[]</definedName>
    <definedName name="casos" localSheetId="11">Tabla3[]</definedName>
    <definedName name="casos">Tabla3[]</definedName>
    <definedName name="casos2">Tabla3[]</definedName>
    <definedName name="Escalas_del_Grafico" localSheetId="6">'BURNDOWN CHART_1'!$AL$3:$AN$20</definedName>
    <definedName name="Escalas_del_Grafico" localSheetId="7">'BURNDOWN CHART_2'!$AL$3:$AN$20</definedName>
    <definedName name="Escalas_del_Grafico" localSheetId="8">'BURNDOWN CHART_3'!$AL$3:$AN$20</definedName>
    <definedName name="Escalas_del_Grafico" localSheetId="12">'BURNDOWN CHART_4'!$AL$3:$AN$22</definedName>
    <definedName name="Escalas_del_Grafico" localSheetId="9">'BURNDOWN CHART_5'!$AL$3:$AN$20</definedName>
    <definedName name="Escalas_del_Grafico" localSheetId="10">'BURNDOWN CHART_6'!$AL$3:$AN$20</definedName>
    <definedName name="Escalas_del_Grafico" localSheetId="11">'BURNDOWN CHART_7'!$AL$3:$AN$20</definedName>
  </definedNames>
  <calcPr calcId="181029"/>
  <pivotCaches>
    <pivotCache cacheId="0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5" i="26" l="1"/>
  <c r="C45" i="26"/>
  <c r="D45" i="26"/>
  <c r="E45" i="26" s="1"/>
  <c r="F45" i="26"/>
  <c r="H45" i="26" s="1"/>
  <c r="G45" i="26"/>
  <c r="I45" i="26"/>
  <c r="K45" i="26"/>
  <c r="L45" i="26"/>
  <c r="R45" i="26"/>
  <c r="B46" i="26"/>
  <c r="C46" i="26"/>
  <c r="D46" i="26"/>
  <c r="F46" i="26"/>
  <c r="H46" i="26" s="1"/>
  <c r="G46" i="26"/>
  <c r="I46" i="26"/>
  <c r="J46" i="26"/>
  <c r="Q46" i="26" s="1"/>
  <c r="K46" i="26"/>
  <c r="L46" i="26"/>
  <c r="R46" i="26"/>
  <c r="B44" i="26"/>
  <c r="C44" i="26"/>
  <c r="F44" i="26"/>
  <c r="H44" i="26" s="1"/>
  <c r="G44" i="26"/>
  <c r="I44" i="26"/>
  <c r="K44" i="26"/>
  <c r="L44" i="26"/>
  <c r="R44" i="26"/>
  <c r="B38" i="26"/>
  <c r="C38" i="26"/>
  <c r="F38" i="26"/>
  <c r="H38" i="26" s="1"/>
  <c r="G38" i="26"/>
  <c r="I38" i="26"/>
  <c r="K38" i="26"/>
  <c r="L38" i="26"/>
  <c r="R38" i="26"/>
  <c r="B39" i="26"/>
  <c r="C39" i="26"/>
  <c r="F39" i="26"/>
  <c r="H39" i="26" s="1"/>
  <c r="G39" i="26"/>
  <c r="I39" i="26"/>
  <c r="K39" i="26"/>
  <c r="L39" i="26"/>
  <c r="R39" i="26"/>
  <c r="B40" i="26"/>
  <c r="C40" i="26"/>
  <c r="F40" i="26"/>
  <c r="G40" i="26"/>
  <c r="I40" i="26"/>
  <c r="K40" i="26"/>
  <c r="L40" i="26"/>
  <c r="R40" i="26"/>
  <c r="B41" i="26"/>
  <c r="C41" i="26"/>
  <c r="F41" i="26"/>
  <c r="H41" i="26" s="1"/>
  <c r="G41" i="26"/>
  <c r="I41" i="26"/>
  <c r="K41" i="26"/>
  <c r="L41" i="26"/>
  <c r="R41" i="26"/>
  <c r="B42" i="26"/>
  <c r="C42" i="26"/>
  <c r="F42" i="26"/>
  <c r="G42" i="26"/>
  <c r="I42" i="26"/>
  <c r="K42" i="26"/>
  <c r="L42" i="26"/>
  <c r="R42" i="26"/>
  <c r="B43" i="26"/>
  <c r="C43" i="26"/>
  <c r="F43" i="26"/>
  <c r="H43" i="26" s="1"/>
  <c r="G43" i="26"/>
  <c r="I43" i="26"/>
  <c r="K43" i="26"/>
  <c r="L43" i="26"/>
  <c r="R43" i="26"/>
  <c r="F38" i="29"/>
  <c r="H38" i="29" s="1"/>
  <c r="C38" i="29"/>
  <c r="D38" i="29" s="1"/>
  <c r="K38" i="29"/>
  <c r="T38" i="29"/>
  <c r="J41" i="26" s="1"/>
  <c r="D43" i="29"/>
  <c r="H43" i="29"/>
  <c r="K43" i="29"/>
  <c r="S43" i="29"/>
  <c r="T43" i="29" s="1"/>
  <c r="F39" i="29"/>
  <c r="H39" i="29" s="1"/>
  <c r="F36" i="29"/>
  <c r="H36" i="29" s="1"/>
  <c r="F37" i="29"/>
  <c r="H37" i="29" s="1"/>
  <c r="F42" i="29"/>
  <c r="H42" i="29" s="1"/>
  <c r="C39" i="29"/>
  <c r="D39" i="29" s="1"/>
  <c r="C36" i="29"/>
  <c r="D36" i="29" s="1"/>
  <c r="C37" i="29"/>
  <c r="D37" i="29" s="1"/>
  <c r="C42" i="29"/>
  <c r="D42" i="29" s="1"/>
  <c r="F35" i="29"/>
  <c r="H35" i="29" s="1"/>
  <c r="C35" i="29"/>
  <c r="D35" i="29" s="1"/>
  <c r="K35" i="29"/>
  <c r="T35" i="29"/>
  <c r="J38" i="26" s="1"/>
  <c r="K42" i="29"/>
  <c r="T42" i="29"/>
  <c r="J45" i="26" s="1"/>
  <c r="T37" i="29"/>
  <c r="J40" i="26" s="1"/>
  <c r="K36" i="29"/>
  <c r="T36" i="29"/>
  <c r="J39" i="26" s="1"/>
  <c r="K39" i="29"/>
  <c r="T39" i="29"/>
  <c r="J42" i="26" s="1"/>
  <c r="N15" i="45"/>
  <c r="N14" i="45"/>
  <c r="F19" i="45"/>
  <c r="G19" i="45" s="1"/>
  <c r="H19" i="45" s="1"/>
  <c r="I19" i="45" s="1"/>
  <c r="J19" i="45" s="1"/>
  <c r="K19" i="45" s="1"/>
  <c r="L19" i="45" s="1"/>
  <c r="M19" i="45" s="1"/>
  <c r="F18" i="45"/>
  <c r="G18" i="45" s="1"/>
  <c r="H18" i="45" s="1"/>
  <c r="I18" i="45" s="1"/>
  <c r="J18" i="45" s="1"/>
  <c r="K18" i="45" s="1"/>
  <c r="L18" i="45" s="1"/>
  <c r="M18" i="45" s="1"/>
  <c r="N16" i="45"/>
  <c r="N13" i="45"/>
  <c r="N12" i="45"/>
  <c r="N11" i="45"/>
  <c r="N10" i="45"/>
  <c r="N8" i="45"/>
  <c r="N7" i="45"/>
  <c r="N6" i="45"/>
  <c r="N5" i="45"/>
  <c r="B36" i="26"/>
  <c r="C36" i="26"/>
  <c r="F36" i="26"/>
  <c r="G36" i="26"/>
  <c r="I36" i="26"/>
  <c r="K36" i="26"/>
  <c r="L36" i="26"/>
  <c r="R36" i="26"/>
  <c r="B37" i="26"/>
  <c r="C37" i="26"/>
  <c r="F37" i="26"/>
  <c r="G37" i="26"/>
  <c r="I37" i="26"/>
  <c r="K37" i="26"/>
  <c r="L37" i="26"/>
  <c r="R37" i="26"/>
  <c r="B26" i="26"/>
  <c r="C26" i="26"/>
  <c r="F26" i="26"/>
  <c r="G26" i="26"/>
  <c r="I26" i="26"/>
  <c r="K26" i="26"/>
  <c r="L26" i="26"/>
  <c r="R26" i="26"/>
  <c r="B27" i="26"/>
  <c r="C27" i="26"/>
  <c r="F27" i="26"/>
  <c r="G27" i="26"/>
  <c r="I27" i="26"/>
  <c r="K27" i="26"/>
  <c r="L27" i="26"/>
  <c r="R27" i="26"/>
  <c r="B28" i="26"/>
  <c r="C28" i="26"/>
  <c r="F28" i="26"/>
  <c r="G28" i="26"/>
  <c r="I28" i="26"/>
  <c r="K28" i="26"/>
  <c r="L28" i="26"/>
  <c r="R28" i="26"/>
  <c r="B29" i="26"/>
  <c r="C29" i="26"/>
  <c r="F29" i="26"/>
  <c r="G29" i="26"/>
  <c r="I29" i="26"/>
  <c r="K29" i="26"/>
  <c r="L29" i="26"/>
  <c r="R29" i="26"/>
  <c r="B30" i="26"/>
  <c r="C30" i="26"/>
  <c r="F30" i="26"/>
  <c r="G30" i="26"/>
  <c r="I30" i="26"/>
  <c r="K30" i="26"/>
  <c r="L30" i="26"/>
  <c r="R30" i="26"/>
  <c r="B31" i="26"/>
  <c r="C31" i="26"/>
  <c r="F31" i="26"/>
  <c r="G31" i="26"/>
  <c r="I31" i="26"/>
  <c r="K31" i="26"/>
  <c r="L31" i="26"/>
  <c r="R31" i="26"/>
  <c r="B32" i="26"/>
  <c r="C32" i="26"/>
  <c r="F32" i="26"/>
  <c r="G32" i="26"/>
  <c r="I32" i="26"/>
  <c r="K32" i="26"/>
  <c r="L32" i="26"/>
  <c r="R32" i="26"/>
  <c r="B33" i="26"/>
  <c r="C33" i="26"/>
  <c r="F33" i="26"/>
  <c r="G33" i="26"/>
  <c r="I33" i="26"/>
  <c r="K33" i="26"/>
  <c r="L33" i="26"/>
  <c r="R33" i="26"/>
  <c r="B34" i="26"/>
  <c r="C34" i="26"/>
  <c r="F34" i="26"/>
  <c r="G34" i="26"/>
  <c r="I34" i="26"/>
  <c r="K34" i="26"/>
  <c r="L34" i="26"/>
  <c r="R34" i="26"/>
  <c r="B35" i="26"/>
  <c r="C35" i="26"/>
  <c r="F35" i="26"/>
  <c r="G35" i="26"/>
  <c r="I35" i="26"/>
  <c r="K35" i="26"/>
  <c r="L35" i="26"/>
  <c r="R35" i="26"/>
  <c r="F31" i="29"/>
  <c r="H31" i="29" s="1"/>
  <c r="C31" i="29"/>
  <c r="D31" i="29" s="1"/>
  <c r="K31" i="29"/>
  <c r="T31" i="29"/>
  <c r="J34" i="26" s="1"/>
  <c r="F34" i="29"/>
  <c r="D37" i="26" s="1"/>
  <c r="F23" i="29"/>
  <c r="H23" i="29" s="1"/>
  <c r="F41" i="29"/>
  <c r="H41" i="29" s="1"/>
  <c r="F40" i="29"/>
  <c r="H40" i="29" s="1"/>
  <c r="F33" i="29"/>
  <c r="H33" i="29" s="1"/>
  <c r="F32" i="29"/>
  <c r="H32" i="29" s="1"/>
  <c r="F30" i="29"/>
  <c r="H30" i="29" s="1"/>
  <c r="F26" i="29"/>
  <c r="H26" i="29" s="1"/>
  <c r="F25" i="29"/>
  <c r="H25" i="29" s="1"/>
  <c r="F29" i="29"/>
  <c r="H29" i="29" s="1"/>
  <c r="F28" i="29"/>
  <c r="H28" i="29" s="1"/>
  <c r="F27" i="29"/>
  <c r="H27" i="29" s="1"/>
  <c r="C34" i="29"/>
  <c r="D34" i="29" s="1"/>
  <c r="C23" i="29"/>
  <c r="D23" i="29" s="1"/>
  <c r="C41" i="29"/>
  <c r="D41" i="29" s="1"/>
  <c r="C40" i="29"/>
  <c r="D40" i="29" s="1"/>
  <c r="C33" i="29"/>
  <c r="D33" i="29" s="1"/>
  <c r="C32" i="29"/>
  <c r="D32" i="29" s="1"/>
  <c r="C30" i="29"/>
  <c r="D30" i="29" s="1"/>
  <c r="C26" i="29"/>
  <c r="D26" i="29" s="1"/>
  <c r="C25" i="29"/>
  <c r="D25" i="29" s="1"/>
  <c r="C29" i="29"/>
  <c r="D29" i="29" s="1"/>
  <c r="C28" i="29"/>
  <c r="D28" i="29" s="1"/>
  <c r="C27" i="29"/>
  <c r="D27" i="29" s="1"/>
  <c r="K23" i="29"/>
  <c r="T23" i="29"/>
  <c r="J26" i="26" s="1"/>
  <c r="K25" i="29"/>
  <c r="T25" i="29"/>
  <c r="J28" i="26" s="1"/>
  <c r="K26" i="29"/>
  <c r="T26" i="29"/>
  <c r="J29" i="26" s="1"/>
  <c r="K30" i="29"/>
  <c r="T30" i="29"/>
  <c r="J33" i="26" s="1"/>
  <c r="K32" i="29"/>
  <c r="T32" i="29"/>
  <c r="J35" i="26" s="1"/>
  <c r="K33" i="29"/>
  <c r="T33" i="29"/>
  <c r="J36" i="26" s="1"/>
  <c r="K40" i="29"/>
  <c r="T40" i="29"/>
  <c r="J43" i="26" s="1"/>
  <c r="K41" i="29"/>
  <c r="T41" i="29"/>
  <c r="J44" i="26" s="1"/>
  <c r="H34" i="29"/>
  <c r="K34" i="29"/>
  <c r="T34" i="29"/>
  <c r="J37" i="26" s="1"/>
  <c r="T27" i="29"/>
  <c r="J30" i="26" s="1"/>
  <c r="T28" i="29"/>
  <c r="J31" i="26" s="1"/>
  <c r="F24" i="29"/>
  <c r="H24" i="29" s="1"/>
  <c r="T29" i="29"/>
  <c r="J32" i="26" s="1"/>
  <c r="HU49" i="26"/>
  <c r="B24" i="26"/>
  <c r="C24" i="26"/>
  <c r="D24" i="26"/>
  <c r="O24" i="26" s="1"/>
  <c r="F24" i="26"/>
  <c r="G24" i="26"/>
  <c r="I24" i="26"/>
  <c r="K24" i="26"/>
  <c r="L24" i="26"/>
  <c r="R24" i="26"/>
  <c r="B25" i="26"/>
  <c r="C25" i="26"/>
  <c r="D25" i="26"/>
  <c r="E25" i="26" s="1"/>
  <c r="F25" i="26"/>
  <c r="G25" i="26"/>
  <c r="I25" i="26"/>
  <c r="K25" i="26"/>
  <c r="L25" i="26"/>
  <c r="R25" i="26"/>
  <c r="C22" i="29"/>
  <c r="D22" i="29" s="1"/>
  <c r="C21" i="29"/>
  <c r="D21" i="29" s="1"/>
  <c r="H21" i="29"/>
  <c r="T21" i="29"/>
  <c r="J24" i="26" s="1"/>
  <c r="H22" i="29"/>
  <c r="T22" i="29"/>
  <c r="J25" i="26" s="1"/>
  <c r="B20" i="26"/>
  <c r="C20" i="26"/>
  <c r="D20" i="26"/>
  <c r="O20" i="26" s="1"/>
  <c r="F20" i="26"/>
  <c r="G20" i="26"/>
  <c r="I20" i="26"/>
  <c r="K20" i="26"/>
  <c r="L20" i="26"/>
  <c r="R20" i="26"/>
  <c r="B21" i="26"/>
  <c r="C21" i="26"/>
  <c r="D21" i="26"/>
  <c r="E21" i="26" s="1"/>
  <c r="F21" i="26"/>
  <c r="G21" i="26"/>
  <c r="I21" i="26"/>
  <c r="K21" i="26"/>
  <c r="L21" i="26"/>
  <c r="R21" i="26"/>
  <c r="B22" i="26"/>
  <c r="C22" i="26"/>
  <c r="D22" i="26"/>
  <c r="E22" i="26" s="1"/>
  <c r="F22" i="26"/>
  <c r="G22" i="26"/>
  <c r="I22" i="26"/>
  <c r="K22" i="26"/>
  <c r="L22" i="26"/>
  <c r="R22" i="26"/>
  <c r="B23" i="26"/>
  <c r="C23" i="26"/>
  <c r="D23" i="26"/>
  <c r="O23" i="26" s="1"/>
  <c r="F23" i="26"/>
  <c r="G23" i="26"/>
  <c r="I23" i="26"/>
  <c r="K23" i="26"/>
  <c r="L23" i="26"/>
  <c r="R23" i="26"/>
  <c r="C17" i="29"/>
  <c r="D17" i="29" s="1"/>
  <c r="H17" i="29"/>
  <c r="K17" i="29"/>
  <c r="T17" i="29"/>
  <c r="J20" i="26" s="1"/>
  <c r="F34" i="30"/>
  <c r="C20" i="29"/>
  <c r="D20" i="29" s="1"/>
  <c r="C24" i="29"/>
  <c r="D24" i="29" s="1"/>
  <c r="K24" i="29"/>
  <c r="T24" i="29"/>
  <c r="J27" i="26" s="1"/>
  <c r="H20" i="29"/>
  <c r="K20" i="29"/>
  <c r="T20" i="29"/>
  <c r="J23" i="26" s="1"/>
  <c r="C19" i="29"/>
  <c r="D19" i="29" s="1"/>
  <c r="H19" i="29"/>
  <c r="T19" i="29"/>
  <c r="J22" i="26" s="1"/>
  <c r="C18" i="29"/>
  <c r="D18" i="29" s="1"/>
  <c r="H18" i="29"/>
  <c r="K18" i="29"/>
  <c r="T18" i="29"/>
  <c r="J21" i="26" s="1"/>
  <c r="F17" i="44"/>
  <c r="G17" i="44" s="1"/>
  <c r="H17" i="44" s="1"/>
  <c r="I17" i="44" s="1"/>
  <c r="J17" i="44" s="1"/>
  <c r="K17" i="44" s="1"/>
  <c r="L17" i="44" s="1"/>
  <c r="M17" i="44" s="1"/>
  <c r="F16" i="44"/>
  <c r="G16" i="44" s="1"/>
  <c r="H16" i="44" s="1"/>
  <c r="I16" i="44" s="1"/>
  <c r="J16" i="44" s="1"/>
  <c r="K16" i="44" s="1"/>
  <c r="L16" i="44" s="1"/>
  <c r="M16" i="44" s="1"/>
  <c r="N14" i="44"/>
  <c r="N13" i="44"/>
  <c r="N12" i="44"/>
  <c r="N11" i="44"/>
  <c r="N10" i="44"/>
  <c r="N8" i="44"/>
  <c r="N7" i="44"/>
  <c r="N6" i="44"/>
  <c r="N5" i="44"/>
  <c r="N16" i="44" s="1"/>
  <c r="AE24" i="44" s="1"/>
  <c r="AN16" i="44" s="1"/>
  <c r="AM17" i="44" s="1"/>
  <c r="F17" i="43"/>
  <c r="G17" i="43" s="1"/>
  <c r="H17" i="43" s="1"/>
  <c r="I17" i="43" s="1"/>
  <c r="J17" i="43" s="1"/>
  <c r="K17" i="43" s="1"/>
  <c r="L17" i="43" s="1"/>
  <c r="M17" i="43" s="1"/>
  <c r="F16" i="43"/>
  <c r="G16" i="43" s="1"/>
  <c r="H16" i="43" s="1"/>
  <c r="I16" i="43" s="1"/>
  <c r="J16" i="43" s="1"/>
  <c r="K16" i="43" s="1"/>
  <c r="L16" i="43" s="1"/>
  <c r="M16" i="43" s="1"/>
  <c r="N14" i="43"/>
  <c r="N13" i="43"/>
  <c r="N12" i="43"/>
  <c r="N11" i="43"/>
  <c r="N10" i="43"/>
  <c r="N8" i="43"/>
  <c r="N7" i="43"/>
  <c r="N6" i="43"/>
  <c r="N5" i="43"/>
  <c r="F17" i="42"/>
  <c r="G17" i="42" s="1"/>
  <c r="H17" i="42" s="1"/>
  <c r="I17" i="42" s="1"/>
  <c r="J17" i="42" s="1"/>
  <c r="K17" i="42" s="1"/>
  <c r="L17" i="42" s="1"/>
  <c r="M17" i="42" s="1"/>
  <c r="F16" i="42"/>
  <c r="G16" i="42" s="1"/>
  <c r="H16" i="42" s="1"/>
  <c r="I16" i="42" s="1"/>
  <c r="J16" i="42" s="1"/>
  <c r="K16" i="42" s="1"/>
  <c r="L16" i="42" s="1"/>
  <c r="M16" i="42" s="1"/>
  <c r="N14" i="42"/>
  <c r="N13" i="42"/>
  <c r="N12" i="42"/>
  <c r="N11" i="42"/>
  <c r="N10" i="42"/>
  <c r="N8" i="42"/>
  <c r="N7" i="42"/>
  <c r="N6" i="42"/>
  <c r="N5" i="42"/>
  <c r="F17" i="40"/>
  <c r="G17" i="40" s="1"/>
  <c r="H17" i="40" s="1"/>
  <c r="I17" i="40" s="1"/>
  <c r="J17" i="40" s="1"/>
  <c r="K17" i="40" s="1"/>
  <c r="L17" i="40" s="1"/>
  <c r="M17" i="40" s="1"/>
  <c r="F16" i="40"/>
  <c r="G16" i="40" s="1"/>
  <c r="H16" i="40" s="1"/>
  <c r="I16" i="40" s="1"/>
  <c r="J16" i="40" s="1"/>
  <c r="K16" i="40" s="1"/>
  <c r="L16" i="40" s="1"/>
  <c r="M16" i="40" s="1"/>
  <c r="N14" i="40"/>
  <c r="N13" i="40"/>
  <c r="N12" i="40"/>
  <c r="N11" i="40"/>
  <c r="N10" i="40"/>
  <c r="N8" i="40"/>
  <c r="N7" i="40"/>
  <c r="N6" i="40"/>
  <c r="N5" i="40"/>
  <c r="B18" i="26"/>
  <c r="C18" i="26"/>
  <c r="D18" i="26"/>
  <c r="E18" i="26" s="1"/>
  <c r="F18" i="26"/>
  <c r="G18" i="26"/>
  <c r="I18" i="26"/>
  <c r="K18" i="26"/>
  <c r="L18" i="26"/>
  <c r="R18" i="26"/>
  <c r="B19" i="26"/>
  <c r="C19" i="26"/>
  <c r="D19" i="26"/>
  <c r="O19" i="26" s="1"/>
  <c r="F19" i="26"/>
  <c r="G19" i="26"/>
  <c r="I19" i="26"/>
  <c r="K19" i="26"/>
  <c r="L19" i="26"/>
  <c r="R19" i="26"/>
  <c r="C16" i="29"/>
  <c r="D16" i="29" s="1"/>
  <c r="C14" i="29"/>
  <c r="D14" i="29" s="1"/>
  <c r="H14" i="29"/>
  <c r="K14" i="29"/>
  <c r="T14" i="29"/>
  <c r="H16" i="29"/>
  <c r="K16" i="29"/>
  <c r="T16" i="29"/>
  <c r="J19" i="26" s="1"/>
  <c r="B14" i="26"/>
  <c r="C14" i="26"/>
  <c r="D14" i="26"/>
  <c r="E14" i="26" s="1"/>
  <c r="F14" i="26"/>
  <c r="G14" i="26"/>
  <c r="I14" i="26"/>
  <c r="K14" i="26"/>
  <c r="L14" i="26"/>
  <c r="R14" i="26"/>
  <c r="B15" i="26"/>
  <c r="C15" i="26"/>
  <c r="D15" i="26"/>
  <c r="O15" i="26" s="1"/>
  <c r="F15" i="26"/>
  <c r="G15" i="26"/>
  <c r="I15" i="26"/>
  <c r="K15" i="26"/>
  <c r="L15" i="26"/>
  <c r="R15" i="26"/>
  <c r="B16" i="26"/>
  <c r="C16" i="26"/>
  <c r="D16" i="26"/>
  <c r="E16" i="26" s="1"/>
  <c r="F16" i="26"/>
  <c r="G16" i="26"/>
  <c r="I16" i="26"/>
  <c r="K16" i="26"/>
  <c r="L16" i="26"/>
  <c r="R16" i="26"/>
  <c r="B17" i="26"/>
  <c r="C17" i="26"/>
  <c r="D17" i="26"/>
  <c r="O17" i="26" s="1"/>
  <c r="F17" i="26"/>
  <c r="G17" i="26"/>
  <c r="I17" i="26"/>
  <c r="K17" i="26"/>
  <c r="L17" i="26"/>
  <c r="R17" i="26"/>
  <c r="F17" i="39"/>
  <c r="G17" i="39" s="1"/>
  <c r="H17" i="39" s="1"/>
  <c r="I17" i="39" s="1"/>
  <c r="J17" i="39" s="1"/>
  <c r="K17" i="39" s="1"/>
  <c r="L17" i="39" s="1"/>
  <c r="M17" i="39" s="1"/>
  <c r="F16" i="39"/>
  <c r="G16" i="39" s="1"/>
  <c r="H16" i="39" s="1"/>
  <c r="I16" i="39" s="1"/>
  <c r="J16" i="39" s="1"/>
  <c r="K16" i="39" s="1"/>
  <c r="L16" i="39" s="1"/>
  <c r="M16" i="39" s="1"/>
  <c r="N14" i="39"/>
  <c r="N13" i="39"/>
  <c r="N12" i="39"/>
  <c r="N11" i="39"/>
  <c r="N10" i="39"/>
  <c r="N8" i="39"/>
  <c r="N7" i="39"/>
  <c r="N6" i="39"/>
  <c r="N5" i="39"/>
  <c r="G6" i="26"/>
  <c r="G7" i="26"/>
  <c r="B13" i="26"/>
  <c r="C13" i="26"/>
  <c r="D13" i="26"/>
  <c r="O13" i="26" s="1"/>
  <c r="F13" i="26"/>
  <c r="G13" i="26"/>
  <c r="I13" i="26"/>
  <c r="K13" i="26"/>
  <c r="L13" i="26"/>
  <c r="R13" i="26"/>
  <c r="B11" i="26"/>
  <c r="C11" i="26"/>
  <c r="D11" i="26"/>
  <c r="E11" i="26" s="1"/>
  <c r="F11" i="26"/>
  <c r="G11" i="26"/>
  <c r="I11" i="26"/>
  <c r="K11" i="26"/>
  <c r="L11" i="26"/>
  <c r="R11" i="26"/>
  <c r="B12" i="26"/>
  <c r="C12" i="26"/>
  <c r="D12" i="26"/>
  <c r="O12" i="26" s="1"/>
  <c r="F12" i="26"/>
  <c r="G12" i="26"/>
  <c r="I12" i="26"/>
  <c r="K12" i="26"/>
  <c r="L12" i="26"/>
  <c r="R12" i="26"/>
  <c r="C8" i="29"/>
  <c r="D8" i="29" s="1"/>
  <c r="H8" i="29"/>
  <c r="K8" i="29"/>
  <c r="T8" i="29"/>
  <c r="C15" i="29"/>
  <c r="D15" i="29" s="1"/>
  <c r="H15" i="29"/>
  <c r="K15" i="29"/>
  <c r="T15" i="29"/>
  <c r="C13" i="29"/>
  <c r="D13" i="29" s="1"/>
  <c r="K3" i="29"/>
  <c r="K4" i="29"/>
  <c r="K5" i="29"/>
  <c r="K6" i="29"/>
  <c r="K7" i="29"/>
  <c r="K9" i="29"/>
  <c r="K11" i="29"/>
  <c r="K12" i="29"/>
  <c r="K13" i="29"/>
  <c r="H13" i="29"/>
  <c r="T13" i="29"/>
  <c r="J16" i="26" s="1"/>
  <c r="C12" i="29"/>
  <c r="D12" i="29" s="1"/>
  <c r="H12" i="29"/>
  <c r="T12" i="29"/>
  <c r="J15" i="26" s="1"/>
  <c r="F24" i="30"/>
  <c r="F25" i="30"/>
  <c r="F26" i="30"/>
  <c r="F27" i="30"/>
  <c r="F28" i="30"/>
  <c r="F29" i="30"/>
  <c r="F30" i="30"/>
  <c r="F31" i="30"/>
  <c r="F32" i="30"/>
  <c r="F33" i="30"/>
  <c r="F19" i="30"/>
  <c r="F20" i="30"/>
  <c r="F21" i="30"/>
  <c r="F22" i="30"/>
  <c r="F23" i="30"/>
  <c r="F17" i="38"/>
  <c r="G17" i="38" s="1"/>
  <c r="H17" i="38" s="1"/>
  <c r="I17" i="38" s="1"/>
  <c r="J17" i="38" s="1"/>
  <c r="K17" i="38" s="1"/>
  <c r="L17" i="38" s="1"/>
  <c r="M17" i="38" s="1"/>
  <c r="F16" i="38"/>
  <c r="G16" i="38" s="1"/>
  <c r="H16" i="38" s="1"/>
  <c r="I16" i="38" s="1"/>
  <c r="J16" i="38" s="1"/>
  <c r="K16" i="38" s="1"/>
  <c r="L16" i="38" s="1"/>
  <c r="M16" i="38" s="1"/>
  <c r="N14" i="38"/>
  <c r="N13" i="38"/>
  <c r="N12" i="38"/>
  <c r="N11" i="38"/>
  <c r="N10" i="38"/>
  <c r="N8" i="38"/>
  <c r="N7" i="38"/>
  <c r="N6" i="38"/>
  <c r="N5" i="38"/>
  <c r="E10" i="29"/>
  <c r="C10" i="29"/>
  <c r="D10" i="29" s="1"/>
  <c r="H10" i="29"/>
  <c r="T10" i="29"/>
  <c r="E11" i="29"/>
  <c r="C11" i="29"/>
  <c r="D11" i="29" s="1"/>
  <c r="H11" i="29"/>
  <c r="T11" i="29"/>
  <c r="J14" i="26" s="1"/>
  <c r="K52" i="26"/>
  <c r="W21" i="37"/>
  <c r="S46" i="26" l="1"/>
  <c r="O45" i="26"/>
  <c r="E46" i="26"/>
  <c r="D44" i="26"/>
  <c r="E44" i="26" s="1"/>
  <c r="H42" i="26"/>
  <c r="O46" i="26"/>
  <c r="D39" i="26"/>
  <c r="E39" i="26" s="1"/>
  <c r="D42" i="26"/>
  <c r="E42" i="26" s="1"/>
  <c r="D41" i="26"/>
  <c r="O41" i="26" s="1"/>
  <c r="D38" i="26"/>
  <c r="E38" i="26" s="1"/>
  <c r="H40" i="26"/>
  <c r="D40" i="26"/>
  <c r="E40" i="26" s="1"/>
  <c r="D43" i="26"/>
  <c r="E43" i="26" s="1"/>
  <c r="H37" i="26"/>
  <c r="H33" i="26"/>
  <c r="D36" i="26"/>
  <c r="O36" i="26" s="1"/>
  <c r="N16" i="43"/>
  <c r="AE24" i="43" s="1"/>
  <c r="AN16" i="43" s="1"/>
  <c r="AM17" i="43" s="1"/>
  <c r="N16" i="42"/>
  <c r="AE24" i="42" s="1"/>
  <c r="AN16" i="42" s="1"/>
  <c r="AM17" i="42" s="1"/>
  <c r="AM20" i="42" s="1"/>
  <c r="N18" i="45"/>
  <c r="AE26" i="45" s="1"/>
  <c r="AN18" i="45" s="1"/>
  <c r="AM19" i="45" s="1"/>
  <c r="AN22" i="45" s="1"/>
  <c r="H27" i="26"/>
  <c r="H34" i="26"/>
  <c r="H36" i="26"/>
  <c r="H35" i="26"/>
  <c r="D34" i="26"/>
  <c r="E34" i="26" s="1"/>
  <c r="D31" i="26"/>
  <c r="E31" i="26" s="1"/>
  <c r="D33" i="26"/>
  <c r="H31" i="26"/>
  <c r="H32" i="26"/>
  <c r="D29" i="26"/>
  <c r="E29" i="26" s="1"/>
  <c r="O37" i="26"/>
  <c r="E37" i="26"/>
  <c r="D35" i="26"/>
  <c r="O35" i="26" s="1"/>
  <c r="D32" i="26"/>
  <c r="E32" i="26" s="1"/>
  <c r="H30" i="26"/>
  <c r="H28" i="26"/>
  <c r="H26" i="26"/>
  <c r="D30" i="26"/>
  <c r="O30" i="26" s="1"/>
  <c r="H29" i="26"/>
  <c r="D28" i="26"/>
  <c r="D26" i="26"/>
  <c r="O26" i="26" s="1"/>
  <c r="D27" i="26"/>
  <c r="H25" i="26"/>
  <c r="H24" i="26"/>
  <c r="E24" i="26"/>
  <c r="O25" i="26"/>
  <c r="H22" i="26"/>
  <c r="N16" i="40"/>
  <c r="AE24" i="40" s="1"/>
  <c r="AN16" i="40" s="1"/>
  <c r="AM17" i="40" s="1"/>
  <c r="AN20" i="40" s="1"/>
  <c r="H23" i="26"/>
  <c r="H21" i="26"/>
  <c r="H20" i="26"/>
  <c r="E20" i="26"/>
  <c r="O22" i="26"/>
  <c r="O21" i="26"/>
  <c r="E23" i="26"/>
  <c r="N16" i="39"/>
  <c r="AE24" i="39" s="1"/>
  <c r="AN16" i="39" s="1"/>
  <c r="AM17" i="39" s="1"/>
  <c r="AN20" i="39" s="1"/>
  <c r="H19" i="26"/>
  <c r="AN20" i="44"/>
  <c r="AM20" i="44"/>
  <c r="AN20" i="43"/>
  <c r="AM20" i="43"/>
  <c r="J17" i="26"/>
  <c r="J18" i="26"/>
  <c r="H18" i="26"/>
  <c r="O18" i="26"/>
  <c r="E19" i="26"/>
  <c r="H17" i="26"/>
  <c r="H16" i="26"/>
  <c r="O14" i="26"/>
  <c r="H15" i="26"/>
  <c r="H14" i="26"/>
  <c r="E15" i="26"/>
  <c r="O16" i="26"/>
  <c r="E17" i="26"/>
  <c r="J13" i="26"/>
  <c r="H11" i="26"/>
  <c r="H13" i="26"/>
  <c r="E13" i="26"/>
  <c r="H12" i="26"/>
  <c r="E12" i="26"/>
  <c r="O11" i="26"/>
  <c r="N16" i="38"/>
  <c r="AE24" i="38" s="1"/>
  <c r="AN16" i="38" s="1"/>
  <c r="AM17" i="38" s="1"/>
  <c r="AN20" i="38" s="1"/>
  <c r="V22" i="37"/>
  <c r="R59" i="26"/>
  <c r="O42" i="26" l="1"/>
  <c r="E41" i="26"/>
  <c r="AN20" i="42"/>
  <c r="O43" i="26"/>
  <c r="O40" i="26"/>
  <c r="O39" i="26"/>
  <c r="O44" i="26"/>
  <c r="O38" i="26"/>
  <c r="E36" i="26"/>
  <c r="AM22" i="45"/>
  <c r="O29" i="26"/>
  <c r="E33" i="26"/>
  <c r="O34" i="26"/>
  <c r="E28" i="26"/>
  <c r="O31" i="26"/>
  <c r="O32" i="26"/>
  <c r="E30" i="26"/>
  <c r="O33" i="26"/>
  <c r="E26" i="26"/>
  <c r="O28" i="26"/>
  <c r="E35" i="26"/>
  <c r="E27" i="26"/>
  <c r="O27" i="26"/>
  <c r="AM20" i="40"/>
  <c r="AM20" i="39"/>
  <c r="AM20" i="38"/>
  <c r="W25" i="37"/>
  <c r="V25" i="37"/>
  <c r="FC49" i="26"/>
  <c r="EL49" i="26" l="1"/>
  <c r="EF49" i="26"/>
  <c r="EC52" i="26" l="1"/>
  <c r="DS49" i="26"/>
  <c r="DN49" i="26" l="1"/>
  <c r="DA49" i="26" l="1"/>
  <c r="R47" i="26"/>
  <c r="Q47" i="26"/>
  <c r="S47" i="26" l="1"/>
  <c r="R48" i="26"/>
  <c r="CC49" i="26"/>
  <c r="P2" i="26"/>
  <c r="O2" i="26"/>
  <c r="N1" i="26" l="1"/>
  <c r="N2" i="26" s="1"/>
  <c r="D44" i="29"/>
  <c r="H44" i="29"/>
  <c r="S44" i="29"/>
  <c r="T44" i="29" s="1"/>
  <c r="Q48" i="26"/>
  <c r="E9" i="29" l="1"/>
  <c r="E7" i="29"/>
  <c r="J47" i="26"/>
  <c r="J48" i="26"/>
  <c r="H47" i="26"/>
  <c r="H48" i="26"/>
  <c r="G8" i="26"/>
  <c r="G9" i="26"/>
  <c r="G10" i="26"/>
  <c r="G47" i="26"/>
  <c r="G48" i="26"/>
  <c r="R10" i="26"/>
  <c r="R9" i="26"/>
  <c r="R8" i="26"/>
  <c r="KU49" i="26" l="1"/>
  <c r="KT49" i="26"/>
  <c r="KS49" i="26"/>
  <c r="KR49" i="26"/>
  <c r="KQ49" i="26"/>
  <c r="KP49" i="26"/>
  <c r="KO49" i="26"/>
  <c r="KN49" i="26"/>
  <c r="KM49" i="26"/>
  <c r="KL49" i="26"/>
  <c r="KK49" i="26"/>
  <c r="KJ49" i="26"/>
  <c r="KI49" i="26"/>
  <c r="KH49" i="26"/>
  <c r="KG49" i="26"/>
  <c r="KF49" i="26"/>
  <c r="KE49" i="26"/>
  <c r="KD49" i="26"/>
  <c r="KC49" i="26"/>
  <c r="KB49" i="26"/>
  <c r="KA49" i="26"/>
  <c r="JZ49" i="26"/>
  <c r="JY49" i="26"/>
  <c r="JX49" i="26"/>
  <c r="JW49" i="26"/>
  <c r="JV49" i="26"/>
  <c r="JU49" i="26"/>
  <c r="JT49" i="26"/>
  <c r="JS49" i="26"/>
  <c r="JR49" i="26"/>
  <c r="JQ49" i="26"/>
  <c r="JP49" i="26"/>
  <c r="JO49" i="26"/>
  <c r="JN49" i="26"/>
  <c r="JM49" i="26"/>
  <c r="JL49" i="26"/>
  <c r="JK49" i="26"/>
  <c r="JJ49" i="26"/>
  <c r="JI49" i="26"/>
  <c r="JH49" i="26"/>
  <c r="JG49" i="26"/>
  <c r="JF49" i="26"/>
  <c r="JE49" i="26"/>
  <c r="JD49" i="26"/>
  <c r="JC49" i="26"/>
  <c r="JB49" i="26"/>
  <c r="JA49" i="26"/>
  <c r="IZ49" i="26"/>
  <c r="IY49" i="26"/>
  <c r="IX49" i="26"/>
  <c r="IW49" i="26"/>
  <c r="IV49" i="26"/>
  <c r="IU49" i="26"/>
  <c r="IT49" i="26"/>
  <c r="IS49" i="26"/>
  <c r="IR49" i="26"/>
  <c r="IO49" i="26"/>
  <c r="IN49" i="26"/>
  <c r="IM49" i="26"/>
  <c r="IL49" i="26"/>
  <c r="IK49" i="26"/>
  <c r="IH49" i="26"/>
  <c r="IG49" i="26"/>
  <c r="IF49" i="26"/>
  <c r="IE49" i="26"/>
  <c r="ID49" i="26"/>
  <c r="IA49" i="26"/>
  <c r="HZ49" i="26"/>
  <c r="HY49" i="26"/>
  <c r="HX49" i="26"/>
  <c r="HW49" i="26"/>
  <c r="HT49" i="26"/>
  <c r="HS49" i="26"/>
  <c r="HR49" i="26"/>
  <c r="HQ49" i="26"/>
  <c r="HP49" i="26"/>
  <c r="HM49" i="26"/>
  <c r="HL49" i="26"/>
  <c r="HK49" i="26"/>
  <c r="HJ49" i="26"/>
  <c r="HI49" i="26"/>
  <c r="HF49" i="26"/>
  <c r="HE49" i="26"/>
  <c r="HD49" i="26"/>
  <c r="HC49" i="26"/>
  <c r="HB49" i="26"/>
  <c r="HA49" i="26"/>
  <c r="GZ49" i="26"/>
  <c r="GY49" i="26"/>
  <c r="GX49" i="26"/>
  <c r="GW49" i="26"/>
  <c r="GV49" i="26"/>
  <c r="GU49" i="26"/>
  <c r="GT49" i="26"/>
  <c r="GS49" i="26"/>
  <c r="GR49" i="26"/>
  <c r="GQ49" i="26"/>
  <c r="GP49" i="26"/>
  <c r="GO49" i="26"/>
  <c r="GN49" i="26"/>
  <c r="GM49" i="26"/>
  <c r="GL49" i="26"/>
  <c r="GK49" i="26"/>
  <c r="GJ49" i="26"/>
  <c r="GI49" i="26"/>
  <c r="GH49" i="26"/>
  <c r="GG49" i="26"/>
  <c r="GF49" i="26"/>
  <c r="GE49" i="26"/>
  <c r="GD49" i="26"/>
  <c r="GC49" i="26"/>
  <c r="GB49" i="26"/>
  <c r="GA49" i="26"/>
  <c r="FZ49" i="26"/>
  <c r="FY49" i="26"/>
  <c r="FX49" i="26"/>
  <c r="FW49" i="26"/>
  <c r="FV49" i="26"/>
  <c r="FU49" i="26"/>
  <c r="FT49" i="26"/>
  <c r="FS49" i="26"/>
  <c r="FR49" i="26"/>
  <c r="FQ49" i="26"/>
  <c r="FP49" i="26"/>
  <c r="FO49" i="26"/>
  <c r="FN49" i="26"/>
  <c r="FL49" i="26"/>
  <c r="FK49" i="26"/>
  <c r="FJ49" i="26"/>
  <c r="FI49" i="26"/>
  <c r="FH49" i="26"/>
  <c r="FF49" i="26"/>
  <c r="FE49" i="26"/>
  <c r="FD49" i="26"/>
  <c r="FA49" i="26"/>
  <c r="EZ49" i="26"/>
  <c r="EY49" i="26"/>
  <c r="EX49" i="26"/>
  <c r="EW49" i="26"/>
  <c r="EU49" i="26"/>
  <c r="ET49" i="26"/>
  <c r="ES49" i="26"/>
  <c r="ER49" i="26"/>
  <c r="EQ49" i="26"/>
  <c r="EP49" i="26"/>
  <c r="EO49" i="26"/>
  <c r="EN49" i="26"/>
  <c r="EM49" i="26"/>
  <c r="EJ49" i="26"/>
  <c r="EI49" i="26"/>
  <c r="EH49" i="26"/>
  <c r="EG49" i="26"/>
  <c r="EE49" i="26"/>
  <c r="ED49" i="26"/>
  <c r="EC49" i="26"/>
  <c r="EB49" i="26"/>
  <c r="DZ49" i="26"/>
  <c r="DY49" i="26"/>
  <c r="DX49" i="26"/>
  <c r="DW49" i="26"/>
  <c r="DV49" i="26"/>
  <c r="DU49" i="26"/>
  <c r="DT49" i="26"/>
  <c r="DR49" i="26"/>
  <c r="DQ49" i="26"/>
  <c r="DP49" i="26"/>
  <c r="DO49" i="26"/>
  <c r="DM49" i="26"/>
  <c r="DL49" i="26"/>
  <c r="DK49" i="26"/>
  <c r="DJ49" i="26"/>
  <c r="DI49" i="26"/>
  <c r="DH49" i="26"/>
  <c r="DG49" i="26"/>
  <c r="DF49" i="26"/>
  <c r="DE49" i="26"/>
  <c r="DD49" i="26"/>
  <c r="DB49" i="26"/>
  <c r="CZ49" i="26"/>
  <c r="CY49" i="26"/>
  <c r="CX49" i="26"/>
  <c r="CW49" i="26"/>
  <c r="CV49" i="26"/>
  <c r="CU49" i="26"/>
  <c r="CT49" i="26"/>
  <c r="CS49" i="26"/>
  <c r="CR49" i="26"/>
  <c r="CQ49" i="26"/>
  <c r="CP49" i="26"/>
  <c r="CO49" i="26"/>
  <c r="CN49" i="26"/>
  <c r="CM49" i="26"/>
  <c r="CL49" i="26"/>
  <c r="CK49" i="26"/>
  <c r="CJ49" i="26"/>
  <c r="CI49" i="26"/>
  <c r="CG49" i="26"/>
  <c r="CF49" i="26"/>
  <c r="CE49" i="26"/>
  <c r="CD49" i="26"/>
  <c r="CB49" i="26"/>
  <c r="CA49" i="26"/>
  <c r="BZ49" i="26"/>
  <c r="BY49" i="26"/>
  <c r="BX49" i="26"/>
  <c r="BW49" i="26"/>
  <c r="BV49" i="26"/>
  <c r="BU49" i="26"/>
  <c r="BT49" i="26"/>
  <c r="BS49" i="26"/>
  <c r="BR49" i="26"/>
  <c r="BQ49" i="26"/>
  <c r="BP49" i="26"/>
  <c r="BO49" i="26"/>
  <c r="BN49" i="26"/>
  <c r="BM49" i="26"/>
  <c r="BL49" i="26"/>
  <c r="BJ49" i="26"/>
  <c r="BI49" i="26"/>
  <c r="BH49" i="26"/>
  <c r="BG49" i="26"/>
  <c r="BF49" i="26"/>
  <c r="BE49" i="26"/>
  <c r="BD49" i="26"/>
  <c r="BC49" i="26"/>
  <c r="BB49" i="26"/>
  <c r="BA49" i="26"/>
  <c r="AZ49" i="26"/>
  <c r="AY49" i="26"/>
  <c r="AX49" i="26"/>
  <c r="AW49" i="26"/>
  <c r="AV49" i="26"/>
  <c r="AU49" i="26"/>
  <c r="AT49" i="26"/>
  <c r="AS49" i="26"/>
  <c r="AR49" i="26"/>
  <c r="AQ49" i="26"/>
  <c r="R7" i="26"/>
  <c r="R6" i="26"/>
  <c r="B47" i="26"/>
  <c r="C47" i="26"/>
  <c r="D47" i="26"/>
  <c r="O47" i="26" s="1"/>
  <c r="F47" i="26"/>
  <c r="I47" i="26"/>
  <c r="K47" i="26"/>
  <c r="L47" i="26"/>
  <c r="L6" i="26"/>
  <c r="L7" i="26"/>
  <c r="L8" i="26"/>
  <c r="L9" i="26"/>
  <c r="L10" i="26"/>
  <c r="L48" i="26"/>
  <c r="K8" i="26"/>
  <c r="K9" i="26"/>
  <c r="K10" i="26"/>
  <c r="K48" i="26"/>
  <c r="I6" i="26"/>
  <c r="I7" i="26"/>
  <c r="I8" i="26"/>
  <c r="I9" i="26"/>
  <c r="I10" i="26"/>
  <c r="I48" i="26"/>
  <c r="F6" i="26"/>
  <c r="H6" i="26" s="1"/>
  <c r="F7" i="26"/>
  <c r="H7" i="26" s="1"/>
  <c r="F8" i="26"/>
  <c r="H8" i="26" s="1"/>
  <c r="F9" i="26"/>
  <c r="H9" i="26" s="1"/>
  <c r="F10" i="26"/>
  <c r="H10" i="26" s="1"/>
  <c r="F48" i="26"/>
  <c r="T3" i="29"/>
  <c r="J6" i="26" s="1"/>
  <c r="T4" i="29"/>
  <c r="J7" i="26" s="1"/>
  <c r="T5" i="29"/>
  <c r="J8" i="26" s="1"/>
  <c r="T6" i="29"/>
  <c r="J9" i="26" s="1"/>
  <c r="T7" i="29"/>
  <c r="J10" i="26" s="1"/>
  <c r="T9" i="29"/>
  <c r="F18" i="30"/>
  <c r="C9" i="29"/>
  <c r="C7" i="29"/>
  <c r="C6" i="29"/>
  <c r="C5" i="29"/>
  <c r="C4" i="29"/>
  <c r="C3" i="29"/>
  <c r="D6" i="26"/>
  <c r="D7" i="26"/>
  <c r="D8" i="26"/>
  <c r="D9" i="26"/>
  <c r="D10" i="26"/>
  <c r="D48" i="26"/>
  <c r="P48" i="26" s="1"/>
  <c r="C6" i="26"/>
  <c r="C7" i="26"/>
  <c r="C8" i="26"/>
  <c r="C9" i="26"/>
  <c r="C10" i="26"/>
  <c r="C48" i="26"/>
  <c r="B6" i="26"/>
  <c r="B7" i="26"/>
  <c r="B8" i="26"/>
  <c r="B9" i="26"/>
  <c r="B10" i="26"/>
  <c r="B48" i="26"/>
  <c r="Q45" i="26" l="1"/>
  <c r="S45" i="26" s="1"/>
  <c r="N45" i="26" s="1"/>
  <c r="M45" i="26" s="1"/>
  <c r="Q44" i="26"/>
  <c r="S44" i="26" s="1"/>
  <c r="Q39" i="26"/>
  <c r="S39" i="26" s="1"/>
  <c r="Q38" i="26"/>
  <c r="S38" i="26" s="1"/>
  <c r="N38" i="26" s="1"/>
  <c r="Q40" i="26"/>
  <c r="S40" i="26" s="1"/>
  <c r="Q43" i="26"/>
  <c r="S43" i="26" s="1"/>
  <c r="Q41" i="26"/>
  <c r="S41" i="26" s="1"/>
  <c r="Q42" i="26"/>
  <c r="S42" i="26" s="1"/>
  <c r="K27" i="29"/>
  <c r="K37" i="29"/>
  <c r="E11" i="45"/>
  <c r="E9" i="45"/>
  <c r="E5" i="45"/>
  <c r="E12" i="45"/>
  <c r="E13" i="45"/>
  <c r="E8" i="45"/>
  <c r="E14" i="45"/>
  <c r="E15" i="45"/>
  <c r="E7" i="45"/>
  <c r="E10" i="45"/>
  <c r="E6" i="45"/>
  <c r="E16" i="45"/>
  <c r="Q37" i="26"/>
  <c r="S37" i="26" s="1"/>
  <c r="N37" i="26" s="1"/>
  <c r="M37" i="26" s="1"/>
  <c r="Q36" i="26"/>
  <c r="S36" i="26" s="1"/>
  <c r="Q34" i="26"/>
  <c r="S34" i="26" s="1"/>
  <c r="Q29" i="26"/>
  <c r="S29" i="26" s="1"/>
  <c r="Q32" i="26"/>
  <c r="S32" i="26" s="1"/>
  <c r="Q33" i="26"/>
  <c r="S33" i="26" s="1"/>
  <c r="Q30" i="26"/>
  <c r="S30" i="26" s="1"/>
  <c r="Q35" i="26"/>
  <c r="S35" i="26" s="1"/>
  <c r="Q31" i="26"/>
  <c r="S31" i="26" s="1"/>
  <c r="Q28" i="26"/>
  <c r="S28" i="26" s="1"/>
  <c r="Q27" i="26"/>
  <c r="S27" i="26" s="1"/>
  <c r="N27" i="26" s="1"/>
  <c r="Q26" i="26"/>
  <c r="S26" i="26" s="1"/>
  <c r="N26" i="26" s="1"/>
  <c r="K29" i="29"/>
  <c r="K28" i="29"/>
  <c r="Q24" i="26"/>
  <c r="S24" i="26" s="1"/>
  <c r="Q25" i="26"/>
  <c r="S25" i="26" s="1"/>
  <c r="E10" i="40"/>
  <c r="E9" i="40"/>
  <c r="K22" i="29"/>
  <c r="K21" i="29"/>
  <c r="Q21" i="26"/>
  <c r="S21" i="26" s="1"/>
  <c r="Q20" i="26"/>
  <c r="S20" i="26" s="1"/>
  <c r="N20" i="26" s="1"/>
  <c r="M20" i="26" s="1"/>
  <c r="Q22" i="26"/>
  <c r="S22" i="26" s="1"/>
  <c r="Q23" i="26"/>
  <c r="S23" i="26" s="1"/>
  <c r="N23" i="26" s="1"/>
  <c r="M23" i="26" s="1"/>
  <c r="E13" i="39"/>
  <c r="K10" i="29"/>
  <c r="K19" i="29"/>
  <c r="E13" i="44"/>
  <c r="E11" i="44"/>
  <c r="E13" i="43"/>
  <c r="E11" i="43"/>
  <c r="E11" i="42"/>
  <c r="E10" i="44"/>
  <c r="E12" i="43"/>
  <c r="E12" i="42"/>
  <c r="E7" i="44"/>
  <c r="E7" i="40"/>
  <c r="E8" i="44"/>
  <c r="E6" i="44"/>
  <c r="E8" i="43"/>
  <c r="E6" i="43"/>
  <c r="E8" i="42"/>
  <c r="E6" i="42"/>
  <c r="E8" i="40"/>
  <c r="E6" i="40"/>
  <c r="E12" i="44"/>
  <c r="E10" i="43"/>
  <c r="E10" i="42"/>
  <c r="E9" i="44"/>
  <c r="E9" i="43"/>
  <c r="E7" i="43"/>
  <c r="E9" i="42"/>
  <c r="E7" i="42"/>
  <c r="E9" i="39"/>
  <c r="E7" i="39"/>
  <c r="E10" i="39"/>
  <c r="E12" i="39"/>
  <c r="E8" i="39"/>
  <c r="E11" i="39"/>
  <c r="E6" i="39"/>
  <c r="Q19" i="26"/>
  <c r="S19" i="26" s="1"/>
  <c r="Q18" i="26"/>
  <c r="S18" i="26" s="1"/>
  <c r="Q17" i="26"/>
  <c r="S17" i="26" s="1"/>
  <c r="Q15" i="26"/>
  <c r="S15" i="26" s="1"/>
  <c r="N15" i="26" s="1"/>
  <c r="M15" i="26" s="1"/>
  <c r="Q16" i="26"/>
  <c r="S16" i="26" s="1"/>
  <c r="N16" i="26" s="1"/>
  <c r="M16" i="26" s="1"/>
  <c r="Q14" i="26"/>
  <c r="S14" i="26" s="1"/>
  <c r="E9" i="38"/>
  <c r="J11" i="26"/>
  <c r="J12" i="26"/>
  <c r="K7" i="26"/>
  <c r="Q13" i="26" s="1"/>
  <c r="S13" i="26" s="1"/>
  <c r="K6" i="26"/>
  <c r="E47" i="26"/>
  <c r="O6" i="26"/>
  <c r="O7" i="26"/>
  <c r="O10" i="26"/>
  <c r="O9" i="26"/>
  <c r="O8" i="26"/>
  <c r="N43" i="26" l="1"/>
  <c r="N42" i="26"/>
  <c r="N41" i="26"/>
  <c r="N44" i="26"/>
  <c r="N40" i="26"/>
  <c r="N39" i="26"/>
  <c r="N46" i="26"/>
  <c r="M46" i="26" s="1"/>
  <c r="N31" i="26"/>
  <c r="N28" i="26"/>
  <c r="N35" i="26"/>
  <c r="N32" i="26"/>
  <c r="N33" i="26"/>
  <c r="N30" i="26"/>
  <c r="N36" i="26"/>
  <c r="N29" i="26"/>
  <c r="N34" i="26"/>
  <c r="N25" i="26"/>
  <c r="N24" i="26"/>
  <c r="N22" i="26"/>
  <c r="N21" i="26"/>
  <c r="N14" i="26"/>
  <c r="N13" i="26"/>
  <c r="N18" i="26"/>
  <c r="Q12" i="26"/>
  <c r="S12" i="26" s="1"/>
  <c r="N12" i="26" s="1"/>
  <c r="M12" i="26" s="1"/>
  <c r="N17" i="26"/>
  <c r="M17" i="26" s="1"/>
  <c r="N19" i="26"/>
  <c r="Q11" i="26"/>
  <c r="S11" i="26" s="1"/>
  <c r="N11" i="26" s="1"/>
  <c r="M11" i="26" s="1"/>
  <c r="Q7" i="26"/>
  <c r="Q9" i="26"/>
  <c r="Q6" i="26"/>
  <c r="Q10" i="26"/>
  <c r="Q8" i="26"/>
  <c r="M41" i="26" l="1"/>
  <c r="M42" i="26"/>
  <c r="M38" i="26"/>
  <c r="M39" i="26"/>
  <c r="M40" i="26"/>
  <c r="M43" i="26"/>
  <c r="M44" i="26"/>
  <c r="M28" i="26"/>
  <c r="M30" i="26"/>
  <c r="M32" i="26"/>
  <c r="M36" i="26"/>
  <c r="M27" i="26"/>
  <c r="M31" i="26"/>
  <c r="M26" i="26"/>
  <c r="M33" i="26"/>
  <c r="M35" i="26"/>
  <c r="M34" i="26"/>
  <c r="M29" i="26"/>
  <c r="M25" i="26"/>
  <c r="M24" i="26"/>
  <c r="M22" i="26"/>
  <c r="M21" i="26"/>
  <c r="M14" i="26"/>
  <c r="M19" i="26"/>
  <c r="M13" i="26"/>
  <c r="M18" i="26"/>
  <c r="D9" i="29"/>
  <c r="H9" i="29"/>
  <c r="D7" i="29"/>
  <c r="H7" i="29"/>
  <c r="E6" i="26"/>
  <c r="E5" i="38" s="1"/>
  <c r="E7" i="26"/>
  <c r="E6" i="38" s="1"/>
  <c r="E8" i="26"/>
  <c r="E7" i="38" s="1"/>
  <c r="E9" i="26"/>
  <c r="E8" i="38" s="1"/>
  <c r="E10" i="26"/>
  <c r="KZ49" i="26"/>
  <c r="KY49" i="26"/>
  <c r="KX49" i="26"/>
  <c r="KW49" i="26"/>
  <c r="KV49" i="26"/>
  <c r="AP49" i="26"/>
  <c r="AO49" i="26"/>
  <c r="AN49" i="26"/>
  <c r="AM49" i="26"/>
  <c r="AL49" i="26"/>
  <c r="AK49" i="26"/>
  <c r="AJ49" i="26"/>
  <c r="AI49" i="26"/>
  <c r="AH49" i="26"/>
  <c r="AG49" i="26"/>
  <c r="AF49" i="26"/>
  <c r="AE49" i="26"/>
  <c r="AD49" i="26"/>
  <c r="AC49" i="26"/>
  <c r="AB49" i="26"/>
  <c r="E48" i="26"/>
  <c r="H3" i="29"/>
  <c r="H4" i="29"/>
  <c r="H5" i="29"/>
  <c r="H6" i="29"/>
  <c r="E6" i="29"/>
  <c r="E5" i="29"/>
  <c r="E4" i="29"/>
  <c r="E3" i="29"/>
  <c r="E5" i="39" l="1"/>
  <c r="E5" i="43"/>
  <c r="E5" i="42"/>
  <c r="E5" i="40"/>
  <c r="E5" i="44"/>
  <c r="S9" i="26"/>
  <c r="N9" i="26" s="1"/>
  <c r="S6" i="26"/>
  <c r="S10" i="26"/>
  <c r="N10" i="26" s="1"/>
  <c r="M10" i="26" s="1"/>
  <c r="S8" i="26"/>
  <c r="S7" i="26"/>
  <c r="M9" i="26" l="1"/>
  <c r="N8" i="26"/>
  <c r="N7" i="26"/>
  <c r="N6" i="26"/>
  <c r="D3" i="29"/>
  <c r="D4" i="29"/>
  <c r="D5" i="29"/>
  <c r="D6" i="29"/>
  <c r="M7" i="26" l="1"/>
  <c r="M8" i="26"/>
  <c r="M6" i="26"/>
</calcChain>
</file>

<file path=xl/sharedStrings.xml><?xml version="1.0" encoding="utf-8"?>
<sst xmlns="http://schemas.openxmlformats.org/spreadsheetml/2006/main" count="1374" uniqueCount="277">
  <si>
    <t>L</t>
  </si>
  <si>
    <t>V</t>
  </si>
  <si>
    <t>M</t>
  </si>
  <si>
    <t>J</t>
  </si>
  <si>
    <t>Actividad</t>
  </si>
  <si>
    <t>Cliente</t>
  </si>
  <si>
    <t>Semana</t>
  </si>
  <si>
    <t>X</t>
  </si>
  <si>
    <t>Prioridad</t>
  </si>
  <si>
    <t>Tipo</t>
  </si>
  <si>
    <t>Totales</t>
  </si>
  <si>
    <t>Estado</t>
  </si>
  <si>
    <t>Enero</t>
  </si>
  <si>
    <t>Observaciones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</si>
  <si>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</si>
  <si>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</si>
  <si>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</si>
  <si>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</si>
  <si>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</si>
  <si>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</si>
  <si>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</si>
  <si>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</si>
  <si>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</si>
  <si>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</si>
  <si>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</si>
  <si>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Mes</t>
  </si>
  <si>
    <t>Codigo</t>
  </si>
  <si>
    <t>Id</t>
  </si>
  <si>
    <t>Num_Ticket</t>
  </si>
  <si>
    <t>Descripción</t>
  </si>
  <si>
    <t>Fecha_Asignación</t>
  </si>
  <si>
    <t>Fecha_Entrega</t>
  </si>
  <si>
    <t>Fecha_Solución</t>
  </si>
  <si>
    <t>CD_CASO</t>
  </si>
  <si>
    <t>Tamaño</t>
  </si>
  <si>
    <t>Consolidado</t>
  </si>
  <si>
    <t>Estados</t>
  </si>
  <si>
    <t>Pausado</t>
  </si>
  <si>
    <t>Estimación</t>
  </si>
  <si>
    <t>Reunión</t>
  </si>
  <si>
    <t>F. Incio</t>
  </si>
  <si>
    <t>F. Fin</t>
  </si>
  <si>
    <t>Avance Total</t>
  </si>
  <si>
    <t>Proyecto</t>
  </si>
  <si>
    <t>Hito</t>
  </si>
  <si>
    <t>Avance Hito</t>
  </si>
  <si>
    <t>Proyectos</t>
  </si>
  <si>
    <t>Epica</t>
  </si>
  <si>
    <t>CD_Proy</t>
  </si>
  <si>
    <t>FNOM</t>
  </si>
  <si>
    <t>FAUT</t>
  </si>
  <si>
    <t>PLOCALI</t>
  </si>
  <si>
    <t>PESTAND</t>
  </si>
  <si>
    <t>PINTEGR</t>
  </si>
  <si>
    <t>RREPOR</t>
  </si>
  <si>
    <t>PRAUT</t>
  </si>
  <si>
    <t>Conteo_Epica</t>
  </si>
  <si>
    <t>Total Avance</t>
  </si>
  <si>
    <t>Avance relativo</t>
  </si>
  <si>
    <t>% Avance</t>
  </si>
  <si>
    <t>Ejecutado</t>
  </si>
  <si>
    <t>Pendiente</t>
  </si>
  <si>
    <t>En Revisión</t>
  </si>
  <si>
    <t>SEGUM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</si>
  <si>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</si>
  <si>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</si>
  <si>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</si>
  <si>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</si>
  <si>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</si>
  <si>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</si>
  <si>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</si>
  <si>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</si>
  <si>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</si>
  <si>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</si>
  <si>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</si>
  <si>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</si>
  <si>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</si>
  <si>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Horas Estimadas</t>
  </si>
  <si>
    <t>Hor Pend</t>
  </si>
  <si>
    <t>Ejecutadas</t>
  </si>
  <si>
    <t/>
  </si>
  <si>
    <t>Aplicación</t>
  </si>
  <si>
    <t>PROYECTOS</t>
  </si>
  <si>
    <t>Total general</t>
  </si>
  <si>
    <t>Suma de Ejecutadas</t>
  </si>
  <si>
    <t>Cuenta de Prioridad</t>
  </si>
  <si>
    <t>Sesión</t>
  </si>
  <si>
    <t>valor del peaje</t>
  </si>
  <si>
    <t>Semana 14</t>
  </si>
  <si>
    <t>Semana 15</t>
  </si>
  <si>
    <t>Semana 16</t>
  </si>
  <si>
    <t>Semana 17</t>
  </si>
  <si>
    <t>Semana 18</t>
  </si>
  <si>
    <t>Semana 19</t>
  </si>
  <si>
    <t>Semana 20</t>
  </si>
  <si>
    <t>Semana 21</t>
  </si>
  <si>
    <t>Semana 22</t>
  </si>
  <si>
    <t>Semana 23</t>
  </si>
  <si>
    <t>Semana 24</t>
  </si>
  <si>
    <t>Semana 25</t>
  </si>
  <si>
    <t>Semana 26</t>
  </si>
  <si>
    <t>Semana 27</t>
  </si>
  <si>
    <t>Semana 28</t>
  </si>
  <si>
    <t>Semana 29</t>
  </si>
  <si>
    <t>Semana 30</t>
  </si>
  <si>
    <t>Semana 31</t>
  </si>
  <si>
    <t>Semana 32</t>
  </si>
  <si>
    <t>Semana 33</t>
  </si>
  <si>
    <t>Semana 34</t>
  </si>
  <si>
    <t>Promedio de Avance Hito</t>
  </si>
  <si>
    <t>Porcentaje</t>
  </si>
  <si>
    <t>Escalas</t>
  </si>
  <si>
    <t>Grados</t>
  </si>
  <si>
    <t>Y</t>
  </si>
  <si>
    <t>Inicio</t>
  </si>
  <si>
    <t>Fin</t>
  </si>
  <si>
    <t>x</t>
  </si>
  <si>
    <t>Día</t>
  </si>
  <si>
    <t>Escalas del Grafico</t>
  </si>
  <si>
    <t>Sprint</t>
  </si>
  <si>
    <t>Tarea</t>
  </si>
  <si>
    <t>Estimado Puntos de Historia</t>
  </si>
  <si>
    <t>Día 1</t>
  </si>
  <si>
    <t>Día 2</t>
  </si>
  <si>
    <t>Día 3</t>
  </si>
  <si>
    <t>Día 4</t>
  </si>
  <si>
    <t>Día 5</t>
  </si>
  <si>
    <t>Día 6</t>
  </si>
  <si>
    <t>Día 7</t>
  </si>
  <si>
    <t>Total Horas</t>
  </si>
  <si>
    <t>Puntos restante</t>
  </si>
  <si>
    <t>Puntos estimados restantes</t>
  </si>
  <si>
    <t>Explicación</t>
  </si>
  <si>
    <t>Nombre del Proyecto:</t>
  </si>
  <si>
    <t>Cuanto tiempo nos va tomar desarrollar el  proyecto</t>
  </si>
  <si>
    <t>Versión</t>
  </si>
  <si>
    <t>Rojo:</t>
  </si>
  <si>
    <t>Cantidad de tareas como debe desaparecer las tareas [Ideal]</t>
  </si>
  <si>
    <t>Azul:</t>
  </si>
  <si>
    <t>Muestra el progreso real</t>
  </si>
  <si>
    <t>1 Entre mas baja la línea azul este, con respecto a la roja esta mas adelantado el  proyecto de lo que deberia</t>
  </si>
  <si>
    <t>F. Inicio</t>
  </si>
  <si>
    <t>2 Entre mas arriba la linea azul este, con respecto a la roja esta mas atrazado el proyecto</t>
  </si>
  <si>
    <t>3 El pico mas alto significa el  punto de mayor retraso</t>
  </si>
  <si>
    <t xml:space="preserve">4 Donde se une la linea azul es el punto deseado, </t>
  </si>
  <si>
    <t>5 En la última parte para terminar el proyecto</t>
  </si>
  <si>
    <t>6 Que dias se ha avanzado mas</t>
  </si>
  <si>
    <t>6 Que dias se ha avanzado menos</t>
  </si>
  <si>
    <t>8 Cuanto nos falta para terminar</t>
  </si>
  <si>
    <t>Responsable</t>
  </si>
  <si>
    <t>EdwinV</t>
  </si>
  <si>
    <t>TatianaR</t>
  </si>
  <si>
    <t>JhonB</t>
  </si>
  <si>
    <t>YhonV</t>
  </si>
  <si>
    <t>JuanC</t>
  </si>
  <si>
    <t>EQUIPO</t>
  </si>
  <si>
    <t>Error</t>
  </si>
  <si>
    <t>Revision</t>
  </si>
  <si>
    <t>Sprint 1</t>
  </si>
  <si>
    <t>Sprint 2</t>
  </si>
  <si>
    <t>Sprint 3</t>
  </si>
  <si>
    <t>Sprint 4</t>
  </si>
  <si>
    <t>Sprint 5</t>
  </si>
  <si>
    <t>Sprint 6</t>
  </si>
  <si>
    <t>Sprint 7</t>
  </si>
  <si>
    <t>Proyecto - Sistema Información Colegio</t>
  </si>
  <si>
    <t>Talleres</t>
  </si>
  <si>
    <t>Retos</t>
  </si>
  <si>
    <t>Tutorias</t>
  </si>
  <si>
    <t>Clases</t>
  </si>
  <si>
    <t>Planeación</t>
  </si>
  <si>
    <t>Pruebas</t>
  </si>
  <si>
    <t>Documentación</t>
  </si>
  <si>
    <t>Seguimiento</t>
  </si>
  <si>
    <t>Entregas</t>
  </si>
  <si>
    <t>Cliclo 003</t>
  </si>
  <si>
    <t>To Do</t>
  </si>
  <si>
    <t>In Progres</t>
  </si>
  <si>
    <t>Done</t>
  </si>
  <si>
    <t>En Espera</t>
  </si>
  <si>
    <t>En Prueba</t>
  </si>
  <si>
    <t>DESARROLLO APLICACIÓN</t>
  </si>
  <si>
    <t>CURSO</t>
  </si>
  <si>
    <t>TUTORIA</t>
  </si>
  <si>
    <t>Análisis - Modelo Conceptual</t>
  </si>
  <si>
    <t>Análisis - Requerimientos Funcionales</t>
  </si>
  <si>
    <t>Diseño Diagrama de Claeses</t>
  </si>
  <si>
    <t>Diseño Modelo Entidad Relación</t>
  </si>
  <si>
    <t>Diseño Código C#</t>
  </si>
  <si>
    <t>Construcción - Codigo estructuras</t>
  </si>
  <si>
    <t>Construcción - Base de Datos</t>
  </si>
  <si>
    <t>Despliegue Aplicación</t>
  </si>
  <si>
    <t>T-001</t>
  </si>
  <si>
    <t>Crear plan de trabajo y cronograma general</t>
  </si>
  <si>
    <t>T-002</t>
  </si>
  <si>
    <t>Planteamiento del Problema</t>
  </si>
  <si>
    <t>T-003</t>
  </si>
  <si>
    <t>Asignación de Roles y Tareas</t>
  </si>
  <si>
    <t>T-004</t>
  </si>
  <si>
    <t>Crear repositorio y tablero Kanban</t>
  </si>
  <si>
    <t>T-005</t>
  </si>
  <si>
    <t>Listar Entidades y Atributos</t>
  </si>
  <si>
    <t>T-006</t>
  </si>
  <si>
    <t>Crear Modelo Conceptual del Sistema</t>
  </si>
  <si>
    <t>Documentar Historias de Usuario</t>
  </si>
  <si>
    <t>Documentar Requerimientos Funcionales</t>
  </si>
  <si>
    <t>T-007</t>
  </si>
  <si>
    <t>T-008</t>
  </si>
  <si>
    <t>T-009</t>
  </si>
  <si>
    <t>Documentar Requerimientos No Funcionales</t>
  </si>
  <si>
    <t>T-010</t>
  </si>
  <si>
    <t>Consolidar documento entregable</t>
  </si>
  <si>
    <t>T-011</t>
  </si>
  <si>
    <t>Consolidar documento seguimiento Sprint 3</t>
  </si>
  <si>
    <t>T-012</t>
  </si>
  <si>
    <t>Asistencia Tutoria 1</t>
  </si>
  <si>
    <t>Cargar documento Sprint 3 - Curso</t>
  </si>
  <si>
    <t>Cargar evidencia para seguimiento</t>
  </si>
  <si>
    <t>T-013</t>
  </si>
  <si>
    <t>T-014</t>
  </si>
  <si>
    <t>S</t>
  </si>
  <si>
    <t>T-015</t>
  </si>
  <si>
    <t>Crear Diagrama Entidad -Relación</t>
  </si>
  <si>
    <t>Generar Script creación base de datos</t>
  </si>
  <si>
    <t>Anulada</t>
  </si>
  <si>
    <t>T-017</t>
  </si>
  <si>
    <t>T-018</t>
  </si>
  <si>
    <t>Crear prototipos de las funcionalidades</t>
  </si>
  <si>
    <t>Diseñar formato de reportes</t>
  </si>
  <si>
    <t>Diseño funcionales</t>
  </si>
  <si>
    <t>Cliclo 004</t>
  </si>
  <si>
    <t>(en blanco)</t>
  </si>
  <si>
    <t>T-019</t>
  </si>
  <si>
    <t>Planeación Sprint 4 -Diseños</t>
  </si>
  <si>
    <t>T-020</t>
  </si>
  <si>
    <t>T-021</t>
  </si>
  <si>
    <t>Sprint 0</t>
  </si>
  <si>
    <t>Asegurar integridad de Datos</t>
  </si>
  <si>
    <t>Generar Insert a la Base de Datos</t>
  </si>
  <si>
    <t>Generar Consultas a la Base de Datos</t>
  </si>
  <si>
    <t>Crear repositorio del código para Interfaz Gráfica</t>
  </si>
  <si>
    <t>Crear repositorio del código para Capa de Dominio</t>
  </si>
  <si>
    <t>Crear documento líneamientos para diseñar y construir Interfaz Gráfica</t>
  </si>
  <si>
    <t>Crear documento líneamientos para diseñar y construir Capa de Dominio</t>
  </si>
  <si>
    <t>Construcción Interfeces Gráficas</t>
  </si>
  <si>
    <t>Construcción Capa de Dominio</t>
  </si>
  <si>
    <t>Realizar pruebas Interfaz Gráfica</t>
  </si>
  <si>
    <t>Realizar pruebas Capa de Dominio</t>
  </si>
  <si>
    <t>Planeación Sprint 3 - Interfaz Gráfica y Capa de Dominio</t>
  </si>
  <si>
    <t>Entregable para Tutoria 3</t>
  </si>
  <si>
    <t>T-021_0</t>
  </si>
  <si>
    <t>T-022</t>
  </si>
  <si>
    <t>T-023</t>
  </si>
  <si>
    <t>T-024</t>
  </si>
  <si>
    <t>T-025</t>
  </si>
  <si>
    <t>T-026</t>
  </si>
  <si>
    <t>T-027</t>
  </si>
  <si>
    <t>T-028</t>
  </si>
  <si>
    <t>T-029</t>
  </si>
  <si>
    <t>T-030</t>
  </si>
  <si>
    <t>T-031</t>
  </si>
  <si>
    <t>T-034</t>
  </si>
  <si>
    <t>Consolidar documento seguimiento Sprint 2</t>
  </si>
  <si>
    <t>Planeación Sprint 4 - Integración capas Dominio, Presentación, Persistencia</t>
  </si>
  <si>
    <t>Entregable para Tutoria 4</t>
  </si>
  <si>
    <t>Integrar capa de Dominio y Persistencia</t>
  </si>
  <si>
    <t>Integrar capa Presentación y Dominio</t>
  </si>
  <si>
    <t>Crear un Curso, Materia, Asignatura</t>
  </si>
  <si>
    <t>Crear una Persona, Estudiante, Docente</t>
  </si>
  <si>
    <t>T-035</t>
  </si>
  <si>
    <t>T-036</t>
  </si>
  <si>
    <t>T-037</t>
  </si>
  <si>
    <t>T-038</t>
  </si>
  <si>
    <t>T-039</t>
  </si>
  <si>
    <t>T-040</t>
  </si>
  <si>
    <t>T-041</t>
  </si>
  <si>
    <t>T-042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</si>
</sst>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_);_(@_)"/>
    <numFmt numFmtId="165" formatCode="0.0%"/>
    <numFmt numFmtId="166" formatCode="d/mm/yyyy"/>
  </numFmts>
  <fonts count="2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3"/>
      <name val="Arial"/>
      <family val="2"/>
    </font>
    <font>
      <sz val="11"/>
      <name val="Arial"/>
      <family val="2"/>
    </font>
    <font>
      <sz val="11"/>
      <color theme="1"/>
      <name val="Calibri"/>
      <family val="2"/>
    </font>
    <font>
      <sz val="11"/>
      <color theme="2"/>
      <name val="Arial"/>
      <family val="2"/>
    </font>
    <font>
      <sz val="8"/>
      <color theme="1"/>
      <name val="Calibri"/>
      <family val="2"/>
    </font>
    <font>
      <sz val="16"/>
      <color theme="1"/>
      <name val="Calibri"/>
      <family val="2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3"/>
      <color theme="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0CECE"/>
        <bgColor rgb="FFD0CECE"/>
      </patternFill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4" fillId="0" borderId="0"/>
  </cellStyleXfs>
  <cellXfs count="211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0" xfId="0" applyFill="1"/>
    <xf numFmtId="0" fontId="0" fillId="0" borderId="5" xfId="0" applyBorder="1"/>
    <xf numFmtId="0" fontId="0" fillId="0" borderId="0" xfId="0" applyFill="1" applyBorder="1"/>
    <xf numFmtId="0" fontId="2" fillId="0" borderId="0" xfId="0" applyFont="1"/>
    <xf numFmtId="0" fontId="3" fillId="0" borderId="0" xfId="0" applyFont="1" applyFill="1" applyBorder="1"/>
    <xf numFmtId="0" fontId="0" fillId="0" borderId="10" xfId="0" applyFill="1" applyBorder="1"/>
    <xf numFmtId="0" fontId="0" fillId="0" borderId="11" xfId="0" applyFill="1" applyBorder="1"/>
    <xf numFmtId="0" fontId="2" fillId="6" borderId="0" xfId="0" applyFont="1" applyFill="1" applyAlignment="1">
      <alignment horizontal="center"/>
    </xf>
    <xf numFmtId="0" fontId="0" fillId="3" borderId="8" xfId="0" applyFill="1" applyBorder="1"/>
    <xf numFmtId="0" fontId="3" fillId="0" borderId="11" xfId="0" applyFont="1" applyFill="1" applyBorder="1"/>
    <xf numFmtId="0" fontId="1" fillId="0" borderId="11" xfId="0" applyFont="1" applyFill="1" applyBorder="1"/>
    <xf numFmtId="0" fontId="0" fillId="0" borderId="0" xfId="0" applyAlignment="1">
      <alignment horizontal="right"/>
    </xf>
    <xf numFmtId="0" fontId="2" fillId="6" borderId="0" xfId="0" applyFont="1" applyFill="1" applyBorder="1" applyAlignment="1">
      <alignment horizontal="center"/>
    </xf>
    <xf numFmtId="0" fontId="0" fillId="4" borderId="7" xfId="0" applyFill="1" applyBorder="1"/>
    <xf numFmtId="0" fontId="0" fillId="4" borderId="8" xfId="0" applyFill="1" applyBorder="1"/>
    <xf numFmtId="0" fontId="0" fillId="0" borderId="8" xfId="0" applyFill="1" applyBorder="1"/>
    <xf numFmtId="0" fontId="0" fillId="3" borderId="9" xfId="0" applyFill="1" applyBorder="1"/>
    <xf numFmtId="0" fontId="0" fillId="3" borderId="1" xfId="0" applyFill="1" applyBorder="1"/>
    <xf numFmtId="0" fontId="0" fillId="0" borderId="0" xfId="0" applyAlignment="1">
      <alignment horizontal="center"/>
    </xf>
    <xf numFmtId="0" fontId="1" fillId="7" borderId="1" xfId="0" applyFont="1" applyFill="1" applyBorder="1"/>
    <xf numFmtId="0" fontId="0" fillId="8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0" borderId="11" xfId="0" applyFill="1" applyBorder="1" applyAlignment="1">
      <alignment horizontal="right"/>
    </xf>
    <xf numFmtId="49" fontId="0" fillId="0" borderId="0" xfId="0" applyNumberFormat="1"/>
    <xf numFmtId="14" fontId="0" fillId="0" borderId="0" xfId="0" applyNumberFormat="1"/>
    <xf numFmtId="0" fontId="0" fillId="2" borderId="5" xfId="0" applyFill="1" applyBorder="1"/>
    <xf numFmtId="0" fontId="0" fillId="0" borderId="0" xfId="0" applyNumberFormat="1" applyFill="1"/>
    <xf numFmtId="0" fontId="0" fillId="12" borderId="0" xfId="0" applyFill="1"/>
    <xf numFmtId="0" fontId="0" fillId="12" borderId="0" xfId="0" applyFill="1" applyBorder="1"/>
    <xf numFmtId="9" fontId="0" fillId="0" borderId="0" xfId="1" applyFont="1" applyFill="1" applyBorder="1"/>
    <xf numFmtId="0" fontId="2" fillId="6" borderId="0" xfId="0" applyFont="1" applyFill="1" applyAlignment="1">
      <alignment horizontal="center" wrapText="1"/>
    </xf>
    <xf numFmtId="0" fontId="2" fillId="6" borderId="0" xfId="0" applyFont="1" applyFill="1" applyBorder="1" applyAlignment="1">
      <alignment horizontal="center" wrapText="1"/>
    </xf>
    <xf numFmtId="0" fontId="6" fillId="6" borderId="0" xfId="0" applyFont="1" applyFill="1" applyAlignment="1">
      <alignment horizontal="center" wrapText="1"/>
    </xf>
    <xf numFmtId="0" fontId="7" fillId="0" borderId="0" xfId="0" applyFont="1"/>
    <xf numFmtId="0" fontId="0" fillId="0" borderId="1" xfId="0" applyFill="1" applyBorder="1" applyAlignment="1">
      <alignment horizontal="left"/>
    </xf>
    <xf numFmtId="0" fontId="0" fillId="13" borderId="0" xfId="0" applyFill="1"/>
    <xf numFmtId="0" fontId="0" fillId="13" borderId="0" xfId="0" applyFill="1" applyAlignment="1">
      <alignment horizontal="right"/>
    </xf>
    <xf numFmtId="0" fontId="0" fillId="13" borderId="0" xfId="0" applyNumberFormat="1" applyFill="1" applyAlignment="1">
      <alignment horizontal="right"/>
    </xf>
    <xf numFmtId="0" fontId="0" fillId="13" borderId="0" xfId="0" applyNumberFormat="1" applyFill="1"/>
    <xf numFmtId="0" fontId="0" fillId="0" borderId="0" xfId="0" applyNumberFormat="1"/>
    <xf numFmtId="0" fontId="8" fillId="13" borderId="0" xfId="0" applyFont="1" applyFill="1"/>
    <xf numFmtId="0" fontId="0" fillId="0" borderId="0" xfId="0" applyNumberFormat="1" applyFill="1" applyBorder="1"/>
    <xf numFmtId="0" fontId="0" fillId="0" borderId="0" xfId="0" applyAlignment="1">
      <alignment wrapText="1"/>
    </xf>
    <xf numFmtId="0" fontId="7" fillId="0" borderId="0" xfId="0" applyFont="1" applyFill="1"/>
    <xf numFmtId="0" fontId="8" fillId="0" borderId="0" xfId="0" applyFont="1" applyFill="1"/>
    <xf numFmtId="0" fontId="9" fillId="0" borderId="0" xfId="0" applyFont="1"/>
    <xf numFmtId="9" fontId="0" fillId="12" borderId="0" xfId="1" applyFont="1" applyFill="1"/>
    <xf numFmtId="9" fontId="0" fillId="12" borderId="0" xfId="1" applyFont="1" applyFill="1" applyBorder="1"/>
    <xf numFmtId="0" fontId="7" fillId="0" borderId="5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Fill="1" applyBorder="1"/>
    <xf numFmtId="0" fontId="0" fillId="3" borderId="7" xfId="0" applyFill="1" applyBorder="1"/>
    <xf numFmtId="0" fontId="0" fillId="0" borderId="3" xfId="0" applyBorder="1"/>
    <xf numFmtId="0" fontId="3" fillId="0" borderId="10" xfId="0" applyFont="1" applyFill="1" applyBorder="1"/>
    <xf numFmtId="0" fontId="9" fillId="0" borderId="0" xfId="0" applyNumberFormat="1" applyFont="1" applyFill="1"/>
    <xf numFmtId="0" fontId="10" fillId="6" borderId="0" xfId="0" applyFont="1" applyFill="1" applyAlignment="1">
      <alignment horizontal="center"/>
    </xf>
    <xf numFmtId="0" fontId="9" fillId="13" borderId="0" xfId="0" applyFont="1" applyFill="1"/>
    <xf numFmtId="0" fontId="9" fillId="12" borderId="0" xfId="0" applyFont="1" applyFill="1"/>
    <xf numFmtId="0" fontId="8" fillId="0" borderId="0" xfId="0" applyFont="1"/>
    <xf numFmtId="0" fontId="11" fillId="6" borderId="0" xfId="0" applyFont="1" applyFill="1" applyAlignment="1">
      <alignment horizontal="center"/>
    </xf>
    <xf numFmtId="0" fontId="8" fillId="0" borderId="0" xfId="0" applyNumberFormat="1" applyFont="1" applyFill="1"/>
    <xf numFmtId="0" fontId="8" fillId="12" borderId="0" xfId="0" applyFont="1" applyFill="1"/>
    <xf numFmtId="14" fontId="2" fillId="6" borderId="0" xfId="0" applyNumberFormat="1" applyFont="1" applyFill="1" applyBorder="1" applyAlignment="1">
      <alignment horizontal="center"/>
    </xf>
    <xf numFmtId="14" fontId="0" fillId="0" borderId="0" xfId="0" applyNumberFormat="1" applyFill="1"/>
    <xf numFmtId="14" fontId="0" fillId="12" borderId="0" xfId="0" applyNumberFormat="1" applyFill="1" applyBorder="1"/>
    <xf numFmtId="17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6" borderId="0" xfId="0" applyNumberFormat="1" applyFont="1" applyFill="1" applyBorder="1" applyAlignment="1">
      <alignment horizontal="center"/>
    </xf>
    <xf numFmtId="0" fontId="0" fillId="12" borderId="0" xfId="0" applyNumberFormat="1" applyFill="1" applyBorder="1"/>
    <xf numFmtId="0" fontId="11" fillId="6" borderId="0" xfId="0" applyFont="1" applyFill="1" applyBorder="1" applyAlignment="1">
      <alignment horizontal="center" wrapText="1"/>
    </xf>
    <xf numFmtId="14" fontId="0" fillId="9" borderId="0" xfId="0" applyNumberFormat="1" applyFill="1"/>
    <xf numFmtId="14" fontId="0" fillId="9" borderId="0" xfId="0" applyNumberFormat="1" applyFill="1" applyBorder="1"/>
    <xf numFmtId="9" fontId="0" fillId="5" borderId="0" xfId="1" applyFont="1" applyFill="1" applyBorder="1"/>
    <xf numFmtId="0" fontId="0" fillId="5" borderId="0" xfId="1" applyNumberFormat="1" applyFont="1" applyFill="1" applyBorder="1"/>
    <xf numFmtId="0" fontId="0" fillId="0" borderId="11" xfId="0" applyFill="1" applyBorder="1" applyAlignment="1">
      <alignment horizontal="left"/>
    </xf>
    <xf numFmtId="0" fontId="0" fillId="0" borderId="0" xfId="0" pivotButton="1"/>
    <xf numFmtId="0" fontId="9" fillId="0" borderId="0" xfId="0" applyFont="1" applyFill="1"/>
    <xf numFmtId="0" fontId="10" fillId="6" borderId="0" xfId="0" applyFont="1" applyFill="1" applyBorder="1" applyAlignment="1">
      <alignment horizontal="center"/>
    </xf>
    <xf numFmtId="0" fontId="9" fillId="12" borderId="0" xfId="0" applyFont="1" applyFill="1" applyBorder="1"/>
    <xf numFmtId="0" fontId="6" fillId="6" borderId="0" xfId="0" applyFont="1" applyFill="1" applyAlignment="1">
      <alignment horizontal="center"/>
    </xf>
    <xf numFmtId="0" fontId="7" fillId="0" borderId="0" xfId="0" applyNumberFormat="1" applyFont="1" applyFill="1"/>
    <xf numFmtId="0" fontId="7" fillId="12" borderId="0" xfId="0" applyFont="1" applyFill="1"/>
    <xf numFmtId="0" fontId="7" fillId="0" borderId="0" xfId="0" applyNumberFormat="1" applyFont="1"/>
    <xf numFmtId="0" fontId="12" fillId="5" borderId="0" xfId="0" applyFont="1" applyFill="1" applyBorder="1"/>
    <xf numFmtId="164" fontId="0" fillId="0" borderId="0" xfId="2" applyFont="1"/>
    <xf numFmtId="9" fontId="0" fillId="0" borderId="0" xfId="1" applyFont="1"/>
    <xf numFmtId="9" fontId="0" fillId="0" borderId="0" xfId="0" applyNumberFormat="1"/>
    <xf numFmtId="165" fontId="0" fillId="0" borderId="0" xfId="1" applyNumberFormat="1" applyFont="1" applyFill="1"/>
    <xf numFmtId="0" fontId="1" fillId="0" borderId="0" xfId="0" applyFont="1" applyFill="1" applyBorder="1"/>
    <xf numFmtId="0" fontId="0" fillId="11" borderId="4" xfId="0" applyFill="1" applyBorder="1"/>
    <xf numFmtId="0" fontId="0" fillId="0" borderId="12" xfId="0" applyFill="1" applyBorder="1"/>
    <xf numFmtId="0" fontId="0" fillId="0" borderId="0" xfId="0" applyAlignment="1">
      <alignment horizontal="center"/>
    </xf>
    <xf numFmtId="0" fontId="0" fillId="0" borderId="3" xfId="0" applyFill="1" applyBorder="1"/>
    <xf numFmtId="0" fontId="0" fillId="0" borderId="7" xfId="0" applyFill="1" applyBorder="1"/>
    <xf numFmtId="0" fontId="0" fillId="0" borderId="9" xfId="0" applyFill="1" applyBorder="1"/>
    <xf numFmtId="0" fontId="1" fillId="0" borderId="3" xfId="0" applyFont="1" applyFill="1" applyBorder="1"/>
    <xf numFmtId="0" fontId="0" fillId="0" borderId="0" xfId="0" applyBorder="1"/>
    <xf numFmtId="0" fontId="0" fillId="0" borderId="0" xfId="0" applyFill="1" applyBorder="1" applyAlignment="1">
      <alignment horizontal="right"/>
    </xf>
    <xf numFmtId="0" fontId="0" fillId="0" borderId="0" xfId="0" applyAlignment="1"/>
    <xf numFmtId="0" fontId="0" fillId="5" borderId="3" xfId="0" applyFill="1" applyBorder="1"/>
    <xf numFmtId="0" fontId="0" fillId="5" borderId="2" xfId="0" applyFill="1" applyBorder="1"/>
    <xf numFmtId="0" fontId="0" fillId="0" borderId="12" xfId="0" applyFill="1" applyBorder="1" applyAlignment="1">
      <alignment horizontal="right"/>
    </xf>
    <xf numFmtId="0" fontId="0" fillId="0" borderId="0" xfId="0" applyAlignment="1">
      <alignment horizontal="center"/>
    </xf>
    <xf numFmtId="0" fontId="0" fillId="3" borderId="2" xfId="0" applyFill="1" applyBorder="1"/>
    <xf numFmtId="0" fontId="0" fillId="0" borderId="2" xfId="0" applyFill="1" applyBorder="1"/>
    <xf numFmtId="0" fontId="0" fillId="8" borderId="2" xfId="0" applyFill="1" applyBorder="1"/>
    <xf numFmtId="0" fontId="3" fillId="0" borderId="12" xfId="0" applyFont="1" applyFill="1" applyBorder="1"/>
    <xf numFmtId="0" fontId="0" fillId="10" borderId="2" xfId="0" applyFill="1" applyBorder="1"/>
    <xf numFmtId="0" fontId="0" fillId="0" borderId="10" xfId="0" applyFill="1" applyBorder="1" applyAlignment="1">
      <alignment horizontal="right"/>
    </xf>
    <xf numFmtId="0" fontId="13" fillId="0" borderId="12" xfId="0" applyFont="1" applyFill="1" applyBorder="1"/>
    <xf numFmtId="0" fontId="3" fillId="0" borderId="1" xfId="0" applyFont="1" applyFill="1" applyBorder="1"/>
    <xf numFmtId="0" fontId="1" fillId="0" borderId="1" xfId="0" applyFont="1" applyFill="1" applyBorder="1"/>
    <xf numFmtId="0" fontId="0" fillId="0" borderId="5" xfId="0" applyFill="1" applyBorder="1"/>
    <xf numFmtId="0" fontId="0" fillId="0" borderId="2" xfId="0" applyBorder="1"/>
    <xf numFmtId="0" fontId="0" fillId="14" borderId="1" xfId="0" applyFill="1" applyBorder="1"/>
    <xf numFmtId="0" fontId="0" fillId="11" borderId="2" xfId="0" applyFill="1" applyBorder="1"/>
    <xf numFmtId="0" fontId="1" fillId="7" borderId="2" xfId="0" applyFont="1" applyFill="1" applyBorder="1"/>
    <xf numFmtId="0" fontId="0" fillId="14" borderId="2" xfId="0" applyFill="1" applyBorder="1"/>
    <xf numFmtId="14" fontId="0" fillId="9" borderId="0" xfId="0" applyNumberFormat="1" applyFill="1" applyBorder="1"/>
    <xf numFmtId="0" fontId="0" fillId="0" borderId="0" xfId="0" applyAlignment="1">
      <alignment horizontal="center"/>
    </xf>
    <xf numFmtId="0" fontId="1" fillId="0" borderId="12" xfId="0" applyFont="1" applyFill="1" applyBorder="1"/>
    <xf numFmtId="0" fontId="0" fillId="0" borderId="14" xfId="0" applyFill="1" applyBorder="1"/>
    <xf numFmtId="0" fontId="0" fillId="0" borderId="6" xfId="0" applyFill="1" applyBorder="1"/>
    <xf numFmtId="0" fontId="0" fillId="0" borderId="13" xfId="0" applyFill="1" applyBorder="1"/>
    <xf numFmtId="0" fontId="0" fillId="0" borderId="0" xfId="0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5" fillId="15" borderId="0" xfId="3" applyFont="1" applyFill="1"/>
    <xf numFmtId="0" fontId="0" fillId="0" borderId="18" xfId="0" applyBorder="1"/>
    <xf numFmtId="0" fontId="0" fillId="0" borderId="19" xfId="0" applyBorder="1"/>
    <xf numFmtId="9" fontId="15" fillId="15" borderId="0" xfId="3" applyNumberFormat="1" applyFont="1" applyFill="1"/>
    <xf numFmtId="0" fontId="0" fillId="15" borderId="0" xfId="0" applyFill="1"/>
    <xf numFmtId="0" fontId="0" fillId="0" borderId="20" xfId="0" applyBorder="1"/>
    <xf numFmtId="0" fontId="0" fillId="0" borderId="21" xfId="0" applyBorder="1"/>
    <xf numFmtId="0" fontId="0" fillId="0" borderId="22" xfId="0" applyBorder="1"/>
    <xf numFmtId="165" fontId="15" fillId="15" borderId="0" xfId="3" applyNumberFormat="1" applyFont="1" applyFill="1"/>
    <xf numFmtId="0" fontId="0" fillId="0" borderId="1" xfId="0" pivotButton="1" applyBorder="1"/>
    <xf numFmtId="10" fontId="0" fillId="0" borderId="1" xfId="0" applyNumberFormat="1" applyBorder="1"/>
    <xf numFmtId="0" fontId="16" fillId="16" borderId="0" xfId="3" applyFont="1" applyFill="1"/>
    <xf numFmtId="0" fontId="14" fillId="16" borderId="0" xfId="3" applyFill="1"/>
    <xf numFmtId="0" fontId="14" fillId="0" borderId="0" xfId="3"/>
    <xf numFmtId="0" fontId="16" fillId="17" borderId="0" xfId="3" applyFont="1" applyFill="1"/>
    <xf numFmtId="0" fontId="14" fillId="17" borderId="0" xfId="3" applyFill="1"/>
    <xf numFmtId="0" fontId="14" fillId="0" borderId="15" xfId="3" applyBorder="1"/>
    <xf numFmtId="0" fontId="14" fillId="0" borderId="16" xfId="3" applyBorder="1"/>
    <xf numFmtId="0" fontId="17" fillId="0" borderId="16" xfId="3" applyFont="1" applyBorder="1"/>
    <xf numFmtId="0" fontId="14" fillId="0" borderId="17" xfId="3" applyBorder="1"/>
    <xf numFmtId="0" fontId="18" fillId="18" borderId="0" xfId="3" applyFont="1" applyFill="1"/>
    <xf numFmtId="0" fontId="17" fillId="0" borderId="23" xfId="3" applyFont="1" applyBorder="1"/>
    <xf numFmtId="0" fontId="17" fillId="0" borderId="24" xfId="3" applyFont="1" applyBorder="1"/>
    <xf numFmtId="0" fontId="17" fillId="0" borderId="24" xfId="3" applyFont="1" applyBorder="1" applyAlignment="1">
      <alignment horizontal="center" wrapText="1"/>
    </xf>
    <xf numFmtId="0" fontId="17" fillId="0" borderId="25" xfId="3" applyFont="1" applyBorder="1"/>
    <xf numFmtId="0" fontId="17" fillId="0" borderId="26" xfId="3" applyFont="1" applyBorder="1"/>
    <xf numFmtId="0" fontId="19" fillId="0" borderId="24" xfId="3" applyFont="1" applyBorder="1"/>
    <xf numFmtId="0" fontId="19" fillId="0" borderId="24" xfId="3" applyFont="1" applyBorder="1" applyAlignment="1">
      <alignment wrapText="1"/>
    </xf>
    <xf numFmtId="0" fontId="17" fillId="0" borderId="27" xfId="3" applyFont="1" applyBorder="1"/>
    <xf numFmtId="0" fontId="17" fillId="0" borderId="28" xfId="3" applyFont="1" applyBorder="1"/>
    <xf numFmtId="9" fontId="18" fillId="18" borderId="0" xfId="3" applyNumberFormat="1" applyFont="1" applyFill="1"/>
    <xf numFmtId="0" fontId="14" fillId="0" borderId="18" xfId="3" applyBorder="1"/>
    <xf numFmtId="0" fontId="14" fillId="0" borderId="19" xfId="3" applyBorder="1"/>
    <xf numFmtId="0" fontId="17" fillId="19" borderId="24" xfId="3" applyFont="1" applyFill="1" applyBorder="1" applyAlignment="1">
      <alignment wrapText="1"/>
    </xf>
    <xf numFmtId="0" fontId="17" fillId="19" borderId="24" xfId="3" applyFont="1" applyFill="1" applyBorder="1"/>
    <xf numFmtId="2" fontId="17" fillId="19" borderId="24" xfId="3" applyNumberFormat="1" applyFont="1" applyFill="1" applyBorder="1"/>
    <xf numFmtId="0" fontId="14" fillId="0" borderId="20" xfId="3" applyBorder="1"/>
    <xf numFmtId="0" fontId="14" fillId="0" borderId="21" xfId="3" applyBorder="1"/>
    <xf numFmtId="0" fontId="14" fillId="0" borderId="22" xfId="3" applyBorder="1"/>
    <xf numFmtId="0" fontId="20" fillId="0" borderId="0" xfId="3" applyFont="1"/>
    <xf numFmtId="0" fontId="21" fillId="0" borderId="0" xfId="0" applyFont="1"/>
    <xf numFmtId="0" fontId="22" fillId="0" borderId="0" xfId="3" applyFont="1"/>
    <xf numFmtId="0" fontId="23" fillId="0" borderId="0" xfId="3" applyFont="1"/>
    <xf numFmtId="0" fontId="17" fillId="16" borderId="0" xfId="3" applyFont="1" applyFill="1"/>
    <xf numFmtId="0" fontId="24" fillId="0" borderId="0" xfId="3" applyFont="1"/>
    <xf numFmtId="0" fontId="17" fillId="0" borderId="0" xfId="3" applyFont="1"/>
    <xf numFmtId="9" fontId="22" fillId="0" borderId="0" xfId="1" applyFont="1"/>
    <xf numFmtId="0" fontId="0" fillId="0" borderId="0" xfId="0" applyBorder="1" applyAlignment="1">
      <alignment horizontal="center"/>
    </xf>
    <xf numFmtId="0" fontId="25" fillId="0" borderId="0" xfId="0" applyFont="1" applyFill="1" applyAlignment="1">
      <alignment wrapText="1"/>
    </xf>
    <xf numFmtId="0" fontId="25" fillId="0" borderId="0" xfId="0" applyFont="1" applyFill="1"/>
    <xf numFmtId="0" fontId="25" fillId="0" borderId="0" xfId="0" applyNumberFormat="1" applyFont="1" applyFill="1"/>
    <xf numFmtId="14" fontId="0" fillId="0" borderId="0" xfId="0" applyNumberFormat="1" applyFill="1"/>
    <xf numFmtId="0" fontId="1" fillId="0" borderId="10" xfId="0" applyFont="1" applyFill="1" applyBorder="1"/>
    <xf numFmtId="0" fontId="0" fillId="10" borderId="29" xfId="0" applyFill="1" applyBorder="1"/>
    <xf numFmtId="0" fontId="0" fillId="11" borderId="29" xfId="0" applyFill="1" applyBorder="1"/>
    <xf numFmtId="0" fontId="0" fillId="0" borderId="29" xfId="0" applyFill="1" applyBorder="1"/>
    <xf numFmtId="0" fontId="0" fillId="0" borderId="6" xfId="0" applyFill="1" applyBorder="1" applyAlignment="1">
      <alignment horizontal="right"/>
    </xf>
    <xf numFmtId="0" fontId="17" fillId="0" borderId="24" xfId="3" applyFont="1" applyBorder="1" applyAlignment="1">
      <alignment wrapText="1"/>
    </xf>
    <xf numFmtId="0" fontId="12" fillId="20" borderId="0" xfId="0" applyFont="1" applyFill="1" applyBorder="1"/>
    <xf numFmtId="0" fontId="26" fillId="0" borderId="23" xfId="3" applyFont="1" applyBorder="1"/>
    <xf numFmtId="0" fontId="26" fillId="0" borderId="24" xfId="3" applyFont="1" applyBorder="1"/>
    <xf numFmtId="0" fontId="26" fillId="0" borderId="24" xfId="3" applyFont="1" applyBorder="1" applyAlignment="1">
      <alignment wrapText="1"/>
    </xf>
    <xf numFmtId="14" fontId="0" fillId="0" borderId="0" xfId="0" applyNumberFormat="1" applyFill="1"/>
    <xf numFmtId="0" fontId="0" fillId="0" borderId="0" xfId="1" applyNumberFormat="1" applyFont="1" applyFill="1" applyBorder="1"/>
    <xf numFmtId="0" fontId="12" fillId="0" borderId="0" xfId="0" applyFont="1" applyFill="1" applyBorder="1"/>
    <xf numFmtId="14" fontId="0" fillId="7" borderId="0" xfId="0" applyNumberFormat="1" applyFill="1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17" fontId="0" fillId="0" borderId="6" xfId="0" applyNumberFormat="1" applyBorder="1" applyAlignment="1">
      <alignment horizontal="center"/>
    </xf>
    <xf numFmtId="17" fontId="0" fillId="0" borderId="2" xfId="0" applyNumberFormat="1" applyBorder="1" applyAlignment="1">
      <alignment horizontal="center"/>
    </xf>
    <xf numFmtId="17" fontId="0" fillId="0" borderId="3" xfId="0" applyNumberFormat="1" applyBorder="1" applyAlignment="1">
      <alignment horizontal="center"/>
    </xf>
    <xf numFmtId="17" fontId="0" fillId="0" borderId="4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13" fillId="0" borderId="0" xfId="0" applyFont="1" applyAlignment="1">
      <alignment horizontal="center"/>
    </xf>
    <xf numFmtId="166" fontId="0" fillId="0" borderId="0" xfId="0" applyNumberFormat="1"/>
    <xf numFmtId="9" fontId="0" fillId="0" borderId="0" xfId="1" applyFont="1" applyFill="1"/>
  </cellXfs>
  <cellStyles count="4">
    <cellStyle name="Millares [0]" xfId="2" builtinId="6"/>
    <cellStyle name="Normal" xfId="0" builtinId="0"/>
    <cellStyle name="Normal 2" xfId="3" xr:uid="{FB0C04E4-B8B1-4174-9B43-EF7048B71E00}"/>
    <cellStyle name="Porcentaje" xfId="1" builtinId="5"/>
  </cellStyles>
  <dxfs count="45"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19" formatCode="dd/mm/yyyy"/>
      <fill>
        <patternFill patternType="none">
          <fgColor indexed="64"/>
          <bgColor indexed="65"/>
        </patternFill>
      </fill>
    </dxf>
    <dxf>
      <numFmt numFmtId="19" formatCode="dd/mm/yyyy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5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7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7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7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5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right style="thin">
          <color indexed="64"/>
        </right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numFmt numFmtId="166" formatCode="d/mm/yyyy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solid">
          <fgColor indexed="64"/>
          <bgColor theme="2" tint="-9.9978637043366805E-2"/>
        </patternFill>
      </fill>
    </dxf>
    <dxf>
      <alignment horizontal="general" vertical="bottom" textRotation="0" wrapText="1" indent="0" justifyLastLine="0" shrinkToFit="0" readingOrder="0"/>
    </dxf>
    <dxf>
      <numFmt numFmtId="30" formatCode="@"/>
    </dxf>
    <dxf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9.9978637043366805E-2"/>
        </patternFill>
      </fill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Nombre</a:t>
            </a:r>
            <a:r>
              <a:rPr lang="es-CO" b="1" baseline="0"/>
              <a:t> del Proyecto: Proyecto DSW</a:t>
            </a:r>
            <a:endParaRPr lang="es-CO" b="1"/>
          </a:p>
        </c:rich>
      </c:tx>
      <c:layout>
        <c:manualLayout>
          <c:xMode val="edge"/>
          <c:yMode val="edge"/>
          <c:x val="0.25276404678115538"/>
          <c:y val="0.785362637240087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3322622874385323"/>
          <c:y val="0.21199490972719315"/>
          <c:w val="0.75064129501078003"/>
          <c:h val="0.7880050902728068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F1-4985-B3F9-8B197406F7D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F1-4985-B3F9-8B197406F7DE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F1-4985-B3F9-8B197406F7DE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F1-4985-B3F9-8B197406F7DE}"/>
              </c:ext>
            </c:extLst>
          </c:dPt>
          <c:dPt>
            <c:idx val="4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BF1-4985-B3F9-8B197406F7DE}"/>
              </c:ext>
            </c:extLst>
          </c:dPt>
          <c:dPt>
            <c:idx val="5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BF1-4985-B3F9-8B197406F7DE}"/>
              </c:ext>
            </c:extLst>
          </c:dPt>
          <c:dPt>
            <c:idx val="6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BF1-4985-B3F9-8B197406F7DE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BF1-4985-B3F9-8B197406F7DE}"/>
              </c:ext>
            </c:extLst>
          </c:dPt>
          <c:dPt>
            <c:idx val="8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BF1-4985-B3F9-8B197406F7DE}"/>
              </c:ext>
            </c:extLst>
          </c:dPt>
          <c:dPt>
            <c:idx val="9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BF1-4985-B3F9-8B197406F7DE}"/>
              </c:ext>
            </c:extLst>
          </c:dPt>
          <c:dLbls>
            <c:dLbl>
              <c:idx val="0"/>
              <c:layout>
                <c:manualLayout>
                  <c:x val="-0.12324928636637134"/>
                  <c:y val="-1.0662791865941065E-2"/>
                </c:manualLayout>
              </c:layout>
              <c:tx>
                <c:rich>
                  <a:bodyPr/>
                  <a:lstStyle/>
                  <a:p>
                    <a:fld id="{C56499F9-FEE7-4696-BB2B-1418A9A2BB0B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BF1-4985-B3F9-8B197406F7DE}"/>
                </c:ext>
              </c:extLst>
            </c:dLbl>
            <c:dLbl>
              <c:idx val="1"/>
              <c:layout>
                <c:manualLayout>
                  <c:x val="-0.10911344514390756"/>
                  <c:y val="-2.8078576902551586E-2"/>
                </c:manualLayout>
              </c:layout>
              <c:tx>
                <c:rich>
                  <a:bodyPr/>
                  <a:lstStyle/>
                  <a:p>
                    <a:fld id="{FBB296B3-97B2-4AD7-B51C-3A8C2F69ADD6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BF1-4985-B3F9-8B197406F7DE}"/>
                </c:ext>
              </c:extLst>
            </c:dLbl>
            <c:dLbl>
              <c:idx val="2"/>
              <c:layout>
                <c:manualLayout>
                  <c:x val="-9.6989729016806719E-2"/>
                  <c:y val="-9.1255374933292721E-2"/>
                </c:manualLayout>
              </c:layout>
              <c:tx>
                <c:rich>
                  <a:bodyPr/>
                  <a:lstStyle/>
                  <a:p>
                    <a:fld id="{771B215F-99D6-47B3-9A32-2C1881BACC64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FBF1-4985-B3F9-8B197406F7DE}"/>
                </c:ext>
              </c:extLst>
            </c:dLbl>
            <c:dLbl>
              <c:idx val="3"/>
              <c:layout>
                <c:manualLayout>
                  <c:x val="-7.2742296762605033E-2"/>
                  <c:y val="-0.11582412972302529"/>
                </c:manualLayout>
              </c:layout>
              <c:tx>
                <c:rich>
                  <a:bodyPr/>
                  <a:lstStyle/>
                  <a:p>
                    <a:fld id="{245497B3-B548-4E85-BFD8-90CDBEC42AF1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FBF1-4985-B3F9-8B197406F7DE}"/>
                </c:ext>
              </c:extLst>
            </c:dLbl>
            <c:dLbl>
              <c:idx val="4"/>
              <c:layout>
                <c:manualLayout>
                  <c:x val="-3.6371148381302565E-2"/>
                  <c:y val="-0.11933395183584423"/>
                </c:manualLayout>
              </c:layout>
              <c:tx>
                <c:rich>
                  <a:bodyPr/>
                  <a:lstStyle/>
                  <a:p>
                    <a:fld id="{A7417543-D391-4CBC-8949-DB19ACF217AE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FBF1-4985-B3F9-8B197406F7DE}"/>
                </c:ext>
              </c:extLst>
            </c:dLbl>
            <c:dLbl>
              <c:idx val="5"/>
              <c:layout>
                <c:manualLayout>
                  <c:x val="-2.4247432254201678E-3"/>
                  <c:y val="-0.12635359606148214"/>
                </c:manualLayout>
              </c:layout>
              <c:tx>
                <c:rich>
                  <a:bodyPr/>
                  <a:lstStyle/>
                  <a:p>
                    <a:fld id="{5EAA0F26-DCEA-47E8-9E92-C6C1E41A6998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FBF1-4985-B3F9-8B197406F7DE}"/>
                </c:ext>
              </c:extLst>
            </c:dLbl>
            <c:dLbl>
              <c:idx val="6"/>
              <c:layout>
                <c:manualLayout>
                  <c:x val="4.6070121282983101E-2"/>
                  <c:y val="-0.11582412972302529"/>
                </c:manualLayout>
              </c:layout>
              <c:tx>
                <c:rich>
                  <a:bodyPr/>
                  <a:lstStyle/>
                  <a:p>
                    <a:fld id="{C178A8B3-BABA-4AA7-95C1-1FB64ACC9531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FBF1-4985-B3F9-8B197406F7DE}"/>
                </c:ext>
              </c:extLst>
            </c:dLbl>
            <c:dLbl>
              <c:idx val="7"/>
              <c:layout>
                <c:manualLayout>
                  <c:x val="7.0317553537184774E-2"/>
                  <c:y val="-0.10529466338456844"/>
                </c:manualLayout>
              </c:layout>
              <c:tx>
                <c:rich>
                  <a:bodyPr/>
                  <a:lstStyle/>
                  <a:p>
                    <a:fld id="{93C3A40A-67C7-4D0F-98A0-7CEB9B0E4C75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FBF1-4985-B3F9-8B197406F7DE}"/>
                </c:ext>
              </c:extLst>
            </c:dLbl>
            <c:dLbl>
              <c:idx val="8"/>
              <c:layout>
                <c:manualLayout>
                  <c:x val="9.2140242565966382E-2"/>
                  <c:y val="-7.0196442256378958E-2"/>
                </c:manualLayout>
              </c:layout>
              <c:tx>
                <c:rich>
                  <a:bodyPr/>
                  <a:lstStyle/>
                  <a:p>
                    <a:fld id="{08226F78-61BF-40CF-9A5A-F2927BF62077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FBF1-4985-B3F9-8B197406F7DE}"/>
                </c:ext>
              </c:extLst>
            </c:dLbl>
            <c:dLbl>
              <c:idx val="9"/>
              <c:layout>
                <c:manualLayout>
                  <c:x val="0.29133059759828306"/>
                  <c:y val="-0.33244314624346105"/>
                </c:manualLayout>
              </c:layout>
              <c:tx>
                <c:rich>
                  <a:bodyPr/>
                  <a:lstStyle/>
                  <a:p>
                    <a:fld id="{CD5E7CA5-037B-45CA-B03B-EBBF6C16EB47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FBF1-4985-B3F9-8B197406F7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'Grafico de Avance'!$V$11:$V$20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[1]Indicadores!$B$13:$B$22</c15:f>
                <c15:dlblRangeCache>
                  <c:ptCount val="10"/>
                  <c:pt idx="0">
                    <c:v>0,1</c:v>
                  </c:pt>
                  <c:pt idx="1">
                    <c:v>0,2</c:v>
                  </c:pt>
                  <c:pt idx="2">
                    <c:v>0,3</c:v>
                  </c:pt>
                  <c:pt idx="3">
                    <c:v>0,4</c:v>
                  </c:pt>
                  <c:pt idx="4">
                    <c:v>0,5</c:v>
                  </c:pt>
                  <c:pt idx="5">
                    <c:v>0,6</c:v>
                  </c:pt>
                  <c:pt idx="6">
                    <c:v>0,7</c:v>
                  </c:pt>
                  <c:pt idx="7">
                    <c:v>0,8</c:v>
                  </c:pt>
                  <c:pt idx="8">
                    <c:v>0,9</c:v>
                  </c:pt>
                  <c:pt idx="9">
                    <c:v>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FBF1-4985-B3F9-8B197406F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59"/>
      </c:doughnutChart>
      <c:scatterChart>
        <c:scatterStyle val="smoothMarker"/>
        <c:varyColors val="0"/>
        <c:ser>
          <c:idx val="1"/>
          <c:order val="1"/>
          <c:tx>
            <c:v>Puntos</c:v>
          </c:tx>
          <c:spPr>
            <a:ln w="76200" cap="rnd">
              <a:solidFill>
                <a:schemeClr val="tx1"/>
              </a:solidFill>
              <a:round/>
              <a:headEnd type="oval"/>
              <a:tailEnd type="triangle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'Grafico de Avance'!$V$24:$V$25</c:f>
              <c:numCache>
                <c:formatCode>General</c:formatCode>
                <c:ptCount val="2"/>
                <c:pt idx="0">
                  <c:v>0</c:v>
                </c:pt>
                <c:pt idx="1">
                  <c:v>0.93969262078590832</c:v>
                </c:pt>
              </c:numCache>
            </c:numRef>
          </c:xVal>
          <c:yVal>
            <c:numRef>
              <c:f>'Grafico de Avance'!$W$24:$W$25</c:f>
              <c:numCache>
                <c:formatCode>General</c:formatCode>
                <c:ptCount val="2"/>
                <c:pt idx="0">
                  <c:v>0</c:v>
                </c:pt>
                <c:pt idx="1">
                  <c:v>0.34202014332566888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FBF1-4985-B3F9-8B197406F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885624"/>
        <c:axId val="545883656"/>
      </c:scatterChart>
      <c:valAx>
        <c:axId val="545883656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545885624"/>
        <c:crosses val="autoZero"/>
        <c:crossBetween val="midCat"/>
      </c:valAx>
      <c:valAx>
        <c:axId val="545885624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54588365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'BURNDOWN CHART_6'!$F$16:$M$16</c:f>
              <c:numCache>
                <c:formatCode>General</c:formatCode>
                <c:ptCount val="7"/>
                <c:pt idx="0">
                  <c:v>16</c:v>
                </c:pt>
                <c:pt idx="1">
                  <c:v>14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B9-4415-93B1-2B4DF9F9D57E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'BURNDOWN CHART_6'!$F$17:$M$17</c:f>
              <c:numCache>
                <c:formatCode>0.00</c:formatCode>
                <c:ptCount val="7"/>
                <c:pt idx="0" formatCode="General">
                  <c:v>16</c:v>
                </c:pt>
                <c:pt idx="1">
                  <c:v>13.333333333333334</c:v>
                </c:pt>
                <c:pt idx="2">
                  <c:v>10.666666666666668</c:v>
                </c:pt>
                <c:pt idx="3">
                  <c:v>8.0000000000000018</c:v>
                </c:pt>
                <c:pt idx="4">
                  <c:v>5.3333333333333357</c:v>
                </c:pt>
                <c:pt idx="5">
                  <c:v>2.6666666666666692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B9-4415-93B1-2B4DF9F9D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09444"/>
        <c:axId val="1561032122"/>
      </c:lineChart>
      <c:catAx>
        <c:axId val="693094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561032122"/>
        <c:crosses val="autoZero"/>
        <c:auto val="1"/>
        <c:lblAlgn val="ctr"/>
        <c:lblOffset val="100"/>
        <c:noMultiLvlLbl val="1"/>
      </c:catAx>
      <c:valAx>
        <c:axId val="15610321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6930944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Nombre</a:t>
            </a:r>
            <a:r>
              <a:rPr lang="es-CO" baseline="0"/>
              <a:t> del Proyecto:</a:t>
            </a:r>
            <a:endParaRPr lang="es-CO"/>
          </a:p>
        </c:rich>
      </c:tx>
      <c:layout>
        <c:manualLayout>
          <c:xMode val="edge"/>
          <c:yMode val="edge"/>
          <c:x val="0.12513098997051583"/>
          <c:y val="0.67205765439116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3322622874385323"/>
          <c:y val="0.21199490972719315"/>
          <c:w val="0.75064129501078003"/>
          <c:h val="0.7880050902728068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A5F-4436-9FD5-A7BF9C9DA78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A5F-4436-9FD5-A7BF9C9DA787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A5F-4436-9FD5-A7BF9C9DA78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A5F-4436-9FD5-A7BF9C9DA787}"/>
              </c:ext>
            </c:extLst>
          </c:dPt>
          <c:dPt>
            <c:idx val="4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A5F-4436-9FD5-A7BF9C9DA787}"/>
              </c:ext>
            </c:extLst>
          </c:dPt>
          <c:dPt>
            <c:idx val="5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A5F-4436-9FD5-A7BF9C9DA787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A5F-4436-9FD5-A7BF9C9DA787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A5F-4436-9FD5-A7BF9C9DA787}"/>
              </c:ext>
            </c:extLst>
          </c:dPt>
          <c:dPt>
            <c:idx val="8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A5F-4436-9FD5-A7BF9C9DA787}"/>
              </c:ext>
            </c:extLst>
          </c:dPt>
          <c:dPt>
            <c:idx val="9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A5F-4436-9FD5-A7BF9C9DA787}"/>
              </c:ext>
            </c:extLst>
          </c:dPt>
          <c:dLbls>
            <c:dLbl>
              <c:idx val="0"/>
              <c:layout>
                <c:manualLayout>
                  <c:x val="-0.1333333692262923"/>
                  <c:y val="-4.040404040404040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5A592D8-932B-403A-A5E9-1930AE8796EC}" type="CELLRANGE">
                      <a:rPr lang="en-US"/>
                      <a:pPr>
                        <a:defRPr sz="1400"/>
                      </a:pPr>
                      <a:t>[CELLRANGE]</a:t>
                    </a:fld>
                    <a:endParaRPr lang="es-CO"/>
                  </a:p>
                </c:rich>
              </c:tx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A5F-4436-9FD5-A7BF9C9DA787}"/>
                </c:ext>
              </c:extLst>
            </c:dLbl>
            <c:dLbl>
              <c:idx val="1"/>
              <c:layout>
                <c:manualLayout>
                  <c:x val="-0.13333336922629227"/>
                  <c:y val="-8.0808080808080815E-2"/>
                </c:manualLayout>
              </c:layout>
              <c:tx>
                <c:rich>
                  <a:bodyPr/>
                  <a:lstStyle/>
                  <a:p>
                    <a:fld id="{5805E8BB-29D7-4011-87EA-748ECF290E3B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BA5F-4436-9FD5-A7BF9C9DA787}"/>
                </c:ext>
              </c:extLst>
            </c:dLbl>
            <c:dLbl>
              <c:idx val="2"/>
              <c:layout>
                <c:manualLayout>
                  <c:x val="-9.2307717156663888E-2"/>
                  <c:y val="-0.12121212121212124"/>
                </c:manualLayout>
              </c:layout>
              <c:tx>
                <c:rich>
                  <a:bodyPr/>
                  <a:lstStyle/>
                  <a:p>
                    <a:fld id="{D976882A-BD73-4D96-8917-9C78582A8BDA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BA5F-4436-9FD5-A7BF9C9DA787}"/>
                </c:ext>
              </c:extLst>
            </c:dLbl>
            <c:dLbl>
              <c:idx val="3"/>
              <c:layout>
                <c:manualLayout>
                  <c:x val="-4.6811613113444117E-2"/>
                  <c:y val="-0.1398761886978708"/>
                </c:manualLayout>
              </c:layout>
              <c:tx>
                <c:rich>
                  <a:bodyPr/>
                  <a:lstStyle/>
                  <a:p>
                    <a:fld id="{1F28FA43-0C63-46E0-BE59-DFCED170F292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BA5F-4436-9FD5-A7BF9C9DA787}"/>
                </c:ext>
              </c:extLst>
            </c:dLbl>
            <c:dLbl>
              <c:idx val="4"/>
              <c:layout>
                <c:manualLayout>
                  <c:x val="-6.2677355496661992E-17"/>
                  <c:y val="-0.13737373737373737"/>
                </c:manualLayout>
              </c:layout>
              <c:tx>
                <c:rich>
                  <a:bodyPr/>
                  <a:lstStyle/>
                  <a:p>
                    <a:fld id="{013EED9E-91A2-4906-A1BC-D47082180C7A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BA5F-4436-9FD5-A7BF9C9DA787}"/>
                </c:ext>
              </c:extLst>
            </c:dLbl>
            <c:dLbl>
              <c:idx val="5"/>
              <c:layout>
                <c:manualLayout>
                  <c:x val="6.1538478104442462E-2"/>
                  <c:y val="-0.12929292929292929"/>
                </c:manualLayout>
              </c:layout>
              <c:tx>
                <c:rich>
                  <a:bodyPr/>
                  <a:lstStyle/>
                  <a:p>
                    <a:fld id="{6446E7C2-971B-4A69-909B-6D8B68928753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BA5F-4436-9FD5-A7BF9C9DA787}"/>
                </c:ext>
              </c:extLst>
            </c:dLbl>
            <c:dLbl>
              <c:idx val="6"/>
              <c:layout>
                <c:manualLayout>
                  <c:x val="0.10940173885234238"/>
                  <c:y val="-0.10505050505050513"/>
                </c:manualLayout>
              </c:layout>
              <c:tx>
                <c:rich>
                  <a:bodyPr/>
                  <a:lstStyle/>
                  <a:p>
                    <a:fld id="{F2D0E222-14C0-4F40-9224-906F4C71C600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BA5F-4436-9FD5-A7BF9C9DA787}"/>
                </c:ext>
              </c:extLst>
            </c:dLbl>
            <c:dLbl>
              <c:idx val="7"/>
              <c:layout>
                <c:manualLayout>
                  <c:x val="0.12307695620888517"/>
                  <c:y val="-6.0606060606060608E-2"/>
                </c:manualLayout>
              </c:layout>
              <c:tx>
                <c:rich>
                  <a:bodyPr/>
                  <a:lstStyle/>
                  <a:p>
                    <a:fld id="{5B266659-E7F4-468E-84FE-C0FC716896C1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BA5F-4436-9FD5-A7BF9C9DA787}"/>
                </c:ext>
              </c:extLst>
            </c:dLbl>
            <c:dLbl>
              <c:idx val="8"/>
              <c:layout>
                <c:manualLayout>
                  <c:x val="0.12991456488715644"/>
                  <c:y val="-3.2323232323232323E-2"/>
                </c:manualLayout>
              </c:layout>
              <c:tx>
                <c:rich>
                  <a:bodyPr/>
                  <a:lstStyle/>
                  <a:p>
                    <a:fld id="{0AF166E5-FE12-4DD6-A6B8-B7AAA317865D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BA5F-4436-9FD5-A7BF9C9DA787}"/>
                </c:ext>
              </c:extLst>
            </c:dLbl>
            <c:dLbl>
              <c:idx val="9"/>
              <c:layout>
                <c:manualLayout>
                  <c:x val="0.39658130333974112"/>
                  <c:y val="-0.26666666666666672"/>
                </c:manualLayout>
              </c:layout>
              <c:tx>
                <c:rich>
                  <a:bodyPr/>
                  <a:lstStyle/>
                  <a:p>
                    <a:fld id="{D94812D9-5F16-4B86-9ADB-B6780575FB73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BA5F-4436-9FD5-A7BF9C9DA7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'BURNDOWN CHART_6'!$AM$6:$AM$15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[1]Indicadores!$B$13:$B$22</c15:f>
                <c15:dlblRangeCache>
                  <c:ptCount val="10"/>
                  <c:pt idx="0">
                    <c:v>0,1</c:v>
                  </c:pt>
                  <c:pt idx="1">
                    <c:v>0,2</c:v>
                  </c:pt>
                  <c:pt idx="2">
                    <c:v>0,3</c:v>
                  </c:pt>
                  <c:pt idx="3">
                    <c:v>0,4</c:v>
                  </c:pt>
                  <c:pt idx="4">
                    <c:v>0,5</c:v>
                  </c:pt>
                  <c:pt idx="5">
                    <c:v>0,6</c:v>
                  </c:pt>
                  <c:pt idx="6">
                    <c:v>0,7</c:v>
                  </c:pt>
                  <c:pt idx="7">
                    <c:v>0,8</c:v>
                  </c:pt>
                  <c:pt idx="8">
                    <c:v>0,9</c:v>
                  </c:pt>
                  <c:pt idx="9">
                    <c:v>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BA5F-4436-9FD5-A7BF9C9DA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59"/>
      </c:doughnutChart>
      <c:scatterChart>
        <c:scatterStyle val="smoothMarker"/>
        <c:varyColors val="0"/>
        <c:ser>
          <c:idx val="1"/>
          <c:order val="1"/>
          <c:tx>
            <c:v>Puntos</c:v>
          </c:tx>
          <c:spPr>
            <a:ln w="76200" cap="rnd">
              <a:solidFill>
                <a:schemeClr val="tx1"/>
              </a:solidFill>
              <a:round/>
              <a:headEnd type="diamond"/>
              <a:tailEnd type="triangle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'BURNDOWN CHART_6'!$AM$19:$AM$20</c:f>
              <c:numCache>
                <c:formatCode>General</c:formatCode>
                <c:ptCount val="2"/>
                <c:pt idx="0">
                  <c:v>0</c:v>
                </c:pt>
                <c:pt idx="1">
                  <c:v>-0.70710678118654757</c:v>
                </c:pt>
              </c:numCache>
            </c:numRef>
          </c:xVal>
          <c:yVal>
            <c:numRef>
              <c:f>'BURNDOWN CHART_6'!$AN$19:$AN$20</c:f>
              <c:numCache>
                <c:formatCode>General</c:formatCode>
                <c:ptCount val="2"/>
                <c:pt idx="0">
                  <c:v>0</c:v>
                </c:pt>
                <c:pt idx="1">
                  <c:v>0.70710678118654746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BA5F-4436-9FD5-A7BF9C9DA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885624"/>
        <c:axId val="545883656"/>
      </c:scatterChart>
      <c:valAx>
        <c:axId val="545883656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545885624"/>
        <c:crosses val="autoZero"/>
        <c:crossBetween val="midCat"/>
      </c:valAx>
      <c:valAx>
        <c:axId val="545885624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54588365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'BURNDOWN CHART_7'!$F$16:$M$16</c:f>
              <c:numCache>
                <c:formatCode>General</c:formatCode>
                <c:ptCount val="7"/>
                <c:pt idx="0">
                  <c:v>16</c:v>
                </c:pt>
                <c:pt idx="1">
                  <c:v>14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5-4E48-91DD-7382156A98F0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'BURNDOWN CHART_7'!$F$17:$M$17</c:f>
              <c:numCache>
                <c:formatCode>0.00</c:formatCode>
                <c:ptCount val="7"/>
                <c:pt idx="0" formatCode="General">
                  <c:v>16</c:v>
                </c:pt>
                <c:pt idx="1">
                  <c:v>13.333333333333334</c:v>
                </c:pt>
                <c:pt idx="2">
                  <c:v>10.666666666666668</c:v>
                </c:pt>
                <c:pt idx="3">
                  <c:v>8.0000000000000018</c:v>
                </c:pt>
                <c:pt idx="4">
                  <c:v>5.3333333333333357</c:v>
                </c:pt>
                <c:pt idx="5">
                  <c:v>2.6666666666666692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95-4E48-91DD-7382156A9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09444"/>
        <c:axId val="1561032122"/>
      </c:lineChart>
      <c:catAx>
        <c:axId val="693094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561032122"/>
        <c:crosses val="autoZero"/>
        <c:auto val="1"/>
        <c:lblAlgn val="ctr"/>
        <c:lblOffset val="100"/>
        <c:noMultiLvlLbl val="1"/>
      </c:catAx>
      <c:valAx>
        <c:axId val="15610321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6930944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Nombre</a:t>
            </a:r>
            <a:r>
              <a:rPr lang="es-CO" baseline="0"/>
              <a:t> del Proyecto:</a:t>
            </a:r>
            <a:endParaRPr lang="es-CO"/>
          </a:p>
        </c:rich>
      </c:tx>
      <c:layout>
        <c:manualLayout>
          <c:xMode val="edge"/>
          <c:yMode val="edge"/>
          <c:x val="0.12513098997051583"/>
          <c:y val="0.67205765439116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3322622874385323"/>
          <c:y val="0.21199490972719315"/>
          <c:w val="0.75064129501078003"/>
          <c:h val="0.7880050902728068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EB3-40EB-BCA8-60BF49B30FD9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EB3-40EB-BCA8-60BF49B30FD9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EB3-40EB-BCA8-60BF49B30FD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EB3-40EB-BCA8-60BF49B30FD9}"/>
              </c:ext>
            </c:extLst>
          </c:dPt>
          <c:dPt>
            <c:idx val="4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EB3-40EB-BCA8-60BF49B30FD9}"/>
              </c:ext>
            </c:extLst>
          </c:dPt>
          <c:dPt>
            <c:idx val="5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EB3-40EB-BCA8-60BF49B30FD9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EB3-40EB-BCA8-60BF49B30FD9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EB3-40EB-BCA8-60BF49B30FD9}"/>
              </c:ext>
            </c:extLst>
          </c:dPt>
          <c:dPt>
            <c:idx val="8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EB3-40EB-BCA8-60BF49B30FD9}"/>
              </c:ext>
            </c:extLst>
          </c:dPt>
          <c:dPt>
            <c:idx val="9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EB3-40EB-BCA8-60BF49B30FD9}"/>
              </c:ext>
            </c:extLst>
          </c:dPt>
          <c:dLbls>
            <c:dLbl>
              <c:idx val="0"/>
              <c:layout>
                <c:manualLayout>
                  <c:x val="-0.1333333692262923"/>
                  <c:y val="-4.040404040404040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5A592D8-932B-403A-A5E9-1930AE8796EC}" type="CELLRANGE">
                      <a:rPr lang="en-US"/>
                      <a:pPr>
                        <a:defRPr sz="1400"/>
                      </a:pPr>
                      <a:t>[CELLRANGE]</a:t>
                    </a:fld>
                    <a:endParaRPr lang="es-CO"/>
                  </a:p>
                </c:rich>
              </c:tx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EB3-40EB-BCA8-60BF49B30FD9}"/>
                </c:ext>
              </c:extLst>
            </c:dLbl>
            <c:dLbl>
              <c:idx val="1"/>
              <c:layout>
                <c:manualLayout>
                  <c:x val="-0.13333336922629227"/>
                  <c:y val="-8.0808080808080815E-2"/>
                </c:manualLayout>
              </c:layout>
              <c:tx>
                <c:rich>
                  <a:bodyPr/>
                  <a:lstStyle/>
                  <a:p>
                    <a:fld id="{5805E8BB-29D7-4011-87EA-748ECF290E3B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2EB3-40EB-BCA8-60BF49B30FD9}"/>
                </c:ext>
              </c:extLst>
            </c:dLbl>
            <c:dLbl>
              <c:idx val="2"/>
              <c:layout>
                <c:manualLayout>
                  <c:x val="-9.2307717156663888E-2"/>
                  <c:y val="-0.12121212121212124"/>
                </c:manualLayout>
              </c:layout>
              <c:tx>
                <c:rich>
                  <a:bodyPr/>
                  <a:lstStyle/>
                  <a:p>
                    <a:fld id="{D976882A-BD73-4D96-8917-9C78582A8BDA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2EB3-40EB-BCA8-60BF49B30FD9}"/>
                </c:ext>
              </c:extLst>
            </c:dLbl>
            <c:dLbl>
              <c:idx val="3"/>
              <c:layout>
                <c:manualLayout>
                  <c:x val="-4.6811613113444117E-2"/>
                  <c:y val="-0.1398761886978708"/>
                </c:manualLayout>
              </c:layout>
              <c:tx>
                <c:rich>
                  <a:bodyPr/>
                  <a:lstStyle/>
                  <a:p>
                    <a:fld id="{1F28FA43-0C63-46E0-BE59-DFCED170F292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2EB3-40EB-BCA8-60BF49B30FD9}"/>
                </c:ext>
              </c:extLst>
            </c:dLbl>
            <c:dLbl>
              <c:idx val="4"/>
              <c:layout>
                <c:manualLayout>
                  <c:x val="-6.2677355496661992E-17"/>
                  <c:y val="-0.13737373737373737"/>
                </c:manualLayout>
              </c:layout>
              <c:tx>
                <c:rich>
                  <a:bodyPr/>
                  <a:lstStyle/>
                  <a:p>
                    <a:fld id="{013EED9E-91A2-4906-A1BC-D47082180C7A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2EB3-40EB-BCA8-60BF49B30FD9}"/>
                </c:ext>
              </c:extLst>
            </c:dLbl>
            <c:dLbl>
              <c:idx val="5"/>
              <c:layout>
                <c:manualLayout>
                  <c:x val="6.1538478104442462E-2"/>
                  <c:y val="-0.12929292929292929"/>
                </c:manualLayout>
              </c:layout>
              <c:tx>
                <c:rich>
                  <a:bodyPr/>
                  <a:lstStyle/>
                  <a:p>
                    <a:fld id="{6446E7C2-971B-4A69-909B-6D8B68928753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2EB3-40EB-BCA8-60BF49B30FD9}"/>
                </c:ext>
              </c:extLst>
            </c:dLbl>
            <c:dLbl>
              <c:idx val="6"/>
              <c:layout>
                <c:manualLayout>
                  <c:x val="0.10940173885234238"/>
                  <c:y val="-0.10505050505050513"/>
                </c:manualLayout>
              </c:layout>
              <c:tx>
                <c:rich>
                  <a:bodyPr/>
                  <a:lstStyle/>
                  <a:p>
                    <a:fld id="{F2D0E222-14C0-4F40-9224-906F4C71C600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2EB3-40EB-BCA8-60BF49B30FD9}"/>
                </c:ext>
              </c:extLst>
            </c:dLbl>
            <c:dLbl>
              <c:idx val="7"/>
              <c:layout>
                <c:manualLayout>
                  <c:x val="0.12307695620888517"/>
                  <c:y val="-6.0606060606060608E-2"/>
                </c:manualLayout>
              </c:layout>
              <c:tx>
                <c:rich>
                  <a:bodyPr/>
                  <a:lstStyle/>
                  <a:p>
                    <a:fld id="{5B266659-E7F4-468E-84FE-C0FC716896C1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2EB3-40EB-BCA8-60BF49B30FD9}"/>
                </c:ext>
              </c:extLst>
            </c:dLbl>
            <c:dLbl>
              <c:idx val="8"/>
              <c:layout>
                <c:manualLayout>
                  <c:x val="0.12991456488715644"/>
                  <c:y val="-3.2323232323232323E-2"/>
                </c:manualLayout>
              </c:layout>
              <c:tx>
                <c:rich>
                  <a:bodyPr/>
                  <a:lstStyle/>
                  <a:p>
                    <a:fld id="{0AF166E5-FE12-4DD6-A6B8-B7AAA317865D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2EB3-40EB-BCA8-60BF49B30FD9}"/>
                </c:ext>
              </c:extLst>
            </c:dLbl>
            <c:dLbl>
              <c:idx val="9"/>
              <c:layout>
                <c:manualLayout>
                  <c:x val="0.39658130333974112"/>
                  <c:y val="-0.26666666666666672"/>
                </c:manualLayout>
              </c:layout>
              <c:tx>
                <c:rich>
                  <a:bodyPr/>
                  <a:lstStyle/>
                  <a:p>
                    <a:fld id="{D94812D9-5F16-4B86-9ADB-B6780575FB73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2EB3-40EB-BCA8-60BF49B30F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'BURNDOWN CHART_7'!$AM$6:$AM$15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[1]Indicadores!$B$13:$B$22</c15:f>
                <c15:dlblRangeCache>
                  <c:ptCount val="10"/>
                  <c:pt idx="0">
                    <c:v>0,1</c:v>
                  </c:pt>
                  <c:pt idx="1">
                    <c:v>0,2</c:v>
                  </c:pt>
                  <c:pt idx="2">
                    <c:v>0,3</c:v>
                  </c:pt>
                  <c:pt idx="3">
                    <c:v>0,4</c:v>
                  </c:pt>
                  <c:pt idx="4">
                    <c:v>0,5</c:v>
                  </c:pt>
                  <c:pt idx="5">
                    <c:v>0,6</c:v>
                  </c:pt>
                  <c:pt idx="6">
                    <c:v>0,7</c:v>
                  </c:pt>
                  <c:pt idx="7">
                    <c:v>0,8</c:v>
                  </c:pt>
                  <c:pt idx="8">
                    <c:v>0,9</c:v>
                  </c:pt>
                  <c:pt idx="9">
                    <c:v>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2EB3-40EB-BCA8-60BF49B30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59"/>
      </c:doughnutChart>
      <c:scatterChart>
        <c:scatterStyle val="smoothMarker"/>
        <c:varyColors val="0"/>
        <c:ser>
          <c:idx val="1"/>
          <c:order val="1"/>
          <c:tx>
            <c:v>Puntos</c:v>
          </c:tx>
          <c:spPr>
            <a:ln w="76200" cap="rnd">
              <a:solidFill>
                <a:schemeClr val="tx1"/>
              </a:solidFill>
              <a:round/>
              <a:headEnd type="diamond"/>
              <a:tailEnd type="triangle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'BURNDOWN CHART_7'!$AM$19:$AM$20</c:f>
              <c:numCache>
                <c:formatCode>General</c:formatCode>
                <c:ptCount val="2"/>
                <c:pt idx="0">
                  <c:v>0</c:v>
                </c:pt>
                <c:pt idx="1">
                  <c:v>-0.70710678118654757</c:v>
                </c:pt>
              </c:numCache>
            </c:numRef>
          </c:xVal>
          <c:yVal>
            <c:numRef>
              <c:f>'BURNDOWN CHART_7'!$AN$19:$AN$20</c:f>
              <c:numCache>
                <c:formatCode>General</c:formatCode>
                <c:ptCount val="2"/>
                <c:pt idx="0">
                  <c:v>0</c:v>
                </c:pt>
                <c:pt idx="1">
                  <c:v>0.70710678118654746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2EB3-40EB-BCA8-60BF49B30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885624"/>
        <c:axId val="545883656"/>
      </c:scatterChart>
      <c:valAx>
        <c:axId val="545883656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545885624"/>
        <c:crosses val="autoZero"/>
        <c:crossBetween val="midCat"/>
      </c:valAx>
      <c:valAx>
        <c:axId val="545885624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54588365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'BURNDOWN CHART_4'!$F$18:$M$18</c:f>
              <c:numCache>
                <c:formatCode>General</c:formatCode>
                <c:ptCount val="7"/>
                <c:pt idx="0">
                  <c:v>27</c:v>
                </c:pt>
                <c:pt idx="1">
                  <c:v>24</c:v>
                </c:pt>
                <c:pt idx="2">
                  <c:v>22</c:v>
                </c:pt>
                <c:pt idx="3">
                  <c:v>18</c:v>
                </c:pt>
                <c:pt idx="4">
                  <c:v>16</c:v>
                </c:pt>
                <c:pt idx="5">
                  <c:v>12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55-4C44-A484-464D6303A3CC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'BURNDOWN CHART_4'!$F$19:$M$19</c:f>
              <c:numCache>
                <c:formatCode>0.00</c:formatCode>
                <c:ptCount val="7"/>
                <c:pt idx="0" formatCode="General">
                  <c:v>27</c:v>
                </c:pt>
                <c:pt idx="1">
                  <c:v>22.5</c:v>
                </c:pt>
                <c:pt idx="2">
                  <c:v>18</c:v>
                </c:pt>
                <c:pt idx="3">
                  <c:v>13.5</c:v>
                </c:pt>
                <c:pt idx="4">
                  <c:v>9</c:v>
                </c:pt>
                <c:pt idx="5">
                  <c:v>4.5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55-4C44-A484-464D6303A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09444"/>
        <c:axId val="1561032122"/>
      </c:lineChart>
      <c:catAx>
        <c:axId val="693094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561032122"/>
        <c:crosses val="autoZero"/>
        <c:auto val="1"/>
        <c:lblAlgn val="ctr"/>
        <c:lblOffset val="100"/>
        <c:noMultiLvlLbl val="1"/>
      </c:catAx>
      <c:valAx>
        <c:axId val="15610321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6930944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Nombre</a:t>
            </a:r>
            <a:r>
              <a:rPr lang="es-CO" baseline="0"/>
              <a:t> del Proyecto:</a:t>
            </a:r>
            <a:endParaRPr lang="es-CO"/>
          </a:p>
        </c:rich>
      </c:tx>
      <c:layout>
        <c:manualLayout>
          <c:xMode val="edge"/>
          <c:yMode val="edge"/>
          <c:x val="0.12513098997051583"/>
          <c:y val="0.67205765439116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3322622874385323"/>
          <c:y val="0.21199490972719315"/>
          <c:w val="0.75064129501078003"/>
          <c:h val="0.7880050902728068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530-4716-9192-D4AF76D47C0D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530-4716-9192-D4AF76D47C0D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530-4716-9192-D4AF76D47C0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530-4716-9192-D4AF76D47C0D}"/>
              </c:ext>
            </c:extLst>
          </c:dPt>
          <c:dPt>
            <c:idx val="4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530-4716-9192-D4AF76D47C0D}"/>
              </c:ext>
            </c:extLst>
          </c:dPt>
          <c:dPt>
            <c:idx val="5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530-4716-9192-D4AF76D47C0D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530-4716-9192-D4AF76D47C0D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530-4716-9192-D4AF76D47C0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530-4716-9192-D4AF76D47C0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530-4716-9192-D4AF76D47C0D}"/>
              </c:ext>
            </c:extLst>
          </c:dPt>
          <c:dPt>
            <c:idx val="1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530-4716-9192-D4AF76D47C0D}"/>
              </c:ext>
            </c:extLst>
          </c:dPt>
          <c:dPt>
            <c:idx val="1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B530-4716-9192-D4AF76D47C0D}"/>
              </c:ext>
            </c:extLst>
          </c:dPt>
          <c:dLbls>
            <c:dLbl>
              <c:idx val="0"/>
              <c:layout>
                <c:manualLayout>
                  <c:x val="-0.1333333692262923"/>
                  <c:y val="-4.040404040404040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148C034-5AAD-47AF-9FEE-8994B87CA2CC}" type="CELLRANGE">
                      <a:rPr lang="en-US"/>
                      <a:pPr>
                        <a:defRPr sz="1400"/>
                      </a:pPr>
                      <a:t>[CELLRANGE]</a:t>
                    </a:fld>
                    <a:endParaRPr lang="es-CO"/>
                  </a:p>
                </c:rich>
              </c:tx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530-4716-9192-D4AF76D47C0D}"/>
                </c:ext>
              </c:extLst>
            </c:dLbl>
            <c:dLbl>
              <c:idx val="1"/>
              <c:layout>
                <c:manualLayout>
                  <c:x val="-0.13333336922629227"/>
                  <c:y val="-8.0808080808080815E-2"/>
                </c:manualLayout>
              </c:layout>
              <c:tx>
                <c:rich>
                  <a:bodyPr/>
                  <a:lstStyle/>
                  <a:p>
                    <a:fld id="{906A35F9-C730-42F7-918D-B8DB6DB3FCDE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B530-4716-9192-D4AF76D47C0D}"/>
                </c:ext>
              </c:extLst>
            </c:dLbl>
            <c:dLbl>
              <c:idx val="2"/>
              <c:layout>
                <c:manualLayout>
                  <c:x val="-9.2307717156663888E-2"/>
                  <c:y val="-0.12121212121212124"/>
                </c:manualLayout>
              </c:layout>
              <c:tx>
                <c:rich>
                  <a:bodyPr/>
                  <a:lstStyle/>
                  <a:p>
                    <a:fld id="{AE634478-971A-4F8A-B8E3-0C176091921E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B530-4716-9192-D4AF76D47C0D}"/>
                </c:ext>
              </c:extLst>
            </c:dLbl>
            <c:dLbl>
              <c:idx val="3"/>
              <c:layout>
                <c:manualLayout>
                  <c:x val="-4.6811613113444117E-2"/>
                  <c:y val="-0.1398761886978708"/>
                </c:manualLayout>
              </c:layout>
              <c:tx>
                <c:rich>
                  <a:bodyPr/>
                  <a:lstStyle/>
                  <a:p>
                    <a:fld id="{B07AB1A7-3D3B-4063-A65C-2EBBEA44A47E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B530-4716-9192-D4AF76D47C0D}"/>
                </c:ext>
              </c:extLst>
            </c:dLbl>
            <c:dLbl>
              <c:idx val="4"/>
              <c:layout>
                <c:manualLayout>
                  <c:x val="-6.2677355496661992E-17"/>
                  <c:y val="-0.13737373737373737"/>
                </c:manualLayout>
              </c:layout>
              <c:tx>
                <c:rich>
                  <a:bodyPr/>
                  <a:lstStyle/>
                  <a:p>
                    <a:fld id="{B06F1B69-0DD1-48E5-82DF-B379A103CF18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B530-4716-9192-D4AF76D47C0D}"/>
                </c:ext>
              </c:extLst>
            </c:dLbl>
            <c:dLbl>
              <c:idx val="5"/>
              <c:layout>
                <c:manualLayout>
                  <c:x val="6.1538478104442462E-2"/>
                  <c:y val="-0.12929292929292929"/>
                </c:manualLayout>
              </c:layout>
              <c:tx>
                <c:rich>
                  <a:bodyPr/>
                  <a:lstStyle/>
                  <a:p>
                    <a:fld id="{5D49E50E-2799-4CAB-A701-8669D3489A0D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B530-4716-9192-D4AF76D47C0D}"/>
                </c:ext>
              </c:extLst>
            </c:dLbl>
            <c:dLbl>
              <c:idx val="6"/>
              <c:layout>
                <c:manualLayout>
                  <c:x val="0.10940173885234238"/>
                  <c:y val="-0.10505050505050513"/>
                </c:manualLayout>
              </c:layout>
              <c:tx>
                <c:rich>
                  <a:bodyPr/>
                  <a:lstStyle/>
                  <a:p>
                    <a:fld id="{5F8E3A7D-6684-465C-9C5C-ECE4DE9DECE6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B530-4716-9192-D4AF76D47C0D}"/>
                </c:ext>
              </c:extLst>
            </c:dLbl>
            <c:dLbl>
              <c:idx val="7"/>
              <c:layout>
                <c:manualLayout>
                  <c:x val="0.12307695620888517"/>
                  <c:y val="-6.0606060606060608E-2"/>
                </c:manualLayout>
              </c:layout>
              <c:tx>
                <c:rich>
                  <a:bodyPr/>
                  <a:lstStyle/>
                  <a:p>
                    <a:fld id="{648E2443-5CE4-4692-9197-77C84FD6FADE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B530-4716-9192-D4AF76D47C0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B530-4716-9192-D4AF76D47C0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B530-4716-9192-D4AF76D47C0D}"/>
                </c:ext>
              </c:extLst>
            </c:dLbl>
            <c:dLbl>
              <c:idx val="10"/>
              <c:layout>
                <c:manualLayout>
                  <c:x val="0.12991456488715644"/>
                  <c:y val="-3.2323232323232323E-2"/>
                </c:manualLayout>
              </c:layout>
              <c:tx>
                <c:rich>
                  <a:bodyPr/>
                  <a:lstStyle/>
                  <a:p>
                    <a:fld id="{35399E72-9F35-4301-854A-D013C4DF33B8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B530-4716-9192-D4AF76D47C0D}"/>
                </c:ext>
              </c:extLst>
            </c:dLbl>
            <c:dLbl>
              <c:idx val="11"/>
              <c:layout>
                <c:manualLayout>
                  <c:x val="0.39658130333974112"/>
                  <c:y val="-0.26666666666666672"/>
                </c:manualLayout>
              </c:layout>
              <c:tx>
                <c:rich>
                  <a:bodyPr/>
                  <a:lstStyle/>
                  <a:p>
                    <a:fld id="{C538B598-D9AB-4340-A653-E7B13B44A1D5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B530-4716-9192-D4AF76D47C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'BURNDOWN CHART_4'!$AM$6:$AM$17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10">
                  <c:v>1</c:v>
                </c:pt>
                <c:pt idx="11">
                  <c:v>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[1]Indicadores!$B$13:$B$22</c15:f>
                <c15:dlblRangeCache>
                  <c:ptCount val="10"/>
                  <c:pt idx="0">
                    <c:v>0,1</c:v>
                  </c:pt>
                  <c:pt idx="1">
                    <c:v>0,2</c:v>
                  </c:pt>
                  <c:pt idx="2">
                    <c:v>0,3</c:v>
                  </c:pt>
                  <c:pt idx="3">
                    <c:v>0,4</c:v>
                  </c:pt>
                  <c:pt idx="4">
                    <c:v>0,5</c:v>
                  </c:pt>
                  <c:pt idx="5">
                    <c:v>0,6</c:v>
                  </c:pt>
                  <c:pt idx="6">
                    <c:v>0,7</c:v>
                  </c:pt>
                  <c:pt idx="7">
                    <c:v>0,8</c:v>
                  </c:pt>
                  <c:pt idx="8">
                    <c:v>0,9</c:v>
                  </c:pt>
                  <c:pt idx="9">
                    <c:v>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B530-4716-9192-D4AF76D47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59"/>
      </c:doughnutChart>
      <c:scatterChart>
        <c:scatterStyle val="smoothMarker"/>
        <c:varyColors val="0"/>
        <c:ser>
          <c:idx val="1"/>
          <c:order val="1"/>
          <c:tx>
            <c:v>Puntos</c:v>
          </c:tx>
          <c:spPr>
            <a:ln w="76200" cap="rnd">
              <a:solidFill>
                <a:schemeClr val="tx1"/>
              </a:solidFill>
              <a:round/>
              <a:headEnd type="diamond"/>
              <a:tailEnd type="triangle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'BURNDOWN CHART_4'!$AM$21:$AM$22</c:f>
              <c:numCache>
                <c:formatCode>General</c:formatCode>
                <c:ptCount val="2"/>
                <c:pt idx="0">
                  <c:v>0</c:v>
                </c:pt>
                <c:pt idx="1">
                  <c:v>0.97304487057982381</c:v>
                </c:pt>
              </c:numCache>
            </c:numRef>
          </c:xVal>
          <c:yVal>
            <c:numRef>
              <c:f>'BURNDOWN CHART_4'!$AN$21:$AN$22</c:f>
              <c:numCache>
                <c:formatCode>General</c:formatCode>
                <c:ptCount val="2"/>
                <c:pt idx="0">
                  <c:v>0</c:v>
                </c:pt>
                <c:pt idx="1">
                  <c:v>0.23061587074244033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B530-4716-9192-D4AF76D47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885624"/>
        <c:axId val="545883656"/>
      </c:scatterChart>
      <c:valAx>
        <c:axId val="545883656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545885624"/>
        <c:crosses val="autoZero"/>
        <c:crossBetween val="midCat"/>
      </c:valAx>
      <c:valAx>
        <c:axId val="545885624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54588365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 de Actividades por Sprint.xlsx]Tabla Resumen!TablaDinámica4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 Resumen'!$AD$5:$AD$6</c:f>
              <c:strCache>
                <c:ptCount val="1"/>
                <c:pt idx="0">
                  <c:v>Reunión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'Tabla Resumen'!$AB$7:$AC$10</c:f>
              <c:multiLvlStrCache>
                <c:ptCount val="3"/>
                <c:lvl>
                  <c:pt idx="0">
                    <c:v>Done</c:v>
                  </c:pt>
                  <c:pt idx="1">
                    <c:v>Done</c:v>
                  </c:pt>
                  <c:pt idx="2">
                    <c:v>Anulada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</c:lvl>
              </c:multiLvlStrCache>
            </c:multiLvlStrRef>
          </c:cat>
          <c:val>
            <c:numRef>
              <c:f>'Tabla Resumen'!$AD$7:$AD$10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86-4A1F-9BEE-D05129D7EABD}"/>
            </c:ext>
          </c:extLst>
        </c:ser>
        <c:ser>
          <c:idx val="1"/>
          <c:order val="1"/>
          <c:tx>
            <c:strRef>
              <c:f>'Tabla Resumen'!$AE$5:$AE$6</c:f>
              <c:strCache>
                <c:ptCount val="1"/>
                <c:pt idx="0">
                  <c:v>Tarea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'Tabla Resumen'!$AB$7:$AC$10</c:f>
              <c:multiLvlStrCache>
                <c:ptCount val="3"/>
                <c:lvl>
                  <c:pt idx="0">
                    <c:v>Done</c:v>
                  </c:pt>
                  <c:pt idx="1">
                    <c:v>Done</c:v>
                  </c:pt>
                  <c:pt idx="2">
                    <c:v>Anulada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</c:lvl>
              </c:multiLvlStrCache>
            </c:multiLvlStrRef>
          </c:cat>
          <c:val>
            <c:numRef>
              <c:f>'Tabla Resumen'!$AE$7:$AE$10</c:f>
              <c:numCache>
                <c:formatCode>General</c:formatCode>
                <c:ptCount val="3"/>
                <c:pt idx="0">
                  <c:v>5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86-4A1F-9BEE-D05129D7E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600568"/>
        <c:axId val="590608440"/>
      </c:barChart>
      <c:catAx>
        <c:axId val="590600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0608440"/>
        <c:crosses val="autoZero"/>
        <c:auto val="1"/>
        <c:lblAlgn val="ctr"/>
        <c:lblOffset val="100"/>
        <c:noMultiLvlLbl val="0"/>
      </c:catAx>
      <c:valAx>
        <c:axId val="590608440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0600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'BURNDOWN CHART_1'!$F$16:$M$16</c:f>
              <c:numCache>
                <c:formatCode>General</c:formatCode>
                <c:ptCount val="7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5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E8-41F9-B7E7-BE0674BC4562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'BURNDOWN CHART_1'!$F$17:$M$17</c:f>
              <c:numCache>
                <c:formatCode>0.00</c:formatCode>
                <c:ptCount val="7"/>
                <c:pt idx="0" formatCode="General">
                  <c:v>10</c:v>
                </c:pt>
                <c:pt idx="1">
                  <c:v>8.3333333333333339</c:v>
                </c:pt>
                <c:pt idx="2">
                  <c:v>6.666666666666667</c:v>
                </c:pt>
                <c:pt idx="3">
                  <c:v>5</c:v>
                </c:pt>
                <c:pt idx="4">
                  <c:v>3.333333333333333</c:v>
                </c:pt>
                <c:pt idx="5">
                  <c:v>1.6666666666666663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E8-41F9-B7E7-BE0674BC4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09444"/>
        <c:axId val="1561032122"/>
      </c:lineChart>
      <c:catAx>
        <c:axId val="693094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561032122"/>
        <c:crosses val="autoZero"/>
        <c:auto val="1"/>
        <c:lblAlgn val="ctr"/>
        <c:lblOffset val="100"/>
        <c:noMultiLvlLbl val="1"/>
      </c:catAx>
      <c:valAx>
        <c:axId val="15610321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6930944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Nombre</a:t>
            </a:r>
            <a:r>
              <a:rPr lang="es-CO" baseline="0"/>
              <a:t> del Proyecto:</a:t>
            </a:r>
            <a:endParaRPr lang="es-CO"/>
          </a:p>
        </c:rich>
      </c:tx>
      <c:layout>
        <c:manualLayout>
          <c:xMode val="edge"/>
          <c:yMode val="edge"/>
          <c:x val="0.12513098997051583"/>
          <c:y val="0.67205765439116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3322622874385323"/>
          <c:y val="0.21199490972719315"/>
          <c:w val="0.75064129501078003"/>
          <c:h val="0.7880050902728068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CC8-4258-BD31-950F4A0A5EA2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CC8-4258-BD31-950F4A0A5EA2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CC8-4258-BD31-950F4A0A5EA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CC8-4258-BD31-950F4A0A5EA2}"/>
              </c:ext>
            </c:extLst>
          </c:dPt>
          <c:dPt>
            <c:idx val="4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CC8-4258-BD31-950F4A0A5EA2}"/>
              </c:ext>
            </c:extLst>
          </c:dPt>
          <c:dPt>
            <c:idx val="5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CC8-4258-BD31-950F4A0A5EA2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CC8-4258-BD31-950F4A0A5EA2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CC8-4258-BD31-950F4A0A5EA2}"/>
              </c:ext>
            </c:extLst>
          </c:dPt>
          <c:dPt>
            <c:idx val="8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CC8-4258-BD31-950F4A0A5EA2}"/>
              </c:ext>
            </c:extLst>
          </c:dPt>
          <c:dPt>
            <c:idx val="9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CC8-4258-BD31-950F4A0A5EA2}"/>
              </c:ext>
            </c:extLst>
          </c:dPt>
          <c:dLbls>
            <c:dLbl>
              <c:idx val="0"/>
              <c:layout>
                <c:manualLayout>
                  <c:x val="-0.1333333692262923"/>
                  <c:y val="-4.0404040404040407E-2"/>
                </c:manualLayout>
              </c:layout>
              <c:tx>
                <c:rich>
                  <a:bodyPr/>
                  <a:lstStyle/>
                  <a:p>
                    <a:fld id="{0D07601D-E9D7-4E64-9CD8-72425F77DE90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CC8-4258-BD31-950F4A0A5EA2}"/>
                </c:ext>
              </c:extLst>
            </c:dLbl>
            <c:dLbl>
              <c:idx val="1"/>
              <c:layout>
                <c:manualLayout>
                  <c:x val="-0.13333336922629227"/>
                  <c:y val="-8.0808080808080815E-2"/>
                </c:manualLayout>
              </c:layout>
              <c:tx>
                <c:rich>
                  <a:bodyPr/>
                  <a:lstStyle/>
                  <a:p>
                    <a:fld id="{F1927270-5BFF-4EB8-B773-DE7EC02DCE43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3CC8-4258-BD31-950F4A0A5EA2}"/>
                </c:ext>
              </c:extLst>
            </c:dLbl>
            <c:dLbl>
              <c:idx val="2"/>
              <c:layout>
                <c:manualLayout>
                  <c:x val="-9.2307717156663888E-2"/>
                  <c:y val="-0.12121212121212124"/>
                </c:manualLayout>
              </c:layout>
              <c:tx>
                <c:rich>
                  <a:bodyPr/>
                  <a:lstStyle/>
                  <a:p>
                    <a:fld id="{4D1E49FD-6000-4049-8DA9-64C92FF67CE6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3CC8-4258-BD31-950F4A0A5EA2}"/>
                </c:ext>
              </c:extLst>
            </c:dLbl>
            <c:dLbl>
              <c:idx val="3"/>
              <c:layout>
                <c:manualLayout>
                  <c:x val="-4.6811613113444117E-2"/>
                  <c:y val="-0.1398761886978708"/>
                </c:manualLayout>
              </c:layout>
              <c:tx>
                <c:rich>
                  <a:bodyPr/>
                  <a:lstStyle/>
                  <a:p>
                    <a:fld id="{665B9F12-D2B9-44C7-9328-424650182C4E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3CC8-4258-BD31-950F4A0A5EA2}"/>
                </c:ext>
              </c:extLst>
            </c:dLbl>
            <c:dLbl>
              <c:idx val="4"/>
              <c:layout>
                <c:manualLayout>
                  <c:x val="-6.2677355496661992E-17"/>
                  <c:y val="-0.13737373737373737"/>
                </c:manualLayout>
              </c:layout>
              <c:tx>
                <c:rich>
                  <a:bodyPr/>
                  <a:lstStyle/>
                  <a:p>
                    <a:fld id="{9E17CD85-88F8-475A-944E-0B8D8908EB41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3CC8-4258-BD31-950F4A0A5EA2}"/>
                </c:ext>
              </c:extLst>
            </c:dLbl>
            <c:dLbl>
              <c:idx val="5"/>
              <c:layout>
                <c:manualLayout>
                  <c:x val="6.1538478104442462E-2"/>
                  <c:y val="-0.12929292929292929"/>
                </c:manualLayout>
              </c:layout>
              <c:tx>
                <c:rich>
                  <a:bodyPr/>
                  <a:lstStyle/>
                  <a:p>
                    <a:fld id="{9BB57FAE-F243-4A88-AE2F-C57F0FECFDB0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3CC8-4258-BD31-950F4A0A5EA2}"/>
                </c:ext>
              </c:extLst>
            </c:dLbl>
            <c:dLbl>
              <c:idx val="6"/>
              <c:layout>
                <c:manualLayout>
                  <c:x val="0.10940173885234238"/>
                  <c:y val="-0.10505050505050513"/>
                </c:manualLayout>
              </c:layout>
              <c:tx>
                <c:rich>
                  <a:bodyPr/>
                  <a:lstStyle/>
                  <a:p>
                    <a:fld id="{77D49498-E441-4555-9221-9E96E0BFA811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3CC8-4258-BD31-950F4A0A5EA2}"/>
                </c:ext>
              </c:extLst>
            </c:dLbl>
            <c:dLbl>
              <c:idx val="7"/>
              <c:layout>
                <c:manualLayout>
                  <c:x val="0.12307695620888517"/>
                  <c:y val="-6.0606060606060608E-2"/>
                </c:manualLayout>
              </c:layout>
              <c:tx>
                <c:rich>
                  <a:bodyPr/>
                  <a:lstStyle/>
                  <a:p>
                    <a:fld id="{D0D92CF8-10AC-4B4F-B453-58F081C906B7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3CC8-4258-BD31-950F4A0A5EA2}"/>
                </c:ext>
              </c:extLst>
            </c:dLbl>
            <c:dLbl>
              <c:idx val="8"/>
              <c:layout>
                <c:manualLayout>
                  <c:x val="0.12991456488715644"/>
                  <c:y val="-3.2323232323232323E-2"/>
                </c:manualLayout>
              </c:layout>
              <c:tx>
                <c:rich>
                  <a:bodyPr/>
                  <a:lstStyle/>
                  <a:p>
                    <a:fld id="{AFAF0639-DB45-4EAC-9C04-3F02CAEC5605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3CC8-4258-BD31-950F4A0A5EA2}"/>
                </c:ext>
              </c:extLst>
            </c:dLbl>
            <c:dLbl>
              <c:idx val="9"/>
              <c:layout>
                <c:manualLayout>
                  <c:x val="0.39658130333974112"/>
                  <c:y val="-0.26666666666666672"/>
                </c:manualLayout>
              </c:layout>
              <c:tx>
                <c:rich>
                  <a:bodyPr/>
                  <a:lstStyle/>
                  <a:p>
                    <a:fld id="{6DFA2DE5-0E31-48D8-ACEB-F4CE917D96BA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3CC8-4258-BD31-950F4A0A5EA2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'BURNDOWN CHART_1'!$AM$6:$AM$15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[1]Indicadores!$B$13:$B$22</c15:f>
                <c15:dlblRangeCache>
                  <c:ptCount val="10"/>
                  <c:pt idx="0">
                    <c:v>0,1</c:v>
                  </c:pt>
                  <c:pt idx="1">
                    <c:v>0,2</c:v>
                  </c:pt>
                  <c:pt idx="2">
                    <c:v>0,3</c:v>
                  </c:pt>
                  <c:pt idx="3">
                    <c:v>0,4</c:v>
                  </c:pt>
                  <c:pt idx="4">
                    <c:v>0,5</c:v>
                  </c:pt>
                  <c:pt idx="5">
                    <c:v>0,6</c:v>
                  </c:pt>
                  <c:pt idx="6">
                    <c:v>0,7</c:v>
                  </c:pt>
                  <c:pt idx="7">
                    <c:v>0,8</c:v>
                  </c:pt>
                  <c:pt idx="8">
                    <c:v>0,9</c:v>
                  </c:pt>
                  <c:pt idx="9">
                    <c:v>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3CC8-4258-BD31-950F4A0A5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59"/>
      </c:doughnutChart>
      <c:scatterChart>
        <c:scatterStyle val="smoothMarker"/>
        <c:varyColors val="0"/>
        <c:ser>
          <c:idx val="1"/>
          <c:order val="1"/>
          <c:tx>
            <c:v>Puntos</c:v>
          </c:tx>
          <c:spPr>
            <a:ln w="76200" cap="rnd">
              <a:solidFill>
                <a:schemeClr val="tx1"/>
              </a:solidFill>
              <a:round/>
              <a:headEnd type="diamond"/>
              <a:tailEnd type="triangle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'BURNDOWN CHART_1'!$AM$19:$AM$20</c:f>
              <c:numCache>
                <c:formatCode>General</c:formatCode>
                <c:ptCount val="2"/>
                <c:pt idx="0">
                  <c:v>0</c:v>
                </c:pt>
                <c:pt idx="1">
                  <c:v>0.95105651629515353</c:v>
                </c:pt>
              </c:numCache>
            </c:numRef>
          </c:xVal>
          <c:yVal>
            <c:numRef>
              <c:f>'BURNDOWN CHART_1'!$AN$19:$AN$20</c:f>
              <c:numCache>
                <c:formatCode>General</c:formatCode>
                <c:ptCount val="2"/>
                <c:pt idx="0">
                  <c:v>0</c:v>
                </c:pt>
                <c:pt idx="1">
                  <c:v>0.30901699437494751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3CC8-4258-BD31-950F4A0A5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885624"/>
        <c:axId val="545883656"/>
      </c:scatterChart>
      <c:valAx>
        <c:axId val="545883656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545885624"/>
        <c:crosses val="autoZero"/>
        <c:crossBetween val="midCat"/>
      </c:valAx>
      <c:valAx>
        <c:axId val="545885624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54588365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'BURNDOWN CHART_2'!$F$16:$M$16</c:f>
              <c:numCache>
                <c:formatCode>General</c:formatCode>
                <c:ptCount val="7"/>
                <c:pt idx="0">
                  <c:v>15</c:v>
                </c:pt>
                <c:pt idx="1">
                  <c:v>13</c:v>
                </c:pt>
                <c:pt idx="2">
                  <c:v>10</c:v>
                </c:pt>
                <c:pt idx="3">
                  <c:v>7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09-4F6B-959D-291D2453032B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'BURNDOWN CHART_2'!$F$17:$M$17</c:f>
              <c:numCache>
                <c:formatCode>0.00</c:formatCode>
                <c:ptCount val="7"/>
                <c:pt idx="0" formatCode="General">
                  <c:v>15</c:v>
                </c:pt>
                <c:pt idx="1">
                  <c:v>12.5</c:v>
                </c:pt>
                <c:pt idx="2">
                  <c:v>10</c:v>
                </c:pt>
                <c:pt idx="3">
                  <c:v>7.5</c:v>
                </c:pt>
                <c:pt idx="4">
                  <c:v>5</c:v>
                </c:pt>
                <c:pt idx="5">
                  <c:v>2.5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09-4F6B-959D-291D24530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09444"/>
        <c:axId val="1561032122"/>
      </c:lineChart>
      <c:catAx>
        <c:axId val="693094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561032122"/>
        <c:crosses val="autoZero"/>
        <c:auto val="1"/>
        <c:lblAlgn val="ctr"/>
        <c:lblOffset val="100"/>
        <c:noMultiLvlLbl val="1"/>
      </c:catAx>
      <c:valAx>
        <c:axId val="15610321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6930944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Nombre</a:t>
            </a:r>
            <a:r>
              <a:rPr lang="es-CO" baseline="0"/>
              <a:t> del Proyecto:</a:t>
            </a:r>
            <a:endParaRPr lang="es-CO"/>
          </a:p>
        </c:rich>
      </c:tx>
      <c:layout>
        <c:manualLayout>
          <c:xMode val="edge"/>
          <c:yMode val="edge"/>
          <c:x val="0.12513098997051583"/>
          <c:y val="0.67205765439116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3322622874385323"/>
          <c:y val="0.21199490972719315"/>
          <c:w val="0.75064129501078003"/>
          <c:h val="0.7880050902728068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00-4967-B5C9-18F8B3BED993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00-4967-B5C9-18F8B3BED993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600-4967-B5C9-18F8B3BED99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600-4967-B5C9-18F8B3BED993}"/>
              </c:ext>
            </c:extLst>
          </c:dPt>
          <c:dPt>
            <c:idx val="4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600-4967-B5C9-18F8B3BED993}"/>
              </c:ext>
            </c:extLst>
          </c:dPt>
          <c:dPt>
            <c:idx val="5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600-4967-B5C9-18F8B3BED993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600-4967-B5C9-18F8B3BED993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600-4967-B5C9-18F8B3BED993}"/>
              </c:ext>
            </c:extLst>
          </c:dPt>
          <c:dPt>
            <c:idx val="8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600-4967-B5C9-18F8B3BED993}"/>
              </c:ext>
            </c:extLst>
          </c:dPt>
          <c:dPt>
            <c:idx val="9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600-4967-B5C9-18F8B3BED993}"/>
              </c:ext>
            </c:extLst>
          </c:dPt>
          <c:dLbls>
            <c:dLbl>
              <c:idx val="0"/>
              <c:layout>
                <c:manualLayout>
                  <c:x val="-0.1333333692262923"/>
                  <c:y val="-4.040404040404040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A145C57-A501-4931-9EB0-F9D4430151F1}" type="CELLRANGE">
                      <a:rPr lang="en-US"/>
                      <a:pPr>
                        <a:defRPr sz="1400"/>
                      </a:pPr>
                      <a:t>[CELLRANGE]</a:t>
                    </a:fld>
                    <a:endParaRPr lang="es-CO"/>
                  </a:p>
                </c:rich>
              </c:tx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600-4967-B5C9-18F8B3BED993}"/>
                </c:ext>
              </c:extLst>
            </c:dLbl>
            <c:dLbl>
              <c:idx val="1"/>
              <c:layout>
                <c:manualLayout>
                  <c:x val="-0.13333336922629227"/>
                  <c:y val="-8.0808080808080815E-2"/>
                </c:manualLayout>
              </c:layout>
              <c:tx>
                <c:rich>
                  <a:bodyPr/>
                  <a:lstStyle/>
                  <a:p>
                    <a:fld id="{D69FB603-DC61-4119-9F16-535AA8F008D0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8600-4967-B5C9-18F8B3BED993}"/>
                </c:ext>
              </c:extLst>
            </c:dLbl>
            <c:dLbl>
              <c:idx val="2"/>
              <c:layout>
                <c:manualLayout>
                  <c:x val="-9.2307717156663888E-2"/>
                  <c:y val="-0.12121212121212124"/>
                </c:manualLayout>
              </c:layout>
              <c:tx>
                <c:rich>
                  <a:bodyPr/>
                  <a:lstStyle/>
                  <a:p>
                    <a:fld id="{E9EDB4C2-0E75-4473-8269-A95F09A0C5E8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8600-4967-B5C9-18F8B3BED993}"/>
                </c:ext>
              </c:extLst>
            </c:dLbl>
            <c:dLbl>
              <c:idx val="3"/>
              <c:layout>
                <c:manualLayout>
                  <c:x val="-4.6811613113444117E-2"/>
                  <c:y val="-0.1398761886978708"/>
                </c:manualLayout>
              </c:layout>
              <c:tx>
                <c:rich>
                  <a:bodyPr/>
                  <a:lstStyle/>
                  <a:p>
                    <a:fld id="{6D76C7D1-573D-4783-B1FB-9BF6DEC019C1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8600-4967-B5C9-18F8B3BED993}"/>
                </c:ext>
              </c:extLst>
            </c:dLbl>
            <c:dLbl>
              <c:idx val="4"/>
              <c:layout>
                <c:manualLayout>
                  <c:x val="-6.2677355496661992E-17"/>
                  <c:y val="-0.13737373737373737"/>
                </c:manualLayout>
              </c:layout>
              <c:tx>
                <c:rich>
                  <a:bodyPr/>
                  <a:lstStyle/>
                  <a:p>
                    <a:fld id="{4648952E-6537-4502-8658-2F3F3392E455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8600-4967-B5C9-18F8B3BED993}"/>
                </c:ext>
              </c:extLst>
            </c:dLbl>
            <c:dLbl>
              <c:idx val="5"/>
              <c:layout>
                <c:manualLayout>
                  <c:x val="6.1538478104442462E-2"/>
                  <c:y val="-0.12929292929292929"/>
                </c:manualLayout>
              </c:layout>
              <c:tx>
                <c:rich>
                  <a:bodyPr/>
                  <a:lstStyle/>
                  <a:p>
                    <a:fld id="{3037501F-F9D4-4803-BEDD-BF0B95B2A3B6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8600-4967-B5C9-18F8B3BED993}"/>
                </c:ext>
              </c:extLst>
            </c:dLbl>
            <c:dLbl>
              <c:idx val="6"/>
              <c:layout>
                <c:manualLayout>
                  <c:x val="0.10940173885234238"/>
                  <c:y val="-0.10505050505050513"/>
                </c:manualLayout>
              </c:layout>
              <c:tx>
                <c:rich>
                  <a:bodyPr/>
                  <a:lstStyle/>
                  <a:p>
                    <a:fld id="{2711CF04-13A5-499B-A11D-E8DF2BACDA13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8600-4967-B5C9-18F8B3BED993}"/>
                </c:ext>
              </c:extLst>
            </c:dLbl>
            <c:dLbl>
              <c:idx val="7"/>
              <c:layout>
                <c:manualLayout>
                  <c:x val="0.12307695620888517"/>
                  <c:y val="-6.0606060606060608E-2"/>
                </c:manualLayout>
              </c:layout>
              <c:tx>
                <c:rich>
                  <a:bodyPr/>
                  <a:lstStyle/>
                  <a:p>
                    <a:fld id="{42B39C0A-EC8C-4CE5-B6F5-A8D5F65936C9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8600-4967-B5C9-18F8B3BED993}"/>
                </c:ext>
              </c:extLst>
            </c:dLbl>
            <c:dLbl>
              <c:idx val="8"/>
              <c:layout>
                <c:manualLayout>
                  <c:x val="0.12991456488715644"/>
                  <c:y val="-3.2323232323232323E-2"/>
                </c:manualLayout>
              </c:layout>
              <c:tx>
                <c:rich>
                  <a:bodyPr/>
                  <a:lstStyle/>
                  <a:p>
                    <a:fld id="{FB8017BA-F586-4462-966D-A22CBB8E8AFF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8600-4967-B5C9-18F8B3BED993}"/>
                </c:ext>
              </c:extLst>
            </c:dLbl>
            <c:dLbl>
              <c:idx val="9"/>
              <c:layout>
                <c:manualLayout>
                  <c:x val="0.39658130333974112"/>
                  <c:y val="-0.26666666666666672"/>
                </c:manualLayout>
              </c:layout>
              <c:tx>
                <c:rich>
                  <a:bodyPr/>
                  <a:lstStyle/>
                  <a:p>
                    <a:fld id="{B6503337-4B29-4A86-BE73-0B83025C17B5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8600-4967-B5C9-18F8B3BED9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'BURNDOWN CHART_2'!$AM$6:$AM$15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[1]Indicadores!$B$13:$B$22</c15:f>
                <c15:dlblRangeCache>
                  <c:ptCount val="10"/>
                  <c:pt idx="0">
                    <c:v>0,1</c:v>
                  </c:pt>
                  <c:pt idx="1">
                    <c:v>0,2</c:v>
                  </c:pt>
                  <c:pt idx="2">
                    <c:v>0,3</c:v>
                  </c:pt>
                  <c:pt idx="3">
                    <c:v>0,4</c:v>
                  </c:pt>
                  <c:pt idx="4">
                    <c:v>0,5</c:v>
                  </c:pt>
                  <c:pt idx="5">
                    <c:v>0,6</c:v>
                  </c:pt>
                  <c:pt idx="6">
                    <c:v>0,7</c:v>
                  </c:pt>
                  <c:pt idx="7">
                    <c:v>0,8</c:v>
                  </c:pt>
                  <c:pt idx="8">
                    <c:v>0,9</c:v>
                  </c:pt>
                  <c:pt idx="9">
                    <c:v>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8600-4967-B5C9-18F8B3BED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59"/>
      </c:doughnutChart>
      <c:scatterChart>
        <c:scatterStyle val="smoothMarker"/>
        <c:varyColors val="0"/>
        <c:ser>
          <c:idx val="1"/>
          <c:order val="1"/>
          <c:tx>
            <c:v>Puntos</c:v>
          </c:tx>
          <c:spPr>
            <a:ln w="76200" cap="rnd">
              <a:solidFill>
                <a:schemeClr val="tx1"/>
              </a:solidFill>
              <a:round/>
              <a:headEnd type="diamond"/>
              <a:tailEnd type="triangle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'BURNDOWN CHART_2'!$AM$19:$AM$20</c:f>
              <c:numCache>
                <c:formatCode>General</c:formatCode>
                <c:ptCount val="2"/>
                <c:pt idx="0">
                  <c:v>0</c:v>
                </c:pt>
                <c:pt idx="1">
                  <c:v>0.97814760073380569</c:v>
                </c:pt>
              </c:numCache>
            </c:numRef>
          </c:xVal>
          <c:yVal>
            <c:numRef>
              <c:f>'BURNDOWN CHART_2'!$AN$19:$AN$20</c:f>
              <c:numCache>
                <c:formatCode>General</c:formatCode>
                <c:ptCount val="2"/>
                <c:pt idx="0">
                  <c:v>0</c:v>
                </c:pt>
                <c:pt idx="1">
                  <c:v>0.20791169081775931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8600-4967-B5C9-18F8B3BED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885624"/>
        <c:axId val="545883656"/>
      </c:scatterChart>
      <c:valAx>
        <c:axId val="545883656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545885624"/>
        <c:crosses val="autoZero"/>
        <c:crossBetween val="midCat"/>
      </c:valAx>
      <c:valAx>
        <c:axId val="545885624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54588365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'BURNDOWN CHART_3'!$F$16:$M$16</c:f>
              <c:numCache>
                <c:formatCode>General</c:formatCode>
                <c:ptCount val="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7-43A6-BAC8-DA4B6E09F34C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'BURNDOWN CHART_3'!$F$17:$M$17</c:f>
              <c:numCache>
                <c:formatCode>0.00</c:formatCode>
                <c:ptCount val="7"/>
                <c:pt idx="0" formatCode="General">
                  <c:v>10</c:v>
                </c:pt>
                <c:pt idx="1">
                  <c:v>8.3333333333333339</c:v>
                </c:pt>
                <c:pt idx="2">
                  <c:v>6.666666666666667</c:v>
                </c:pt>
                <c:pt idx="3">
                  <c:v>5</c:v>
                </c:pt>
                <c:pt idx="4">
                  <c:v>3.333333333333333</c:v>
                </c:pt>
                <c:pt idx="5">
                  <c:v>1.6666666666666663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27-43A6-BAC8-DA4B6E09F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09444"/>
        <c:axId val="1561032122"/>
      </c:lineChart>
      <c:catAx>
        <c:axId val="693094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561032122"/>
        <c:crosses val="autoZero"/>
        <c:auto val="1"/>
        <c:lblAlgn val="ctr"/>
        <c:lblOffset val="100"/>
        <c:noMultiLvlLbl val="1"/>
      </c:catAx>
      <c:valAx>
        <c:axId val="15610321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6930944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Nombre</a:t>
            </a:r>
            <a:r>
              <a:rPr lang="es-CO" baseline="0"/>
              <a:t> del Proyecto:</a:t>
            </a:r>
            <a:endParaRPr lang="es-CO"/>
          </a:p>
        </c:rich>
      </c:tx>
      <c:layout>
        <c:manualLayout>
          <c:xMode val="edge"/>
          <c:yMode val="edge"/>
          <c:x val="0.12513098997051583"/>
          <c:y val="0.67205765439116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3322622874385323"/>
          <c:y val="0.21199490972719315"/>
          <c:w val="0.75064129501078003"/>
          <c:h val="0.7880050902728068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748-458B-B2AC-5A3A1EF6353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748-458B-B2AC-5A3A1EF63530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748-458B-B2AC-5A3A1EF6353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748-458B-B2AC-5A3A1EF63530}"/>
              </c:ext>
            </c:extLst>
          </c:dPt>
          <c:dPt>
            <c:idx val="4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748-458B-B2AC-5A3A1EF63530}"/>
              </c:ext>
            </c:extLst>
          </c:dPt>
          <c:dPt>
            <c:idx val="5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748-458B-B2AC-5A3A1EF63530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748-458B-B2AC-5A3A1EF63530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748-458B-B2AC-5A3A1EF63530}"/>
              </c:ext>
            </c:extLst>
          </c:dPt>
          <c:dPt>
            <c:idx val="8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748-458B-B2AC-5A3A1EF63530}"/>
              </c:ext>
            </c:extLst>
          </c:dPt>
          <c:dPt>
            <c:idx val="9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748-458B-B2AC-5A3A1EF63530}"/>
              </c:ext>
            </c:extLst>
          </c:dPt>
          <c:dLbls>
            <c:dLbl>
              <c:idx val="0"/>
              <c:layout>
                <c:manualLayout>
                  <c:x val="-0.1333333692262923"/>
                  <c:y val="-4.040404040404040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FF262FF-3C86-4838-B46F-EC5155D55A29}" type="CELLRANGE">
                      <a:rPr lang="en-US"/>
                      <a:pPr>
                        <a:defRPr sz="1400"/>
                      </a:pPr>
                      <a:t>[CELLRANGE]</a:t>
                    </a:fld>
                    <a:endParaRPr lang="es-CO"/>
                  </a:p>
                </c:rich>
              </c:tx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748-458B-B2AC-5A3A1EF63530}"/>
                </c:ext>
              </c:extLst>
            </c:dLbl>
            <c:dLbl>
              <c:idx val="1"/>
              <c:layout>
                <c:manualLayout>
                  <c:x val="-0.13333336922629227"/>
                  <c:y val="-8.0808080808080815E-2"/>
                </c:manualLayout>
              </c:layout>
              <c:tx>
                <c:rich>
                  <a:bodyPr/>
                  <a:lstStyle/>
                  <a:p>
                    <a:fld id="{844601E0-DF74-4A1D-AE97-954DD2578C9D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748-458B-B2AC-5A3A1EF63530}"/>
                </c:ext>
              </c:extLst>
            </c:dLbl>
            <c:dLbl>
              <c:idx val="2"/>
              <c:layout>
                <c:manualLayout>
                  <c:x val="-9.2307717156663888E-2"/>
                  <c:y val="-0.12121212121212124"/>
                </c:manualLayout>
              </c:layout>
              <c:tx>
                <c:rich>
                  <a:bodyPr/>
                  <a:lstStyle/>
                  <a:p>
                    <a:fld id="{A3A8525C-20EB-4F00-8BE5-8D765E74D4EB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748-458B-B2AC-5A3A1EF63530}"/>
                </c:ext>
              </c:extLst>
            </c:dLbl>
            <c:dLbl>
              <c:idx val="3"/>
              <c:layout>
                <c:manualLayout>
                  <c:x val="-4.6811613113444117E-2"/>
                  <c:y val="-0.1398761886978708"/>
                </c:manualLayout>
              </c:layout>
              <c:tx>
                <c:rich>
                  <a:bodyPr/>
                  <a:lstStyle/>
                  <a:p>
                    <a:fld id="{6AB583F3-D95A-4F99-969E-F32C7432129A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748-458B-B2AC-5A3A1EF63530}"/>
                </c:ext>
              </c:extLst>
            </c:dLbl>
            <c:dLbl>
              <c:idx val="4"/>
              <c:layout>
                <c:manualLayout>
                  <c:x val="-6.2677355496661992E-17"/>
                  <c:y val="-0.13737373737373737"/>
                </c:manualLayout>
              </c:layout>
              <c:tx>
                <c:rich>
                  <a:bodyPr/>
                  <a:lstStyle/>
                  <a:p>
                    <a:fld id="{245BDCBD-F8BE-49E0-A7B5-7A32CC4738B6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748-458B-B2AC-5A3A1EF63530}"/>
                </c:ext>
              </c:extLst>
            </c:dLbl>
            <c:dLbl>
              <c:idx val="5"/>
              <c:layout>
                <c:manualLayout>
                  <c:x val="6.1538478104442462E-2"/>
                  <c:y val="-0.12929292929292929"/>
                </c:manualLayout>
              </c:layout>
              <c:tx>
                <c:rich>
                  <a:bodyPr/>
                  <a:lstStyle/>
                  <a:p>
                    <a:fld id="{A7B19BD8-552E-44DB-B3DD-41E86562B2E9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748-458B-B2AC-5A3A1EF63530}"/>
                </c:ext>
              </c:extLst>
            </c:dLbl>
            <c:dLbl>
              <c:idx val="6"/>
              <c:layout>
                <c:manualLayout>
                  <c:x val="0.10940173885234238"/>
                  <c:y val="-0.10505050505050513"/>
                </c:manualLayout>
              </c:layout>
              <c:tx>
                <c:rich>
                  <a:bodyPr/>
                  <a:lstStyle/>
                  <a:p>
                    <a:fld id="{E078690A-725C-48A9-8283-18821C63794E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748-458B-B2AC-5A3A1EF63530}"/>
                </c:ext>
              </c:extLst>
            </c:dLbl>
            <c:dLbl>
              <c:idx val="7"/>
              <c:layout>
                <c:manualLayout>
                  <c:x val="0.12307695620888517"/>
                  <c:y val="-6.0606060606060608E-2"/>
                </c:manualLayout>
              </c:layout>
              <c:tx>
                <c:rich>
                  <a:bodyPr/>
                  <a:lstStyle/>
                  <a:p>
                    <a:fld id="{052D15EB-78D7-413A-A22A-12C2A619E4BA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748-458B-B2AC-5A3A1EF63530}"/>
                </c:ext>
              </c:extLst>
            </c:dLbl>
            <c:dLbl>
              <c:idx val="8"/>
              <c:layout>
                <c:manualLayout>
                  <c:x val="0.12991456488715644"/>
                  <c:y val="-3.2323232323232323E-2"/>
                </c:manualLayout>
              </c:layout>
              <c:tx>
                <c:rich>
                  <a:bodyPr/>
                  <a:lstStyle/>
                  <a:p>
                    <a:fld id="{C8C9FA3D-AEE0-4368-8821-345EA6EDF10A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748-458B-B2AC-5A3A1EF63530}"/>
                </c:ext>
              </c:extLst>
            </c:dLbl>
            <c:dLbl>
              <c:idx val="9"/>
              <c:layout>
                <c:manualLayout>
                  <c:x val="0.39658130333974112"/>
                  <c:y val="-0.26666666666666672"/>
                </c:manualLayout>
              </c:layout>
              <c:tx>
                <c:rich>
                  <a:bodyPr/>
                  <a:lstStyle/>
                  <a:p>
                    <a:fld id="{871AD7B0-A0E2-4956-A8F7-F7759F8978D3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D748-458B-B2AC-5A3A1EF635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'BURNDOWN CHART_3'!$AM$6:$AM$15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[1]Indicadores!$B$13:$B$22</c15:f>
                <c15:dlblRangeCache>
                  <c:ptCount val="10"/>
                  <c:pt idx="0">
                    <c:v>0,1</c:v>
                  </c:pt>
                  <c:pt idx="1">
                    <c:v>0,2</c:v>
                  </c:pt>
                  <c:pt idx="2">
                    <c:v>0,3</c:v>
                  </c:pt>
                  <c:pt idx="3">
                    <c:v>0,4</c:v>
                  </c:pt>
                  <c:pt idx="4">
                    <c:v>0,5</c:v>
                  </c:pt>
                  <c:pt idx="5">
                    <c:v>0,6</c:v>
                  </c:pt>
                  <c:pt idx="6">
                    <c:v>0,7</c:v>
                  </c:pt>
                  <c:pt idx="7">
                    <c:v>0,8</c:v>
                  </c:pt>
                  <c:pt idx="8">
                    <c:v>0,9</c:v>
                  </c:pt>
                  <c:pt idx="9">
                    <c:v>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D748-458B-B2AC-5A3A1EF63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59"/>
      </c:doughnutChart>
      <c:scatterChart>
        <c:scatterStyle val="smoothMarker"/>
        <c:varyColors val="0"/>
        <c:ser>
          <c:idx val="1"/>
          <c:order val="1"/>
          <c:tx>
            <c:v>Puntos</c:v>
          </c:tx>
          <c:spPr>
            <a:ln w="76200" cap="rnd">
              <a:solidFill>
                <a:schemeClr val="tx1"/>
              </a:solidFill>
              <a:round/>
              <a:headEnd type="diamond"/>
              <a:tailEnd type="triangle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'BURNDOWN CHART_3'!$AM$19:$AM$20</c:f>
              <c:numCache>
                <c:formatCode>General</c:formatCode>
                <c:ptCount val="2"/>
                <c:pt idx="0">
                  <c:v>0</c:v>
                </c:pt>
                <c:pt idx="1">
                  <c:v>0.95105651629515353</c:v>
                </c:pt>
              </c:numCache>
            </c:numRef>
          </c:xVal>
          <c:yVal>
            <c:numRef>
              <c:f>'BURNDOWN CHART_3'!$AN$19:$AN$20</c:f>
              <c:numCache>
                <c:formatCode>General</c:formatCode>
                <c:ptCount val="2"/>
                <c:pt idx="0">
                  <c:v>0</c:v>
                </c:pt>
                <c:pt idx="1">
                  <c:v>0.30901699437494751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D748-458B-B2AC-5A3A1EF63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885624"/>
        <c:axId val="545883656"/>
      </c:scatterChart>
      <c:valAx>
        <c:axId val="545883656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545885624"/>
        <c:crosses val="autoZero"/>
        <c:crossBetween val="midCat"/>
      </c:valAx>
      <c:valAx>
        <c:axId val="545885624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54588365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'BURNDOWN CHART_5'!$F$16:$M$16</c:f>
              <c:numCache>
                <c:formatCode>General</c:formatCode>
                <c:ptCount val="7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D-4279-AF95-A3135A823F54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'BURNDOWN CHART_5'!$F$17:$M$17</c:f>
              <c:numCache>
                <c:formatCode>0.00</c:formatCode>
                <c:ptCount val="7"/>
                <c:pt idx="0" formatCode="General">
                  <c:v>19</c:v>
                </c:pt>
                <c:pt idx="1">
                  <c:v>15.833333333333334</c:v>
                </c:pt>
                <c:pt idx="2">
                  <c:v>12.666666666666668</c:v>
                </c:pt>
                <c:pt idx="3">
                  <c:v>9.5000000000000018</c:v>
                </c:pt>
                <c:pt idx="4">
                  <c:v>6.3333333333333357</c:v>
                </c:pt>
                <c:pt idx="5">
                  <c:v>3.1666666666666692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4D-4279-AF95-A3135A823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09444"/>
        <c:axId val="1561032122"/>
      </c:lineChart>
      <c:catAx>
        <c:axId val="693094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561032122"/>
        <c:crosses val="autoZero"/>
        <c:auto val="1"/>
        <c:lblAlgn val="ctr"/>
        <c:lblOffset val="100"/>
        <c:noMultiLvlLbl val="1"/>
      </c:catAx>
      <c:valAx>
        <c:axId val="15610321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6930944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Nombre</a:t>
            </a:r>
            <a:r>
              <a:rPr lang="es-CO" baseline="0"/>
              <a:t> del Proyecto:</a:t>
            </a:r>
            <a:endParaRPr lang="es-CO"/>
          </a:p>
        </c:rich>
      </c:tx>
      <c:layout>
        <c:manualLayout>
          <c:xMode val="edge"/>
          <c:yMode val="edge"/>
          <c:x val="0.12513098997051583"/>
          <c:y val="0.67205765439116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3322622874385323"/>
          <c:y val="0.21199490972719315"/>
          <c:w val="0.75064129501078003"/>
          <c:h val="0.7880050902728068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A5-48D1-A7CB-CA37F3B7483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5A5-48D1-A7CB-CA37F3B7483B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5A5-48D1-A7CB-CA37F3B7483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5A5-48D1-A7CB-CA37F3B7483B}"/>
              </c:ext>
            </c:extLst>
          </c:dPt>
          <c:dPt>
            <c:idx val="4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5A5-48D1-A7CB-CA37F3B7483B}"/>
              </c:ext>
            </c:extLst>
          </c:dPt>
          <c:dPt>
            <c:idx val="5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5A5-48D1-A7CB-CA37F3B7483B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5A5-48D1-A7CB-CA37F3B7483B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5A5-48D1-A7CB-CA37F3B7483B}"/>
              </c:ext>
            </c:extLst>
          </c:dPt>
          <c:dPt>
            <c:idx val="8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5A5-48D1-A7CB-CA37F3B7483B}"/>
              </c:ext>
            </c:extLst>
          </c:dPt>
          <c:dPt>
            <c:idx val="9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5A5-48D1-A7CB-CA37F3B7483B}"/>
              </c:ext>
            </c:extLst>
          </c:dPt>
          <c:dLbls>
            <c:dLbl>
              <c:idx val="0"/>
              <c:layout>
                <c:manualLayout>
                  <c:x val="-0.1333333692262923"/>
                  <c:y val="-4.040404040404040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5A592D8-932B-403A-A5E9-1930AE8796EC}" type="CELLRANGE">
                      <a:rPr lang="en-US"/>
                      <a:pPr>
                        <a:defRPr sz="1400"/>
                      </a:pPr>
                      <a:t>[CELLRANGE]</a:t>
                    </a:fld>
                    <a:endParaRPr lang="es-CO"/>
                  </a:p>
                </c:rich>
              </c:tx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5A5-48D1-A7CB-CA37F3B7483B}"/>
                </c:ext>
              </c:extLst>
            </c:dLbl>
            <c:dLbl>
              <c:idx val="1"/>
              <c:layout>
                <c:manualLayout>
                  <c:x val="-0.13333336922629227"/>
                  <c:y val="-8.0808080808080815E-2"/>
                </c:manualLayout>
              </c:layout>
              <c:tx>
                <c:rich>
                  <a:bodyPr/>
                  <a:lstStyle/>
                  <a:p>
                    <a:fld id="{5805E8BB-29D7-4011-87EA-748ECF290E3B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35A5-48D1-A7CB-CA37F3B7483B}"/>
                </c:ext>
              </c:extLst>
            </c:dLbl>
            <c:dLbl>
              <c:idx val="2"/>
              <c:layout>
                <c:manualLayout>
                  <c:x val="-9.2307717156663888E-2"/>
                  <c:y val="-0.12121212121212124"/>
                </c:manualLayout>
              </c:layout>
              <c:tx>
                <c:rich>
                  <a:bodyPr/>
                  <a:lstStyle/>
                  <a:p>
                    <a:fld id="{D976882A-BD73-4D96-8917-9C78582A8BDA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35A5-48D1-A7CB-CA37F3B7483B}"/>
                </c:ext>
              </c:extLst>
            </c:dLbl>
            <c:dLbl>
              <c:idx val="3"/>
              <c:layout>
                <c:manualLayout>
                  <c:x val="-4.6811613113444117E-2"/>
                  <c:y val="-0.1398761886978708"/>
                </c:manualLayout>
              </c:layout>
              <c:tx>
                <c:rich>
                  <a:bodyPr/>
                  <a:lstStyle/>
                  <a:p>
                    <a:fld id="{1F28FA43-0C63-46E0-BE59-DFCED170F292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35A5-48D1-A7CB-CA37F3B7483B}"/>
                </c:ext>
              </c:extLst>
            </c:dLbl>
            <c:dLbl>
              <c:idx val="4"/>
              <c:layout>
                <c:manualLayout>
                  <c:x val="-6.2677355496661992E-17"/>
                  <c:y val="-0.13737373737373737"/>
                </c:manualLayout>
              </c:layout>
              <c:tx>
                <c:rich>
                  <a:bodyPr/>
                  <a:lstStyle/>
                  <a:p>
                    <a:fld id="{013EED9E-91A2-4906-A1BC-D47082180C7A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35A5-48D1-A7CB-CA37F3B7483B}"/>
                </c:ext>
              </c:extLst>
            </c:dLbl>
            <c:dLbl>
              <c:idx val="5"/>
              <c:layout>
                <c:manualLayout>
                  <c:x val="6.1538478104442462E-2"/>
                  <c:y val="-0.12929292929292929"/>
                </c:manualLayout>
              </c:layout>
              <c:tx>
                <c:rich>
                  <a:bodyPr/>
                  <a:lstStyle/>
                  <a:p>
                    <a:fld id="{6446E7C2-971B-4A69-909B-6D8B68928753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35A5-48D1-A7CB-CA37F3B7483B}"/>
                </c:ext>
              </c:extLst>
            </c:dLbl>
            <c:dLbl>
              <c:idx val="6"/>
              <c:layout>
                <c:manualLayout>
                  <c:x val="0.10940173885234238"/>
                  <c:y val="-0.10505050505050513"/>
                </c:manualLayout>
              </c:layout>
              <c:tx>
                <c:rich>
                  <a:bodyPr/>
                  <a:lstStyle/>
                  <a:p>
                    <a:fld id="{F2D0E222-14C0-4F40-9224-906F4C71C600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35A5-48D1-A7CB-CA37F3B7483B}"/>
                </c:ext>
              </c:extLst>
            </c:dLbl>
            <c:dLbl>
              <c:idx val="7"/>
              <c:layout>
                <c:manualLayout>
                  <c:x val="0.12307695620888517"/>
                  <c:y val="-6.0606060606060608E-2"/>
                </c:manualLayout>
              </c:layout>
              <c:tx>
                <c:rich>
                  <a:bodyPr/>
                  <a:lstStyle/>
                  <a:p>
                    <a:fld id="{5B266659-E7F4-468E-84FE-C0FC716896C1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35A5-48D1-A7CB-CA37F3B7483B}"/>
                </c:ext>
              </c:extLst>
            </c:dLbl>
            <c:dLbl>
              <c:idx val="8"/>
              <c:layout>
                <c:manualLayout>
                  <c:x val="0.12991456488715644"/>
                  <c:y val="-3.2323232323232323E-2"/>
                </c:manualLayout>
              </c:layout>
              <c:tx>
                <c:rich>
                  <a:bodyPr/>
                  <a:lstStyle/>
                  <a:p>
                    <a:fld id="{0AF166E5-FE12-4DD6-A6B8-B7AAA317865D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35A5-48D1-A7CB-CA37F3B7483B}"/>
                </c:ext>
              </c:extLst>
            </c:dLbl>
            <c:dLbl>
              <c:idx val="9"/>
              <c:layout>
                <c:manualLayout>
                  <c:x val="0.39658130333974112"/>
                  <c:y val="-0.26666666666666672"/>
                </c:manualLayout>
              </c:layout>
              <c:tx>
                <c:rich>
                  <a:bodyPr/>
                  <a:lstStyle/>
                  <a:p>
                    <a:fld id="{D94812D9-5F16-4B86-9ADB-B6780575FB73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35A5-48D1-A7CB-CA37F3B748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'BURNDOWN CHART_5'!$AM$6:$AM$15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[1]Indicadores!$B$13:$B$22</c15:f>
                <c15:dlblRangeCache>
                  <c:ptCount val="10"/>
                  <c:pt idx="0">
                    <c:v>0,1</c:v>
                  </c:pt>
                  <c:pt idx="1">
                    <c:v>0,2</c:v>
                  </c:pt>
                  <c:pt idx="2">
                    <c:v>0,3</c:v>
                  </c:pt>
                  <c:pt idx="3">
                    <c:v>0,4</c:v>
                  </c:pt>
                  <c:pt idx="4">
                    <c:v>0,5</c:v>
                  </c:pt>
                  <c:pt idx="5">
                    <c:v>0,6</c:v>
                  </c:pt>
                  <c:pt idx="6">
                    <c:v>0,7</c:v>
                  </c:pt>
                  <c:pt idx="7">
                    <c:v>0,8</c:v>
                  </c:pt>
                  <c:pt idx="8">
                    <c:v>0,9</c:v>
                  </c:pt>
                  <c:pt idx="9">
                    <c:v>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35A5-48D1-A7CB-CA37F3B74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59"/>
      </c:doughnutChart>
      <c:scatterChart>
        <c:scatterStyle val="smoothMarker"/>
        <c:varyColors val="0"/>
        <c:ser>
          <c:idx val="1"/>
          <c:order val="1"/>
          <c:tx>
            <c:v>Puntos</c:v>
          </c:tx>
          <c:spPr>
            <a:ln w="76200" cap="rnd">
              <a:solidFill>
                <a:schemeClr val="tx1"/>
              </a:solidFill>
              <a:round/>
              <a:headEnd type="diamond"/>
              <a:tailEnd type="triangle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'BURNDOWN CHART_5'!$AM$19:$AM$20</c:f>
              <c:numCache>
                <c:formatCode>General</c:formatCode>
                <c:ptCount val="2"/>
                <c:pt idx="0">
                  <c:v>0</c:v>
                </c:pt>
                <c:pt idx="1">
                  <c:v>-1</c:v>
                </c:pt>
              </c:numCache>
            </c:numRef>
          </c:xVal>
          <c:yVal>
            <c:numRef>
              <c:f>'BURNDOWN CHART_5'!$AN$19:$AN$20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35A5-48D1-A7CB-CA37F3B74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885624"/>
        <c:axId val="545883656"/>
      </c:scatterChart>
      <c:valAx>
        <c:axId val="545883656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545885624"/>
        <c:crosses val="autoZero"/>
        <c:crossBetween val="midCat"/>
      </c:valAx>
      <c:valAx>
        <c:axId val="545885624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54588365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166008</xdr:colOff>
      <xdr:row>2</xdr:row>
      <xdr:rowOff>151039</xdr:rowOff>
    </xdr:from>
    <xdr:to>
      <xdr:col>16</xdr:col>
      <xdr:colOff>702748</xdr:colOff>
      <xdr:row>21</xdr:row>
      <xdr:rowOff>104712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DFADFE-1338-4C6D-82AE-6D52F539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297653</xdr:colOff>
      <xdr:row>2</xdr:row>
      <xdr:rowOff>64940</xdr:rowOff>
    </xdr:from>
    <xdr:ext cx="7512847" cy="33640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94372FE4-A891-46CE-A6C8-F9DED9C44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26</xdr:col>
      <xdr:colOff>214312</xdr:colOff>
      <xdr:row>3</xdr:row>
      <xdr:rowOff>112568</xdr:rowOff>
    </xdr:from>
    <xdr:to>
      <xdr:col>33</xdr:col>
      <xdr:colOff>865910</xdr:colOff>
      <xdr:row>14</xdr:row>
      <xdr:rowOff>51954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21A7749-C474-43BE-9F40-385D9FA8D1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297653</xdr:colOff>
      <xdr:row>2</xdr:row>
      <xdr:rowOff>64940</xdr:rowOff>
    </xdr:from>
    <xdr:ext cx="7512847" cy="33640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52700982-A503-4941-BA53-A4ECDE3A3B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26</xdr:col>
      <xdr:colOff>214312</xdr:colOff>
      <xdr:row>3</xdr:row>
      <xdr:rowOff>112568</xdr:rowOff>
    </xdr:from>
    <xdr:to>
      <xdr:col>33</xdr:col>
      <xdr:colOff>865910</xdr:colOff>
      <xdr:row>14</xdr:row>
      <xdr:rowOff>51954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9666DC1-B15A-4104-91E2-F5A2610CAF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297653</xdr:colOff>
      <xdr:row>2</xdr:row>
      <xdr:rowOff>64940</xdr:rowOff>
    </xdr:from>
    <xdr:ext cx="7512847" cy="33640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4B9D6B68-B5A9-4FC9-A403-E3DF8BA85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26</xdr:col>
      <xdr:colOff>214312</xdr:colOff>
      <xdr:row>3</xdr:row>
      <xdr:rowOff>112568</xdr:rowOff>
    </xdr:from>
    <xdr:to>
      <xdr:col>33</xdr:col>
      <xdr:colOff>865910</xdr:colOff>
      <xdr:row>14</xdr:row>
      <xdr:rowOff>51954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A8E4AC6-3B73-4049-9838-E4CAB742A6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297653</xdr:colOff>
      <xdr:row>2</xdr:row>
      <xdr:rowOff>64940</xdr:rowOff>
    </xdr:from>
    <xdr:ext cx="7512847" cy="33640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D2F2C2C2-FB0A-45CA-9BC6-716673C86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26</xdr:col>
      <xdr:colOff>214312</xdr:colOff>
      <xdr:row>3</xdr:row>
      <xdr:rowOff>112568</xdr:rowOff>
    </xdr:from>
    <xdr:to>
      <xdr:col>33</xdr:col>
      <xdr:colOff>865910</xdr:colOff>
      <xdr:row>14</xdr:row>
      <xdr:rowOff>51954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372FD17-E73B-4E27-B7C8-FF9A18C41A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297653</xdr:colOff>
      <xdr:row>2</xdr:row>
      <xdr:rowOff>64940</xdr:rowOff>
    </xdr:from>
    <xdr:ext cx="7512847" cy="33640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90951021-C506-4C9D-A14D-51F32B058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26</xdr:col>
      <xdr:colOff>214312</xdr:colOff>
      <xdr:row>3</xdr:row>
      <xdr:rowOff>112568</xdr:rowOff>
    </xdr:from>
    <xdr:to>
      <xdr:col>33</xdr:col>
      <xdr:colOff>865910</xdr:colOff>
      <xdr:row>14</xdr:row>
      <xdr:rowOff>51954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4385DD4-C648-485F-94EB-D60972662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297653</xdr:colOff>
      <xdr:row>2</xdr:row>
      <xdr:rowOff>64940</xdr:rowOff>
    </xdr:from>
    <xdr:ext cx="7512847" cy="33640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DCD54560-731D-461E-B34C-E33008EDFD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26</xdr:col>
      <xdr:colOff>214312</xdr:colOff>
      <xdr:row>3</xdr:row>
      <xdr:rowOff>112568</xdr:rowOff>
    </xdr:from>
    <xdr:to>
      <xdr:col>33</xdr:col>
      <xdr:colOff>865910</xdr:colOff>
      <xdr:row>14</xdr:row>
      <xdr:rowOff>51954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7F0CAE5-D08A-4A91-B3B5-33A660465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297653</xdr:colOff>
      <xdr:row>2</xdr:row>
      <xdr:rowOff>64940</xdr:rowOff>
    </xdr:from>
    <xdr:ext cx="7512847" cy="33640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63B4F48-E97E-4599-A7EC-D13E696F73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26</xdr:col>
      <xdr:colOff>214312</xdr:colOff>
      <xdr:row>3</xdr:row>
      <xdr:rowOff>112568</xdr:rowOff>
    </xdr:from>
    <xdr:to>
      <xdr:col>33</xdr:col>
      <xdr:colOff>865910</xdr:colOff>
      <xdr:row>16</xdr:row>
      <xdr:rowOff>51954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1416491-B8B2-43E7-9256-0B4E716E4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17</xdr:row>
      <xdr:rowOff>180975</xdr:rowOff>
    </xdr:from>
    <xdr:to>
      <xdr:col>31</xdr:col>
      <xdr:colOff>352425</xdr:colOff>
      <xdr:row>32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A315DFF-3BA3-448B-814B-599EA66089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ntelgy/Dropbox/Entelgy_2/Plan%20de%20Trabajo%20Tickets%20abiertos%20Mayo2020/Ticket%20pendientes%20a%2020-01-2021%20U%20Sabana_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lles"/>
      <sheetName val="Detalles (2)"/>
      <sheetName val="Epicas"/>
      <sheetName val="Planeación_2021"/>
      <sheetName val="Planeación_2020"/>
      <sheetName val="Semanas_2021"/>
      <sheetName val="Avance_2020"/>
      <sheetName val="Tabla Proyecto"/>
      <sheetName val="Grafico Avance"/>
      <sheetName val="BackLog"/>
      <sheetName val="BURNDOWN CHART_6"/>
      <sheetName val="BURNDOWN CHART_8"/>
      <sheetName val="BURNDOWN CHART_9"/>
      <sheetName val="BURNDOWN CHART_5"/>
      <sheetName val="BURNDOWN CHART_4"/>
      <sheetName val="BURNDOWN CHART_1"/>
      <sheetName val="BURNDOWN CHART_2"/>
      <sheetName val="BURNDOWN CHART_3"/>
      <sheetName val="Indicadores"/>
      <sheetName val="Calendari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3">
          <cell r="B13">
            <v>0.1</v>
          </cell>
        </row>
        <row r="14">
          <cell r="B14">
            <v>0.2</v>
          </cell>
        </row>
        <row r="15">
          <cell r="B15">
            <v>0.3</v>
          </cell>
        </row>
        <row r="16">
          <cell r="B16">
            <v>0.4</v>
          </cell>
        </row>
        <row r="17">
          <cell r="B17">
            <v>0.5</v>
          </cell>
        </row>
        <row r="18">
          <cell r="B18">
            <v>0.6</v>
          </cell>
        </row>
        <row r="19">
          <cell r="B19">
            <v>0.7</v>
          </cell>
        </row>
        <row r="20">
          <cell r="B20">
            <v>0.8</v>
          </cell>
        </row>
        <row r="21">
          <cell r="B21">
            <v>0.9</v>
          </cell>
        </row>
        <row r="22">
          <cell r="B22">
            <v>1</v>
          </cell>
        </row>
      </sheetData>
      <sheetData sheetId="1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ntelgy" refreshedDate="44455.845117708333" createdVersion="7" refreshedVersion="7" minRefreshableVersion="3" recordCount="15" xr:uid="{CC71CCCD-AD79-4D47-AA99-50BA9B3EF0EF}">
  <cacheSource type="worksheet">
    <worksheetSource ref="A5:V47" sheet="Sprint_Backlog"/>
  </cacheSource>
  <cacheFields count="22">
    <cacheField name="Prioridad" numFmtId="0">
      <sharedItems containsString="0" containsBlank="1" containsNumber="1" containsInteger="1" minValue="1" maxValue="14"/>
    </cacheField>
    <cacheField name="Responsable" numFmtId="0">
      <sharedItems/>
    </cacheField>
    <cacheField name="Sprint" numFmtId="0">
      <sharedItems/>
    </cacheField>
    <cacheField name="Tarea" numFmtId="0">
      <sharedItems/>
    </cacheField>
    <cacheField name="Actividad" numFmtId="0">
      <sharedItems count="173">
        <s v="Crear plan de trabajo y cronograma general"/>
        <s v="Planteamiento del Problema"/>
        <s v="Asignación de Roles y Tareas"/>
        <s v="Crear repositorio y tablero Kanban"/>
        <s v="Listar Entidades y Atributos"/>
        <s v="Asistencia Tutoria 1"/>
        <s v="Crear Modelo Conceptual del Sistema"/>
        <s v="Documentar Historias de Usuario"/>
        <s v="Documentar Requerimientos Funcionales"/>
        <s v="Documentar Requerimientos No Funcionales"/>
        <s v="Consolidar documento entregable"/>
        <s v="Cargar documento Sprint 3 - Curso"/>
        <s v="Consolidar documento seguimiento Sprint 3"/>
        <s v="Cargar evidencia para seguimiento"/>
        <s v=""/>
        <s v="Seguimiento Semana 4 - Marzo" u="1"/>
        <s v="Seguimiento Semana 3 - Junio" u="1"/>
        <s v="INCORRECTA LA INTEGRACION DE CATEDRA" u="1"/>
        <s v="Seguimiento Semana 3 - Mayo" u="1"/>
        <s v="Error en la generación de reporte de liquidados en proceso" u="1"/>
        <s v="ajuste en la parametrización de los flujos de aprobación" u="1"/>
        <s v="PRUEBAS reporte Recalculo empleados sin Ingreso Mensualizado - ERROR EN REPORTE DE RECALCULO% RETENCION EN LA FUENTE SEMESTRAL" u="1"/>
        <s v="estructura plano de la planilla P" u="1"/>
        <s v="Un inmenso favor : Corregir certificado de ingresos y retenciones 2020" u="1"/>
        <s v="Varios Ticket 339571 y 357236" u="1"/>
        <s v="LIQ 41440251 LAUDICE GARCIA CANOAS" u="1"/>
        <s v="Error en cálculo vacaciones liquidación profesor Cátedra" u="1"/>
        <s v="Paso Formulación PRO 00371737" u="1"/>
        <s v="Base cesantías en liquidación de contrato incorrecta 0000018406" u="1"/>
        <s v="Revisión Nómina - Diego Días y Julian Obando" u="1"/>
        <s v="Diferencias en certificados de ingresos y retenciones año 2020" u="1"/>
        <s v="Revisión Certificados automáticos Siga Aprendices con pago del 75% salario mínimo" u="1"/>
        <s v="Elemento DED115 no sale en  comprobante pago" u="1"/>
        <s v="Caso Error IBC y salario en reliquidación 0000014490" u="1"/>
        <s v="Formato 2276 medios Magneticos" u="1"/>
        <s v="Proyecto de resolución nomina electrónica" u="1"/>
        <s v="Solicitud Vacaciones" u="1"/>
        <s v="Seguimiento Semana 2 - Marzo" u="1"/>
        <s v="Paso Formulación PRO 00364400" u="1"/>
        <s v="Ajuste valor de peaje compensación flexible en siga" u="1"/>
        <s v="Seguimiento Semana 1 - Junio" u="1"/>
        <s v="Seguimiento Semana 1 - Mayo" u="1"/>
        <s v="Seguimiento Semana 4 - Abril" u="1"/>
        <s v="Vacaciones colectivas Inalde 0000166308" u="1"/>
        <s v="Revisión de Datos: Error en archivo de bancos" u="1"/>
        <s v="REVISAR POR QUE SALE EN NEGATIVO LOS MONTOS EN LA RETENCION" u="1"/>
        <s v="Incorrecto a generar planilla E" u="1"/>
        <s v="Seguimiento Semana 2 - Febrero" u="1"/>
        <s v="Caso Reporte Aportes Voluntarios" u="1"/>
        <s v="ERROR RETENCION EN LA FUENTE MAYO EMPLEADO 0000001530" u="1"/>
        <s v="Ajuste libro vacaciones ID 0000008526" u="1"/>
        <s v="Reunión aprobación diseño Mejora Vacaciones" u="1"/>
        <s v="Parametrización PRO Reporte Gastos de Personal" u="1"/>
        <s v="Concepto 257 de vacaciones no está saliendo en liquidaciones Cátedra" u="1"/>
        <s v="Caso error de Datos Estudiante - se incluyó acción que no corresponde" u="1"/>
        <s v="Revisión reporte Recalculo empleados sin Ingreso Mensualizado - ERROR EN REPORTE DE RECALCULO% RETENCION EN LA FUENTE SEMESTRAL" u="1"/>
        <s v="Plano planilla E Julio incorrecta" u="1"/>
        <s v="Paso Formulación PRO 00306694, 00244928" u="1"/>
        <s v="REVISAR PROVISION VACACIONES Y CONSOLIDADO" u="1"/>
        <s v="Validación afectación departamento en nómina" u="1"/>
        <s v="Proceso Incorrecto finalización nómina General" u="1"/>
        <s v="Revisión y acompañamiento Integracion  no creo Vouchers AP" u="1"/>
        <s v="AUTOLIQUIDACION - ERROR CALCULO LEY 1393 CUANDO SOLO HAY PAGOS NO SALARIALES EN EL MES" u="1"/>
        <s v="Seguimiento Semana 4 - Julio" u="1"/>
        <s v="Revisión valores reversión Liquidación Agosto" u="1"/>
        <s v="Seguimiento Semana 2 - Abril" u="1"/>
        <s v="ERROR EN REPORTE DE RETENCION MENSUAL" u="1"/>
        <s v="CREACION DE CONCEPTO LICENCIA EFR PATERNIDAD" u="1"/>
        <s v="No seactualizan las bases en el reporte Liquidación,cuando se sustituyen por elementos Base" u="1"/>
        <s v="REVERSION VACACIONES MASIVAS INALDE CATEDRA Y GENERAL" u="1"/>
        <s v="CREACION DE NUEVO ELEMENTO LIBRANZA" u="1"/>
        <s v="Mejora proceso acumulación de vacaciones" u="1"/>
        <s v="Inconvenientes para generar certificado laboral" u="1"/>
        <s v="Modificación Certificado Ingresos y Retenciones año grvable 2020" u="1"/>
        <s v="AUTOLIQUIDACION - ERROR AL CALCULAR IBC ARL POR POSIBLE CAMBIO DE AÑO Y VR. DEL SALARIO MINIMO" u="1"/>
        <s v="SESIONES SIN PROCESAR HCM AGOSTO" u="1"/>
        <s v="Ajuste días laborados con vacaciones día 31" u="1"/>
        <s v="RE: Revisión al reporte general de personal INALDE" u="1"/>
        <s v="Error con la generación de certificaciones laborales automáticas" u="1"/>
        <s v="Información en el sistema Sigagestionhuman" u="1"/>
        <s v="NUEVO CONCEPTO AUSENCIAS PARA EL MES DE JUNIO" u="1"/>
        <s v="Ajuste Prametrización Planilla Tipo P - PRO, DEV, PRE" u="1"/>
        <s v="Reporte liquidados en proceso en blanco Nómina estudiantes" u="1"/>
        <s v="REPORTE POR CONCEPTO Liquidación General mayo CS_202105_LIQ1_GS" u="1"/>
        <s v="Seguimiento Semana 4 - Junio" u="1"/>
        <s v="asignación contrato Datos de Puesto Contratación" u="1"/>
        <s v="ERR CALC IBC ARL Y PARAFISCALES ACC TRABAJO TODO EL PERIODO (DIC. 2018)" u="1"/>
        <s v="Consolidado vacaciones" u="1"/>
        <s v="Revisión Embargo Ejecutivo que no se genera en Liquidación" u="1"/>
        <s v="Paso Formulación PRO 00397590" u="1"/>
        <s v="Soporte caso bancos - Silvia Chiquiza" u="1"/>
        <s v="Seguimiento Semana 2 - Julio" u="1"/>
        <s v="Error en distribución del gasto empleado ID 5500" u="1"/>
        <s v="Soporte ERROR AL ELIMINAR LA INSTANCIA 7 DEL ID 0000184391" u="1"/>
        <s v="Seguimiento Semana 1 - Agosto" u="1"/>
        <s v="Seguimiento Semana 2 - Agosto" u="1"/>
        <s v="Seguimiento Semana 3 - Agosto" u="1"/>
        <s v="Seguimiento Semana 4 - Agosto" u="1"/>
        <s v="INCLUIR CLAVE 6 A PERSONAS QUE PERTENECEN A CONVENIOS Y EL CAMPO SE ENCUENTRA VACIO" u="1"/>
        <s v="Eliminar sesiones 0000000470 RCD 0" u="1"/>
        <s v="Nómina Electronica - Mi Planilla" u="1"/>
        <s v="Consulta Personas con puesto &quot;PENDIENTE&quot;" u="1"/>
        <s v="ERROR NO GENERA INTEGRACION AP CALENDARIOS GCS_202104_AJU1_CA" u="1"/>
        <s v="Ajuste descuento retención por viaticos en meses posteriores" u="1"/>
        <s v="Validación parametrización para integración con ERP de nueva clave contable de ciudad" u="1"/>
        <s v="ERROR CALCULO PRIMA EMPLEADO CF NOMINA GENERAL" u="1"/>
        <s v="Seguimiento Semana 3 - Marzo" u="1"/>
        <s v=" RV: VALORES NOMINA JULIO SABANA" u="1"/>
        <s v="ACTUALIZACION PLANTILLA CERTIFICADO DE INGRESOS Y RETENCIONES AÑO 2020" u="1"/>
        <s v="RV: Vacaciones 0000008526 " u="1"/>
        <s v="Seguimiento Semana 2 - Junio" u="1"/>
        <s v="Mejora reporte de gastos de personal" u="1"/>
        <s v="Seguimiento Semana 2 - Mayo" u="1"/>
        <s v="Revisión Liquidados en Procesos ususario claudiamunca" u="1"/>
        <s v="Soporte cierre prestaciones - registros de vacaciones que no aparecen" u="1"/>
        <s v="Pruebas - Mejora calculo de Nomina" u="1"/>
        <s v="Nómina - Inalde concepto CC_887 RETENCION CONTINGENTE" u="1"/>
        <s v="Paso Formulación PRO 00371716" u="1"/>
        <s v="Soporte Liquidación Julio Base Prima Legal" u="1"/>
        <s v="Asociación concepto descuento crédito grupo de Pago Cátedra Inalde" u="1"/>
        <s v="AUTOLIQUIDACION - AJUSTE IBC ARL CON LEY 1393 Y CONCEPTOS SALARIALES INTEGRALES INFERIORES AL SMMLV" u="1"/>
        <s v="Seguimiento Semana 1 - Septiembre" u="1"/>
        <s v="Seguimiento Semana 2 - Septiembre" u="1"/>
        <s v="CREACIÓN DE NUEVO ELEMENTO (UNIFICAR PAGOS DE AUXILIO DE TRANSPORTE Y CONECTIVIDAD)" u="1"/>
        <s v="SESIONES SIN PROCESAR HCM" u="1"/>
        <s v="Revisión registro del día 31" u="1"/>
        <s v="Seguimiento Semana 1 - Marzo" u="1"/>
        <s v="Calculo Incorrecto General Inalde" u="1"/>
        <s v="Paso Formulación PRO 00376523" u="1"/>
        <s v="Revisión plano planilla E julio 2021" u="1"/>
        <s v="Formulación vacaciones, error ausentismo todo el mes" u="1"/>
        <s v="Solicitud apoyo en Siga - Selección vacante aporbador" u="1"/>
        <s v="Redondeos seguridad social" u="1"/>
        <s v="Seguimiento Semana 3 - Abril" u="1"/>
        <s v="Error calculo días hábiles solicitud vacaciones" u="1"/>
        <s v="No genera Reporte Distribución" u="1"/>
        <s v="CONCEPTO PAGO DE DV_286" u="1"/>
        <s v="Reporte consolidado de vacación y provisión nómina." u="1"/>
        <s v="Paso Formulación PRO 00394978" u="1"/>
        <s v="No se generan las cuentas 74 y 75 Reporte Gastos de Personal" u="1"/>
        <s v="DIFERENCIAS EN INFORMACION DE DATOS DE PUESTO VERSUS ACTUALIZACION DE CONTRATO" u="1"/>
        <s v="Paso Formulación PRO 00238214" u="1"/>
        <s v="FORMULACIÓN_IBC EN LNR" u="1"/>
        <s v="Salud Doble vacaciones anticipadas" u="1"/>
        <s v="Reunión aprobación diseño Mejora Sust Distr GL" u="1"/>
        <s v="RE: Casos para reportar a siga - no está tomando los días laborados con  baja" u="1"/>
        <s v="Paso Formulación PRO 00381190" u="1"/>
        <s v="Mejora reporte listado de novedades registradas" u="1"/>
        <s v="Descuento DD_738" u="1"/>
        <s v="Validación Integracion" u="1"/>
        <s v="ERRR EN _RV: Consulta Retención en la fuente" u="1"/>
        <s v="ERROR EN CALCULO GRUPO CALENDARIO GCS_202101_AUT02" u="1"/>
        <s v="Paso Formulación PRO 00273750, 243135, 256793, 359316" u="1"/>
        <s v="CONVENIOS JUNIO DE 2021" u="1"/>
        <s v="Creditos ERP-HCM - Soporte Nomina" u="1"/>
        <s v="Error en calculo de dias mes de febrero" u="1"/>
        <s v="Subtipo Cotizante 05" u="1"/>
        <s v="Seguimiento Semana 1 - Abril" u="1"/>
        <s v="Incidencia IBC Junio ausencia RAC" u="1"/>
        <s v="Entidades Aportes Voluntarios Nómina 2021_M03_BON" u="1"/>
        <s v="ERROR EN ARCHIVO AP POR CARGUE DE PLANOS NOVEDADES NOMINA MAYO" u="1"/>
        <s v="REVISAR POR QUE NO DEJA FINALIZAR EL CALENDARIO GCS_202012_PPS3_US" u="1"/>
        <s v="Revisión ausencia Receso Académico con Segmentación -  ERROR EN CALCULO INCREMENTOS MES DE JULIO" u="1"/>
        <s v="Indemnización en Reliquidación" u="1"/>
        <s v="Reporte liquidados en proceso incorrecto" u="1"/>
        <s v="Diferencias Sesiones Programadas, Nivel 3 Y Calculo" u="1"/>
        <s v="NO ESTA APARECIENDO LA CLAVE 6 DE FORMA AUTOMATICA EN SUSTITUCION DISTRIBUCION GL" u="1"/>
        <s v="Paso Formulación PRO 00227995" u="1"/>
        <s v="RECURSIVIDAD DE AUXILIO DE TRANSPORTE EN LIQUIDACIONES" u="1"/>
        <s v="No actualización de nueva tarifa proceso nómina profesores Cátedra Inalde" u="1"/>
        <s v="Incrementos empleados año 2021" u="1"/>
        <s v="ERROR AL ELIMINAR LA INSTANCIA 7 DEL ID 0000184391" u="1"/>
        <s v="ACTUALIZACION DE FIRMA NUEVA DIRECTORA DE DESARROLLO HUMANO MODULO HCM" u="1"/>
      </sharedItems>
    </cacheField>
    <cacheField name="Horas Estimadas" numFmtId="0">
      <sharedItems containsMixedTypes="1" containsNumber="1" containsInteger="1" minValue="0" maxValue="0"/>
    </cacheField>
    <cacheField name="Ejecutadas" numFmtId="0">
      <sharedItems containsMixedTypes="1" containsNumber="1" containsInteger="1" minValue="0" maxValue="4"/>
    </cacheField>
    <cacheField name="Hor Pend" numFmtId="0">
      <sharedItems containsMixedTypes="1" containsNumber="1" containsInteger="1" minValue="-4" maxValue="0"/>
    </cacheField>
    <cacheField name="Proyecto" numFmtId="0">
      <sharedItems/>
    </cacheField>
    <cacheField name="Hito" numFmtId="0">
      <sharedItems containsMixedTypes="1" containsNumber="1" containsInteger="1" minValue="1" maxValue="51" count="19">
        <n v="1"/>
        <n v="2"/>
        <n v="17"/>
        <n v="3"/>
        <n v="14"/>
        <s v=""/>
        <n v="34" u="1"/>
        <n v="13" u="1"/>
        <n v="15" u="1"/>
        <n v="6" u="1"/>
        <n v="16" u="1"/>
        <n v="33" u="1"/>
        <n v="8" u="1"/>
        <n v="9" u="1"/>
        <n v="10" u="1"/>
        <n v="11" u="1"/>
        <n v="51" u="1"/>
        <n v="4" u="1"/>
        <n v="12" u="1"/>
      </sharedItems>
    </cacheField>
    <cacheField name="Epica" numFmtId="0">
      <sharedItems count="23">
        <s v="Planeación"/>
        <s v="Análisis - Modelo Conceptual"/>
        <s v="Seguimiento"/>
        <s v="Análisis - Requerimientos Funcionales"/>
        <s v="Entregas"/>
        <s v=""/>
        <s v="USABANA MODIF PARAMETRIZACION" u="1"/>
        <s v="USABANA AJUSTE EN AUTOLIQUIDACION IBC Y DÍAS" u="1"/>
        <s v="USABANA CORRECCION DATOS" u="1"/>
        <s v="USABANA CORRECCION TECNICA" u="1"/>
        <s v="USABANA SEGUIMIENTOS" u="1"/>
        <s v="FIDUP SOLUCIONES FUNCIONALES" u="1"/>
        <s v="FIDUP AJUSTE REPORTES" u="1"/>
        <s v="USABANA AJUSTES INTEGRACION" u="1"/>
        <s v="USABANA AJUSTE EN PROCESOS LOCALIZACION - MEJORA" u="1"/>
        <s v="USABANA AJUSTE EN AUTOLIQUIDACION NOVEDADES Y OTROS" u="1"/>
        <s v="USABANA AJUSTE REPORTES" u="1"/>
        <s v="USABANA SOLUCIONES FUNCIONALES" u="1"/>
        <s v="USABANA PASOS FORMULACION PRO" u="1"/>
        <s v="USABANA AJUSTE EN NOMINA OTRAS FORMULACIONES" u="1"/>
        <s v="USABANA SOPORTE FORMULACION MENSUAL" u="1"/>
        <s v="USABANA AJUSTE EN NOMINA - MEJORA" u="1"/>
        <s v="ACH AJUSTE EN NOMINA OTRAS FORMULACIONES" u="1"/>
      </sharedItems>
    </cacheField>
    <cacheField name="Tipo" numFmtId="0">
      <sharedItems count="6">
        <s v="Tarea"/>
        <s v="Reunión"/>
        <s v=""/>
        <s v="PasoFormul" u="1"/>
        <s v="Antiguo" u="1"/>
        <s v="Nuevo" u="1"/>
      </sharedItems>
    </cacheField>
    <cacheField name="Avance Total" numFmtId="165">
      <sharedItems containsString="0" containsBlank="1" containsNumber="1" minValue="0.66666666666666663" maxValue="1"/>
    </cacheField>
    <cacheField name="Avance Hito" numFmtId="9">
      <sharedItems containsString="0" containsBlank="1" containsNumber="1" minValue="0.66666666666666663" maxValue="1"/>
    </cacheField>
    <cacheField name="F. Incio" numFmtId="0">
      <sharedItems containsDate="1" containsMixedTypes="1" minDate="1899-12-30T00:00:00" maxDate="2021-09-18T00:00:00" count="99">
        <d v="2021-09-08T00:00:00"/>
        <d v="2021-09-09T00:00:00"/>
        <d v="2021-09-11T00:00:00"/>
        <d v="2021-09-14T00:00:00"/>
        <d v="2021-09-13T00:00:00"/>
        <d v="2021-09-15T00:00:00"/>
        <d v="2021-09-16T00:00:00"/>
        <d v="2021-09-17T00:00:00"/>
        <s v=""/>
        <d v="2021-05-19T00:00:00" u="1"/>
        <d v="2021-09-01T00:00:00" u="1"/>
        <d v="2021-06-24T00:00:00" u="1"/>
        <d v="2021-02-16T00:00:00" u="1"/>
        <d v="2021-06-17T00:00:00" u="1"/>
        <d v="2021-02-09T00:00:00" u="1"/>
        <d v="2021-05-05T00:00:00" u="1"/>
        <d v="2021-08-27T00:00:00" u="1"/>
        <d v="2021-04-19T00:00:00" u="1"/>
        <d v="2021-06-10T00:00:00" u="1"/>
        <d v="2021-05-24T00:00:00" u="1"/>
        <d v="2021-07-15T00:00:00" u="1"/>
        <d v="2021-08-20T00:00:00" u="1"/>
        <d v="2021-02-21T00:00:00" u="1"/>
        <d v="2021-03-26T00:00:00" u="1"/>
        <d v="2021-08-13T00:00:00" u="1"/>
        <d v="2021-03-19T00:00:00" u="1"/>
        <d v="2021-06-15T00:00:00" u="1"/>
        <d v="2021-08-06T00:00:00" u="1"/>
        <d v="2021-03-12T00:00:00" u="1"/>
        <d v="2021-05-03T00:00:00" u="1"/>
        <d v="2021-08-25T00:00:00" u="1"/>
        <d v="2021-02-26T00:00:00" u="1"/>
        <d v="2021-06-08T00:00:00" u="1"/>
        <d v="2021-07-13T00:00:00" u="1"/>
        <d v="2021-03-05T00:00:00" u="1"/>
        <d v="2021-08-18T00:00:00" u="1"/>
        <d v="2021-02-19T00:00:00" u="1"/>
        <d v="2021-06-01T00:00:00" u="1"/>
        <d v="2021-03-24T00:00:00" u="1"/>
        <d v="2021-02-12T00:00:00" u="1"/>
        <d v="2021-02-05T00:00:00" u="1"/>
        <d v="2002-08-26T00:00:00" u="1"/>
        <d v="2021-03-10T00:00:00" u="1"/>
        <d v="2021-02-24T00:00:00" u="1"/>
        <d v="2021-09-02T00:00:00" u="1"/>
        <d v="2021-03-03T00:00:00" u="1"/>
        <d v="2021-06-25T00:00:00" u="1"/>
        <d v="2021-02-17T00:00:00" u="1"/>
        <d v="2021-04-08T00:00:00" u="1"/>
        <d v="2021-07-30T00:00:00" u="1"/>
        <d v="2021-06-18T00:00:00" u="1"/>
        <d v="2021-08-09T00:00:00" u="1"/>
        <d v="2021-02-10T00:00:00" u="1"/>
        <d v="2021-07-23T00:00:00" u="1"/>
        <d v="2021-04-20T00:00:00" u="1"/>
        <d v="2021-06-11T00:00:00" u="1"/>
        <d v="2021-08-02T00:00:00" u="1"/>
        <d v="2021-07-16T00:00:00" u="1"/>
        <d v="2021-09-07T00:00:00" u="1"/>
        <d v="2021-03-08T00:00:00" u="1"/>
        <d v="2021-02-22T00:00:00" u="1"/>
        <d v="2021-04-13T00:00:00" u="1"/>
        <d v="2021-06-04T00:00:00" u="1"/>
        <d v="2021-05-18T00:00:00" u="1"/>
        <d v="2021-02-15T00:00:00" u="1"/>
        <d v="2021-07-28T00:00:00" u="1"/>
        <d v="2021-02-08T00:00:00" u="1"/>
        <d v="2021-07-21T00:00:00" u="1"/>
        <d v="1899-12-30T00:00:00" u="1"/>
        <d v="2002-05-07T00:00:00" u="1"/>
        <d v="2021-06-09T00:00:00" u="1"/>
        <d v="2021-02-01T00:00:00" u="1"/>
        <d v="2021-07-14T00:00:00" u="1"/>
        <d v="2021-06-28T00:00:00" u="1"/>
        <d v="2021-08-19T00:00:00" u="1"/>
        <d v="2021-03-25T00:00:00" u="1"/>
        <d v="2021-07-07T00:00:00" u="1"/>
        <d v="2021-04-30T00:00:00" u="1"/>
        <d v="2021-08-12T00:00:00" u="1"/>
        <d v="2021-08-31T00:00:00" u="1"/>
        <d v="2021-04-23T00:00:00" u="1"/>
        <d v="2021-08-05T00:00:00" u="1"/>
        <d v="2021-07-19T00:00:00" u="1"/>
        <d v="2021-09-10T00:00:00" u="1"/>
        <d v="2021-08-24T00:00:00" u="1"/>
        <d v="2021-02-25T00:00:00" u="1"/>
        <d v="2021-04-16T00:00:00" u="1"/>
        <d v="2021-05-21T00:00:00" u="1"/>
        <d v="2021-07-12T00:00:00" u="1"/>
        <d v="2021-09-03T00:00:00" u="1"/>
        <d v="2021-02-18T00:00:00" u="1"/>
        <d v="2021-04-09T00:00:00" u="1"/>
        <d v="2021-05-14T00:00:00" u="1"/>
        <d v="2021-04-28T00:00:00" u="1"/>
        <d v="2021-08-10T00:00:00" u="1"/>
        <d v="2021-05-07T00:00:00" u="1"/>
        <d v="2021-02-04T00:00:00" u="1"/>
        <d v="2021-03-09T00:00:00" u="1"/>
        <d v="2021-02-23T00:00:00" u="1"/>
      </sharedItems>
    </cacheField>
    <cacheField name="F. Fin" numFmtId="14">
      <sharedItems containsDate="1" containsBlank="1" containsMixedTypes="1" minDate="1899-12-30T00:00:00" maxDate="2021-09-18T00:00:00" count="97">
        <d v="2021-02-03T00:00:00"/>
        <d v="2021-02-04T00:00:00"/>
        <d v="2021-02-08T00:00:00"/>
        <d v="2021-09-17T00:00:00"/>
        <d v="2021-09-14T00:00:00"/>
        <d v="2021-09-15T00:00:00"/>
        <d v="2021-09-16T00:00:00"/>
        <m/>
        <s v=""/>
        <d v="2021-05-19T00:00:00" u="1"/>
        <d v="2021-09-01T00:00:00" u="1"/>
        <d v="2021-06-24T00:00:00" u="1"/>
        <d v="2021-04-26T00:00:00" u="1"/>
        <d v="2021-06-17T00:00:00" u="1"/>
        <d v="2021-02-09T00:00:00" u="1"/>
        <d v="2021-09-13T00:00:00" u="1"/>
        <d v="2021-08-27T00:00:00" u="1"/>
        <d v="2021-04-19T00:00:00" u="1"/>
        <d v="2021-06-10T00:00:00" u="1"/>
        <d v="2021-09-06T00:00:00" u="1"/>
        <d v="2021-08-20T00:00:00" u="1"/>
        <d v="2021-03-26T00:00:00" u="1"/>
        <d v="2021-08-13T00:00:00" u="1"/>
        <d v="2021-07-27T00:00:00" u="1"/>
        <d v="2021-03-19T00:00:00" u="1"/>
        <d v="2021-07-01T00:00:00" u="1"/>
        <d v="2021-06-15T00:00:00" u="1"/>
        <d v="2021-08-06T00:00:00" u="1"/>
        <d v="2021-03-12T00:00:00" u="1"/>
        <d v="2021-05-03T00:00:00" u="1"/>
        <d v="2021-08-25T00:00:00" u="1"/>
        <d v="2021-02-26T00:00:00" u="1"/>
        <d v="2021-06-08T00:00:00" u="1"/>
        <d v="2021-07-13T00:00:00" u="1"/>
        <d v="2021-03-05T00:00:00" u="1"/>
        <d v="2021-08-18T00:00:00" u="1"/>
        <d v="2021-02-19T00:00:00" u="1"/>
        <d v="2021-06-01T00:00:00" u="1"/>
        <d v="2021-03-24T00:00:00" u="1"/>
        <s v="N/A" u="1"/>
        <d v="2021-08-11T00:00:00" u="1"/>
        <d v="2021-02-12T00:00:00" u="1"/>
        <d v="2021-04-22T00:00:00" u="1"/>
        <d v="2021-05-27T00:00:00" u="1"/>
        <d v="2021-08-23T00:00:00" u="1"/>
        <d v="2021-02-24T00:00:00" u="1"/>
        <d v="2021-04-15T00:00:00" u="1"/>
        <d v="2021-05-20T00:00:00" u="1"/>
        <d v="2021-09-02T00:00:00" u="1"/>
        <d v="2021-03-03T00:00:00" u="1"/>
        <d v="2021-06-25T00:00:00" u="1"/>
        <d v="2021-02-17T00:00:00" u="1"/>
        <d v="2021-04-08T00:00:00" u="1"/>
        <d v="2021-07-30T00:00:00" u="1"/>
        <d v="2021-05-13T00:00:00" u="1"/>
        <d v="2021-06-18T00:00:00" u="1"/>
        <d v="2021-02-10T00:00:00" u="1"/>
        <d v="2021-03-15T00:00:00" u="1"/>
        <d v="2021-04-20T00:00:00" u="1"/>
        <d v="2021-06-11T00:00:00" u="1"/>
        <d v="2021-05-25T00:00:00" u="1"/>
        <d v="2021-07-16T00:00:00" u="1"/>
        <d v="2021-09-07T00:00:00" u="1"/>
        <d v="2021-03-08T00:00:00" u="1"/>
        <d v="2021-02-22T00:00:00" u="1"/>
        <d v="2021-04-13T00:00:00" u="1"/>
        <d v="2021-06-04T00:00:00" u="1"/>
        <d v="2021-02-15T00:00:00" u="1"/>
        <d v="2021-07-28T00:00:00" u="1"/>
        <d v="2021-07-21T00:00:00" u="1"/>
        <d v="1899-12-30T00:00:00" u="1"/>
        <d v="2021-05-04T00:00:00" u="1"/>
        <d v="2021-08-26T00:00:00" u="1"/>
        <d v="2021-07-14T00:00:00" u="1"/>
        <d v="2021-03-25T00:00:00" u="1"/>
        <d v="2021-07-07T00:00:00" u="1"/>
        <d v="2021-04-30T00:00:00" u="1"/>
        <d v="2021-08-12T00:00:00" u="1"/>
        <d v="2021-07-26T00:00:00" u="1"/>
        <d v="2021-08-31T00:00:00" u="1"/>
        <d v="2021-04-23T00:00:00" u="1"/>
        <d v="2021-09-10T00:00:00" u="1"/>
        <d v="2021-08-24T00:00:00" u="1"/>
        <d v="2021-02-25T00:00:00" u="1"/>
        <d v="2021-05-21T00:00:00" u="1"/>
        <d v="2021-09-03T00:00:00" u="1"/>
        <d v="2021-02-18T00:00:00" u="1"/>
        <d v="2021-04-09T00:00:00" u="1"/>
        <d v="2021-03-23T00:00:00" u="1"/>
        <d v="2021-05-14T00:00:00" u="1"/>
        <d v="2021-04-28T00:00:00" u="1"/>
        <d v="2021-08-10T00:00:00" u="1"/>
        <d v="2021-02-11T00:00:00" u="1"/>
        <d v="2021-05-07T00:00:00" u="1"/>
        <d v="2021-09-08T00:00:00" u="1"/>
        <d v="2021-03-09T00:00:00" u="1"/>
        <d v="2021-04-14T00:00:00" u="1"/>
      </sharedItems>
    </cacheField>
    <cacheField name="Conteo_Epica" numFmtId="0">
      <sharedItems containsMixedTypes="1" containsNumber="1" containsInteger="1" minValue="1" maxValue="3"/>
    </cacheField>
    <cacheField name="Total Avance" numFmtId="0">
      <sharedItems containsMixedTypes="1" containsNumber="1" containsInteger="1" minValue="0" maxValue="1"/>
    </cacheField>
    <cacheField name="Avance relativo" numFmtId="0">
      <sharedItems containsSemiMixedTypes="0" containsString="0" containsNumber="1" minValue="0" maxValue="1"/>
    </cacheField>
    <cacheField name="% Avance" numFmtId="9">
      <sharedItems containsString="0" containsBlank="1" containsNumber="1" containsInteger="1" minValue="0" maxValue="1"/>
    </cacheField>
    <cacheField name="Semana" numFmtId="0">
      <sharedItems containsString="0" containsBlank="1" containsNumber="1" containsInteger="1" minValue="2" maxValue="37" count="35">
        <n v="2"/>
        <n v="3"/>
        <m/>
        <n v="34" u="1"/>
        <n v="36" u="1"/>
        <n v="5" u="1"/>
        <n v="14" u="1"/>
        <n v="15" u="1"/>
        <n v="6" u="1"/>
        <n v="16" u="1"/>
        <n v="17" u="1"/>
        <n v="18" u="1"/>
        <n v="19" u="1"/>
        <n v="7" u="1"/>
        <n v="20" u="1"/>
        <n v="33" u="1"/>
        <n v="21" u="1"/>
        <n v="35" u="1"/>
        <n v="22" u="1"/>
        <n v="37" u="1"/>
        <n v="23" u="1"/>
        <n v="8" u="1"/>
        <n v="24" u="1"/>
        <n v="25" u="1"/>
        <n v="9" u="1"/>
        <n v="26" u="1"/>
        <n v="27" u="1"/>
        <n v="10" u="1"/>
        <n v="28" u="1"/>
        <n v="29" u="1"/>
        <n v="11" u="1"/>
        <n v="30" u="1"/>
        <n v="31" u="1"/>
        <n v="12" u="1"/>
        <n v="32" u="1"/>
      </sharedItems>
    </cacheField>
    <cacheField name="Estado" numFmtId="0">
      <sharedItems containsBlank="1" count="13">
        <s v="Done"/>
        <s v="Anulada"/>
        <m/>
        <s v="Estimación" u="1"/>
        <s v="Pausado" u="1"/>
        <s v="Anulado" u="1"/>
        <s v="Solucionado" u="1"/>
        <s v="Proceso" u="1"/>
        <s v="To Do" u="1"/>
        <s v="En Espera Rspta" u="1"/>
        <s v="In Progres" u="1"/>
        <s v="Pruebas U" u="1"/>
        <s v="Aplicado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n v="1"/>
    <s v="EdwinV"/>
    <s v="Sprint 2"/>
    <s v="T-001"/>
    <x v="0"/>
    <n v="0"/>
    <n v="4"/>
    <n v="-4"/>
    <s v="DESARROLLO APLICACIÓN"/>
    <x v="0"/>
    <x v="0"/>
    <x v="0"/>
    <n v="1"/>
    <n v="1"/>
    <x v="0"/>
    <x v="0"/>
    <n v="1"/>
    <n v="1"/>
    <n v="1"/>
    <n v="1"/>
    <x v="0"/>
    <x v="0"/>
  </r>
  <r>
    <n v="2"/>
    <s v="EQUIPO"/>
    <s v="Sprint 2"/>
    <s v="T-002"/>
    <x v="1"/>
    <n v="0"/>
    <n v="2"/>
    <n v="-2"/>
    <s v="DESARROLLO APLICACIÓN"/>
    <x v="0"/>
    <x v="0"/>
    <x v="0"/>
    <n v="1"/>
    <n v="1"/>
    <x v="0"/>
    <x v="1"/>
    <n v="2"/>
    <n v="1"/>
    <n v="0.5"/>
    <n v="1"/>
    <x v="0"/>
    <x v="0"/>
  </r>
  <r>
    <n v="3"/>
    <s v="EQUIPO"/>
    <s v="Sprint 2"/>
    <s v="T-003"/>
    <x v="2"/>
    <n v="0"/>
    <n v="1"/>
    <n v="-1"/>
    <s v="DESARROLLO APLICACIÓN"/>
    <x v="0"/>
    <x v="0"/>
    <x v="0"/>
    <n v="1"/>
    <n v="1"/>
    <x v="0"/>
    <x v="2"/>
    <n v="2"/>
    <n v="1"/>
    <n v="0.5"/>
    <n v="1"/>
    <x v="0"/>
    <x v="0"/>
  </r>
  <r>
    <n v="4"/>
    <s v="JhonB"/>
    <s v="Sprint 2"/>
    <s v="T-004"/>
    <x v="3"/>
    <n v="0"/>
    <n v="2"/>
    <n v="-2"/>
    <s v="DESARROLLO APLICACIÓN"/>
    <x v="0"/>
    <x v="0"/>
    <x v="0"/>
    <n v="1"/>
    <n v="1"/>
    <x v="1"/>
    <x v="2"/>
    <n v="1"/>
    <n v="1"/>
    <n v="1"/>
    <n v="1"/>
    <x v="0"/>
    <x v="0"/>
  </r>
  <r>
    <n v="5"/>
    <s v="EQUIPO"/>
    <s v="Sprint 3"/>
    <s v="T-005"/>
    <x v="4"/>
    <n v="0"/>
    <n v="4"/>
    <n v="-4"/>
    <s v="DESARROLLO APLICACIÓN"/>
    <x v="1"/>
    <x v="1"/>
    <x v="0"/>
    <n v="1"/>
    <n v="1"/>
    <x v="2"/>
    <x v="3"/>
    <n v="1"/>
    <n v="1"/>
    <n v="1"/>
    <n v="1"/>
    <x v="0"/>
    <x v="0"/>
  </r>
  <r>
    <n v="6"/>
    <s v="EQUIPO"/>
    <s v="Sprint 2"/>
    <s v="T-006"/>
    <x v="5"/>
    <n v="0"/>
    <n v="1"/>
    <n v="-1"/>
    <s v="TUTORIA"/>
    <x v="2"/>
    <x v="2"/>
    <x v="1"/>
    <n v="1"/>
    <n v="1"/>
    <x v="3"/>
    <x v="4"/>
    <n v="1"/>
    <n v="1"/>
    <n v="1"/>
    <n v="1"/>
    <x v="1"/>
    <x v="0"/>
  </r>
  <r>
    <n v="7"/>
    <s v="JhonB"/>
    <s v="Sprint 3"/>
    <s v="T-007"/>
    <x v="6"/>
    <n v="0"/>
    <n v="4"/>
    <n v="-4"/>
    <s v="DESARROLLO APLICACIÓN"/>
    <x v="1"/>
    <x v="1"/>
    <x v="0"/>
    <n v="1"/>
    <n v="1"/>
    <x v="4"/>
    <x v="5"/>
    <n v="1"/>
    <n v="1"/>
    <n v="1"/>
    <n v="1"/>
    <x v="1"/>
    <x v="0"/>
  </r>
  <r>
    <n v="8"/>
    <s v="YhonV"/>
    <s v="Sprint 3"/>
    <s v="T-008"/>
    <x v="7"/>
    <n v="0"/>
    <n v="2"/>
    <n v="-2"/>
    <s v="DESARROLLO APLICACIÓN"/>
    <x v="3"/>
    <x v="3"/>
    <x v="0"/>
    <n v="1"/>
    <n v="1"/>
    <x v="4"/>
    <x v="5"/>
    <n v="2"/>
    <n v="1"/>
    <n v="0.5"/>
    <n v="1"/>
    <x v="1"/>
    <x v="0"/>
  </r>
  <r>
    <n v="9"/>
    <s v="YhonV"/>
    <s v="Sprint 3"/>
    <s v="T-009"/>
    <x v="8"/>
    <n v="0"/>
    <n v="3"/>
    <n v="-3"/>
    <s v="DESARROLLO APLICACIÓN"/>
    <x v="3"/>
    <x v="3"/>
    <x v="0"/>
    <n v="1"/>
    <n v="1"/>
    <x v="4"/>
    <x v="5"/>
    <n v="2"/>
    <n v="1"/>
    <n v="0.5"/>
    <n v="1"/>
    <x v="1"/>
    <x v="0"/>
  </r>
  <r>
    <n v="10"/>
    <s v="JuanC"/>
    <s v="Sprint 3"/>
    <s v="T-010"/>
    <x v="9"/>
    <n v="0"/>
    <n v="1"/>
    <n v="-1"/>
    <s v="DESARROLLO APLICACIÓN"/>
    <x v="3"/>
    <x v="3"/>
    <x v="0"/>
    <n v="1"/>
    <n v="1"/>
    <x v="5"/>
    <x v="6"/>
    <n v="1"/>
    <n v="1"/>
    <n v="1"/>
    <n v="1"/>
    <x v="1"/>
    <x v="0"/>
  </r>
  <r>
    <n v="11"/>
    <s v="TatianaR"/>
    <s v="Sprint 3"/>
    <s v="T-011"/>
    <x v="10"/>
    <n v="0"/>
    <n v="1"/>
    <n v="-1"/>
    <s v="DESARROLLO APLICACIÓN"/>
    <x v="3"/>
    <x v="3"/>
    <x v="0"/>
    <n v="1"/>
    <n v="1"/>
    <x v="6"/>
    <x v="3"/>
    <n v="1"/>
    <n v="1"/>
    <n v="1"/>
    <n v="1"/>
    <x v="1"/>
    <x v="0"/>
  </r>
  <r>
    <n v="12"/>
    <s v="EdwinV"/>
    <s v="Sprint 3"/>
    <s v="T-012"/>
    <x v="11"/>
    <n v="0"/>
    <n v="0"/>
    <n v="0"/>
    <s v="CURSO"/>
    <x v="4"/>
    <x v="4"/>
    <x v="0"/>
    <n v="0.66666666666666663"/>
    <n v="0.66666666666666663"/>
    <x v="6"/>
    <x v="7"/>
    <n v="3"/>
    <n v="1"/>
    <n v="0.33333333333333331"/>
    <n v="1"/>
    <x v="1"/>
    <x v="1"/>
  </r>
  <r>
    <n v="13"/>
    <s v="EdwinV"/>
    <s v="Sprint 3"/>
    <s v="T-013"/>
    <x v="12"/>
    <n v="0"/>
    <n v="1"/>
    <n v="-1"/>
    <s v="TUTORIA"/>
    <x v="4"/>
    <x v="4"/>
    <x v="0"/>
    <n v="0.66666666666666663"/>
    <n v="0.66666666666666663"/>
    <x v="7"/>
    <x v="3"/>
    <n v="3"/>
    <n v="1"/>
    <n v="0.33333333333333331"/>
    <n v="1"/>
    <x v="1"/>
    <x v="0"/>
  </r>
  <r>
    <n v="14"/>
    <s v="EdwinV"/>
    <s v="Sprint 3"/>
    <s v="T-014"/>
    <x v="13"/>
    <n v="0"/>
    <n v="1"/>
    <n v="-1"/>
    <s v="TUTORIA"/>
    <x v="4"/>
    <x v="4"/>
    <x v="0"/>
    <n v="0.66666666666666663"/>
    <n v="0.66666666666666663"/>
    <x v="7"/>
    <x v="3"/>
    <n v="3"/>
    <n v="0"/>
    <n v="0"/>
    <n v="0"/>
    <x v="1"/>
    <x v="0"/>
  </r>
  <r>
    <m/>
    <s v=""/>
    <s v=""/>
    <s v=""/>
    <x v="14"/>
    <s v=""/>
    <s v=""/>
    <s v=""/>
    <s v=""/>
    <x v="5"/>
    <x v="5"/>
    <x v="2"/>
    <m/>
    <m/>
    <x v="8"/>
    <x v="8"/>
    <s v=""/>
    <s v=""/>
    <n v="0"/>
    <m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6BB43A-1660-4915-A7E1-D2339C440889}" name="TablaDinámica5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compact="0" compactData="0" multipleFieldFilters="0">
  <location ref="B5:E10" firstHeaderRow="1" firstDataRow="1" firstDataCol="3"/>
  <pivotFields count="22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9">
        <item x="0"/>
        <item x="1"/>
        <item x="3"/>
        <item m="1" x="17"/>
        <item m="1" x="9"/>
        <item m="1" x="12"/>
        <item m="1" x="13"/>
        <item m="1" x="14"/>
        <item m="1" x="15"/>
        <item m="1" x="18"/>
        <item m="1" x="7"/>
        <item x="4"/>
        <item m="1" x="8"/>
        <item m="1" x="10"/>
        <item m="1" x="11"/>
        <item m="1" x="6"/>
        <item m="1" x="16"/>
        <item x="5"/>
        <item x="2"/>
      </items>
    </pivotField>
    <pivotField axis="axisRow" compact="0" outline="0" showAll="0" defaultSubtotal="0">
      <items count="23">
        <item x="5"/>
        <item m="1" x="22"/>
        <item m="1" x="12"/>
        <item m="1" x="11"/>
        <item m="1" x="7"/>
        <item m="1" x="15"/>
        <item m="1" x="21"/>
        <item m="1" x="19"/>
        <item m="1" x="14"/>
        <item m="1" x="16"/>
        <item m="1" x="13"/>
        <item m="1" x="8"/>
        <item m="1" x="9"/>
        <item m="1" x="6"/>
        <item m="1" x="18"/>
        <item m="1" x="10"/>
        <item m="1" x="17"/>
        <item m="1" x="20"/>
        <item x="0"/>
        <item x="1"/>
        <item x="2"/>
        <item x="3"/>
        <item x="4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35">
        <item h="1" m="1" x="5"/>
        <item h="1" m="1" x="8"/>
        <item h="1" m="1" x="13"/>
        <item h="1" m="1" x="21"/>
        <item h="1" m="1" x="24"/>
        <item h="1" m="1" x="27"/>
        <item h="1" m="1" x="30"/>
        <item h="1" m="1" x="33"/>
        <item h="1" m="1" x="6"/>
        <item h="1" m="1" x="7"/>
        <item h="1" m="1" x="9"/>
        <item h="1" m="1" x="10"/>
        <item h="1" m="1" x="11"/>
        <item h="1" m="1" x="12"/>
        <item h="1" m="1" x="14"/>
        <item h="1" m="1" x="16"/>
        <item h="1" m="1" x="18"/>
        <item h="1" m="1" x="20"/>
        <item h="1" m="1" x="22"/>
        <item h="1" m="1" x="23"/>
        <item h="1" m="1" x="25"/>
        <item h="1" m="1" x="26"/>
        <item h="1" m="1" x="28"/>
        <item h="1" m="1" x="29"/>
        <item h="1" m="1" x="31"/>
        <item h="1" m="1" x="32"/>
        <item h="1" m="1" x="34"/>
        <item h="1" m="1" x="15"/>
        <item h="1" m="1" x="3"/>
        <item h="1" m="1" x="17"/>
        <item h="1" m="1" x="4"/>
        <item h="1" m="1" x="19"/>
        <item h="1" x="2"/>
        <item h="1" x="0"/>
        <item x="1"/>
      </items>
    </pivotField>
    <pivotField compact="0" outline="0" showAll="0"/>
  </pivotFields>
  <rowFields count="3">
    <field x="20"/>
    <field x="9"/>
    <field x="10"/>
  </rowFields>
  <rowItems count="5">
    <i>
      <x v="34"/>
      <x v="1"/>
      <x v="19"/>
    </i>
    <i r="1">
      <x v="2"/>
      <x v="21"/>
    </i>
    <i r="1">
      <x v="11"/>
      <x v="22"/>
    </i>
    <i r="1">
      <x v="18"/>
      <x v="20"/>
    </i>
    <i t="grand">
      <x/>
    </i>
  </rowItems>
  <colItems count="1">
    <i/>
  </colItems>
  <dataFields count="1">
    <dataField name="Promedio de Avance Hito" fld="13" subtotal="average" baseField="10" baseItem="5" numFmtId="10"/>
  </dataFields>
  <formats count="11"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20" type="button" dataOnly="0" labelOnly="1" outline="0" axis="axisRow" fieldPosition="0"/>
    </format>
    <format dxfId="32">
      <pivotArea field="9" type="button" dataOnly="0" labelOnly="1" outline="0" axis="axisRow" fieldPosition="1"/>
    </format>
    <format dxfId="31">
      <pivotArea field="10" type="button" dataOnly="0" labelOnly="1" outline="0" axis="axisRow" fieldPosition="2"/>
    </format>
    <format dxfId="30">
      <pivotArea dataOnly="0" labelOnly="1" outline="0" fieldPosition="0">
        <references count="1">
          <reference field="20" count="2">
            <x v="30"/>
            <x v="31"/>
          </reference>
        </references>
      </pivotArea>
    </format>
    <format dxfId="29">
      <pivotArea dataOnly="0" labelOnly="1" grandRow="1" outline="0" fieldPosition="0"/>
    </format>
    <format dxfId="28">
      <pivotArea dataOnly="0" labelOnly="1" outline="0" fieldPosition="0">
        <references count="2">
          <reference field="9" count="0"/>
          <reference field="20" count="1" selected="0">
            <x v="30"/>
          </reference>
        </references>
      </pivotArea>
    </format>
    <format dxfId="27">
      <pivotArea dataOnly="0" labelOnly="1" outline="0" fieldPosition="0">
        <references count="3">
          <reference field="9" count="0" selected="0"/>
          <reference field="10" count="1">
            <x v="6"/>
          </reference>
          <reference field="20" count="1" selected="0">
            <x v="30"/>
          </reference>
        </references>
      </pivotArea>
    </format>
    <format dxfId="26">
      <pivotArea dataOnly="0" labelOnly="1" outline="0" fieldPosition="0">
        <references count="3">
          <reference field="9" count="0" selected="0"/>
          <reference field="10" count="1">
            <x v="6"/>
          </reference>
          <reference field="20" count="1" selected="0">
            <x v="31"/>
          </reference>
        </references>
      </pivotArea>
    </format>
    <format dxfId="2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C56A41-5D9C-4050-95CC-02352FF3171E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compact="0" compactData="0" multipleFieldFilters="0">
  <location ref="B3:C7" firstHeaderRow="1" firstDataRow="1" firstDataCol="1"/>
  <pivotFields count="22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35">
        <item m="1" x="5"/>
        <item m="1" x="8"/>
        <item m="1" x="13"/>
        <item m="1" x="21"/>
        <item m="1" x="24"/>
        <item m="1" x="27"/>
        <item x="2"/>
        <item m="1" x="30"/>
        <item m="1" x="33"/>
        <item m="1" x="7"/>
        <item m="1" x="6"/>
        <item m="1" x="23"/>
        <item m="1" x="9"/>
        <item m="1" x="10"/>
        <item m="1" x="16"/>
        <item m="1" x="11"/>
        <item m="1" x="12"/>
        <item m="1" x="25"/>
        <item m="1" x="14"/>
        <item m="1" x="20"/>
        <item m="1" x="18"/>
        <item m="1" x="22"/>
        <item m="1" x="28"/>
        <item m="1" x="26"/>
        <item m="1" x="31"/>
        <item m="1" x="29"/>
        <item m="1" x="32"/>
        <item m="1" x="15"/>
        <item m="1" x="34"/>
        <item m="1" x="3"/>
        <item m="1" x="17"/>
        <item m="1" x="4"/>
        <item m="1" x="19"/>
        <item x="0"/>
        <item x="1"/>
      </items>
    </pivotField>
    <pivotField compact="0" outline="0" showAll="0"/>
  </pivotFields>
  <rowFields count="1">
    <field x="20"/>
  </rowFields>
  <rowItems count="4">
    <i>
      <x v="6"/>
    </i>
    <i>
      <x v="33"/>
    </i>
    <i>
      <x v="34"/>
    </i>
    <i t="grand">
      <x/>
    </i>
  </rowItems>
  <colItems count="1">
    <i/>
  </colItems>
  <dataFields count="1">
    <dataField name="Suma de Ejecutadas" fld="6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9ACE31-2607-48E3-8C5B-9BC61BB8C432}" name="TablaDiná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compact="0" compactData="0" multipleFieldFilters="0">
  <location ref="F3:J8" firstHeaderRow="1" firstDataRow="2" firstDataCol="1"/>
  <pivotFields count="22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7">
        <item x="2"/>
        <item m="1" x="4"/>
        <item m="1" x="5"/>
        <item m="1" x="3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35">
        <item m="1" x="5"/>
        <item m="1" x="8"/>
        <item m="1" x="13"/>
        <item m="1" x="21"/>
        <item m="1" x="24"/>
        <item m="1" x="27"/>
        <item x="2"/>
        <item m="1" x="30"/>
        <item m="1" x="33"/>
        <item m="1" x="7"/>
        <item m="1" x="6"/>
        <item m="1" x="23"/>
        <item m="1" x="9"/>
        <item m="1" x="10"/>
        <item m="1" x="16"/>
        <item m="1" x="11"/>
        <item m="1" x="12"/>
        <item m="1" x="25"/>
        <item m="1" x="14"/>
        <item m="1" x="20"/>
        <item m="1" x="18"/>
        <item m="1" x="22"/>
        <item m="1" x="28"/>
        <item m="1" x="26"/>
        <item m="1" x="31"/>
        <item m="1" x="29"/>
        <item m="1" x="32"/>
        <item m="1" x="15"/>
        <item m="1" x="34"/>
        <item m="1" x="3"/>
        <item m="1" x="17"/>
        <item m="1" x="4"/>
        <item m="1" x="19"/>
        <item x="0"/>
        <item x="1"/>
      </items>
    </pivotField>
    <pivotField compact="0" outline="0" showAll="0"/>
  </pivotFields>
  <rowFields count="1">
    <field x="20"/>
  </rowFields>
  <rowItems count="4">
    <i>
      <x v="6"/>
    </i>
    <i>
      <x v="33"/>
    </i>
    <i>
      <x v="34"/>
    </i>
    <i t="grand">
      <x/>
    </i>
  </rowItems>
  <colFields count="1">
    <field x="11"/>
  </colFields>
  <colItems count="4">
    <i>
      <x/>
    </i>
    <i>
      <x v="4"/>
    </i>
    <i>
      <x v="5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55B35B-D94F-4934-B52D-2C83A5AE1004}" name="TablaDinámica4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compact="0" compactData="0" multipleFieldFilters="0" chartFormat="8">
  <location ref="AB5:AF10" firstHeaderRow="1" firstDataRow="2" firstDataCol="2"/>
  <pivotFields count="22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7">
        <item x="2"/>
        <item m="1" x="4"/>
        <item m="1" x="5"/>
        <item m="1" x="3"/>
        <item x="1"/>
        <item x="0"/>
        <item t="default"/>
      </items>
    </pivotField>
    <pivotField compact="0" outline="0" showAll="0"/>
    <pivotField compact="0" outline="0" showAll="0"/>
    <pivotField compact="0" outline="0" showAll="0" defaultSubtota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axis="axisRow" compact="0" outline="0" multipleItemSelectionAllowed="1" showAll="0" defaultSubtotal="0">
      <items count="35">
        <item h="1" m="1" x="5"/>
        <item h="1" m="1" x="8"/>
        <item h="1" m="1" x="13"/>
        <item h="1" m="1" x="21"/>
        <item h="1" m="1" x="24"/>
        <item h="1" m="1" x="27"/>
        <item h="1" x="2"/>
        <item h="1" m="1" x="30"/>
        <item h="1" m="1" x="33"/>
        <item h="1" m="1" x="7"/>
        <item h="1" m="1" x="6"/>
        <item h="1" m="1" x="23"/>
        <item h="1" m="1" x="9"/>
        <item h="1" m="1" x="10"/>
        <item h="1" m="1" x="16"/>
        <item h="1" m="1" x="11"/>
        <item h="1" m="1" x="12"/>
        <item h="1" m="1" x="25"/>
        <item h="1" m="1" x="14"/>
        <item h="1" m="1" x="20"/>
        <item h="1" m="1" x="18"/>
        <item h="1" m="1" x="22"/>
        <item h="1" m="1" x="28"/>
        <item h="1" m="1" x="26"/>
        <item h="1" m="1" x="31"/>
        <item h="1" m="1" x="29"/>
        <item h="1" m="1" x="32"/>
        <item h="1" m="1" x="15"/>
        <item h="1" m="1" x="34"/>
        <item h="1" m="1" x="3"/>
        <item h="1" m="1" x="17"/>
        <item h="1" m="1" x="4"/>
        <item h="1" m="1" x="19"/>
        <item x="0"/>
        <item x="1"/>
      </items>
    </pivotField>
    <pivotField axis="axisRow" compact="0" outline="0" multipleItemSelectionAllowed="1" showAll="0">
      <items count="14">
        <item m="1" x="12"/>
        <item m="1" x="3"/>
        <item m="1" x="4"/>
        <item m="1" x="7"/>
        <item m="1" x="11"/>
        <item m="1" x="6"/>
        <item x="2"/>
        <item m="1" x="5"/>
        <item m="1" x="9"/>
        <item x="0"/>
        <item m="1" x="10"/>
        <item m="1" x="8"/>
        <item x="1"/>
        <item t="default"/>
      </items>
    </pivotField>
  </pivotFields>
  <rowFields count="2">
    <field x="20"/>
    <field x="21"/>
  </rowFields>
  <rowItems count="4">
    <i>
      <x v="33"/>
      <x v="9"/>
    </i>
    <i>
      <x v="34"/>
      <x v="9"/>
    </i>
    <i r="1">
      <x v="12"/>
    </i>
    <i t="grand">
      <x/>
    </i>
  </rowItems>
  <colFields count="1">
    <field x="11"/>
  </colFields>
  <colItems count="3">
    <i>
      <x v="4"/>
    </i>
    <i>
      <x v="5"/>
    </i>
    <i t="grand">
      <x/>
    </i>
  </colItems>
  <dataFields count="1">
    <dataField name="Cuenta de Prioridad" fld="0" subtotal="count" baseField="15" baseItem="1"/>
  </dataFields>
  <chartFormats count="4"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7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247D22-5C5A-45AC-964A-878BB97A0521}" name="TablaDinámica3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compact="0" compactData="0" multipleFieldFilters="0" chartFormat="4">
  <location ref="O3:W20" firstHeaderRow="1" firstDataRow="2" firstDataCol="5"/>
  <pivotFields count="22">
    <pivotField dataField="1"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73">
        <item x="14"/>
        <item m="1" x="108"/>
        <item m="1" x="103"/>
        <item m="1" x="39"/>
        <item m="1" x="120"/>
        <item m="1" x="74"/>
        <item m="1" x="62"/>
        <item m="1" x="54"/>
        <item m="1" x="136"/>
        <item m="1" x="87"/>
        <item m="1" x="101"/>
        <item m="1" x="30"/>
        <item m="1" x="32"/>
        <item m="1" x="159"/>
        <item m="1" x="86"/>
        <item m="1" x="155"/>
        <item m="1" x="151"/>
        <item m="1" x="130"/>
        <item m="1" x="142"/>
        <item m="1" x="17"/>
        <item m="1" x="46"/>
        <item m="1" x="170"/>
        <item m="1" x="73"/>
        <item m="1" x="135"/>
        <item m="1" x="100"/>
        <item m="1" x="152"/>
        <item m="1" x="60"/>
        <item m="1" x="82"/>
        <item m="1" x="161"/>
        <item m="1" x="44"/>
        <item m="1" x="125"/>
        <item m="1" x="109"/>
        <item m="1" x="143"/>
        <item m="1" x="126"/>
        <item m="1" x="47"/>
        <item m="1" x="37"/>
        <item m="1" x="106"/>
        <item m="1" x="36"/>
        <item m="1" x="156"/>
        <item m="1" x="24"/>
        <item m="1" x="57"/>
        <item m="1" x="69"/>
        <item m="1" x="15"/>
        <item m="1" x="104"/>
        <item m="1" x="43"/>
        <item m="1" x="145"/>
        <item m="1" x="157"/>
        <item m="1" x="111"/>
        <item m="1" x="150"/>
        <item m="1" x="65"/>
        <item m="1" x="45"/>
        <item m="1" x="70"/>
        <item m="1" x="116"/>
        <item m="1" x="92"/>
        <item m="1" x="67"/>
        <item m="1" x="133"/>
        <item m="1" x="34"/>
        <item m="1" x="27"/>
        <item m="1" x="148"/>
        <item m="1" x="42"/>
        <item m="1" x="38"/>
        <item m="1" x="167"/>
        <item m="1" x="141"/>
        <item m="1" x="28"/>
        <item m="1" x="53"/>
        <item m="1" x="102"/>
        <item m="1" x="172"/>
        <item m="1" x="41"/>
        <item m="1" x="22"/>
        <item m="1" x="59"/>
        <item m="1" x="112"/>
        <item m="1" x="76"/>
        <item m="1" x="83"/>
        <item m="1" x="137"/>
        <item m="1" x="18"/>
        <item m="1" x="80"/>
        <item m="1" x="160"/>
        <item m="1" x="50"/>
        <item m="1" x="40"/>
        <item m="1" x="117"/>
        <item m="1" x="26"/>
        <item m="1" x="110"/>
        <item m="1" x="31"/>
        <item m="1" x="49"/>
        <item m="1" x="124"/>
        <item m="1" x="79"/>
        <item m="1" x="128"/>
        <item m="1" x="105"/>
        <item m="1" x="16"/>
        <item m="1" x="48"/>
        <item m="1" x="147"/>
        <item m="1" x="163"/>
        <item m="1" x="84"/>
        <item m="1" x="154"/>
        <item m="1" x="171"/>
        <item m="1" x="71"/>
        <item m="1" x="153"/>
        <item m="1" x="166"/>
        <item m="1" x="158"/>
        <item m="1" x="118"/>
        <item m="1" x="114"/>
        <item m="1" x="131"/>
        <item m="1" x="91"/>
        <item m="1" x="78"/>
        <item m="1" x="169"/>
        <item m="1" x="85"/>
        <item m="1" x="146"/>
        <item m="1" x="72"/>
        <item m="1" x="77"/>
        <item m="1" x="140"/>
        <item m="1" x="55"/>
        <item m="1" x="162"/>
        <item m="1" x="61"/>
        <item m="1" x="98"/>
        <item m="1" x="63"/>
        <item m="1" x="149"/>
        <item m="1" x="132"/>
        <item m="1" x="134"/>
        <item m="1" x="94"/>
        <item m="1" x="107"/>
        <item m="1" x="56"/>
        <item m="1" x="129"/>
        <item m="1" x="23"/>
        <item m="1" x="33"/>
        <item m="1" x="123"/>
        <item m="1" x="95"/>
        <item m="1" x="52"/>
        <item m="1" x="144"/>
        <item m="1" x="25"/>
        <item m="1" x="96"/>
        <item m="1" x="89"/>
        <item m="1" x="138"/>
        <item m="1" x="119"/>
        <item m="1" x="58"/>
        <item m="1" x="93"/>
        <item m="1" x="164"/>
        <item m="1" x="99"/>
        <item m="1" x="165"/>
        <item m="1" x="75"/>
        <item m="1" x="29"/>
        <item m="1" x="19"/>
        <item m="1" x="168"/>
        <item m="1" x="127"/>
        <item m="1" x="97"/>
        <item m="1" x="113"/>
        <item m="1" x="115"/>
        <item m="1" x="21"/>
        <item m="1" x="20"/>
        <item m="1" x="90"/>
        <item m="1" x="121"/>
        <item m="1" x="51"/>
        <item m="1" x="64"/>
        <item m="1" x="88"/>
        <item m="1" x="81"/>
        <item m="1" x="139"/>
        <item m="1" x="66"/>
        <item m="1" x="122"/>
        <item m="1" x="35"/>
        <item m="1" x="6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2"/>
        <item m="1" x="4"/>
        <item m="1" x="5"/>
        <item m="1" x="3"/>
        <item x="1"/>
        <item x="0"/>
        <item t="default"/>
      </items>
    </pivotField>
    <pivotField compact="0" outline="0" showAll="0"/>
    <pivotField compact="0" outline="0" showAll="0"/>
    <pivotField axis="axisRow" compact="0" outline="0" showAll="0" defaultSubtotal="0">
      <items count="99">
        <item x="8"/>
        <item m="1" x="71"/>
        <item m="1" x="96"/>
        <item m="1" x="40"/>
        <item m="1" x="66"/>
        <item m="1" x="14"/>
        <item m="1" x="52"/>
        <item m="1" x="39"/>
        <item m="1" x="64"/>
        <item m="1" x="12"/>
        <item m="1" x="47"/>
        <item m="1" x="90"/>
        <item m="1" x="36"/>
        <item m="1" x="60"/>
        <item m="1" x="98"/>
        <item m="1" x="43"/>
        <item m="1" x="85"/>
        <item m="1" x="31"/>
        <item m="1" x="45"/>
        <item m="1" x="34"/>
        <item m="1" x="59"/>
        <item m="1" x="97"/>
        <item m="1" x="42"/>
        <item m="1" x="28"/>
        <item m="1" x="25"/>
        <item m="1" x="38"/>
        <item m="1" x="75"/>
        <item m="1" x="23"/>
        <item m="1" x="48"/>
        <item m="1" x="91"/>
        <item m="1" x="61"/>
        <item m="1" x="86"/>
        <item m="1" x="17"/>
        <item m="1" x="54"/>
        <item m="1" x="80"/>
        <item m="1" x="93"/>
        <item m="1" x="77"/>
        <item m="1" x="29"/>
        <item m="1" x="15"/>
        <item m="1" x="69"/>
        <item m="1" x="95"/>
        <item m="1" x="92"/>
        <item m="1" x="63"/>
        <item m="1" x="9"/>
        <item m="1" x="87"/>
        <item m="1" x="19"/>
        <item m="1" x="37"/>
        <item m="1" x="62"/>
        <item m="1" x="32"/>
        <item m="1" x="70"/>
        <item m="1" x="55"/>
        <item m="1" x="26"/>
        <item m="1" x="13"/>
        <item m="1" x="50"/>
        <item m="1" x="18"/>
        <item m="1" x="11"/>
        <item m="1" x="46"/>
        <item m="1" x="73"/>
        <item m="1" x="76"/>
        <item m="1" x="88"/>
        <item m="1" x="33"/>
        <item m="1" x="72"/>
        <item m="1" x="20"/>
        <item m="1" x="57"/>
        <item m="1" x="82"/>
        <item m="1" x="67"/>
        <item m="1" x="22"/>
        <item m="1" x="53"/>
        <item m="1" x="16"/>
        <item m="1" x="65"/>
        <item m="1" x="49"/>
        <item m="1" x="56"/>
        <item m="1" x="81"/>
        <item m="1" x="27"/>
        <item m="1" x="51"/>
        <item m="1" x="94"/>
        <item m="1" x="78"/>
        <item m="1" x="24"/>
        <item m="1" x="74"/>
        <item m="1" x="21"/>
        <item m="1" x="35"/>
        <item m="1" x="68"/>
        <item m="1" x="10"/>
        <item m="1" x="41"/>
        <item m="1" x="84"/>
        <item m="1" x="30"/>
        <item m="1" x="79"/>
        <item m="1" x="44"/>
        <item m="1" x="89"/>
        <item m="1" x="58"/>
        <item x="0"/>
        <item x="1"/>
        <item m="1" x="83"/>
        <item x="4"/>
        <item x="2"/>
        <item x="3"/>
        <item x="5"/>
        <item x="6"/>
        <item x="7"/>
      </items>
    </pivotField>
    <pivotField axis="axisRow" compact="0" outline="0" showAll="0" defaultSubtotal="0">
      <items count="97">
        <item x="8"/>
        <item m="1" x="39"/>
        <item x="0"/>
        <item x="1"/>
        <item x="2"/>
        <item m="1" x="14"/>
        <item m="1" x="56"/>
        <item m="1" x="92"/>
        <item m="1" x="41"/>
        <item m="1" x="67"/>
        <item m="1" x="51"/>
        <item m="1" x="86"/>
        <item m="1" x="36"/>
        <item m="1" x="64"/>
        <item m="1" x="45"/>
        <item m="1" x="83"/>
        <item m="1" x="31"/>
        <item m="1" x="49"/>
        <item m="1" x="34"/>
        <item m="1" x="63"/>
        <item m="1" x="95"/>
        <item m="1" x="57"/>
        <item m="1" x="28"/>
        <item m="1" x="88"/>
        <item x="7"/>
        <item m="1" x="24"/>
        <item m="1" x="38"/>
        <item m="1" x="74"/>
        <item m="1" x="21"/>
        <item m="1" x="65"/>
        <item m="1" x="52"/>
        <item m="1" x="87"/>
        <item m="1" x="84"/>
        <item m="1" x="46"/>
        <item m="1" x="96"/>
        <item m="1" x="42"/>
        <item m="1" x="17"/>
        <item m="1" x="12"/>
        <item m="1" x="58"/>
        <item m="1" x="43"/>
        <item m="1" x="80"/>
        <item m="1" x="71"/>
        <item m="1" x="90"/>
        <item m="1" x="76"/>
        <item m="1" x="29"/>
        <item m="1" x="54"/>
        <item m="1" x="93"/>
        <item m="1" x="25"/>
        <item m="1" x="89"/>
        <item m="1" x="9"/>
        <item m="1" x="47"/>
        <item m="1" x="32"/>
        <item m="1" x="60"/>
        <item m="1" x="37"/>
        <item m="1" x="66"/>
        <item m="1" x="59"/>
        <item m="1" x="18"/>
        <item m="1" x="26"/>
        <item m="1" x="61"/>
        <item m="1" x="55"/>
        <item m="1" x="13"/>
        <item m="1" x="11"/>
        <item m="1" x="50"/>
        <item m="1" x="75"/>
        <item m="1" x="69"/>
        <item m="1" x="33"/>
        <item m="1" x="73"/>
        <item m="1" x="78"/>
        <item m="1" x="70"/>
        <item m="1" x="23"/>
        <item m="1" x="77"/>
        <item m="1" x="68"/>
        <item m="1" x="53"/>
        <item m="1" x="27"/>
        <item m="1" x="91"/>
        <item m="1" x="40"/>
        <item m="1" x="35"/>
        <item m="1" x="22"/>
        <item m="1" x="20"/>
        <item m="1" x="44"/>
        <item m="1" x="79"/>
        <item m="1" x="62"/>
        <item m="1" x="72"/>
        <item m="1" x="82"/>
        <item m="1" x="10"/>
        <item m="1" x="30"/>
        <item m="1" x="16"/>
        <item m="1" x="19"/>
        <item m="1" x="85"/>
        <item m="1" x="94"/>
        <item m="1" x="48"/>
        <item m="1" x="15"/>
        <item m="1" x="81"/>
        <item x="4"/>
        <item x="5"/>
        <item x="6"/>
        <item x="3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35">
        <item m="1" x="5"/>
        <item m="1" x="8"/>
        <item m="1" x="13"/>
        <item m="1" x="21"/>
        <item m="1" x="24"/>
        <item m="1" x="27"/>
        <item x="2"/>
        <item m="1" x="30"/>
        <item m="1" x="33"/>
        <item m="1" x="7"/>
        <item m="1" x="6"/>
        <item m="1" x="23"/>
        <item m="1" x="9"/>
        <item m="1" x="10"/>
        <item m="1" x="16"/>
        <item m="1" x="11"/>
        <item m="1" x="12"/>
        <item m="1" x="25"/>
        <item m="1" x="14"/>
        <item m="1" x="20"/>
        <item m="1" x="18"/>
        <item m="1" x="22"/>
        <item m="1" x="28"/>
        <item m="1" x="26"/>
        <item m="1" x="31"/>
        <item m="1" x="29"/>
        <item m="1" x="32"/>
        <item m="1" x="15"/>
        <item m="1" x="34"/>
        <item m="1" x="3"/>
        <item m="1" x="17"/>
        <item m="1" x="4"/>
        <item m="1" x="19"/>
        <item x="0"/>
        <item x="1"/>
      </items>
    </pivotField>
    <pivotField axis="axisCol" compact="0" outline="0" showAll="0">
      <items count="14">
        <item m="1" x="12"/>
        <item m="1" x="3"/>
        <item m="1" x="4"/>
        <item m="1" x="7"/>
        <item m="1" x="11"/>
        <item m="1" x="6"/>
        <item x="2"/>
        <item m="1" x="5"/>
        <item m="1" x="9"/>
        <item x="0"/>
        <item m="1" x="10"/>
        <item m="1" x="8"/>
        <item x="1"/>
        <item t="default"/>
      </items>
    </pivotField>
  </pivotFields>
  <rowFields count="5">
    <field x="20"/>
    <field x="4"/>
    <field x="14"/>
    <field x="15"/>
    <field x="11"/>
  </rowFields>
  <rowItems count="16">
    <i>
      <x v="6"/>
      <x/>
      <x/>
      <x/>
      <x/>
    </i>
    <i>
      <x v="33"/>
      <x v="159"/>
      <x v="90"/>
      <x v="2"/>
      <x v="5"/>
    </i>
    <i r="1">
      <x v="160"/>
      <x v="90"/>
      <x v="3"/>
      <x v="5"/>
    </i>
    <i r="1">
      <x v="161"/>
      <x v="90"/>
      <x v="4"/>
      <x v="5"/>
    </i>
    <i r="1">
      <x v="162"/>
      <x v="91"/>
      <x v="4"/>
      <x v="5"/>
    </i>
    <i r="1">
      <x v="163"/>
      <x v="94"/>
      <x v="96"/>
      <x v="5"/>
    </i>
    <i>
      <x v="34"/>
      <x v="164"/>
      <x v="95"/>
      <x v="93"/>
      <x v="4"/>
    </i>
    <i r="1">
      <x v="165"/>
      <x v="93"/>
      <x v="94"/>
      <x v="5"/>
    </i>
    <i r="1">
      <x v="166"/>
      <x v="93"/>
      <x v="94"/>
      <x v="5"/>
    </i>
    <i r="1">
      <x v="167"/>
      <x v="93"/>
      <x v="94"/>
      <x v="5"/>
    </i>
    <i r="1">
      <x v="168"/>
      <x v="96"/>
      <x v="95"/>
      <x v="5"/>
    </i>
    <i r="1">
      <x v="169"/>
      <x v="97"/>
      <x v="96"/>
      <x v="5"/>
    </i>
    <i r="1">
      <x v="170"/>
      <x v="97"/>
      <x v="24"/>
      <x v="5"/>
    </i>
    <i r="1">
      <x v="171"/>
      <x v="98"/>
      <x v="96"/>
      <x v="5"/>
    </i>
    <i r="1">
      <x v="172"/>
      <x v="98"/>
      <x v="96"/>
      <x v="5"/>
    </i>
    <i t="grand">
      <x/>
    </i>
  </rowItems>
  <colFields count="1">
    <field x="21"/>
  </colFields>
  <colItems count="4">
    <i>
      <x v="6"/>
    </i>
    <i>
      <x v="9"/>
    </i>
    <i>
      <x v="12"/>
    </i>
    <i t="grand">
      <x/>
    </i>
  </colItems>
  <dataFields count="1">
    <dataField name="Cuenta de Prioridad" fld="0" subtotal="count" baseField="15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6DC2B0-9574-42B5-8F90-3C8DC87D5D0F}" name="Clientes" displayName="Clientes" ref="A1:C7" totalsRowShown="0">
  <autoFilter ref="A1:C7" xr:uid="{0C06BEF6-7CC7-4E26-90DE-B1FEB00763C1}"/>
  <tableColumns count="3">
    <tableColumn id="1" xr3:uid="{35385976-E3A8-4D3C-9999-514E2851A1C8}" name="Codigo"/>
    <tableColumn id="2" xr3:uid="{7552EE40-F5D9-4F15-88E8-9EF9CD350002}" name="Responsable"/>
    <tableColumn id="3" xr3:uid="{9F1C8D84-A791-4C58-B0C4-6201BB70F9B1}" name="Tamañ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CB44726-A106-4507-912A-E00A6069E21B}" name="Tabla3" displayName="Tabla3" ref="A2:T44" totalsRowShown="0">
  <autoFilter ref="A2:T44" xr:uid="{76624507-0AF9-467B-BFDE-8F96804950EE}"/>
  <sortState xmlns:xlrd2="http://schemas.microsoft.com/office/spreadsheetml/2017/richdata2" ref="A3:T44">
    <sortCondition ref="A3:A44"/>
  </sortState>
  <tableColumns count="20">
    <tableColumn id="17" xr3:uid="{D3E40D37-9C49-46C5-8F5E-4A1C0DDF9939}" name="Prioridad"/>
    <tableColumn id="1" xr3:uid="{A9DE0E87-331D-41CB-B2CE-B840E5950057}" name="Responsable"/>
    <tableColumn id="2" xr3:uid="{FA89DABA-42E0-4331-8028-87A7FF62519B}" name="Id"/>
    <tableColumn id="9" xr3:uid="{528DA4A0-92D0-4E52-B49A-9C1D4F10518F}" name="CD_CASO" dataDxfId="44">
      <calculatedColumnFormula>+CONCATENATE(Tabla3[[#This Row],[Responsable]],"00",Tabla3[[#This Row],[Id]])</calculatedColumnFormula>
    </tableColumn>
    <tableColumn id="10" xr3:uid="{990D3857-027E-4BBB-9FF8-655ED38638F6}" name="Tamaño" dataDxfId="43"/>
    <tableColumn id="3" xr3:uid="{43755ABF-E338-4E54-AEC5-3FC362A09A68}" name="Num_Ticket" dataDxfId="42"/>
    <tableColumn id="4" xr3:uid="{2C96F526-0A5D-4EE8-965B-CDCD6695F390}" name="Descripción" dataDxfId="41"/>
    <tableColumn id="11" xr3:uid="{3890FB0B-CF6C-4C10-87E0-3DD7B21A69B2}" name="Consolidado" dataDxfId="40">
      <calculatedColumnFormula>+CONCATENATE(Tabla3[[#This Row],[Num_Ticket]]," ",Tabla3[[#This Row],[Descripción]])</calculatedColumnFormula>
    </tableColumn>
    <tableColumn id="15" xr3:uid="{DC762061-2A1E-4655-B754-ED5A19CA0480}" name="Tipo" dataDxfId="39"/>
    <tableColumn id="5" xr3:uid="{95716121-7DE7-4C0B-9AEF-40CFD919D442}" name="Fecha_Asignación"/>
    <tableColumn id="6" xr3:uid="{2499B783-0BA4-471B-BE19-21E659E82655}" name="Fecha_Entrega" dataDxfId="38">
      <calculatedColumnFormula>+Sprint_Backlog!P6</calculatedColumnFormula>
    </tableColumn>
    <tableColumn id="7" xr3:uid="{34914E92-14A1-40AF-A75B-7A42EC158846}" name="Fecha_Solución"/>
    <tableColumn id="8" xr3:uid="{53D4C153-AA1F-4048-BA90-22CE6F78D2AE}" name="Observaciones"/>
    <tableColumn id="13" xr3:uid="{B1AB855D-83B9-44D6-BA40-A6A0B3577A82}" name="Estimación"/>
    <tableColumn id="16" xr3:uid="{0F64A0CE-68D1-4587-A4F8-86DE7ED382F8}" name="Ejecutado"/>
    <tableColumn id="12" xr3:uid="{47478921-FDAE-4D40-B7D9-B4108DB69A16}" name="Estado"/>
    <tableColumn id="14" xr3:uid="{616A1798-F988-4EFA-A45F-18C665D6F66D}" name="Mes"/>
    <tableColumn id="18" xr3:uid="{06B72752-0C4D-4FDE-88BB-1BC51C06893D}" name="Proyecto"/>
    <tableColumn id="20" xr3:uid="{884EC7FA-3E01-4B00-B250-D93895B02FA0}" name="Epica" dataDxfId="37">
      <calculatedColumnFormula>IFERROR(VLOOKUP(#REF!,Parametros!$E$17:$F$51,2,0),"")</calculatedColumnFormula>
    </tableColumn>
    <tableColumn id="21" xr3:uid="{4F4D6BB8-4CAD-42C2-96FD-E00F1854F703}" name="Hito" dataDxfId="36">
      <calculatedColumnFormula>IFERROR(VLOOKUP(Tabla3[[#This Row],[Epica]],Parametros!$D$17:$E$51,2,0),"")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7A1CB6C-2207-47F3-B730-7E4518C9BF5D}" name="Tabla4" displayName="Tabla4" ref="A5:V48" totalsRowShown="0" headerRowDxfId="24" dataDxfId="23" tableBorderDxfId="22">
  <autoFilter ref="A5:V48" xr:uid="{DC72A52F-5B5F-4D6E-A8CE-2BB09F0BD46C}">
    <filterColumn colId="2">
      <filters blank="1">
        <filter val="Sprint 3"/>
      </filters>
    </filterColumn>
  </autoFilter>
  <tableColumns count="22">
    <tableColumn id="3" xr3:uid="{37107019-B115-4FD6-8B80-BD3B38E00AB7}" name="Prioridad" dataDxfId="21"/>
    <tableColumn id="2" xr3:uid="{47F46504-60ED-4992-AC96-DBD9CE22C067}" name="Responsable" dataDxfId="20">
      <calculatedColumnFormula>IFERROR(VLOOKUP(Tabla4[[#This Row],[Prioridad]],Tabla3[#All],2,0),"")</calculatedColumnFormula>
    </tableColumn>
    <tableColumn id="1" xr3:uid="{6B84233A-C593-48E6-904C-DDFD59221FD9}" name="Sprint" dataDxfId="19">
      <calculatedColumnFormula>IFERROR(VLOOKUP(Tabla4[[#This Row],[Prioridad]],Tabla3[#All],17,0),"")</calculatedColumnFormula>
    </tableColumn>
    <tableColumn id="5" xr3:uid="{0CA08697-6C2F-4757-866E-7B94D2B4178E}" name="Tarea" dataDxfId="18">
      <calculatedColumnFormula>IFERROR(VLOOKUP(Tabla4[[#This Row],[Prioridad]],Tabla3[#All],6,0),"")</calculatedColumnFormula>
    </tableColumn>
    <tableColumn id="6" xr3:uid="{FC6239CA-D08D-4F47-AA4E-4EA8C19CC1DD}" name="Actividad" dataDxfId="17">
      <calculatedColumnFormula>+IFERROR(VLOOKUP(Tabla4[[#This Row],[Tarea]],Tabla3[[Num_Ticket]:[Descripción]],2,0),"")</calculatedColumnFormula>
    </tableColumn>
    <tableColumn id="7" xr3:uid="{6C52E5BC-D552-40F5-9396-10EFB23E7F10}" name="Horas Estimadas" dataDxfId="16">
      <calculatedColumnFormula>IFERROR(VLOOKUP(Tabla4[[#This Row],[Prioridad]],Tabla3[#All],14,0),"")</calculatedColumnFormula>
    </tableColumn>
    <tableColumn id="22" xr3:uid="{47336C94-D80F-4B59-B646-669FC16B1300}" name="Ejecutadas" dataDxfId="15">
      <calculatedColumnFormula>IF(Tabla4[[#This Row],[Prioridad]]&lt;&gt;"",SUM(W6:KT6),"")</calculatedColumnFormula>
    </tableColumn>
    <tableColumn id="13" xr3:uid="{8520E271-CD04-4038-B492-F1976E4E7AAF}" name="Hor Pend" dataDxfId="14">
      <calculatedColumnFormula>IF(Tabla4[[#This Row],[Prioridad]]&lt;&gt;"",Tabla4[[#This Row],[Horas Estimadas]]-Tabla4[[#This Row],[Ejecutadas]],"")</calculatedColumnFormula>
    </tableColumn>
    <tableColumn id="14" xr3:uid="{C103A839-9E82-4BC1-A17C-63A588B005A4}" name="Proyecto" dataDxfId="13">
      <calculatedColumnFormula>IFERROR(VLOOKUP(Tabla4[[#This Row],[Prioridad]],Tabla3[#All],18,0),"")</calculatedColumnFormula>
    </tableColumn>
    <tableColumn id="16" xr3:uid="{1999B937-6340-44ED-A026-940D9B5B9710}" name="Hito" dataDxfId="12">
      <calculatedColumnFormula>IFERROR(VLOOKUP(Tabla4[[#This Row],[Prioridad]],Tabla3[#All],20,0),"")</calculatedColumnFormula>
    </tableColumn>
    <tableColumn id="17" xr3:uid="{FC40E633-D6BC-4BA8-8534-475E83F96BF2}" name="Epica" dataDxfId="11">
      <calculatedColumnFormula>IFERROR(VLOOKUP(Tabla4[[#This Row],[Prioridad]],Tabla3[#All],19,0),"")</calculatedColumnFormula>
    </tableColumn>
    <tableColumn id="4" xr3:uid="{D1A73B9F-34F1-4507-B3A5-B57927C57DC4}" name="Tipo" dataDxfId="10">
      <calculatedColumnFormula>IFERROR(VLOOKUP(Tabla4[[#This Row],[Prioridad]],Tabla3[#All],9,0),"")</calculatedColumnFormula>
    </tableColumn>
    <tableColumn id="15" xr3:uid="{DCD46F57-633B-44E5-9F24-8766F49C0662}" name="Avance Total" dataDxfId="9" dataCellStyle="Porcentaje">
      <calculatedColumnFormula>IFERROR((SUMIF(Tabla4[Proyecto],Tabla4[[#This Row],[Proyecto]],Tabla4[Avance Hito]))/COUNTIF(Tabla4[Proyecto],Tabla4[[#This Row],[Proyecto]]),0)</calculatedColumnFormula>
    </tableColumn>
    <tableColumn id="12" xr3:uid="{2400B507-DA8B-49B4-8109-4F4578234C4C}" name="Avance Hito" dataDxfId="8" dataCellStyle="Porcentaje">
      <calculatedColumnFormula>+SUMIF(Tabla4[Hito],Tabla4[[#This Row],[Hito]],Tabla4[Avance relativo])</calculatedColumnFormula>
    </tableColumn>
    <tableColumn id="8" xr3:uid="{F6D4B1E0-C910-457A-BC67-4BC1A7D077E4}" name="F. Incio" dataDxfId="7">
      <calculatedColumnFormula>VLOOKUP(Tabla4[[#This Row],[Tarea]],Tabla3[[#All],[Num_Ticket]:[Hito]],5,0)</calculatedColumnFormula>
    </tableColumn>
    <tableColumn id="9" xr3:uid="{EAC24A12-7595-4163-BEAD-063642072275}" name="F. Fin" dataDxfId="6">
      <calculatedColumnFormula>IFERROR(VLOOKUP(Tabla4[[#This Row],[Tarea]],Tabla3[[#All],[Num_Ticket]:[Hito]],6,0),"")</calculatedColumnFormula>
    </tableColumn>
    <tableColumn id="21" xr3:uid="{83291078-6E0F-4BF7-A980-EB0B7D2300E3}" name="Conteo_Epica" dataDxfId="5">
      <calculatedColumnFormula>IF(Tabla4[[#This Row],[Prioridad]]="","",IF(Tabla4[[#This Row],[Hito]]&lt;&gt;"",COUNTIFS(Tabla4[Responsable],Tabla4[[#This Row],[Responsable]],Tabla4[Sprint],Tabla4[[#This Row],[Sprint]],Tabla4[Epica],Tabla4[[#This Row],[Epica]])))</calculatedColumnFormula>
    </tableColumn>
    <tableColumn id="20" xr3:uid="{DDD843F0-15D5-4ADA-BA6E-D7700786FA5B}" name="Total Avance" dataDxfId="4">
      <calculatedColumnFormula>1*Tabla4[[#This Row],[% Avance]]</calculatedColumnFormula>
    </tableColumn>
    <tableColumn id="19" xr3:uid="{CC41B05F-EDA9-41C2-83D1-1408B4730F59}" name="Avance relativo" dataDxfId="3">
      <calculatedColumnFormula>IFERROR(Tabla4[[#This Row],[Total Avance]]/Tabla4[[#This Row],[Conteo_Epica]],0)</calculatedColumnFormula>
    </tableColumn>
    <tableColumn id="18" xr3:uid="{47658152-C5C9-463A-BE03-2B10EC90807C}" name="% Avance" dataDxfId="2"/>
    <tableColumn id="11" xr3:uid="{FEFA58C7-5A6F-4ABF-B275-243889065105}" name="Semana" dataDxfId="1" dataCellStyle="Porcentaje"/>
    <tableColumn id="10" xr3:uid="{AA4CDED6-4C57-46A2-84FA-48151B5807B0}" name="Est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drawing" Target="../drawings/drawing9.xml"/><Relationship Id="rId5" Type="http://schemas.openxmlformats.org/officeDocument/2006/relationships/printerSettings" Target="../printerSettings/printerSettings11.bin"/><Relationship Id="rId4" Type="http://schemas.openxmlformats.org/officeDocument/2006/relationships/pivotTable" Target="../pivotTables/pivot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0E32E-FFB8-4B3A-BC2D-9347F2EE837A}">
  <dimension ref="A1:C7"/>
  <sheetViews>
    <sheetView workbookViewId="0">
      <selection activeCell="B7" sqref="B7"/>
    </sheetView>
  </sheetViews>
  <sheetFormatPr baseColWidth="10" defaultRowHeight="15" x14ac:dyDescent="0.25"/>
  <cols>
    <col min="2" max="2" width="13.5703125" customWidth="1"/>
  </cols>
  <sheetData>
    <row r="1" spans="1:3" x14ac:dyDescent="0.25">
      <c r="A1" t="s">
        <v>26</v>
      </c>
      <c r="B1" t="s">
        <v>149</v>
      </c>
      <c r="C1" t="s">
        <v>34</v>
      </c>
    </row>
    <row r="2" spans="1:3" x14ac:dyDescent="0.25">
      <c r="A2" t="s">
        <v>150</v>
      </c>
      <c r="B2" t="s">
        <v>150</v>
      </c>
      <c r="C2">
        <v>8</v>
      </c>
    </row>
    <row r="3" spans="1:3" x14ac:dyDescent="0.25">
      <c r="A3" t="s">
        <v>151</v>
      </c>
      <c r="B3" t="s">
        <v>151</v>
      </c>
      <c r="C3">
        <v>8</v>
      </c>
    </row>
    <row r="4" spans="1:3" x14ac:dyDescent="0.25">
      <c r="A4" t="s">
        <v>152</v>
      </c>
      <c r="B4" t="s">
        <v>152</v>
      </c>
      <c r="C4">
        <v>8</v>
      </c>
    </row>
    <row r="5" spans="1:3" x14ac:dyDescent="0.25">
      <c r="A5" t="s">
        <v>153</v>
      </c>
      <c r="B5" t="s">
        <v>153</v>
      </c>
      <c r="C5">
        <v>8</v>
      </c>
    </row>
    <row r="6" spans="1:3" x14ac:dyDescent="0.25">
      <c r="A6" t="s">
        <v>154</v>
      </c>
      <c r="B6" t="s">
        <v>154</v>
      </c>
      <c r="C6">
        <v>8</v>
      </c>
    </row>
    <row r="7" spans="1:3" x14ac:dyDescent="0.25">
      <c r="A7" t="s">
        <v>155</v>
      </c>
      <c r="C7">
        <v>4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6AFDD-9ECA-4DA6-9E8A-601CE487F51B}">
  <dimension ref="A1:AN997"/>
  <sheetViews>
    <sheetView showGridLines="0" tabSelected="1" zoomScale="80" zoomScaleNormal="80" workbookViewId="0">
      <selection activeCell="G5" sqref="G5"/>
    </sheetView>
  </sheetViews>
  <sheetFormatPr baseColWidth="10" defaultColWidth="14.42578125" defaultRowHeight="15" customHeight="1" x14ac:dyDescent="0.2"/>
  <cols>
    <col min="1" max="2" width="6.85546875" style="147" customWidth="1"/>
    <col min="3" max="3" width="10.7109375" style="147" customWidth="1"/>
    <col min="4" max="4" width="19.85546875" style="147" customWidth="1"/>
    <col min="5" max="5" width="37.140625" style="147" customWidth="1"/>
    <col min="6" max="6" width="9.42578125" style="147" customWidth="1"/>
    <col min="7" max="10" width="6.85546875" style="147" customWidth="1"/>
    <col min="11" max="11" width="7.5703125" style="147" customWidth="1"/>
    <col min="12" max="12" width="7.85546875" style="147" customWidth="1"/>
    <col min="13" max="13" width="10.7109375" style="147" hidden="1" customWidth="1"/>
    <col min="14" max="14" width="12.5703125" style="147" customWidth="1"/>
    <col min="15" max="15" width="10.7109375" style="147" customWidth="1"/>
    <col min="16" max="16" width="6" style="147" customWidth="1"/>
    <col min="17" max="17" width="12.140625" style="147" customWidth="1"/>
    <col min="18" max="19" width="10.7109375" style="147" customWidth="1"/>
    <col min="20" max="20" width="12" style="147" customWidth="1"/>
    <col min="21" max="23" width="10.7109375" style="147" customWidth="1"/>
    <col min="24" max="24" width="18.42578125" style="147" customWidth="1"/>
    <col min="25" max="25" width="25.85546875" style="147" customWidth="1"/>
    <col min="26" max="27" width="5" style="147" customWidth="1"/>
    <col min="28" max="31" width="10.7109375" style="147" customWidth="1"/>
    <col min="32" max="32" width="14.42578125" style="147"/>
    <col min="33" max="33" width="9.28515625" style="147" customWidth="1"/>
    <col min="34" max="16379" width="14.42578125" style="147"/>
    <col min="16380" max="16380" width="9.42578125" style="147" customWidth="1"/>
    <col min="16381" max="16381" width="10.5703125" style="147" customWidth="1"/>
    <col min="16382" max="16384" width="14.42578125" style="147"/>
  </cols>
  <sheetData>
    <row r="1" spans="1:40" ht="14.25" x14ac:dyDescent="0.2">
      <c r="A1" s="145"/>
      <c r="B1" s="145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</row>
    <row r="2" spans="1:40" thickBot="1" x14ac:dyDescent="0.25">
      <c r="A2" s="145"/>
      <c r="B2" s="148"/>
      <c r="G2" s="147" t="s">
        <v>116</v>
      </c>
      <c r="H2" s="147" t="s">
        <v>116</v>
      </c>
      <c r="I2" s="147" t="s">
        <v>116</v>
      </c>
      <c r="J2" s="147" t="s">
        <v>116</v>
      </c>
      <c r="K2" s="147" t="s">
        <v>116</v>
      </c>
      <c r="L2" s="147" t="s">
        <v>7</v>
      </c>
      <c r="P2" s="146"/>
      <c r="Z2" s="146"/>
      <c r="AA2" s="149"/>
      <c r="AI2" s="146"/>
    </row>
    <row r="3" spans="1:40" x14ac:dyDescent="0.25">
      <c r="A3" s="145"/>
      <c r="B3" s="148"/>
      <c r="C3" s="150"/>
      <c r="D3" s="151"/>
      <c r="E3" s="151"/>
      <c r="F3" s="152" t="s">
        <v>117</v>
      </c>
      <c r="G3" s="152">
        <v>4</v>
      </c>
      <c r="H3" s="152">
        <v>5</v>
      </c>
      <c r="I3" s="152">
        <v>6</v>
      </c>
      <c r="J3" s="152">
        <v>7</v>
      </c>
      <c r="K3" s="152">
        <v>8</v>
      </c>
      <c r="L3" s="152">
        <v>9</v>
      </c>
      <c r="M3" s="152"/>
      <c r="N3" s="153"/>
      <c r="P3" s="146"/>
      <c r="Z3" s="146"/>
      <c r="AA3" s="149"/>
      <c r="AI3" s="146"/>
      <c r="AL3" s="154" t="s">
        <v>118</v>
      </c>
      <c r="AM3" s="154"/>
      <c r="AN3" s="154"/>
    </row>
    <row r="4" spans="1:40" ht="60" x14ac:dyDescent="0.25">
      <c r="A4" s="145"/>
      <c r="B4" s="148"/>
      <c r="C4" s="155" t="s">
        <v>119</v>
      </c>
      <c r="D4" s="156" t="s">
        <v>120</v>
      </c>
      <c r="E4" s="156" t="s">
        <v>29</v>
      </c>
      <c r="F4" s="157" t="s">
        <v>121</v>
      </c>
      <c r="G4" s="156" t="s">
        <v>122</v>
      </c>
      <c r="H4" s="156" t="s">
        <v>123</v>
      </c>
      <c r="I4" s="156" t="s">
        <v>124</v>
      </c>
      <c r="J4" s="156" t="s">
        <v>125</v>
      </c>
      <c r="K4" s="156" t="s">
        <v>126</v>
      </c>
      <c r="L4" s="156" t="s">
        <v>127</v>
      </c>
      <c r="M4" s="158" t="s">
        <v>128</v>
      </c>
      <c r="N4" s="159" t="s">
        <v>129</v>
      </c>
      <c r="P4" s="146"/>
      <c r="Z4" s="146"/>
      <c r="AA4" s="149"/>
      <c r="AI4" s="146"/>
      <c r="AL4" s="154"/>
      <c r="AM4" s="154"/>
      <c r="AN4" s="154"/>
    </row>
    <row r="5" spans="1:40" ht="42" customHeight="1" x14ac:dyDescent="0.25">
      <c r="A5" s="145"/>
      <c r="B5" s="148"/>
      <c r="C5" s="155" t="s">
        <v>161</v>
      </c>
      <c r="D5" s="160" t="s">
        <v>269</v>
      </c>
      <c r="E5" s="161" t="str">
        <f>VLOOKUP(D5,Tabla4[[#All],[Tarea]:[Actividad]],2,0)</f>
        <v>Planeación Sprint 4 - Integración capas Dominio, Presentación, Persistencia</v>
      </c>
      <c r="F5" s="156">
        <v>2</v>
      </c>
      <c r="G5" s="156"/>
      <c r="H5" s="156"/>
      <c r="I5" s="156"/>
      <c r="J5" s="156"/>
      <c r="K5" s="156"/>
      <c r="L5" s="156"/>
      <c r="M5" s="156"/>
      <c r="N5" s="162">
        <f>SUM(G5:M5)</f>
        <v>0</v>
      </c>
      <c r="P5" s="146"/>
      <c r="Z5" s="146"/>
      <c r="AA5" s="149"/>
      <c r="AI5" s="146"/>
      <c r="AL5" s="154" t="s">
        <v>110</v>
      </c>
      <c r="AM5" s="154" t="s">
        <v>111</v>
      </c>
      <c r="AN5" s="154"/>
    </row>
    <row r="6" spans="1:40" ht="25.5" customHeight="1" x14ac:dyDescent="0.25">
      <c r="A6" s="145"/>
      <c r="B6" s="148"/>
      <c r="C6" s="155" t="s">
        <v>161</v>
      </c>
      <c r="D6" s="160" t="s">
        <v>270</v>
      </c>
      <c r="E6" s="161" t="str">
        <f>VLOOKUP(D6,Tabla4[[#All],[Tarea]:[Actividad]],2,0)</f>
        <v>Integrar capa Presentación y Dominio</v>
      </c>
      <c r="F6" s="156">
        <v>5</v>
      </c>
      <c r="G6" s="156"/>
      <c r="H6" s="156"/>
      <c r="I6" s="156"/>
      <c r="J6" s="156"/>
      <c r="K6" s="156"/>
      <c r="L6" s="156"/>
      <c r="M6" s="156"/>
      <c r="N6" s="163">
        <f>SUM(G6:M6)</f>
        <v>0</v>
      </c>
      <c r="P6" s="146"/>
      <c r="Z6" s="146"/>
      <c r="AA6" s="149"/>
      <c r="AI6" s="146"/>
      <c r="AL6" s="164">
        <v>0.1</v>
      </c>
      <c r="AM6" s="154">
        <v>1</v>
      </c>
      <c r="AN6" s="154"/>
    </row>
    <row r="7" spans="1:40" ht="35.25" customHeight="1" x14ac:dyDescent="0.25">
      <c r="A7" s="145"/>
      <c r="B7" s="148"/>
      <c r="C7" s="155" t="s">
        <v>161</v>
      </c>
      <c r="D7" s="160" t="s">
        <v>271</v>
      </c>
      <c r="E7" s="161" t="str">
        <f>VLOOKUP(D7,Tabla4[[#All],[Tarea]:[Actividad]],2,0)</f>
        <v>Integrar capa de Dominio y Persistencia</v>
      </c>
      <c r="F7" s="156">
        <v>5</v>
      </c>
      <c r="G7" s="156"/>
      <c r="H7" s="156"/>
      <c r="I7" s="156"/>
      <c r="J7" s="156"/>
      <c r="K7" s="156"/>
      <c r="L7" s="156"/>
      <c r="M7" s="156"/>
      <c r="N7" s="163">
        <f>SUM(G7:M7)</f>
        <v>0</v>
      </c>
      <c r="P7" s="146"/>
      <c r="Z7" s="146"/>
      <c r="AA7" s="149"/>
      <c r="AI7" s="146"/>
      <c r="AL7" s="164">
        <v>0.2</v>
      </c>
      <c r="AM7" s="154">
        <v>1</v>
      </c>
      <c r="AN7" s="154"/>
    </row>
    <row r="8" spans="1:40" ht="36" customHeight="1" x14ac:dyDescent="0.25">
      <c r="A8" s="145"/>
      <c r="B8" s="148"/>
      <c r="C8" s="155" t="s">
        <v>161</v>
      </c>
      <c r="D8" s="160" t="s">
        <v>272</v>
      </c>
      <c r="E8" s="161" t="str">
        <f>VLOOKUP(D8,Tabla4[[#All],[Tarea]:[Actividad]],2,0)</f>
        <v>Crear una Persona, Estudiante, Docente</v>
      </c>
      <c r="F8" s="156">
        <v>2</v>
      </c>
      <c r="G8" s="156"/>
      <c r="H8" s="156"/>
      <c r="I8" s="156"/>
      <c r="J8" s="156"/>
      <c r="K8" s="156"/>
      <c r="L8" s="156"/>
      <c r="M8" s="156"/>
      <c r="N8" s="163">
        <f>SUM(G8:M8)</f>
        <v>0</v>
      </c>
      <c r="P8" s="146"/>
      <c r="Z8" s="146"/>
      <c r="AA8" s="149"/>
      <c r="AI8" s="146"/>
      <c r="AL8" s="164">
        <v>0.3</v>
      </c>
      <c r="AM8" s="154">
        <v>1</v>
      </c>
      <c r="AN8" s="154"/>
    </row>
    <row r="9" spans="1:40" ht="36.75" customHeight="1" x14ac:dyDescent="0.25">
      <c r="A9" s="145"/>
      <c r="B9" s="148"/>
      <c r="C9" s="155" t="s">
        <v>161</v>
      </c>
      <c r="D9" s="160" t="s">
        <v>273</v>
      </c>
      <c r="E9" s="161" t="str">
        <f>VLOOKUP(D9,Tabla4[[#All],[Tarea]:[Actividad]],2,0)</f>
        <v>Crear un Curso, Materia, Asignatura</v>
      </c>
      <c r="F9" s="156">
        <v>2</v>
      </c>
      <c r="G9" s="156"/>
      <c r="H9" s="156"/>
      <c r="I9" s="156"/>
      <c r="J9" s="156"/>
      <c r="K9" s="156"/>
      <c r="L9" s="156"/>
      <c r="M9" s="156"/>
      <c r="N9" s="163"/>
      <c r="P9" s="146"/>
      <c r="Z9" s="146"/>
      <c r="AA9" s="149"/>
      <c r="AI9" s="146"/>
      <c r="AL9" s="164">
        <v>0.4</v>
      </c>
      <c r="AM9" s="154">
        <v>1</v>
      </c>
      <c r="AN9" s="154"/>
    </row>
    <row r="10" spans="1:40" ht="35.25" customHeight="1" x14ac:dyDescent="0.25">
      <c r="A10" s="145"/>
      <c r="B10" s="148"/>
      <c r="C10" s="155" t="s">
        <v>161</v>
      </c>
      <c r="D10" s="160" t="s">
        <v>274</v>
      </c>
      <c r="E10" s="161" t="str">
        <f>VLOOKUP(D10,Tabla4[[#All],[Tarea]:[Actividad]],2,0)</f>
        <v>Realizar pruebas Interfaz Gráfica</v>
      </c>
      <c r="F10" s="156">
        <v>1</v>
      </c>
      <c r="G10" s="156"/>
      <c r="H10" s="156"/>
      <c r="I10" s="156"/>
      <c r="J10" s="156"/>
      <c r="K10" s="156"/>
      <c r="L10" s="156"/>
      <c r="M10" s="156"/>
      <c r="N10" s="163">
        <f>SUM(G10:M10)</f>
        <v>0</v>
      </c>
      <c r="P10" s="146"/>
      <c r="Z10" s="146"/>
      <c r="AA10" s="149"/>
      <c r="AI10" s="146"/>
      <c r="AL10" s="164">
        <v>0.5</v>
      </c>
      <c r="AM10" s="154">
        <v>1</v>
      </c>
      <c r="AN10" s="154"/>
    </row>
    <row r="11" spans="1:40" x14ac:dyDescent="0.25">
      <c r="A11" s="145"/>
      <c r="B11" s="148"/>
      <c r="C11" s="155" t="s">
        <v>161</v>
      </c>
      <c r="D11" s="160" t="s">
        <v>275</v>
      </c>
      <c r="E11" s="161" t="str">
        <f>VLOOKUP(D11,Tabla4[[#All],[Tarea]:[Actividad]],2,0)</f>
        <v>Realizar pruebas Capa de Dominio</v>
      </c>
      <c r="F11" s="156">
        <v>1</v>
      </c>
      <c r="G11" s="156"/>
      <c r="H11" s="156"/>
      <c r="I11" s="156"/>
      <c r="J11" s="156"/>
      <c r="K11" s="156"/>
      <c r="L11" s="156"/>
      <c r="M11" s="156"/>
      <c r="N11" s="163">
        <f>SUM(G11:M11)</f>
        <v>0</v>
      </c>
      <c r="P11" s="146"/>
      <c r="Z11" s="146"/>
      <c r="AA11" s="149"/>
      <c r="AI11" s="146"/>
      <c r="AL11" s="164">
        <v>0.6</v>
      </c>
      <c r="AM11" s="154">
        <v>1</v>
      </c>
      <c r="AN11" s="154"/>
    </row>
    <row r="12" spans="1:40" x14ac:dyDescent="0.25">
      <c r="A12" s="145"/>
      <c r="B12" s="148"/>
      <c r="C12" s="155" t="s">
        <v>161</v>
      </c>
      <c r="D12" s="160" t="s">
        <v>276</v>
      </c>
      <c r="E12" s="161" t="str">
        <f>VLOOKUP(D12,Tabla4[[#All],[Tarea]:[Actividad]],2,0)</f>
        <v>Entregable para Tutoria 4</v>
      </c>
      <c r="F12" s="156">
        <v>1</v>
      </c>
      <c r="G12" s="156"/>
      <c r="H12" s="156"/>
      <c r="I12" s="156"/>
      <c r="J12" s="156"/>
      <c r="K12" s="156"/>
      <c r="L12" s="156"/>
      <c r="M12" s="156"/>
      <c r="N12" s="163">
        <f>SUM(G12:M12)</f>
        <v>0</v>
      </c>
      <c r="P12" s="146"/>
      <c r="Z12" s="146"/>
      <c r="AA12" s="149"/>
      <c r="AI12" s="146"/>
      <c r="AL12" s="164">
        <v>0.7</v>
      </c>
      <c r="AM12" s="154">
        <v>1</v>
      </c>
      <c r="AN12" s="154"/>
    </row>
    <row r="13" spans="1:40" ht="15" customHeight="1" x14ac:dyDescent="0.25">
      <c r="A13" s="145"/>
      <c r="B13" s="148"/>
      <c r="C13" s="155"/>
      <c r="D13" s="160"/>
      <c r="E13" s="161"/>
      <c r="F13" s="156"/>
      <c r="G13" s="156"/>
      <c r="H13" s="156"/>
      <c r="I13" s="156"/>
      <c r="J13" s="156"/>
      <c r="K13" s="156"/>
      <c r="L13" s="156"/>
      <c r="M13" s="156"/>
      <c r="N13" s="163">
        <f>SUM(G13:M13)</f>
        <v>0</v>
      </c>
      <c r="P13" s="146"/>
      <c r="Z13" s="146"/>
      <c r="AA13" s="149"/>
      <c r="AI13" s="146"/>
      <c r="AL13" s="164">
        <v>0.8</v>
      </c>
      <c r="AM13" s="154">
        <v>1</v>
      </c>
      <c r="AN13" s="154"/>
    </row>
    <row r="14" spans="1:40" x14ac:dyDescent="0.25">
      <c r="A14" s="145"/>
      <c r="B14" s="148"/>
      <c r="C14" s="155"/>
      <c r="D14" s="156"/>
      <c r="E14" s="161"/>
      <c r="F14" s="156"/>
      <c r="G14" s="156"/>
      <c r="H14" s="156"/>
      <c r="I14" s="156"/>
      <c r="J14" s="156"/>
      <c r="K14" s="156"/>
      <c r="L14" s="156"/>
      <c r="M14" s="156"/>
      <c r="N14" s="163">
        <f>SUM(G14:M14)</f>
        <v>0</v>
      </c>
      <c r="P14" s="146"/>
      <c r="Z14" s="146"/>
      <c r="AA14" s="149"/>
      <c r="AI14" s="146"/>
      <c r="AL14" s="164">
        <v>0.9</v>
      </c>
      <c r="AM14" s="154">
        <v>1</v>
      </c>
      <c r="AN14" s="154"/>
    </row>
    <row r="15" spans="1:40" ht="14.25" x14ac:dyDescent="0.2">
      <c r="A15" s="145"/>
      <c r="B15" s="148"/>
      <c r="C15" s="165"/>
      <c r="N15" s="166"/>
      <c r="P15" s="146"/>
      <c r="Z15" s="146"/>
      <c r="AA15" s="149"/>
      <c r="AI15" s="146"/>
      <c r="AL15" s="164">
        <v>1</v>
      </c>
      <c r="AM15" s="154">
        <v>9</v>
      </c>
      <c r="AN15" s="154"/>
    </row>
    <row r="16" spans="1:40" ht="15" customHeight="1" x14ac:dyDescent="0.25">
      <c r="A16" s="145"/>
      <c r="B16" s="148"/>
      <c r="C16" s="165"/>
      <c r="D16" s="167" t="s">
        <v>130</v>
      </c>
      <c r="E16" s="167"/>
      <c r="F16" s="168">
        <f>SUM(F5:F14)</f>
        <v>19</v>
      </c>
      <c r="G16" s="168">
        <f>F16-SUM(G5:G14)</f>
        <v>19</v>
      </c>
      <c r="H16" s="168">
        <f t="shared" ref="H16:M16" si="0">G16-SUM(H5:H14)</f>
        <v>19</v>
      </c>
      <c r="I16" s="168">
        <f t="shared" si="0"/>
        <v>19</v>
      </c>
      <c r="J16" s="168">
        <f t="shared" si="0"/>
        <v>19</v>
      </c>
      <c r="K16" s="168">
        <f t="shared" si="0"/>
        <v>19</v>
      </c>
      <c r="L16" s="168">
        <f t="shared" si="0"/>
        <v>19</v>
      </c>
      <c r="M16" s="168">
        <f t="shared" si="0"/>
        <v>19</v>
      </c>
      <c r="N16" s="166">
        <f>SUM(N5:N14)</f>
        <v>0</v>
      </c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L16" s="154"/>
      <c r="AM16" s="154"/>
      <c r="AN16" s="164">
        <f>+AE24</f>
        <v>0</v>
      </c>
    </row>
    <row r="17" spans="1:40" ht="15" customHeight="1" x14ac:dyDescent="0.25">
      <c r="A17" s="145"/>
      <c r="B17" s="148"/>
      <c r="C17" s="165"/>
      <c r="D17" s="167" t="s">
        <v>131</v>
      </c>
      <c r="E17" s="167"/>
      <c r="F17" s="168">
        <f>SUM(F5:F14)</f>
        <v>19</v>
      </c>
      <c r="G17" s="169">
        <f t="shared" ref="G17:M17" si="1">F17-(SUM($F$5:$F$14)/COUNTIF($F$2:$M$2,"x"))</f>
        <v>15.833333333333334</v>
      </c>
      <c r="H17" s="169">
        <f t="shared" si="1"/>
        <v>12.666666666666668</v>
      </c>
      <c r="I17" s="169">
        <f t="shared" si="1"/>
        <v>9.5000000000000018</v>
      </c>
      <c r="J17" s="169">
        <f t="shared" si="1"/>
        <v>6.3333333333333357</v>
      </c>
      <c r="K17" s="169">
        <f t="shared" si="1"/>
        <v>3.1666666666666692</v>
      </c>
      <c r="L17" s="169">
        <f t="shared" si="1"/>
        <v>0</v>
      </c>
      <c r="M17" s="169">
        <f t="shared" si="1"/>
        <v>-3.1666666666666665</v>
      </c>
      <c r="N17" s="166"/>
      <c r="P17" s="146"/>
      <c r="Z17" s="146"/>
      <c r="AA17" s="149"/>
      <c r="AI17" s="146"/>
      <c r="AL17" s="154" t="s">
        <v>112</v>
      </c>
      <c r="AM17" s="154">
        <f>+AN16*PI()</f>
        <v>0</v>
      </c>
      <c r="AN17" s="154"/>
    </row>
    <row r="18" spans="1:40" ht="15.75" customHeight="1" thickBot="1" x14ac:dyDescent="0.4">
      <c r="A18" s="145"/>
      <c r="B18" s="148"/>
      <c r="C18" s="170"/>
      <c r="D18" s="171"/>
      <c r="E18" s="171"/>
      <c r="F18" s="171"/>
      <c r="G18" s="171"/>
      <c r="H18" s="171"/>
      <c r="I18" s="171"/>
      <c r="J18" s="171"/>
      <c r="K18" s="171"/>
      <c r="L18" s="171"/>
      <c r="M18" s="171"/>
      <c r="N18" s="172"/>
      <c r="P18" s="146"/>
      <c r="Q18" s="173" t="s">
        <v>132</v>
      </c>
      <c r="Z18" s="146"/>
      <c r="AA18" s="149"/>
      <c r="AB18" s="174" t="s">
        <v>133</v>
      </c>
      <c r="AC18" s="175"/>
      <c r="AD18" s="174"/>
      <c r="AE18" s="175"/>
      <c r="AI18" s="146"/>
      <c r="AL18" s="154"/>
      <c r="AM18" s="154" t="s">
        <v>7</v>
      </c>
      <c r="AN18" s="154" t="s">
        <v>113</v>
      </c>
    </row>
    <row r="19" spans="1:40" ht="15.75" customHeight="1" x14ac:dyDescent="0.3">
      <c r="A19" s="145"/>
      <c r="B19" s="148"/>
      <c r="P19" s="146"/>
      <c r="Q19" s="176" t="s">
        <v>134</v>
      </c>
      <c r="Z19" s="146"/>
      <c r="AA19" s="149"/>
      <c r="AB19" s="175"/>
      <c r="AC19" s="174" t="s">
        <v>135</v>
      </c>
      <c r="AD19" s="174"/>
      <c r="AE19" s="175"/>
      <c r="AI19" s="146"/>
      <c r="AL19" s="154" t="s">
        <v>114</v>
      </c>
      <c r="AM19" s="154">
        <v>0</v>
      </c>
      <c r="AN19" s="154">
        <v>0</v>
      </c>
    </row>
    <row r="20" spans="1:40" ht="15.75" customHeight="1" x14ac:dyDescent="0.3">
      <c r="A20" s="145"/>
      <c r="B20" s="145"/>
      <c r="C20" s="146"/>
      <c r="D20" s="146"/>
      <c r="E20" s="146"/>
      <c r="F20" s="146"/>
      <c r="G20" s="177"/>
      <c r="H20" s="177"/>
      <c r="I20" s="177"/>
      <c r="J20" s="177"/>
      <c r="K20" s="177"/>
      <c r="L20" s="177"/>
      <c r="M20" s="177"/>
      <c r="N20" s="146"/>
      <c r="O20" s="146"/>
      <c r="P20" s="146"/>
      <c r="Q20" s="178" t="s">
        <v>136</v>
      </c>
      <c r="R20" s="179" t="s">
        <v>137</v>
      </c>
      <c r="Z20" s="146"/>
      <c r="AA20" s="149"/>
      <c r="AB20" s="175"/>
      <c r="AC20" s="174" t="s">
        <v>47</v>
      </c>
      <c r="AD20" s="174"/>
      <c r="AE20" s="175"/>
      <c r="AI20" s="146"/>
      <c r="AL20" s="154" t="s">
        <v>115</v>
      </c>
      <c r="AM20" s="154">
        <f>+COS(AM17)*-1</f>
        <v>-1</v>
      </c>
      <c r="AN20" s="154">
        <f>+SIN(AM17)</f>
        <v>0</v>
      </c>
    </row>
    <row r="21" spans="1:40" ht="15.75" customHeight="1" x14ac:dyDescent="0.3">
      <c r="A21" s="145"/>
      <c r="B21" s="145"/>
      <c r="C21" s="146"/>
      <c r="D21" s="146"/>
      <c r="E21" s="146"/>
      <c r="F21" s="146"/>
      <c r="G21" s="177"/>
      <c r="H21" s="177"/>
      <c r="I21" s="177"/>
      <c r="J21" s="177"/>
      <c r="K21" s="177"/>
      <c r="L21" s="177"/>
      <c r="M21" s="177"/>
      <c r="N21" s="146"/>
      <c r="O21" s="146"/>
      <c r="P21" s="146"/>
      <c r="Q21" s="178" t="s">
        <v>138</v>
      </c>
      <c r="R21" s="179" t="s">
        <v>139</v>
      </c>
      <c r="Z21" s="146"/>
      <c r="AA21" s="149"/>
      <c r="AB21" s="175"/>
      <c r="AC21" s="174"/>
      <c r="AD21" s="174"/>
      <c r="AE21" s="175"/>
      <c r="AI21" s="146"/>
    </row>
    <row r="22" spans="1:40" ht="15.75" customHeight="1" x14ac:dyDescent="0.3">
      <c r="A22" s="145"/>
      <c r="B22" s="145"/>
      <c r="C22" s="146"/>
      <c r="D22" s="146"/>
      <c r="E22" s="146"/>
      <c r="F22" s="146"/>
      <c r="G22" s="146"/>
      <c r="H22" s="146"/>
      <c r="I22" s="146"/>
      <c r="J22" s="146"/>
      <c r="K22" s="146"/>
      <c r="L22" s="146"/>
      <c r="M22" s="146"/>
      <c r="N22" s="146"/>
      <c r="O22" s="146"/>
      <c r="P22" s="146"/>
      <c r="R22" s="179" t="s">
        <v>140</v>
      </c>
      <c r="Z22" s="146"/>
      <c r="AA22" s="149"/>
      <c r="AB22" s="175"/>
      <c r="AC22" s="174" t="s">
        <v>141</v>
      </c>
      <c r="AD22" s="174"/>
      <c r="AE22" s="175"/>
      <c r="AI22" s="146"/>
    </row>
    <row r="23" spans="1:40" ht="15.75" customHeight="1" x14ac:dyDescent="0.3">
      <c r="A23" s="145"/>
      <c r="B23" s="145"/>
      <c r="C23" s="146"/>
      <c r="D23" s="146"/>
      <c r="E23" s="146"/>
      <c r="F23" s="146"/>
      <c r="G23" s="146"/>
      <c r="H23" s="146"/>
      <c r="I23" s="146"/>
      <c r="J23" s="146"/>
      <c r="K23" s="146"/>
      <c r="L23" s="146"/>
      <c r="M23" s="146"/>
      <c r="N23" s="146"/>
      <c r="O23" s="146"/>
      <c r="P23" s="146"/>
      <c r="R23" s="179" t="s">
        <v>142</v>
      </c>
      <c r="Z23" s="146"/>
      <c r="AA23" s="149"/>
      <c r="AB23" s="175"/>
      <c r="AC23" s="174" t="s">
        <v>41</v>
      </c>
      <c r="AD23" s="174"/>
      <c r="AE23" s="175"/>
      <c r="AI23" s="146"/>
    </row>
    <row r="24" spans="1:40" ht="15.75" customHeight="1" x14ac:dyDescent="0.3">
      <c r="A24" s="145"/>
      <c r="B24" s="145"/>
      <c r="C24" s="146"/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6"/>
      <c r="R24" s="179" t="s">
        <v>143</v>
      </c>
      <c r="Z24" s="146"/>
      <c r="AA24" s="149"/>
      <c r="AB24" s="175"/>
      <c r="AC24" s="174" t="s">
        <v>59</v>
      </c>
      <c r="AE24" s="180">
        <f>N16/F16</f>
        <v>0</v>
      </c>
      <c r="AI24" s="146"/>
    </row>
    <row r="25" spans="1:40" ht="15.75" customHeight="1" x14ac:dyDescent="0.25">
      <c r="A25" s="145"/>
      <c r="B25" s="145"/>
      <c r="C25" s="146"/>
      <c r="D25" s="146"/>
      <c r="E25" s="146"/>
      <c r="F25" s="146"/>
      <c r="G25" s="146"/>
      <c r="H25" s="146"/>
      <c r="I25" s="146"/>
      <c r="J25" s="146"/>
      <c r="K25" s="146"/>
      <c r="L25" s="146"/>
      <c r="M25" s="146"/>
      <c r="N25" s="146"/>
      <c r="O25" s="146"/>
      <c r="P25" s="146"/>
      <c r="R25" s="179" t="s">
        <v>144</v>
      </c>
      <c r="Z25" s="146"/>
      <c r="AA25" s="149"/>
      <c r="AI25" s="146"/>
    </row>
    <row r="26" spans="1:40" ht="15.75" customHeight="1" x14ac:dyDescent="0.25">
      <c r="A26" s="145"/>
      <c r="B26" s="145"/>
      <c r="C26" s="146"/>
      <c r="D26" s="146"/>
      <c r="E26" s="146"/>
      <c r="F26" s="146"/>
      <c r="G26" s="146"/>
      <c r="H26" s="146"/>
      <c r="I26" s="146"/>
      <c r="J26" s="146"/>
      <c r="K26" s="146"/>
      <c r="L26" s="146"/>
      <c r="M26" s="146"/>
      <c r="N26" s="146"/>
      <c r="O26" s="146"/>
      <c r="P26" s="146"/>
      <c r="R26" s="179" t="s">
        <v>145</v>
      </c>
      <c r="Z26" s="146"/>
      <c r="AA26" s="149"/>
      <c r="AI26" s="146"/>
    </row>
    <row r="27" spans="1:40" ht="15.75" customHeight="1" x14ac:dyDescent="0.25">
      <c r="A27" s="145"/>
      <c r="B27" s="145"/>
      <c r="C27" s="146"/>
      <c r="D27" s="146"/>
      <c r="E27" s="146"/>
      <c r="F27" s="146"/>
      <c r="G27" s="146"/>
      <c r="H27" s="146"/>
      <c r="I27" s="146"/>
      <c r="J27" s="146"/>
      <c r="K27" s="146"/>
      <c r="L27" s="146"/>
      <c r="M27" s="146"/>
      <c r="N27" s="146"/>
      <c r="O27" s="146"/>
      <c r="P27" s="146"/>
      <c r="R27" s="179" t="s">
        <v>146</v>
      </c>
      <c r="Z27" s="146"/>
      <c r="AA27" s="149"/>
      <c r="AI27" s="146"/>
    </row>
    <row r="28" spans="1:40" ht="15.75" customHeight="1" x14ac:dyDescent="0.25">
      <c r="A28" s="145"/>
      <c r="B28" s="145"/>
      <c r="C28" s="146"/>
      <c r="D28" s="146"/>
      <c r="E28" s="146"/>
      <c r="F28" s="146"/>
      <c r="G28" s="146"/>
      <c r="H28" s="146"/>
      <c r="I28" s="146"/>
      <c r="J28" s="146"/>
      <c r="K28" s="146"/>
      <c r="L28" s="146"/>
      <c r="M28" s="146"/>
      <c r="N28" s="146"/>
      <c r="O28" s="146"/>
      <c r="P28" s="146"/>
      <c r="R28" s="179" t="s">
        <v>147</v>
      </c>
      <c r="Z28" s="146"/>
      <c r="AA28" s="149"/>
      <c r="AI28" s="146"/>
    </row>
    <row r="29" spans="1:40" ht="15.75" customHeight="1" x14ac:dyDescent="0.25">
      <c r="A29" s="145"/>
      <c r="B29" s="145"/>
      <c r="C29" s="146"/>
      <c r="D29" s="146"/>
      <c r="E29" s="146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R29" s="179" t="s">
        <v>148</v>
      </c>
      <c r="Z29" s="146"/>
      <c r="AA29" s="149"/>
      <c r="AI29" s="146"/>
    </row>
    <row r="30" spans="1:40" ht="15.75" customHeight="1" x14ac:dyDescent="0.2">
      <c r="A30" s="145"/>
      <c r="B30" s="145"/>
      <c r="C30" s="146"/>
      <c r="D30" s="146"/>
      <c r="E30" s="146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6"/>
      <c r="Z30" s="146"/>
      <c r="AA30" s="149"/>
      <c r="AI30" s="146"/>
    </row>
    <row r="31" spans="1:40" ht="15.75" customHeight="1" x14ac:dyDescent="0.2">
      <c r="A31" s="145"/>
      <c r="B31" s="145"/>
      <c r="C31" s="146"/>
      <c r="D31" s="146"/>
      <c r="E31" s="146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6"/>
      <c r="AC31" s="146"/>
      <c r="AD31" s="146"/>
      <c r="AE31" s="146"/>
      <c r="AF31" s="146"/>
      <c r="AG31" s="146"/>
      <c r="AH31" s="146"/>
      <c r="AI31" s="146"/>
    </row>
    <row r="32" spans="1:40" ht="15.75" customHeight="1" x14ac:dyDescent="0.2">
      <c r="A32" s="145"/>
      <c r="B32" s="145"/>
      <c r="C32" s="146"/>
      <c r="D32" s="146"/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  <c r="W32" s="146"/>
      <c r="X32" s="146"/>
      <c r="Y32" s="146"/>
      <c r="Z32" s="146"/>
      <c r="AA32" s="146"/>
      <c r="AB32" s="146"/>
      <c r="AC32" s="146"/>
      <c r="AD32" s="146"/>
      <c r="AE32" s="146"/>
      <c r="AF32" s="146"/>
      <c r="AG32" s="146"/>
      <c r="AH32" s="146"/>
      <c r="AI32" s="146"/>
    </row>
    <row r="33" spans="1:35" ht="15.75" customHeight="1" x14ac:dyDescent="0.2">
      <c r="A33" s="145"/>
      <c r="B33" s="145"/>
      <c r="C33" s="146"/>
      <c r="D33" s="146"/>
      <c r="E33" s="146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  <c r="W33" s="146"/>
      <c r="X33" s="146"/>
      <c r="Y33" s="146"/>
      <c r="Z33" s="146"/>
      <c r="AA33" s="146"/>
      <c r="AB33" s="146"/>
      <c r="AC33" s="146"/>
      <c r="AD33" s="146"/>
      <c r="AE33" s="146"/>
      <c r="AF33" s="146"/>
      <c r="AG33" s="146"/>
      <c r="AH33" s="146"/>
      <c r="AI33" s="146"/>
    </row>
    <row r="34" spans="1:35" ht="15.75" customHeight="1" x14ac:dyDescent="0.2"/>
    <row r="35" spans="1:35" ht="15.75" customHeight="1" x14ac:dyDescent="0.2"/>
    <row r="36" spans="1:35" ht="15.75" customHeight="1" x14ac:dyDescent="0.2"/>
    <row r="37" spans="1:35" ht="15.75" customHeight="1" x14ac:dyDescent="0.2"/>
    <row r="38" spans="1:35" ht="15.75" customHeight="1" x14ac:dyDescent="0.2"/>
    <row r="39" spans="1:35" ht="15.75" customHeight="1" x14ac:dyDescent="0.2"/>
    <row r="40" spans="1:35" ht="15.75" customHeight="1" x14ac:dyDescent="0.2"/>
    <row r="41" spans="1:35" ht="15.75" customHeight="1" x14ac:dyDescent="0.2"/>
    <row r="42" spans="1:35" ht="15.75" customHeight="1" x14ac:dyDescent="0.2"/>
    <row r="43" spans="1:35" ht="15.75" customHeight="1" x14ac:dyDescent="0.2"/>
    <row r="44" spans="1:35" ht="15.75" customHeight="1" x14ac:dyDescent="0.2"/>
    <row r="45" spans="1:35" ht="15.75" customHeight="1" x14ac:dyDescent="0.2"/>
    <row r="46" spans="1:35" ht="15.75" customHeight="1" x14ac:dyDescent="0.2"/>
    <row r="47" spans="1:35" ht="15.75" customHeight="1" x14ac:dyDescent="0.2"/>
    <row r="48" spans="1:3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</sheetData>
  <phoneticPr fontId="5" type="noConversion"/>
  <pageMargins left="0.7" right="0.7" top="0.75" bottom="0.75" header="0" footer="0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22BA05A-CD09-4F63-9EC1-A7CACFB7E146}">
          <x14:formula1>
            <xm:f>Parametros!$A$18:$A$24</xm:f>
          </x14:formula1>
          <xm:sqref>C5:C14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8EDE4-49AD-48A7-94C5-8135D1376ABA}">
  <dimension ref="A1:AN997"/>
  <sheetViews>
    <sheetView showGridLines="0" topLeftCell="A4" zoomScale="80" zoomScaleNormal="80" workbookViewId="0">
      <selection activeCell="A10" sqref="A10"/>
    </sheetView>
  </sheetViews>
  <sheetFormatPr baseColWidth="10" defaultColWidth="14.42578125" defaultRowHeight="15" customHeight="1" x14ac:dyDescent="0.2"/>
  <cols>
    <col min="1" max="2" width="6.85546875" style="147" customWidth="1"/>
    <col min="3" max="3" width="10.7109375" style="147" customWidth="1"/>
    <col min="4" max="4" width="19.85546875" style="147" customWidth="1"/>
    <col min="5" max="5" width="37.140625" style="147" customWidth="1"/>
    <col min="6" max="6" width="9.42578125" style="147" customWidth="1"/>
    <col min="7" max="10" width="6.85546875" style="147" customWidth="1"/>
    <col min="11" max="11" width="7.5703125" style="147" customWidth="1"/>
    <col min="12" max="12" width="7.85546875" style="147" customWidth="1"/>
    <col min="13" max="13" width="10.7109375" style="147" hidden="1" customWidth="1"/>
    <col min="14" max="14" width="12.5703125" style="147" customWidth="1"/>
    <col min="15" max="15" width="10.7109375" style="147" customWidth="1"/>
    <col min="16" max="16" width="6" style="147" customWidth="1"/>
    <col min="17" max="17" width="12.140625" style="147" customWidth="1"/>
    <col min="18" max="19" width="10.7109375" style="147" customWidth="1"/>
    <col min="20" max="20" width="12" style="147" customWidth="1"/>
    <col min="21" max="23" width="10.7109375" style="147" customWidth="1"/>
    <col min="24" max="24" width="18.42578125" style="147" customWidth="1"/>
    <col min="25" max="25" width="25.85546875" style="147" customWidth="1"/>
    <col min="26" max="27" width="5" style="147" customWidth="1"/>
    <col min="28" max="31" width="10.7109375" style="147" customWidth="1"/>
    <col min="32" max="32" width="14.42578125" style="147"/>
    <col min="33" max="33" width="9.28515625" style="147" customWidth="1"/>
    <col min="34" max="16379" width="14.42578125" style="147"/>
    <col min="16380" max="16380" width="9.42578125" style="147" customWidth="1"/>
    <col min="16381" max="16381" width="10.5703125" style="147" customWidth="1"/>
    <col min="16382" max="16384" width="14.42578125" style="147"/>
  </cols>
  <sheetData>
    <row r="1" spans="1:40" ht="14.25" x14ac:dyDescent="0.2">
      <c r="A1" s="145"/>
      <c r="B1" s="145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</row>
    <row r="2" spans="1:40" thickBot="1" x14ac:dyDescent="0.25">
      <c r="A2" s="145"/>
      <c r="B2" s="148"/>
      <c r="G2" s="147" t="s">
        <v>116</v>
      </c>
      <c r="H2" s="147" t="s">
        <v>116</v>
      </c>
      <c r="I2" s="147" t="s">
        <v>116</v>
      </c>
      <c r="J2" s="147" t="s">
        <v>116</v>
      </c>
      <c r="K2" s="147" t="s">
        <v>116</v>
      </c>
      <c r="L2" s="147" t="s">
        <v>7</v>
      </c>
      <c r="P2" s="146"/>
      <c r="Z2" s="146"/>
      <c r="AA2" s="149"/>
      <c r="AI2" s="146"/>
    </row>
    <row r="3" spans="1:40" x14ac:dyDescent="0.25">
      <c r="A3" s="145"/>
      <c r="B3" s="148"/>
      <c r="C3" s="150"/>
      <c r="D3" s="151"/>
      <c r="E3" s="151"/>
      <c r="F3" s="152" t="s">
        <v>117</v>
      </c>
      <c r="G3" s="152">
        <v>13</v>
      </c>
      <c r="H3" s="152">
        <v>14</v>
      </c>
      <c r="I3" s="152">
        <v>15</v>
      </c>
      <c r="J3" s="152">
        <v>16</v>
      </c>
      <c r="K3" s="152">
        <v>17</v>
      </c>
      <c r="L3" s="152">
        <v>18</v>
      </c>
      <c r="M3" s="152"/>
      <c r="N3" s="153"/>
      <c r="P3" s="146"/>
      <c r="Z3" s="146"/>
      <c r="AA3" s="149"/>
      <c r="AI3" s="146"/>
      <c r="AL3" s="154" t="s">
        <v>118</v>
      </c>
      <c r="AM3" s="154"/>
      <c r="AN3" s="154"/>
    </row>
    <row r="4" spans="1:40" ht="60" x14ac:dyDescent="0.25">
      <c r="A4" s="145"/>
      <c r="B4" s="148"/>
      <c r="C4" s="155" t="s">
        <v>119</v>
      </c>
      <c r="D4" s="156" t="s">
        <v>120</v>
      </c>
      <c r="E4" s="156" t="s">
        <v>29</v>
      </c>
      <c r="F4" s="157" t="s">
        <v>121</v>
      </c>
      <c r="G4" s="156" t="s">
        <v>122</v>
      </c>
      <c r="H4" s="156" t="s">
        <v>123</v>
      </c>
      <c r="I4" s="156" t="s">
        <v>124</v>
      </c>
      <c r="J4" s="156" t="s">
        <v>125</v>
      </c>
      <c r="K4" s="156" t="s">
        <v>126</v>
      </c>
      <c r="L4" s="156" t="s">
        <v>127</v>
      </c>
      <c r="M4" s="158" t="s">
        <v>128</v>
      </c>
      <c r="N4" s="159" t="s">
        <v>129</v>
      </c>
      <c r="P4" s="146"/>
      <c r="Z4" s="146"/>
      <c r="AA4" s="149"/>
      <c r="AI4" s="146"/>
      <c r="AL4" s="154"/>
      <c r="AM4" s="154"/>
      <c r="AN4" s="154"/>
    </row>
    <row r="5" spans="1:40" x14ac:dyDescent="0.25">
      <c r="A5" s="145"/>
      <c r="B5" s="148"/>
      <c r="C5" s="155" t="s">
        <v>160</v>
      </c>
      <c r="D5" s="160" t="s">
        <v>200</v>
      </c>
      <c r="E5" s="161" t="str">
        <f>VLOOKUP(D5,Tabla4[[#All],[Tarea]:[Actividad]],2,0)</f>
        <v>Listar Entidades y Atributos</v>
      </c>
      <c r="F5" s="156">
        <v>4</v>
      </c>
      <c r="G5" s="156">
        <v>1</v>
      </c>
      <c r="H5" s="156"/>
      <c r="I5" s="156"/>
      <c r="J5" s="156"/>
      <c r="K5" s="156"/>
      <c r="L5" s="156"/>
      <c r="M5" s="156"/>
      <c r="N5" s="162">
        <f>SUM(G5:M5)</f>
        <v>1</v>
      </c>
      <c r="P5" s="146"/>
      <c r="Z5" s="146"/>
      <c r="AA5" s="149"/>
      <c r="AI5" s="146"/>
      <c r="AL5" s="154" t="s">
        <v>110</v>
      </c>
      <c r="AM5" s="154" t="s">
        <v>111</v>
      </c>
      <c r="AN5" s="154"/>
    </row>
    <row r="6" spans="1:40" ht="25.5" customHeight="1" x14ac:dyDescent="0.25">
      <c r="A6" s="145"/>
      <c r="B6" s="148"/>
      <c r="C6" s="155" t="s">
        <v>160</v>
      </c>
      <c r="D6" s="160" t="s">
        <v>206</v>
      </c>
      <c r="E6" s="161" t="str">
        <f>VLOOKUP(D6,Tabla4[[#All],[Tarea]:[Actividad]],2,0)</f>
        <v>Crear Modelo Conceptual del Sistema</v>
      </c>
      <c r="F6" s="156">
        <v>2</v>
      </c>
      <c r="G6" s="156">
        <v>1</v>
      </c>
      <c r="H6" s="156"/>
      <c r="I6" s="156"/>
      <c r="J6" s="156"/>
      <c r="K6" s="156"/>
      <c r="L6" s="156"/>
      <c r="M6" s="156"/>
      <c r="N6" s="163">
        <f>SUM(G6:M6)</f>
        <v>1</v>
      </c>
      <c r="P6" s="146"/>
      <c r="Z6" s="146"/>
      <c r="AA6" s="149"/>
      <c r="AI6" s="146"/>
      <c r="AL6" s="164">
        <v>0.1</v>
      </c>
      <c r="AM6" s="154">
        <v>1</v>
      </c>
      <c r="AN6" s="154"/>
    </row>
    <row r="7" spans="1:40" ht="35.25" customHeight="1" x14ac:dyDescent="0.25">
      <c r="A7" s="145"/>
      <c r="B7" s="148"/>
      <c r="C7" s="155" t="s">
        <v>160</v>
      </c>
      <c r="D7" s="160" t="s">
        <v>207</v>
      </c>
      <c r="E7" s="161" t="str">
        <f>VLOOKUP(D7,Tabla4[[#All],[Tarea]:[Actividad]],2,0)</f>
        <v>Documentar Historias de Usuario</v>
      </c>
      <c r="F7" s="156">
        <v>3</v>
      </c>
      <c r="G7" s="156"/>
      <c r="H7" s="156">
        <v>2</v>
      </c>
      <c r="I7" s="156"/>
      <c r="J7" s="156"/>
      <c r="K7" s="156"/>
      <c r="L7" s="156"/>
      <c r="M7" s="156"/>
      <c r="N7" s="163">
        <f>SUM(G7:M7)</f>
        <v>2</v>
      </c>
      <c r="P7" s="146"/>
      <c r="Z7" s="146"/>
      <c r="AA7" s="149"/>
      <c r="AI7" s="146"/>
      <c r="AL7" s="164">
        <v>0.2</v>
      </c>
      <c r="AM7" s="154">
        <v>1</v>
      </c>
      <c r="AN7" s="154"/>
    </row>
    <row r="8" spans="1:40" ht="36" customHeight="1" x14ac:dyDescent="0.25">
      <c r="A8" s="145"/>
      <c r="B8" s="148"/>
      <c r="C8" s="155" t="s">
        <v>160</v>
      </c>
      <c r="D8" s="160" t="s">
        <v>208</v>
      </c>
      <c r="E8" s="161" t="str">
        <f>VLOOKUP(D8,Tabla4[[#All],[Tarea]:[Actividad]],2,0)</f>
        <v>Documentar Requerimientos Funcionales</v>
      </c>
      <c r="F8" s="156">
        <v>2</v>
      </c>
      <c r="G8" s="156"/>
      <c r="H8" s="156"/>
      <c r="I8" s="156"/>
      <c r="J8" s="156"/>
      <c r="K8" s="156"/>
      <c r="L8" s="156"/>
      <c r="M8" s="156"/>
      <c r="N8" s="163">
        <f>SUM(G8:M8)</f>
        <v>0</v>
      </c>
      <c r="P8" s="146"/>
      <c r="Z8" s="146"/>
      <c r="AA8" s="149"/>
      <c r="AI8" s="146"/>
      <c r="AL8" s="164">
        <v>0.3</v>
      </c>
      <c r="AM8" s="154">
        <v>1</v>
      </c>
      <c r="AN8" s="154"/>
    </row>
    <row r="9" spans="1:40" ht="36.75" customHeight="1" x14ac:dyDescent="0.25">
      <c r="A9" s="145"/>
      <c r="B9" s="148"/>
      <c r="C9" s="155" t="s">
        <v>160</v>
      </c>
      <c r="D9" s="160" t="s">
        <v>210</v>
      </c>
      <c r="E9" s="161" t="str">
        <f>VLOOKUP(D9,Tabla4[[#All],[Tarea]:[Actividad]],2,0)</f>
        <v>Documentar Requerimientos No Funcionales</v>
      </c>
      <c r="F9" s="156">
        <v>1</v>
      </c>
      <c r="G9" s="156"/>
      <c r="H9" s="156"/>
      <c r="I9" s="156"/>
      <c r="J9" s="156"/>
      <c r="K9" s="156"/>
      <c r="L9" s="156"/>
      <c r="M9" s="156"/>
      <c r="N9" s="163"/>
      <c r="P9" s="146"/>
      <c r="Z9" s="146"/>
      <c r="AA9" s="149"/>
      <c r="AI9" s="146"/>
      <c r="AL9" s="164">
        <v>0.4</v>
      </c>
      <c r="AM9" s="154">
        <v>1</v>
      </c>
      <c r="AN9" s="154"/>
    </row>
    <row r="10" spans="1:40" ht="35.25" customHeight="1" x14ac:dyDescent="0.25">
      <c r="A10" s="145"/>
      <c r="B10" s="148"/>
      <c r="C10" s="155" t="s">
        <v>160</v>
      </c>
      <c r="D10" s="160" t="s">
        <v>212</v>
      </c>
      <c r="E10" s="161" t="str">
        <f>VLOOKUP(D10,Tabla4[[#All],[Tarea]:[Actividad]],2,0)</f>
        <v>Consolidar documento entregable</v>
      </c>
      <c r="F10" s="156">
        <v>1</v>
      </c>
      <c r="G10" s="156"/>
      <c r="H10" s="156"/>
      <c r="I10" s="156"/>
      <c r="J10" s="156"/>
      <c r="K10" s="156"/>
      <c r="L10" s="156"/>
      <c r="M10" s="156"/>
      <c r="N10" s="163">
        <f>SUM(G10:M10)</f>
        <v>0</v>
      </c>
      <c r="P10" s="146"/>
      <c r="Z10" s="146"/>
      <c r="AA10" s="149"/>
      <c r="AI10" s="146"/>
      <c r="AL10" s="164">
        <v>0.5</v>
      </c>
      <c r="AM10" s="154">
        <v>1</v>
      </c>
      <c r="AN10" s="154"/>
    </row>
    <row r="11" spans="1:40" x14ac:dyDescent="0.25">
      <c r="A11" s="145"/>
      <c r="B11" s="148"/>
      <c r="C11" s="155" t="s">
        <v>160</v>
      </c>
      <c r="D11" s="160" t="s">
        <v>214</v>
      </c>
      <c r="E11" s="161" t="str">
        <f>VLOOKUP(D11,Tabla4[[#All],[Tarea]:[Actividad]],2,0)</f>
        <v>Cargar documento Sprint 3 - Curso</v>
      </c>
      <c r="F11" s="156">
        <v>1</v>
      </c>
      <c r="G11" s="156"/>
      <c r="H11" s="156"/>
      <c r="I11" s="156"/>
      <c r="J11" s="156"/>
      <c r="K11" s="156"/>
      <c r="L11" s="156"/>
      <c r="M11" s="156"/>
      <c r="N11" s="163">
        <f>SUM(G11:M11)</f>
        <v>0</v>
      </c>
      <c r="P11" s="146"/>
      <c r="Z11" s="146"/>
      <c r="AA11" s="149"/>
      <c r="AI11" s="146"/>
      <c r="AL11" s="164">
        <v>0.6</v>
      </c>
      <c r="AM11" s="154">
        <v>1</v>
      </c>
      <c r="AN11" s="154"/>
    </row>
    <row r="12" spans="1:40" x14ac:dyDescent="0.25">
      <c r="A12" s="145"/>
      <c r="B12" s="148"/>
      <c r="C12" s="155" t="s">
        <v>160</v>
      </c>
      <c r="D12" s="160" t="s">
        <v>218</v>
      </c>
      <c r="E12" s="161" t="str">
        <f>VLOOKUP(D12,Tabla4[[#All],[Tarea]:[Actividad]],2,0)</f>
        <v>Consolidar documento seguimiento Sprint 3</v>
      </c>
      <c r="F12" s="156">
        <v>1</v>
      </c>
      <c r="G12" s="156"/>
      <c r="H12" s="156"/>
      <c r="I12" s="156"/>
      <c r="J12" s="156"/>
      <c r="K12" s="156"/>
      <c r="L12" s="156"/>
      <c r="M12" s="156"/>
      <c r="N12" s="163">
        <f>SUM(G12:M12)</f>
        <v>0</v>
      </c>
      <c r="P12" s="146"/>
      <c r="Z12" s="146"/>
      <c r="AA12" s="149"/>
      <c r="AI12" s="146"/>
      <c r="AL12" s="164">
        <v>0.7</v>
      </c>
      <c r="AM12" s="154">
        <v>1</v>
      </c>
      <c r="AN12" s="154"/>
    </row>
    <row r="13" spans="1:40" ht="15" customHeight="1" x14ac:dyDescent="0.25">
      <c r="A13" s="145"/>
      <c r="B13" s="148"/>
      <c r="C13" s="155" t="s">
        <v>160</v>
      </c>
      <c r="D13" s="160" t="s">
        <v>219</v>
      </c>
      <c r="E13" s="161" t="str">
        <f>VLOOKUP(D13,Tabla4[[#All],[Tarea]:[Actividad]],2,0)</f>
        <v>Cargar evidencia para seguimiento</v>
      </c>
      <c r="F13" s="156">
        <v>1</v>
      </c>
      <c r="G13" s="156"/>
      <c r="H13" s="156"/>
      <c r="I13" s="156"/>
      <c r="J13" s="156"/>
      <c r="K13" s="156"/>
      <c r="L13" s="156"/>
      <c r="M13" s="156"/>
      <c r="N13" s="163">
        <f>SUM(G13:M13)</f>
        <v>0</v>
      </c>
      <c r="P13" s="146"/>
      <c r="Z13" s="146"/>
      <c r="AA13" s="149"/>
      <c r="AI13" s="146"/>
      <c r="AL13" s="164">
        <v>0.8</v>
      </c>
      <c r="AM13" s="154">
        <v>1</v>
      </c>
      <c r="AN13" s="154"/>
    </row>
    <row r="14" spans="1:40" x14ac:dyDescent="0.25">
      <c r="A14" s="145"/>
      <c r="B14" s="148"/>
      <c r="C14" s="155"/>
      <c r="D14" s="156"/>
      <c r="E14" s="161"/>
      <c r="F14" s="156"/>
      <c r="G14" s="156"/>
      <c r="H14" s="156"/>
      <c r="I14" s="156"/>
      <c r="J14" s="156"/>
      <c r="K14" s="156"/>
      <c r="L14" s="156"/>
      <c r="M14" s="156"/>
      <c r="N14" s="163">
        <f>SUM(G14:M14)</f>
        <v>0</v>
      </c>
      <c r="P14" s="146"/>
      <c r="Z14" s="146"/>
      <c r="AA14" s="149"/>
      <c r="AI14" s="146"/>
      <c r="AL14" s="164">
        <v>0.9</v>
      </c>
      <c r="AM14" s="154">
        <v>1</v>
      </c>
      <c r="AN14" s="154"/>
    </row>
    <row r="15" spans="1:40" ht="14.25" x14ac:dyDescent="0.2">
      <c r="A15" s="145"/>
      <c r="B15" s="148"/>
      <c r="C15" s="165"/>
      <c r="N15" s="166"/>
      <c r="P15" s="146"/>
      <c r="Z15" s="146"/>
      <c r="AA15" s="149"/>
      <c r="AI15" s="146"/>
      <c r="AL15" s="164">
        <v>1</v>
      </c>
      <c r="AM15" s="154">
        <v>9</v>
      </c>
      <c r="AN15" s="154"/>
    </row>
    <row r="16" spans="1:40" ht="15" customHeight="1" x14ac:dyDescent="0.25">
      <c r="A16" s="145"/>
      <c r="B16" s="148"/>
      <c r="C16" s="165"/>
      <c r="D16" s="167" t="s">
        <v>130</v>
      </c>
      <c r="E16" s="167"/>
      <c r="F16" s="168">
        <f>SUM(F5:F14)</f>
        <v>16</v>
      </c>
      <c r="G16" s="168">
        <f>F16-SUM(G5:G14)</f>
        <v>14</v>
      </c>
      <c r="H16" s="168">
        <f t="shared" ref="H16:M16" si="0">G16-SUM(H5:H14)</f>
        <v>12</v>
      </c>
      <c r="I16" s="168">
        <f t="shared" si="0"/>
        <v>12</v>
      </c>
      <c r="J16" s="168">
        <f t="shared" si="0"/>
        <v>12</v>
      </c>
      <c r="K16" s="168">
        <f t="shared" si="0"/>
        <v>12</v>
      </c>
      <c r="L16" s="168">
        <f t="shared" si="0"/>
        <v>12</v>
      </c>
      <c r="M16" s="168">
        <f t="shared" si="0"/>
        <v>12</v>
      </c>
      <c r="N16" s="166">
        <f>SUM(N5:N14)</f>
        <v>4</v>
      </c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L16" s="154"/>
      <c r="AM16" s="154"/>
      <c r="AN16" s="164">
        <f>+AE24</f>
        <v>0.25</v>
      </c>
    </row>
    <row r="17" spans="1:40" ht="15" customHeight="1" x14ac:dyDescent="0.25">
      <c r="A17" s="145"/>
      <c r="B17" s="148"/>
      <c r="C17" s="165"/>
      <c r="D17" s="167" t="s">
        <v>131</v>
      </c>
      <c r="E17" s="167"/>
      <c r="F17" s="168">
        <f>SUM(F5:F14)</f>
        <v>16</v>
      </c>
      <c r="G17" s="169">
        <f t="shared" ref="G17:M17" si="1">F17-(SUM($F$5:$F$14)/COUNTIF($F$2:$M$2,"x"))</f>
        <v>13.333333333333334</v>
      </c>
      <c r="H17" s="169">
        <f t="shared" si="1"/>
        <v>10.666666666666668</v>
      </c>
      <c r="I17" s="169">
        <f t="shared" si="1"/>
        <v>8.0000000000000018</v>
      </c>
      <c r="J17" s="169">
        <f t="shared" si="1"/>
        <v>5.3333333333333357</v>
      </c>
      <c r="K17" s="169">
        <f t="shared" si="1"/>
        <v>2.6666666666666692</v>
      </c>
      <c r="L17" s="169">
        <f t="shared" si="1"/>
        <v>0</v>
      </c>
      <c r="M17" s="169">
        <f t="shared" si="1"/>
        <v>-2.6666666666666665</v>
      </c>
      <c r="N17" s="166"/>
      <c r="P17" s="146"/>
      <c r="Z17" s="146"/>
      <c r="AA17" s="149"/>
      <c r="AI17" s="146"/>
      <c r="AL17" s="154" t="s">
        <v>112</v>
      </c>
      <c r="AM17" s="154">
        <f>+AN16*PI()</f>
        <v>0.78539816339744828</v>
      </c>
      <c r="AN17" s="154"/>
    </row>
    <row r="18" spans="1:40" ht="15.75" customHeight="1" thickBot="1" x14ac:dyDescent="0.4">
      <c r="A18" s="145"/>
      <c r="B18" s="148"/>
      <c r="C18" s="170"/>
      <c r="D18" s="171"/>
      <c r="E18" s="171"/>
      <c r="F18" s="171"/>
      <c r="G18" s="171"/>
      <c r="H18" s="171"/>
      <c r="I18" s="171"/>
      <c r="J18" s="171"/>
      <c r="K18" s="171"/>
      <c r="L18" s="171"/>
      <c r="M18" s="171"/>
      <c r="N18" s="172"/>
      <c r="P18" s="146"/>
      <c r="Q18" s="173" t="s">
        <v>132</v>
      </c>
      <c r="Z18" s="146"/>
      <c r="AA18" s="149"/>
      <c r="AB18" s="174" t="s">
        <v>133</v>
      </c>
      <c r="AC18" s="175"/>
      <c r="AD18" s="174"/>
      <c r="AE18" s="175"/>
      <c r="AI18" s="146"/>
      <c r="AL18" s="154"/>
      <c r="AM18" s="154" t="s">
        <v>7</v>
      </c>
      <c r="AN18" s="154" t="s">
        <v>113</v>
      </c>
    </row>
    <row r="19" spans="1:40" ht="15.75" customHeight="1" x14ac:dyDescent="0.3">
      <c r="A19" s="145"/>
      <c r="B19" s="148"/>
      <c r="P19" s="146"/>
      <c r="Q19" s="176" t="s">
        <v>134</v>
      </c>
      <c r="Z19" s="146"/>
      <c r="AA19" s="149"/>
      <c r="AB19" s="175"/>
      <c r="AC19" s="174" t="s">
        <v>135</v>
      </c>
      <c r="AD19" s="174"/>
      <c r="AE19" s="175"/>
      <c r="AI19" s="146"/>
      <c r="AL19" s="154" t="s">
        <v>114</v>
      </c>
      <c r="AM19" s="154">
        <v>0</v>
      </c>
      <c r="AN19" s="154">
        <v>0</v>
      </c>
    </row>
    <row r="20" spans="1:40" ht="15.75" customHeight="1" x14ac:dyDescent="0.3">
      <c r="A20" s="145"/>
      <c r="B20" s="145"/>
      <c r="C20" s="146"/>
      <c r="D20" s="146"/>
      <c r="E20" s="146"/>
      <c r="F20" s="146"/>
      <c r="G20" s="177"/>
      <c r="H20" s="177"/>
      <c r="I20" s="177"/>
      <c r="J20" s="177"/>
      <c r="K20" s="177"/>
      <c r="L20" s="177"/>
      <c r="M20" s="177"/>
      <c r="N20" s="146"/>
      <c r="O20" s="146"/>
      <c r="P20" s="146"/>
      <c r="Q20" s="178" t="s">
        <v>136</v>
      </c>
      <c r="R20" s="179" t="s">
        <v>137</v>
      </c>
      <c r="Z20" s="146"/>
      <c r="AA20" s="149"/>
      <c r="AB20" s="175"/>
      <c r="AC20" s="174" t="s">
        <v>47</v>
      </c>
      <c r="AD20" s="174"/>
      <c r="AE20" s="175"/>
      <c r="AI20" s="146"/>
      <c r="AL20" s="154" t="s">
        <v>115</v>
      </c>
      <c r="AM20" s="154">
        <f>+COS(AM17)*-1</f>
        <v>-0.70710678118654757</v>
      </c>
      <c r="AN20" s="154">
        <f>+SIN(AM17)</f>
        <v>0.70710678118654746</v>
      </c>
    </row>
    <row r="21" spans="1:40" ht="15.75" customHeight="1" x14ac:dyDescent="0.3">
      <c r="A21" s="145"/>
      <c r="B21" s="145"/>
      <c r="C21" s="146"/>
      <c r="D21" s="146"/>
      <c r="E21" s="146"/>
      <c r="F21" s="146"/>
      <c r="G21" s="177"/>
      <c r="H21" s="177"/>
      <c r="I21" s="177"/>
      <c r="J21" s="177"/>
      <c r="K21" s="177"/>
      <c r="L21" s="177"/>
      <c r="M21" s="177"/>
      <c r="N21" s="146"/>
      <c r="O21" s="146"/>
      <c r="P21" s="146"/>
      <c r="Q21" s="178" t="s">
        <v>138</v>
      </c>
      <c r="R21" s="179" t="s">
        <v>139</v>
      </c>
      <c r="Z21" s="146"/>
      <c r="AA21" s="149"/>
      <c r="AB21" s="175"/>
      <c r="AC21" s="174"/>
      <c r="AD21" s="174"/>
      <c r="AE21" s="175"/>
      <c r="AI21" s="146"/>
    </row>
    <row r="22" spans="1:40" ht="15.75" customHeight="1" x14ac:dyDescent="0.3">
      <c r="A22" s="145"/>
      <c r="B22" s="145"/>
      <c r="C22" s="146"/>
      <c r="D22" s="146"/>
      <c r="E22" s="146"/>
      <c r="F22" s="146"/>
      <c r="G22" s="146"/>
      <c r="H22" s="146"/>
      <c r="I22" s="146"/>
      <c r="J22" s="146"/>
      <c r="K22" s="146"/>
      <c r="L22" s="146"/>
      <c r="M22" s="146"/>
      <c r="N22" s="146"/>
      <c r="O22" s="146"/>
      <c r="P22" s="146"/>
      <c r="R22" s="179" t="s">
        <v>140</v>
      </c>
      <c r="Z22" s="146"/>
      <c r="AA22" s="149"/>
      <c r="AB22" s="175"/>
      <c r="AC22" s="174" t="s">
        <v>141</v>
      </c>
      <c r="AD22" s="174"/>
      <c r="AE22" s="175"/>
      <c r="AI22" s="146"/>
    </row>
    <row r="23" spans="1:40" ht="15.75" customHeight="1" x14ac:dyDescent="0.3">
      <c r="A23" s="145"/>
      <c r="B23" s="145"/>
      <c r="C23" s="146"/>
      <c r="D23" s="146"/>
      <c r="E23" s="146"/>
      <c r="F23" s="146"/>
      <c r="G23" s="146"/>
      <c r="H23" s="146"/>
      <c r="I23" s="146"/>
      <c r="J23" s="146"/>
      <c r="K23" s="146"/>
      <c r="L23" s="146"/>
      <c r="M23" s="146"/>
      <c r="N23" s="146"/>
      <c r="O23" s="146"/>
      <c r="P23" s="146"/>
      <c r="R23" s="179" t="s">
        <v>142</v>
      </c>
      <c r="Z23" s="146"/>
      <c r="AA23" s="149"/>
      <c r="AB23" s="175"/>
      <c r="AC23" s="174" t="s">
        <v>41</v>
      </c>
      <c r="AD23" s="174"/>
      <c r="AE23" s="175"/>
      <c r="AI23" s="146"/>
    </row>
    <row r="24" spans="1:40" ht="15.75" customHeight="1" x14ac:dyDescent="0.3">
      <c r="A24" s="145"/>
      <c r="B24" s="145"/>
      <c r="C24" s="146"/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6"/>
      <c r="R24" s="179" t="s">
        <v>143</v>
      </c>
      <c r="Z24" s="146"/>
      <c r="AA24" s="149"/>
      <c r="AB24" s="175"/>
      <c r="AC24" s="174" t="s">
        <v>59</v>
      </c>
      <c r="AE24" s="180">
        <f>N16/F16</f>
        <v>0.25</v>
      </c>
      <c r="AI24" s="146"/>
    </row>
    <row r="25" spans="1:40" ht="15.75" customHeight="1" x14ac:dyDescent="0.25">
      <c r="A25" s="145"/>
      <c r="B25" s="145"/>
      <c r="C25" s="146"/>
      <c r="D25" s="146"/>
      <c r="E25" s="146"/>
      <c r="F25" s="146"/>
      <c r="G25" s="146"/>
      <c r="H25" s="146"/>
      <c r="I25" s="146"/>
      <c r="J25" s="146"/>
      <c r="K25" s="146"/>
      <c r="L25" s="146"/>
      <c r="M25" s="146"/>
      <c r="N25" s="146"/>
      <c r="O25" s="146"/>
      <c r="P25" s="146"/>
      <c r="R25" s="179" t="s">
        <v>144</v>
      </c>
      <c r="Z25" s="146"/>
      <c r="AA25" s="149"/>
      <c r="AI25" s="146"/>
    </row>
    <row r="26" spans="1:40" ht="15.75" customHeight="1" x14ac:dyDescent="0.25">
      <c r="A26" s="145"/>
      <c r="B26" s="145"/>
      <c r="C26" s="146"/>
      <c r="D26" s="146"/>
      <c r="E26" s="146"/>
      <c r="F26" s="146"/>
      <c r="G26" s="146"/>
      <c r="H26" s="146"/>
      <c r="I26" s="146"/>
      <c r="J26" s="146"/>
      <c r="K26" s="146"/>
      <c r="L26" s="146"/>
      <c r="M26" s="146"/>
      <c r="N26" s="146"/>
      <c r="O26" s="146"/>
      <c r="P26" s="146"/>
      <c r="R26" s="179" t="s">
        <v>145</v>
      </c>
      <c r="Z26" s="146"/>
      <c r="AA26" s="149"/>
      <c r="AI26" s="146"/>
    </row>
    <row r="27" spans="1:40" ht="15.75" customHeight="1" x14ac:dyDescent="0.25">
      <c r="A27" s="145"/>
      <c r="B27" s="145"/>
      <c r="C27" s="146"/>
      <c r="D27" s="146"/>
      <c r="E27" s="146"/>
      <c r="F27" s="146"/>
      <c r="G27" s="146"/>
      <c r="H27" s="146"/>
      <c r="I27" s="146"/>
      <c r="J27" s="146"/>
      <c r="K27" s="146"/>
      <c r="L27" s="146"/>
      <c r="M27" s="146"/>
      <c r="N27" s="146"/>
      <c r="O27" s="146"/>
      <c r="P27" s="146"/>
      <c r="R27" s="179" t="s">
        <v>146</v>
      </c>
      <c r="Z27" s="146"/>
      <c r="AA27" s="149"/>
      <c r="AI27" s="146"/>
    </row>
    <row r="28" spans="1:40" ht="15.75" customHeight="1" x14ac:dyDescent="0.25">
      <c r="A28" s="145"/>
      <c r="B28" s="145"/>
      <c r="C28" s="146"/>
      <c r="D28" s="146"/>
      <c r="E28" s="146"/>
      <c r="F28" s="146"/>
      <c r="G28" s="146"/>
      <c r="H28" s="146"/>
      <c r="I28" s="146"/>
      <c r="J28" s="146"/>
      <c r="K28" s="146"/>
      <c r="L28" s="146"/>
      <c r="M28" s="146"/>
      <c r="N28" s="146"/>
      <c r="O28" s="146"/>
      <c r="P28" s="146"/>
      <c r="R28" s="179" t="s">
        <v>147</v>
      </c>
      <c r="Z28" s="146"/>
      <c r="AA28" s="149"/>
      <c r="AI28" s="146"/>
    </row>
    <row r="29" spans="1:40" ht="15.75" customHeight="1" x14ac:dyDescent="0.25">
      <c r="A29" s="145"/>
      <c r="B29" s="145"/>
      <c r="C29" s="146"/>
      <c r="D29" s="146"/>
      <c r="E29" s="146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R29" s="179" t="s">
        <v>148</v>
      </c>
      <c r="Z29" s="146"/>
      <c r="AA29" s="149"/>
      <c r="AI29" s="146"/>
    </row>
    <row r="30" spans="1:40" ht="15.75" customHeight="1" x14ac:dyDescent="0.2">
      <c r="A30" s="145"/>
      <c r="B30" s="145"/>
      <c r="C30" s="146"/>
      <c r="D30" s="146"/>
      <c r="E30" s="146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6"/>
      <c r="Z30" s="146"/>
      <c r="AA30" s="149"/>
      <c r="AI30" s="146"/>
    </row>
    <row r="31" spans="1:40" ht="15.75" customHeight="1" x14ac:dyDescent="0.2">
      <c r="A31" s="145"/>
      <c r="B31" s="145"/>
      <c r="C31" s="146"/>
      <c r="D31" s="146"/>
      <c r="E31" s="146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6"/>
      <c r="AC31" s="146"/>
      <c r="AD31" s="146"/>
      <c r="AE31" s="146"/>
      <c r="AF31" s="146"/>
      <c r="AG31" s="146"/>
      <c r="AH31" s="146"/>
      <c r="AI31" s="146"/>
    </row>
    <row r="32" spans="1:40" ht="15.75" customHeight="1" x14ac:dyDescent="0.2">
      <c r="A32" s="145"/>
      <c r="B32" s="145"/>
      <c r="C32" s="146"/>
      <c r="D32" s="146"/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  <c r="W32" s="146"/>
      <c r="X32" s="146"/>
      <c r="Y32" s="146"/>
      <c r="Z32" s="146"/>
      <c r="AA32" s="146"/>
      <c r="AB32" s="146"/>
      <c r="AC32" s="146"/>
      <c r="AD32" s="146"/>
      <c r="AE32" s="146"/>
      <c r="AF32" s="146"/>
      <c r="AG32" s="146"/>
      <c r="AH32" s="146"/>
      <c r="AI32" s="146"/>
    </row>
    <row r="33" spans="1:35" ht="15.75" customHeight="1" x14ac:dyDescent="0.2">
      <c r="A33" s="145"/>
      <c r="B33" s="145"/>
      <c r="C33" s="146"/>
      <c r="D33" s="146"/>
      <c r="E33" s="146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  <c r="W33" s="146"/>
      <c r="X33" s="146"/>
      <c r="Y33" s="146"/>
      <c r="Z33" s="146"/>
      <c r="AA33" s="146"/>
      <c r="AB33" s="146"/>
      <c r="AC33" s="146"/>
      <c r="AD33" s="146"/>
      <c r="AE33" s="146"/>
      <c r="AF33" s="146"/>
      <c r="AG33" s="146"/>
      <c r="AH33" s="146"/>
      <c r="AI33" s="146"/>
    </row>
    <row r="34" spans="1:35" ht="15.75" customHeight="1" x14ac:dyDescent="0.2"/>
    <row r="35" spans="1:35" ht="15.75" customHeight="1" x14ac:dyDescent="0.2"/>
    <row r="36" spans="1:35" ht="15.75" customHeight="1" x14ac:dyDescent="0.2"/>
    <row r="37" spans="1:35" ht="15.75" customHeight="1" x14ac:dyDescent="0.2"/>
    <row r="38" spans="1:35" ht="15.75" customHeight="1" x14ac:dyDescent="0.2"/>
    <row r="39" spans="1:35" ht="15.75" customHeight="1" x14ac:dyDescent="0.2"/>
    <row r="40" spans="1:35" ht="15.75" customHeight="1" x14ac:dyDescent="0.2"/>
    <row r="41" spans="1:35" ht="15.75" customHeight="1" x14ac:dyDescent="0.2"/>
    <row r="42" spans="1:35" ht="15.75" customHeight="1" x14ac:dyDescent="0.2"/>
    <row r="43" spans="1:35" ht="15.75" customHeight="1" x14ac:dyDescent="0.2"/>
    <row r="44" spans="1:35" ht="15.75" customHeight="1" x14ac:dyDescent="0.2"/>
    <row r="45" spans="1:35" ht="15.75" customHeight="1" x14ac:dyDescent="0.2"/>
    <row r="46" spans="1:35" ht="15.75" customHeight="1" x14ac:dyDescent="0.2"/>
    <row r="47" spans="1:35" ht="15.75" customHeight="1" x14ac:dyDescent="0.2"/>
    <row r="48" spans="1:3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</sheetData>
  <pageMargins left="0.7" right="0.7" top="0.75" bottom="0.75" header="0" footer="0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B773496-64E8-4E93-A5C0-918BABEA3D62}">
          <x14:formula1>
            <xm:f>Parametros!$A$18:$A$24</xm:f>
          </x14:formula1>
          <xm:sqref>C5:C14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A6653-200E-4DF8-A2FD-5FBE4FEC54BA}">
  <dimension ref="A1:AN997"/>
  <sheetViews>
    <sheetView showGridLines="0" zoomScale="80" zoomScaleNormal="80" workbookViewId="0">
      <selection activeCell="A10" sqref="A10"/>
    </sheetView>
  </sheetViews>
  <sheetFormatPr baseColWidth="10" defaultColWidth="14.42578125" defaultRowHeight="15" customHeight="1" x14ac:dyDescent="0.2"/>
  <cols>
    <col min="1" max="2" width="6.85546875" style="147" customWidth="1"/>
    <col min="3" max="3" width="10.7109375" style="147" customWidth="1"/>
    <col min="4" max="4" width="19.85546875" style="147" customWidth="1"/>
    <col min="5" max="5" width="37.140625" style="147" customWidth="1"/>
    <col min="6" max="6" width="9.42578125" style="147" customWidth="1"/>
    <col min="7" max="10" width="6.85546875" style="147" customWidth="1"/>
    <col min="11" max="11" width="7.5703125" style="147" customWidth="1"/>
    <col min="12" max="12" width="7.85546875" style="147" customWidth="1"/>
    <col min="13" max="13" width="10.7109375" style="147" hidden="1" customWidth="1"/>
    <col min="14" max="14" width="12.5703125" style="147" customWidth="1"/>
    <col min="15" max="15" width="10.7109375" style="147" customWidth="1"/>
    <col min="16" max="16" width="6" style="147" customWidth="1"/>
    <col min="17" max="17" width="12.140625" style="147" customWidth="1"/>
    <col min="18" max="19" width="10.7109375" style="147" customWidth="1"/>
    <col min="20" max="20" width="12" style="147" customWidth="1"/>
    <col min="21" max="23" width="10.7109375" style="147" customWidth="1"/>
    <col min="24" max="24" width="18.42578125" style="147" customWidth="1"/>
    <col min="25" max="25" width="25.85546875" style="147" customWidth="1"/>
    <col min="26" max="27" width="5" style="147" customWidth="1"/>
    <col min="28" max="31" width="10.7109375" style="147" customWidth="1"/>
    <col min="32" max="32" width="14.42578125" style="147"/>
    <col min="33" max="33" width="9.28515625" style="147" customWidth="1"/>
    <col min="34" max="16379" width="14.42578125" style="147"/>
    <col min="16380" max="16380" width="9.42578125" style="147" customWidth="1"/>
    <col min="16381" max="16381" width="10.5703125" style="147" customWidth="1"/>
    <col min="16382" max="16384" width="14.42578125" style="147"/>
  </cols>
  <sheetData>
    <row r="1" spans="1:40" ht="14.25" x14ac:dyDescent="0.2">
      <c r="A1" s="145"/>
      <c r="B1" s="145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</row>
    <row r="2" spans="1:40" thickBot="1" x14ac:dyDescent="0.25">
      <c r="A2" s="145"/>
      <c r="B2" s="148"/>
      <c r="G2" s="147" t="s">
        <v>116</v>
      </c>
      <c r="H2" s="147" t="s">
        <v>116</v>
      </c>
      <c r="I2" s="147" t="s">
        <v>116</v>
      </c>
      <c r="J2" s="147" t="s">
        <v>116</v>
      </c>
      <c r="K2" s="147" t="s">
        <v>116</v>
      </c>
      <c r="L2" s="147" t="s">
        <v>7</v>
      </c>
      <c r="P2" s="146"/>
      <c r="Z2" s="146"/>
      <c r="AA2" s="149"/>
      <c r="AI2" s="146"/>
    </row>
    <row r="3" spans="1:40" x14ac:dyDescent="0.25">
      <c r="A3" s="145"/>
      <c r="B3" s="148"/>
      <c r="C3" s="150"/>
      <c r="D3" s="151"/>
      <c r="E3" s="151"/>
      <c r="F3" s="152" t="s">
        <v>117</v>
      </c>
      <c r="G3" s="152">
        <v>13</v>
      </c>
      <c r="H3" s="152">
        <v>14</v>
      </c>
      <c r="I3" s="152">
        <v>15</v>
      </c>
      <c r="J3" s="152">
        <v>16</v>
      </c>
      <c r="K3" s="152">
        <v>17</v>
      </c>
      <c r="L3" s="152">
        <v>18</v>
      </c>
      <c r="M3" s="152"/>
      <c r="N3" s="153"/>
      <c r="P3" s="146"/>
      <c r="Z3" s="146"/>
      <c r="AA3" s="149"/>
      <c r="AI3" s="146"/>
      <c r="AL3" s="154" t="s">
        <v>118</v>
      </c>
      <c r="AM3" s="154"/>
      <c r="AN3" s="154"/>
    </row>
    <row r="4" spans="1:40" ht="60" x14ac:dyDescent="0.25">
      <c r="A4" s="145"/>
      <c r="B4" s="148"/>
      <c r="C4" s="155" t="s">
        <v>119</v>
      </c>
      <c r="D4" s="156" t="s">
        <v>120</v>
      </c>
      <c r="E4" s="156" t="s">
        <v>29</v>
      </c>
      <c r="F4" s="157" t="s">
        <v>121</v>
      </c>
      <c r="G4" s="156" t="s">
        <v>122</v>
      </c>
      <c r="H4" s="156" t="s">
        <v>123</v>
      </c>
      <c r="I4" s="156" t="s">
        <v>124</v>
      </c>
      <c r="J4" s="156" t="s">
        <v>125</v>
      </c>
      <c r="K4" s="156" t="s">
        <v>126</v>
      </c>
      <c r="L4" s="156" t="s">
        <v>127</v>
      </c>
      <c r="M4" s="158" t="s">
        <v>128</v>
      </c>
      <c r="N4" s="159" t="s">
        <v>129</v>
      </c>
      <c r="P4" s="146"/>
      <c r="Z4" s="146"/>
      <c r="AA4" s="149"/>
      <c r="AI4" s="146"/>
      <c r="AL4" s="154"/>
      <c r="AM4" s="154"/>
      <c r="AN4" s="154"/>
    </row>
    <row r="5" spans="1:40" x14ac:dyDescent="0.25">
      <c r="A5" s="145"/>
      <c r="B5" s="148"/>
      <c r="C5" s="155" t="s">
        <v>160</v>
      </c>
      <c r="D5" s="160" t="s">
        <v>200</v>
      </c>
      <c r="E5" s="161" t="str">
        <f>VLOOKUP(D5,Tabla4[[#All],[Tarea]:[Actividad]],2,0)</f>
        <v>Listar Entidades y Atributos</v>
      </c>
      <c r="F5" s="156">
        <v>4</v>
      </c>
      <c r="G5" s="156">
        <v>1</v>
      </c>
      <c r="H5" s="156"/>
      <c r="I5" s="156"/>
      <c r="J5" s="156"/>
      <c r="K5" s="156"/>
      <c r="L5" s="156"/>
      <c r="M5" s="156"/>
      <c r="N5" s="162">
        <f>SUM(G5:M5)</f>
        <v>1</v>
      </c>
      <c r="P5" s="146"/>
      <c r="Z5" s="146"/>
      <c r="AA5" s="149"/>
      <c r="AI5" s="146"/>
      <c r="AL5" s="154" t="s">
        <v>110</v>
      </c>
      <c r="AM5" s="154" t="s">
        <v>111</v>
      </c>
      <c r="AN5" s="154"/>
    </row>
    <row r="6" spans="1:40" ht="25.5" customHeight="1" x14ac:dyDescent="0.25">
      <c r="A6" s="145"/>
      <c r="B6" s="148"/>
      <c r="C6" s="155" t="s">
        <v>160</v>
      </c>
      <c r="D6" s="160" t="s">
        <v>206</v>
      </c>
      <c r="E6" s="161" t="str">
        <f>VLOOKUP(D6,Tabla4[[#All],[Tarea]:[Actividad]],2,0)</f>
        <v>Crear Modelo Conceptual del Sistema</v>
      </c>
      <c r="F6" s="156">
        <v>2</v>
      </c>
      <c r="G6" s="156">
        <v>1</v>
      </c>
      <c r="H6" s="156"/>
      <c r="I6" s="156"/>
      <c r="J6" s="156"/>
      <c r="K6" s="156"/>
      <c r="L6" s="156"/>
      <c r="M6" s="156"/>
      <c r="N6" s="163">
        <f>SUM(G6:M6)</f>
        <v>1</v>
      </c>
      <c r="P6" s="146"/>
      <c r="Z6" s="146"/>
      <c r="AA6" s="149"/>
      <c r="AI6" s="146"/>
      <c r="AL6" s="164">
        <v>0.1</v>
      </c>
      <c r="AM6" s="154">
        <v>1</v>
      </c>
      <c r="AN6" s="154"/>
    </row>
    <row r="7" spans="1:40" ht="35.25" customHeight="1" x14ac:dyDescent="0.25">
      <c r="A7" s="145"/>
      <c r="B7" s="148"/>
      <c r="C7" s="155" t="s">
        <v>160</v>
      </c>
      <c r="D7" s="160" t="s">
        <v>207</v>
      </c>
      <c r="E7" s="161" t="str">
        <f>VLOOKUP(D7,Tabla4[[#All],[Tarea]:[Actividad]],2,0)</f>
        <v>Documentar Historias de Usuario</v>
      </c>
      <c r="F7" s="156">
        <v>3</v>
      </c>
      <c r="G7" s="156"/>
      <c r="H7" s="156">
        <v>2</v>
      </c>
      <c r="I7" s="156"/>
      <c r="J7" s="156"/>
      <c r="K7" s="156"/>
      <c r="L7" s="156"/>
      <c r="M7" s="156"/>
      <c r="N7" s="163">
        <f>SUM(G7:M7)</f>
        <v>2</v>
      </c>
      <c r="P7" s="146"/>
      <c r="Z7" s="146"/>
      <c r="AA7" s="149"/>
      <c r="AI7" s="146"/>
      <c r="AL7" s="164">
        <v>0.2</v>
      </c>
      <c r="AM7" s="154">
        <v>1</v>
      </c>
      <c r="AN7" s="154"/>
    </row>
    <row r="8" spans="1:40" ht="36" customHeight="1" x14ac:dyDescent="0.25">
      <c r="A8" s="145"/>
      <c r="B8" s="148"/>
      <c r="C8" s="155" t="s">
        <v>160</v>
      </c>
      <c r="D8" s="160" t="s">
        <v>208</v>
      </c>
      <c r="E8" s="161" t="str">
        <f>VLOOKUP(D8,Tabla4[[#All],[Tarea]:[Actividad]],2,0)</f>
        <v>Documentar Requerimientos Funcionales</v>
      </c>
      <c r="F8" s="156">
        <v>2</v>
      </c>
      <c r="G8" s="156"/>
      <c r="H8" s="156"/>
      <c r="I8" s="156"/>
      <c r="J8" s="156"/>
      <c r="K8" s="156"/>
      <c r="L8" s="156"/>
      <c r="M8" s="156"/>
      <c r="N8" s="163">
        <f>SUM(G8:M8)</f>
        <v>0</v>
      </c>
      <c r="P8" s="146"/>
      <c r="Z8" s="146"/>
      <c r="AA8" s="149"/>
      <c r="AI8" s="146"/>
      <c r="AL8" s="164">
        <v>0.3</v>
      </c>
      <c r="AM8" s="154">
        <v>1</v>
      </c>
      <c r="AN8" s="154"/>
    </row>
    <row r="9" spans="1:40" ht="36.75" customHeight="1" x14ac:dyDescent="0.25">
      <c r="A9" s="145"/>
      <c r="B9" s="148"/>
      <c r="C9" s="155" t="s">
        <v>160</v>
      </c>
      <c r="D9" s="160" t="s">
        <v>210</v>
      </c>
      <c r="E9" s="161" t="str">
        <f>VLOOKUP(D9,Tabla4[[#All],[Tarea]:[Actividad]],2,0)</f>
        <v>Documentar Requerimientos No Funcionales</v>
      </c>
      <c r="F9" s="156">
        <v>1</v>
      </c>
      <c r="G9" s="156"/>
      <c r="H9" s="156"/>
      <c r="I9" s="156"/>
      <c r="J9" s="156"/>
      <c r="K9" s="156"/>
      <c r="L9" s="156"/>
      <c r="M9" s="156"/>
      <c r="N9" s="163"/>
      <c r="P9" s="146"/>
      <c r="Z9" s="146"/>
      <c r="AA9" s="149"/>
      <c r="AI9" s="146"/>
      <c r="AL9" s="164">
        <v>0.4</v>
      </c>
      <c r="AM9" s="154">
        <v>1</v>
      </c>
      <c r="AN9" s="154"/>
    </row>
    <row r="10" spans="1:40" ht="35.25" customHeight="1" x14ac:dyDescent="0.25">
      <c r="A10" s="145"/>
      <c r="B10" s="148"/>
      <c r="C10" s="155" t="s">
        <v>160</v>
      </c>
      <c r="D10" s="160" t="s">
        <v>212</v>
      </c>
      <c r="E10" s="161" t="str">
        <f>VLOOKUP(D10,Tabla4[[#All],[Tarea]:[Actividad]],2,0)</f>
        <v>Consolidar documento entregable</v>
      </c>
      <c r="F10" s="156">
        <v>1</v>
      </c>
      <c r="G10" s="156"/>
      <c r="H10" s="156"/>
      <c r="I10" s="156"/>
      <c r="J10" s="156"/>
      <c r="K10" s="156"/>
      <c r="L10" s="156"/>
      <c r="M10" s="156"/>
      <c r="N10" s="163">
        <f>SUM(G10:M10)</f>
        <v>0</v>
      </c>
      <c r="P10" s="146"/>
      <c r="Z10" s="146"/>
      <c r="AA10" s="149"/>
      <c r="AI10" s="146"/>
      <c r="AL10" s="164">
        <v>0.5</v>
      </c>
      <c r="AM10" s="154">
        <v>1</v>
      </c>
      <c r="AN10" s="154"/>
    </row>
    <row r="11" spans="1:40" x14ac:dyDescent="0.25">
      <c r="A11" s="145"/>
      <c r="B11" s="148"/>
      <c r="C11" s="155" t="s">
        <v>160</v>
      </c>
      <c r="D11" s="160" t="s">
        <v>214</v>
      </c>
      <c r="E11" s="161" t="str">
        <f>VLOOKUP(D11,Tabla4[[#All],[Tarea]:[Actividad]],2,0)</f>
        <v>Cargar documento Sprint 3 - Curso</v>
      </c>
      <c r="F11" s="156">
        <v>1</v>
      </c>
      <c r="G11" s="156"/>
      <c r="H11" s="156"/>
      <c r="I11" s="156"/>
      <c r="J11" s="156"/>
      <c r="K11" s="156"/>
      <c r="L11" s="156"/>
      <c r="M11" s="156"/>
      <c r="N11" s="163">
        <f>SUM(G11:M11)</f>
        <v>0</v>
      </c>
      <c r="P11" s="146"/>
      <c r="Z11" s="146"/>
      <c r="AA11" s="149"/>
      <c r="AI11" s="146"/>
      <c r="AL11" s="164">
        <v>0.6</v>
      </c>
      <c r="AM11" s="154">
        <v>1</v>
      </c>
      <c r="AN11" s="154"/>
    </row>
    <row r="12" spans="1:40" x14ac:dyDescent="0.25">
      <c r="A12" s="145"/>
      <c r="B12" s="148"/>
      <c r="C12" s="155" t="s">
        <v>160</v>
      </c>
      <c r="D12" s="160" t="s">
        <v>218</v>
      </c>
      <c r="E12" s="161" t="str">
        <f>VLOOKUP(D12,Tabla4[[#All],[Tarea]:[Actividad]],2,0)</f>
        <v>Consolidar documento seguimiento Sprint 3</v>
      </c>
      <c r="F12" s="156">
        <v>1</v>
      </c>
      <c r="G12" s="156"/>
      <c r="H12" s="156"/>
      <c r="I12" s="156"/>
      <c r="J12" s="156"/>
      <c r="K12" s="156"/>
      <c r="L12" s="156"/>
      <c r="M12" s="156"/>
      <c r="N12" s="163">
        <f>SUM(G12:M12)</f>
        <v>0</v>
      </c>
      <c r="P12" s="146"/>
      <c r="Z12" s="146"/>
      <c r="AA12" s="149"/>
      <c r="AI12" s="146"/>
      <c r="AL12" s="164">
        <v>0.7</v>
      </c>
      <c r="AM12" s="154">
        <v>1</v>
      </c>
      <c r="AN12" s="154"/>
    </row>
    <row r="13" spans="1:40" ht="15" customHeight="1" x14ac:dyDescent="0.25">
      <c r="A13" s="145"/>
      <c r="B13" s="148"/>
      <c r="C13" s="155" t="s">
        <v>160</v>
      </c>
      <c r="D13" s="160" t="s">
        <v>219</v>
      </c>
      <c r="E13" s="161" t="str">
        <f>VLOOKUP(D13,Tabla4[[#All],[Tarea]:[Actividad]],2,0)</f>
        <v>Cargar evidencia para seguimiento</v>
      </c>
      <c r="F13" s="156">
        <v>1</v>
      </c>
      <c r="G13" s="156"/>
      <c r="H13" s="156"/>
      <c r="I13" s="156"/>
      <c r="J13" s="156"/>
      <c r="K13" s="156"/>
      <c r="L13" s="156"/>
      <c r="M13" s="156"/>
      <c r="N13" s="163">
        <f>SUM(G13:M13)</f>
        <v>0</v>
      </c>
      <c r="P13" s="146"/>
      <c r="Z13" s="146"/>
      <c r="AA13" s="149"/>
      <c r="AI13" s="146"/>
      <c r="AL13" s="164">
        <v>0.8</v>
      </c>
      <c r="AM13" s="154">
        <v>1</v>
      </c>
      <c r="AN13" s="154"/>
    </row>
    <row r="14" spans="1:40" x14ac:dyDescent="0.25">
      <c r="A14" s="145"/>
      <c r="B14" s="148"/>
      <c r="C14" s="155"/>
      <c r="D14" s="156"/>
      <c r="E14" s="161"/>
      <c r="F14" s="156"/>
      <c r="G14" s="156"/>
      <c r="H14" s="156"/>
      <c r="I14" s="156"/>
      <c r="J14" s="156"/>
      <c r="K14" s="156"/>
      <c r="L14" s="156"/>
      <c r="M14" s="156"/>
      <c r="N14" s="163">
        <f>SUM(G14:M14)</f>
        <v>0</v>
      </c>
      <c r="P14" s="146"/>
      <c r="Z14" s="146"/>
      <c r="AA14" s="149"/>
      <c r="AI14" s="146"/>
      <c r="AL14" s="164">
        <v>0.9</v>
      </c>
      <c r="AM14" s="154">
        <v>1</v>
      </c>
      <c r="AN14" s="154"/>
    </row>
    <row r="15" spans="1:40" ht="14.25" x14ac:dyDescent="0.2">
      <c r="A15" s="145"/>
      <c r="B15" s="148"/>
      <c r="C15" s="165"/>
      <c r="N15" s="166"/>
      <c r="P15" s="146"/>
      <c r="Z15" s="146"/>
      <c r="AA15" s="149"/>
      <c r="AI15" s="146"/>
      <c r="AL15" s="164">
        <v>1</v>
      </c>
      <c r="AM15" s="154">
        <v>9</v>
      </c>
      <c r="AN15" s="154"/>
    </row>
    <row r="16" spans="1:40" ht="15" customHeight="1" x14ac:dyDescent="0.25">
      <c r="A16" s="145"/>
      <c r="B16" s="148"/>
      <c r="C16" s="165"/>
      <c r="D16" s="167" t="s">
        <v>130</v>
      </c>
      <c r="E16" s="167"/>
      <c r="F16" s="168">
        <f>SUM(F5:F14)</f>
        <v>16</v>
      </c>
      <c r="G16" s="168">
        <f>F16-SUM(G5:G14)</f>
        <v>14</v>
      </c>
      <c r="H16" s="168">
        <f t="shared" ref="H16:M16" si="0">G16-SUM(H5:H14)</f>
        <v>12</v>
      </c>
      <c r="I16" s="168">
        <f t="shared" si="0"/>
        <v>12</v>
      </c>
      <c r="J16" s="168">
        <f t="shared" si="0"/>
        <v>12</v>
      </c>
      <c r="K16" s="168">
        <f t="shared" si="0"/>
        <v>12</v>
      </c>
      <c r="L16" s="168">
        <f t="shared" si="0"/>
        <v>12</v>
      </c>
      <c r="M16" s="168">
        <f t="shared" si="0"/>
        <v>12</v>
      </c>
      <c r="N16" s="166">
        <f>SUM(N5:N14)</f>
        <v>4</v>
      </c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L16" s="154"/>
      <c r="AM16" s="154"/>
      <c r="AN16" s="164">
        <f>+AE24</f>
        <v>0.25</v>
      </c>
    </row>
    <row r="17" spans="1:40" ht="15" customHeight="1" x14ac:dyDescent="0.25">
      <c r="A17" s="145"/>
      <c r="B17" s="148"/>
      <c r="C17" s="165"/>
      <c r="D17" s="167" t="s">
        <v>131</v>
      </c>
      <c r="E17" s="167"/>
      <c r="F17" s="168">
        <f>SUM(F5:F14)</f>
        <v>16</v>
      </c>
      <c r="G17" s="169">
        <f t="shared" ref="G17:M17" si="1">F17-(SUM($F$5:$F$14)/COUNTIF($F$2:$M$2,"x"))</f>
        <v>13.333333333333334</v>
      </c>
      <c r="H17" s="169">
        <f t="shared" si="1"/>
        <v>10.666666666666668</v>
      </c>
      <c r="I17" s="169">
        <f t="shared" si="1"/>
        <v>8.0000000000000018</v>
      </c>
      <c r="J17" s="169">
        <f t="shared" si="1"/>
        <v>5.3333333333333357</v>
      </c>
      <c r="K17" s="169">
        <f t="shared" si="1"/>
        <v>2.6666666666666692</v>
      </c>
      <c r="L17" s="169">
        <f t="shared" si="1"/>
        <v>0</v>
      </c>
      <c r="M17" s="169">
        <f t="shared" si="1"/>
        <v>-2.6666666666666665</v>
      </c>
      <c r="N17" s="166"/>
      <c r="P17" s="146"/>
      <c r="Z17" s="146"/>
      <c r="AA17" s="149"/>
      <c r="AI17" s="146"/>
      <c r="AL17" s="154" t="s">
        <v>112</v>
      </c>
      <c r="AM17" s="154">
        <f>+AN16*PI()</f>
        <v>0.78539816339744828</v>
      </c>
      <c r="AN17" s="154"/>
    </row>
    <row r="18" spans="1:40" ht="15.75" customHeight="1" thickBot="1" x14ac:dyDescent="0.4">
      <c r="A18" s="145"/>
      <c r="B18" s="148"/>
      <c r="C18" s="170"/>
      <c r="D18" s="171"/>
      <c r="E18" s="171"/>
      <c r="F18" s="171"/>
      <c r="G18" s="171"/>
      <c r="H18" s="171"/>
      <c r="I18" s="171"/>
      <c r="J18" s="171"/>
      <c r="K18" s="171"/>
      <c r="L18" s="171"/>
      <c r="M18" s="171"/>
      <c r="N18" s="172"/>
      <c r="P18" s="146"/>
      <c r="Q18" s="173" t="s">
        <v>132</v>
      </c>
      <c r="Z18" s="146"/>
      <c r="AA18" s="149"/>
      <c r="AB18" s="174" t="s">
        <v>133</v>
      </c>
      <c r="AC18" s="175"/>
      <c r="AD18" s="174"/>
      <c r="AE18" s="175"/>
      <c r="AI18" s="146"/>
      <c r="AL18" s="154"/>
      <c r="AM18" s="154" t="s">
        <v>7</v>
      </c>
      <c r="AN18" s="154" t="s">
        <v>113</v>
      </c>
    </row>
    <row r="19" spans="1:40" ht="15.75" customHeight="1" x14ac:dyDescent="0.3">
      <c r="A19" s="145"/>
      <c r="B19" s="148"/>
      <c r="P19" s="146"/>
      <c r="Q19" s="176" t="s">
        <v>134</v>
      </c>
      <c r="Z19" s="146"/>
      <c r="AA19" s="149"/>
      <c r="AB19" s="175"/>
      <c r="AC19" s="174" t="s">
        <v>135</v>
      </c>
      <c r="AD19" s="174"/>
      <c r="AE19" s="175"/>
      <c r="AI19" s="146"/>
      <c r="AL19" s="154" t="s">
        <v>114</v>
      </c>
      <c r="AM19" s="154">
        <v>0</v>
      </c>
      <c r="AN19" s="154">
        <v>0</v>
      </c>
    </row>
    <row r="20" spans="1:40" ht="15.75" customHeight="1" x14ac:dyDescent="0.3">
      <c r="A20" s="145"/>
      <c r="B20" s="145"/>
      <c r="C20" s="146"/>
      <c r="D20" s="146"/>
      <c r="E20" s="146"/>
      <c r="F20" s="146"/>
      <c r="G20" s="177"/>
      <c r="H20" s="177"/>
      <c r="I20" s="177"/>
      <c r="J20" s="177"/>
      <c r="K20" s="177"/>
      <c r="L20" s="177"/>
      <c r="M20" s="177"/>
      <c r="N20" s="146"/>
      <c r="O20" s="146"/>
      <c r="P20" s="146"/>
      <c r="Q20" s="178" t="s">
        <v>136</v>
      </c>
      <c r="R20" s="179" t="s">
        <v>137</v>
      </c>
      <c r="Z20" s="146"/>
      <c r="AA20" s="149"/>
      <c r="AB20" s="175"/>
      <c r="AC20" s="174" t="s">
        <v>47</v>
      </c>
      <c r="AD20" s="174"/>
      <c r="AE20" s="175"/>
      <c r="AI20" s="146"/>
      <c r="AL20" s="154" t="s">
        <v>115</v>
      </c>
      <c r="AM20" s="154">
        <f>+COS(AM17)*-1</f>
        <v>-0.70710678118654757</v>
      </c>
      <c r="AN20" s="154">
        <f>+SIN(AM17)</f>
        <v>0.70710678118654746</v>
      </c>
    </row>
    <row r="21" spans="1:40" ht="15.75" customHeight="1" x14ac:dyDescent="0.3">
      <c r="A21" s="145"/>
      <c r="B21" s="145"/>
      <c r="C21" s="146"/>
      <c r="D21" s="146"/>
      <c r="E21" s="146"/>
      <c r="F21" s="146"/>
      <c r="G21" s="177"/>
      <c r="H21" s="177"/>
      <c r="I21" s="177"/>
      <c r="J21" s="177"/>
      <c r="K21" s="177"/>
      <c r="L21" s="177"/>
      <c r="M21" s="177"/>
      <c r="N21" s="146"/>
      <c r="O21" s="146"/>
      <c r="P21" s="146"/>
      <c r="Q21" s="178" t="s">
        <v>138</v>
      </c>
      <c r="R21" s="179" t="s">
        <v>139</v>
      </c>
      <c r="Z21" s="146"/>
      <c r="AA21" s="149"/>
      <c r="AB21" s="175"/>
      <c r="AC21" s="174"/>
      <c r="AD21" s="174"/>
      <c r="AE21" s="175"/>
      <c r="AI21" s="146"/>
    </row>
    <row r="22" spans="1:40" ht="15.75" customHeight="1" x14ac:dyDescent="0.3">
      <c r="A22" s="145"/>
      <c r="B22" s="145"/>
      <c r="C22" s="146"/>
      <c r="D22" s="146"/>
      <c r="E22" s="146"/>
      <c r="F22" s="146"/>
      <c r="G22" s="146"/>
      <c r="H22" s="146"/>
      <c r="I22" s="146"/>
      <c r="J22" s="146"/>
      <c r="K22" s="146"/>
      <c r="L22" s="146"/>
      <c r="M22" s="146"/>
      <c r="N22" s="146"/>
      <c r="O22" s="146"/>
      <c r="P22" s="146"/>
      <c r="R22" s="179" t="s">
        <v>140</v>
      </c>
      <c r="Z22" s="146"/>
      <c r="AA22" s="149"/>
      <c r="AB22" s="175"/>
      <c r="AC22" s="174" t="s">
        <v>141</v>
      </c>
      <c r="AD22" s="174"/>
      <c r="AE22" s="175"/>
      <c r="AI22" s="146"/>
    </row>
    <row r="23" spans="1:40" ht="15.75" customHeight="1" x14ac:dyDescent="0.3">
      <c r="A23" s="145"/>
      <c r="B23" s="145"/>
      <c r="C23" s="146"/>
      <c r="D23" s="146"/>
      <c r="E23" s="146"/>
      <c r="F23" s="146"/>
      <c r="G23" s="146"/>
      <c r="H23" s="146"/>
      <c r="I23" s="146"/>
      <c r="J23" s="146"/>
      <c r="K23" s="146"/>
      <c r="L23" s="146"/>
      <c r="M23" s="146"/>
      <c r="N23" s="146"/>
      <c r="O23" s="146"/>
      <c r="P23" s="146"/>
      <c r="R23" s="179" t="s">
        <v>142</v>
      </c>
      <c r="Z23" s="146"/>
      <c r="AA23" s="149"/>
      <c r="AB23" s="175"/>
      <c r="AC23" s="174" t="s">
        <v>41</v>
      </c>
      <c r="AD23" s="174"/>
      <c r="AE23" s="175"/>
      <c r="AI23" s="146"/>
    </row>
    <row r="24" spans="1:40" ht="15.75" customHeight="1" x14ac:dyDescent="0.3">
      <c r="A24" s="145"/>
      <c r="B24" s="145"/>
      <c r="C24" s="146"/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6"/>
      <c r="R24" s="179" t="s">
        <v>143</v>
      </c>
      <c r="Z24" s="146"/>
      <c r="AA24" s="149"/>
      <c r="AB24" s="175"/>
      <c r="AC24" s="174" t="s">
        <v>59</v>
      </c>
      <c r="AE24" s="180">
        <f>N16/F16</f>
        <v>0.25</v>
      </c>
      <c r="AI24" s="146"/>
    </row>
    <row r="25" spans="1:40" ht="15.75" customHeight="1" x14ac:dyDescent="0.25">
      <c r="A25" s="145"/>
      <c r="B25" s="145"/>
      <c r="C25" s="146"/>
      <c r="D25" s="146"/>
      <c r="E25" s="146"/>
      <c r="F25" s="146"/>
      <c r="G25" s="146"/>
      <c r="H25" s="146"/>
      <c r="I25" s="146"/>
      <c r="J25" s="146"/>
      <c r="K25" s="146"/>
      <c r="L25" s="146"/>
      <c r="M25" s="146"/>
      <c r="N25" s="146"/>
      <c r="O25" s="146"/>
      <c r="P25" s="146"/>
      <c r="R25" s="179" t="s">
        <v>144</v>
      </c>
      <c r="Z25" s="146"/>
      <c r="AA25" s="149"/>
      <c r="AI25" s="146"/>
    </row>
    <row r="26" spans="1:40" ht="15.75" customHeight="1" x14ac:dyDescent="0.25">
      <c r="A26" s="145"/>
      <c r="B26" s="145"/>
      <c r="C26" s="146"/>
      <c r="D26" s="146"/>
      <c r="E26" s="146"/>
      <c r="F26" s="146"/>
      <c r="G26" s="146"/>
      <c r="H26" s="146"/>
      <c r="I26" s="146"/>
      <c r="J26" s="146"/>
      <c r="K26" s="146"/>
      <c r="L26" s="146"/>
      <c r="M26" s="146"/>
      <c r="N26" s="146"/>
      <c r="O26" s="146"/>
      <c r="P26" s="146"/>
      <c r="R26" s="179" t="s">
        <v>145</v>
      </c>
      <c r="Z26" s="146"/>
      <c r="AA26" s="149"/>
      <c r="AI26" s="146"/>
    </row>
    <row r="27" spans="1:40" ht="15.75" customHeight="1" x14ac:dyDescent="0.25">
      <c r="A27" s="145"/>
      <c r="B27" s="145"/>
      <c r="C27" s="146"/>
      <c r="D27" s="146"/>
      <c r="E27" s="146"/>
      <c r="F27" s="146"/>
      <c r="G27" s="146"/>
      <c r="H27" s="146"/>
      <c r="I27" s="146"/>
      <c r="J27" s="146"/>
      <c r="K27" s="146"/>
      <c r="L27" s="146"/>
      <c r="M27" s="146"/>
      <c r="N27" s="146"/>
      <c r="O27" s="146"/>
      <c r="P27" s="146"/>
      <c r="R27" s="179" t="s">
        <v>146</v>
      </c>
      <c r="Z27" s="146"/>
      <c r="AA27" s="149"/>
      <c r="AI27" s="146"/>
    </row>
    <row r="28" spans="1:40" ht="15.75" customHeight="1" x14ac:dyDescent="0.25">
      <c r="A28" s="145"/>
      <c r="B28" s="145"/>
      <c r="C28" s="146"/>
      <c r="D28" s="146"/>
      <c r="E28" s="146"/>
      <c r="F28" s="146"/>
      <c r="G28" s="146"/>
      <c r="H28" s="146"/>
      <c r="I28" s="146"/>
      <c r="J28" s="146"/>
      <c r="K28" s="146"/>
      <c r="L28" s="146"/>
      <c r="M28" s="146"/>
      <c r="N28" s="146"/>
      <c r="O28" s="146"/>
      <c r="P28" s="146"/>
      <c r="R28" s="179" t="s">
        <v>147</v>
      </c>
      <c r="Z28" s="146"/>
      <c r="AA28" s="149"/>
      <c r="AI28" s="146"/>
    </row>
    <row r="29" spans="1:40" ht="15.75" customHeight="1" x14ac:dyDescent="0.25">
      <c r="A29" s="145"/>
      <c r="B29" s="145"/>
      <c r="C29" s="146"/>
      <c r="D29" s="146"/>
      <c r="E29" s="146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R29" s="179" t="s">
        <v>148</v>
      </c>
      <c r="Z29" s="146"/>
      <c r="AA29" s="149"/>
      <c r="AI29" s="146"/>
    </row>
    <row r="30" spans="1:40" ht="15.75" customHeight="1" x14ac:dyDescent="0.2">
      <c r="A30" s="145"/>
      <c r="B30" s="145"/>
      <c r="C30" s="146"/>
      <c r="D30" s="146"/>
      <c r="E30" s="146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6"/>
      <c r="Z30" s="146"/>
      <c r="AA30" s="149"/>
      <c r="AI30" s="146"/>
    </row>
    <row r="31" spans="1:40" ht="15.75" customHeight="1" x14ac:dyDescent="0.2">
      <c r="A31" s="145"/>
      <c r="B31" s="145"/>
      <c r="C31" s="146"/>
      <c r="D31" s="146"/>
      <c r="E31" s="146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6"/>
      <c r="AC31" s="146"/>
      <c r="AD31" s="146"/>
      <c r="AE31" s="146"/>
      <c r="AF31" s="146"/>
      <c r="AG31" s="146"/>
      <c r="AH31" s="146"/>
      <c r="AI31" s="146"/>
    </row>
    <row r="32" spans="1:40" ht="15.75" customHeight="1" x14ac:dyDescent="0.2">
      <c r="A32" s="145"/>
      <c r="B32" s="145"/>
      <c r="C32" s="146"/>
      <c r="D32" s="146"/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  <c r="W32" s="146"/>
      <c r="X32" s="146"/>
      <c r="Y32" s="146"/>
      <c r="Z32" s="146"/>
      <c r="AA32" s="146"/>
      <c r="AB32" s="146"/>
      <c r="AC32" s="146"/>
      <c r="AD32" s="146"/>
      <c r="AE32" s="146"/>
      <c r="AF32" s="146"/>
      <c r="AG32" s="146"/>
      <c r="AH32" s="146"/>
      <c r="AI32" s="146"/>
    </row>
    <row r="33" spans="1:35" ht="15.75" customHeight="1" x14ac:dyDescent="0.2">
      <c r="A33" s="145"/>
      <c r="B33" s="145"/>
      <c r="C33" s="146"/>
      <c r="D33" s="146"/>
      <c r="E33" s="146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  <c r="W33" s="146"/>
      <c r="X33" s="146"/>
      <c r="Y33" s="146"/>
      <c r="Z33" s="146"/>
      <c r="AA33" s="146"/>
      <c r="AB33" s="146"/>
      <c r="AC33" s="146"/>
      <c r="AD33" s="146"/>
      <c r="AE33" s="146"/>
      <c r="AF33" s="146"/>
      <c r="AG33" s="146"/>
      <c r="AH33" s="146"/>
      <c r="AI33" s="146"/>
    </row>
    <row r="34" spans="1:35" ht="15.75" customHeight="1" x14ac:dyDescent="0.2"/>
    <row r="35" spans="1:35" ht="15.75" customHeight="1" x14ac:dyDescent="0.2"/>
    <row r="36" spans="1:35" ht="15.75" customHeight="1" x14ac:dyDescent="0.2"/>
    <row r="37" spans="1:35" ht="15.75" customHeight="1" x14ac:dyDescent="0.2"/>
    <row r="38" spans="1:35" ht="15.75" customHeight="1" x14ac:dyDescent="0.2"/>
    <row r="39" spans="1:35" ht="15.75" customHeight="1" x14ac:dyDescent="0.2"/>
    <row r="40" spans="1:35" ht="15.75" customHeight="1" x14ac:dyDescent="0.2"/>
    <row r="41" spans="1:35" ht="15.75" customHeight="1" x14ac:dyDescent="0.2"/>
    <row r="42" spans="1:35" ht="15.75" customHeight="1" x14ac:dyDescent="0.2"/>
    <row r="43" spans="1:35" ht="15.75" customHeight="1" x14ac:dyDescent="0.2"/>
    <row r="44" spans="1:35" ht="15.75" customHeight="1" x14ac:dyDescent="0.2"/>
    <row r="45" spans="1:35" ht="15.75" customHeight="1" x14ac:dyDescent="0.2"/>
    <row r="46" spans="1:35" ht="15.75" customHeight="1" x14ac:dyDescent="0.2"/>
    <row r="47" spans="1:35" ht="15.75" customHeight="1" x14ac:dyDescent="0.2"/>
    <row r="48" spans="1:3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</sheetData>
  <pageMargins left="0.7" right="0.7" top="0.75" bottom="0.75" header="0" footer="0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6B62EDA-F53C-434E-BCA5-2CC418BE62F3}">
          <x14:formula1>
            <xm:f>Parametros!$A$18:$A$24</xm:f>
          </x14:formula1>
          <xm:sqref>C5:C14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A3CC9-CCD6-466A-BF9F-96AA16DC63C8}">
  <dimension ref="A1:AN999"/>
  <sheetViews>
    <sheetView showGridLines="0" zoomScale="70" zoomScaleNormal="70" workbookViewId="0">
      <selection activeCell="F12" sqref="F12"/>
    </sheetView>
  </sheetViews>
  <sheetFormatPr baseColWidth="10" defaultColWidth="14.42578125" defaultRowHeight="15" customHeight="1" x14ac:dyDescent="0.2"/>
  <cols>
    <col min="1" max="1" width="6.85546875" style="147" customWidth="1"/>
    <col min="2" max="2" width="2.7109375" style="147" customWidth="1"/>
    <col min="3" max="3" width="10.7109375" style="147" customWidth="1"/>
    <col min="4" max="4" width="8.28515625" style="147" customWidth="1"/>
    <col min="5" max="5" width="37.140625" style="147" customWidth="1"/>
    <col min="6" max="6" width="9.42578125" style="147" customWidth="1"/>
    <col min="7" max="10" width="6.85546875" style="147" customWidth="1"/>
    <col min="11" max="11" width="7.5703125" style="147" customWidth="1"/>
    <col min="12" max="12" width="7.85546875" style="147" customWidth="1"/>
    <col min="13" max="13" width="10.7109375" style="147" hidden="1" customWidth="1"/>
    <col min="14" max="14" width="12.5703125" style="147" customWidth="1"/>
    <col min="15" max="15" width="3.7109375" style="147" customWidth="1"/>
    <col min="16" max="16" width="2.42578125" style="147" customWidth="1"/>
    <col min="17" max="17" width="12.140625" style="147" customWidth="1"/>
    <col min="18" max="19" width="10.7109375" style="147" customWidth="1"/>
    <col min="20" max="20" width="12" style="147" customWidth="1"/>
    <col min="21" max="23" width="10.7109375" style="147" customWidth="1"/>
    <col min="24" max="24" width="18.42578125" style="147" customWidth="1"/>
    <col min="25" max="25" width="25.85546875" style="147" customWidth="1"/>
    <col min="26" max="27" width="5" style="147" customWidth="1"/>
    <col min="28" max="31" width="10.7109375" style="147" customWidth="1"/>
    <col min="32" max="32" width="14.42578125" style="147"/>
    <col min="33" max="33" width="9.28515625" style="147" customWidth="1"/>
    <col min="34" max="16379" width="14.42578125" style="147"/>
    <col min="16380" max="16380" width="9.42578125" style="147" customWidth="1"/>
    <col min="16381" max="16381" width="10.5703125" style="147" customWidth="1"/>
    <col min="16382" max="16384" width="14.42578125" style="147"/>
  </cols>
  <sheetData>
    <row r="1" spans="1:40" ht="14.25" x14ac:dyDescent="0.2">
      <c r="A1" s="145"/>
      <c r="B1" s="145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</row>
    <row r="2" spans="1:40" thickBot="1" x14ac:dyDescent="0.25">
      <c r="A2" s="145"/>
      <c r="B2" s="148"/>
      <c r="G2" s="147" t="s">
        <v>116</v>
      </c>
      <c r="H2" s="147" t="s">
        <v>116</v>
      </c>
      <c r="I2" s="147" t="s">
        <v>116</v>
      </c>
      <c r="J2" s="147" t="s">
        <v>116</v>
      </c>
      <c r="K2" s="147" t="s">
        <v>116</v>
      </c>
      <c r="L2" s="147" t="s">
        <v>7</v>
      </c>
      <c r="P2" s="146"/>
      <c r="Z2" s="146"/>
      <c r="AA2" s="149"/>
      <c r="AI2" s="146"/>
    </row>
    <row r="3" spans="1:40" x14ac:dyDescent="0.25">
      <c r="A3" s="145"/>
      <c r="B3" s="148"/>
      <c r="C3" s="150"/>
      <c r="D3" s="151"/>
      <c r="E3" s="151"/>
      <c r="F3" s="152" t="s">
        <v>117</v>
      </c>
      <c r="G3" s="152">
        <v>25</v>
      </c>
      <c r="H3" s="152">
        <v>27</v>
      </c>
      <c r="I3" s="152">
        <v>28</v>
      </c>
      <c r="J3" s="152">
        <v>29</v>
      </c>
      <c r="K3" s="152">
        <v>30</v>
      </c>
      <c r="L3" s="152">
        <v>1</v>
      </c>
      <c r="M3" s="152"/>
      <c r="N3" s="153"/>
      <c r="P3" s="146"/>
      <c r="Z3" s="146"/>
      <c r="AA3" s="149"/>
      <c r="AI3" s="146"/>
      <c r="AL3" s="154" t="s">
        <v>118</v>
      </c>
      <c r="AM3" s="154"/>
      <c r="AN3" s="154"/>
    </row>
    <row r="4" spans="1:40" ht="60" x14ac:dyDescent="0.25">
      <c r="A4" s="145"/>
      <c r="B4" s="148"/>
      <c r="C4" s="155" t="s">
        <v>119</v>
      </c>
      <c r="D4" s="156" t="s">
        <v>120</v>
      </c>
      <c r="E4" s="156" t="s">
        <v>29</v>
      </c>
      <c r="F4" s="157" t="s">
        <v>121</v>
      </c>
      <c r="G4" s="156" t="s">
        <v>122</v>
      </c>
      <c r="H4" s="156" t="s">
        <v>123</v>
      </c>
      <c r="I4" s="156" t="s">
        <v>124</v>
      </c>
      <c r="J4" s="156" t="s">
        <v>125</v>
      </c>
      <c r="K4" s="156" t="s">
        <v>126</v>
      </c>
      <c r="L4" s="156" t="s">
        <v>127</v>
      </c>
      <c r="M4" s="158" t="s">
        <v>128</v>
      </c>
      <c r="N4" s="159" t="s">
        <v>129</v>
      </c>
      <c r="P4" s="146"/>
      <c r="Z4" s="146"/>
      <c r="AA4" s="149"/>
      <c r="AI4" s="146"/>
      <c r="AL4" s="154"/>
      <c r="AM4" s="154"/>
      <c r="AN4" s="154"/>
    </row>
    <row r="5" spans="1:40" ht="34.5" x14ac:dyDescent="0.3">
      <c r="A5" s="145"/>
      <c r="B5" s="148"/>
      <c r="C5" s="193" t="s">
        <v>160</v>
      </c>
      <c r="D5" s="194" t="s">
        <v>235</v>
      </c>
      <c r="E5" s="195" t="str">
        <f>VLOOKUP(D5,Tabla4[[#All],[Tarea]:[Actividad]],2,0)</f>
        <v>Planeación Sprint 3 - Interfaz Gráfica y Capa de Dominio</v>
      </c>
      <c r="F5" s="156">
        <v>2</v>
      </c>
      <c r="G5" s="156">
        <v>2</v>
      </c>
      <c r="H5" s="156"/>
      <c r="I5" s="156"/>
      <c r="J5" s="156"/>
      <c r="K5" s="156"/>
      <c r="L5" s="156"/>
      <c r="M5" s="156"/>
      <c r="N5" s="162">
        <f>SUM(G5:M5)</f>
        <v>2</v>
      </c>
      <c r="P5" s="146"/>
      <c r="Z5" s="146"/>
      <c r="AA5" s="149"/>
      <c r="AI5" s="146"/>
      <c r="AL5" s="154" t="s">
        <v>110</v>
      </c>
      <c r="AM5" s="154" t="s">
        <v>111</v>
      </c>
      <c r="AN5" s="154"/>
    </row>
    <row r="6" spans="1:40" ht="40.5" customHeight="1" x14ac:dyDescent="0.3">
      <c r="A6" s="145"/>
      <c r="B6" s="148"/>
      <c r="C6" s="193" t="s">
        <v>160</v>
      </c>
      <c r="D6" s="194" t="s">
        <v>251</v>
      </c>
      <c r="E6" s="195" t="str">
        <f>VLOOKUP(D6,Tabla4[[#All],[Tarea]:[Actividad]],2,0)</f>
        <v>Crear prototipos de las funcionalidades</v>
      </c>
      <c r="F6" s="156">
        <v>4</v>
      </c>
      <c r="G6" s="156">
        <v>1</v>
      </c>
      <c r="H6" s="156">
        <v>1</v>
      </c>
      <c r="I6" s="156">
        <v>2</v>
      </c>
      <c r="J6" s="156"/>
      <c r="K6" s="156"/>
      <c r="L6" s="156"/>
      <c r="M6" s="156"/>
      <c r="N6" s="163">
        <f>SUM(G6:M6)</f>
        <v>4</v>
      </c>
      <c r="P6" s="146"/>
      <c r="Z6" s="146"/>
      <c r="AA6" s="149"/>
      <c r="AI6" s="146"/>
      <c r="AL6" s="164">
        <v>0.1</v>
      </c>
      <c r="AM6" s="154">
        <v>1</v>
      </c>
      <c r="AN6" s="154"/>
    </row>
    <row r="7" spans="1:40" ht="35.25" customHeight="1" x14ac:dyDescent="0.3">
      <c r="A7" s="145"/>
      <c r="B7" s="148"/>
      <c r="C7" s="193" t="s">
        <v>160</v>
      </c>
      <c r="D7" s="194" t="s">
        <v>252</v>
      </c>
      <c r="E7" s="195" t="str">
        <f>VLOOKUP(D7,Tabla4[[#All],[Tarea]:[Actividad]],2,0)</f>
        <v>Crear repositorio del código para Interfaz Gráfica</v>
      </c>
      <c r="F7" s="156">
        <v>1</v>
      </c>
      <c r="G7" s="156"/>
      <c r="H7" s="156">
        <v>1</v>
      </c>
      <c r="I7" s="156"/>
      <c r="J7" s="156"/>
      <c r="K7" s="156"/>
      <c r="L7" s="156"/>
      <c r="M7" s="156"/>
      <c r="N7" s="163">
        <f>SUM(G7:M7)</f>
        <v>1</v>
      </c>
      <c r="P7" s="146"/>
      <c r="Z7" s="146"/>
      <c r="AA7" s="149"/>
      <c r="AI7" s="146"/>
      <c r="AL7" s="164">
        <v>0.2</v>
      </c>
      <c r="AM7" s="154">
        <v>1</v>
      </c>
      <c r="AN7" s="154"/>
    </row>
    <row r="8" spans="1:40" ht="36" customHeight="1" x14ac:dyDescent="0.3">
      <c r="A8" s="145"/>
      <c r="B8" s="148"/>
      <c r="C8" s="193" t="s">
        <v>160</v>
      </c>
      <c r="D8" s="194" t="s">
        <v>253</v>
      </c>
      <c r="E8" s="195" t="str">
        <f>VLOOKUP(D8,Tabla4[[#All],[Tarea]:[Actividad]],2,0)</f>
        <v>Crear repositorio del código para Capa de Dominio</v>
      </c>
      <c r="F8" s="156">
        <v>1</v>
      </c>
      <c r="G8" s="156"/>
      <c r="H8" s="156"/>
      <c r="I8" s="156"/>
      <c r="J8" s="156"/>
      <c r="K8" s="156"/>
      <c r="L8" s="156"/>
      <c r="M8" s="156"/>
      <c r="N8" s="163">
        <f>SUM(G8:M8)</f>
        <v>0</v>
      </c>
      <c r="P8" s="146"/>
      <c r="Z8" s="146"/>
      <c r="AA8" s="149"/>
      <c r="AI8" s="146"/>
      <c r="AL8" s="164">
        <v>0.3</v>
      </c>
      <c r="AM8" s="154">
        <v>1</v>
      </c>
      <c r="AN8" s="154"/>
    </row>
    <row r="9" spans="1:40" ht="36.75" customHeight="1" x14ac:dyDescent="0.3">
      <c r="A9" s="145"/>
      <c r="B9" s="148"/>
      <c r="C9" s="193" t="s">
        <v>160</v>
      </c>
      <c r="D9" s="194" t="s">
        <v>254</v>
      </c>
      <c r="E9" s="195" t="str">
        <f>VLOOKUP(D9,Tabla4[[#All],[Tarea]:[Actividad]],2,0)</f>
        <v>Asegurar integridad de Datos</v>
      </c>
      <c r="F9" s="156">
        <v>2</v>
      </c>
      <c r="G9" s="156"/>
      <c r="H9" s="156"/>
      <c r="I9" s="156"/>
      <c r="J9" s="156"/>
      <c r="K9" s="156">
        <v>1</v>
      </c>
      <c r="L9" s="156">
        <v>1</v>
      </c>
      <c r="M9" s="156"/>
      <c r="N9" s="163"/>
      <c r="P9" s="146"/>
      <c r="Z9" s="146"/>
      <c r="AA9" s="149"/>
      <c r="AI9" s="146"/>
      <c r="AL9" s="164">
        <v>0.4</v>
      </c>
      <c r="AM9" s="154">
        <v>1</v>
      </c>
      <c r="AN9" s="154"/>
    </row>
    <row r="10" spans="1:40" ht="35.25" customHeight="1" x14ac:dyDescent="0.3">
      <c r="A10" s="145"/>
      <c r="B10" s="148"/>
      <c r="C10" s="193" t="s">
        <v>160</v>
      </c>
      <c r="D10" s="194" t="s">
        <v>255</v>
      </c>
      <c r="E10" s="195" t="str">
        <f>VLOOKUP(D10,Tabla4[[#All],[Tarea]:[Actividad]],2,0)</f>
        <v>Generar Insert a la Base de Datos</v>
      </c>
      <c r="F10" s="156">
        <v>1</v>
      </c>
      <c r="G10" s="156"/>
      <c r="H10" s="156"/>
      <c r="I10" s="156"/>
      <c r="J10" s="156"/>
      <c r="K10" s="156"/>
      <c r="L10" s="156">
        <v>1</v>
      </c>
      <c r="M10" s="156"/>
      <c r="N10" s="163">
        <f>SUM(G10:M10)</f>
        <v>1</v>
      </c>
      <c r="P10" s="146"/>
      <c r="Z10" s="146"/>
      <c r="AA10" s="149"/>
      <c r="AI10" s="146"/>
      <c r="AL10" s="164">
        <v>0.5</v>
      </c>
      <c r="AM10" s="154">
        <v>1</v>
      </c>
      <c r="AN10" s="154"/>
    </row>
    <row r="11" spans="1:40" ht="34.5" x14ac:dyDescent="0.3">
      <c r="A11" s="145"/>
      <c r="B11" s="148"/>
      <c r="C11" s="193" t="s">
        <v>160</v>
      </c>
      <c r="D11" s="194" t="s">
        <v>256</v>
      </c>
      <c r="E11" s="195" t="str">
        <f>VLOOKUP(D11,Tabla4[[#All],[Tarea]:[Actividad]],2,0)</f>
        <v>Generar Consultas a la Base de Datos</v>
      </c>
      <c r="F11" s="156">
        <v>1</v>
      </c>
      <c r="G11" s="156"/>
      <c r="H11" s="156"/>
      <c r="I11" s="156"/>
      <c r="J11" s="156"/>
      <c r="K11" s="156"/>
      <c r="L11" s="156">
        <v>1</v>
      </c>
      <c r="M11" s="156"/>
      <c r="N11" s="163">
        <f>SUM(G11:M11)</f>
        <v>1</v>
      </c>
      <c r="P11" s="146"/>
      <c r="Z11" s="146"/>
      <c r="AA11" s="149"/>
      <c r="AI11" s="146"/>
      <c r="AL11" s="164">
        <v>0.6</v>
      </c>
      <c r="AM11" s="154">
        <v>1</v>
      </c>
      <c r="AN11" s="154"/>
    </row>
    <row r="12" spans="1:40" ht="51.75" x14ac:dyDescent="0.3">
      <c r="A12" s="145"/>
      <c r="B12" s="148"/>
      <c r="C12" s="193" t="s">
        <v>160</v>
      </c>
      <c r="D12" s="194" t="s">
        <v>257</v>
      </c>
      <c r="E12" s="195" t="str">
        <f>VLOOKUP(D12,Tabla4[[#All],[Tarea]:[Actividad]],2,0)</f>
        <v>Crear documento líneamientos para diseñar y construir Interfaz Gráfica</v>
      </c>
      <c r="F12" s="156">
        <v>2</v>
      </c>
      <c r="G12" s="156"/>
      <c r="H12" s="156"/>
      <c r="I12" s="156">
        <v>1</v>
      </c>
      <c r="J12" s="156"/>
      <c r="K12" s="156"/>
      <c r="L12" s="156">
        <v>1</v>
      </c>
      <c r="M12" s="156"/>
      <c r="N12" s="163">
        <f>SUM(G12:M12)</f>
        <v>2</v>
      </c>
      <c r="P12" s="146"/>
      <c r="Z12" s="146"/>
      <c r="AA12" s="149"/>
      <c r="AI12" s="146"/>
      <c r="AL12" s="164">
        <v>0.7</v>
      </c>
      <c r="AM12" s="154">
        <v>1</v>
      </c>
      <c r="AN12" s="154"/>
    </row>
    <row r="13" spans="1:40" ht="33" customHeight="1" x14ac:dyDescent="0.3">
      <c r="A13" s="145"/>
      <c r="B13" s="148"/>
      <c r="C13" s="193" t="s">
        <v>160</v>
      </c>
      <c r="D13" s="194" t="s">
        <v>258</v>
      </c>
      <c r="E13" s="195" t="str">
        <f>VLOOKUP(D13,Tabla4[[#All],[Tarea]:[Actividad]],2,0)</f>
        <v>Crear documento líneamientos para diseñar y construir Capa de Dominio</v>
      </c>
      <c r="F13" s="156">
        <v>2</v>
      </c>
      <c r="G13" s="156"/>
      <c r="H13" s="156"/>
      <c r="I13" s="156"/>
      <c r="J13" s="156"/>
      <c r="K13" s="156">
        <v>2</v>
      </c>
      <c r="L13" s="156">
        <v>1</v>
      </c>
      <c r="M13" s="156"/>
      <c r="N13" s="163">
        <f>SUM(G13:M13)</f>
        <v>3</v>
      </c>
      <c r="P13" s="146"/>
      <c r="Z13" s="146"/>
      <c r="AA13" s="149"/>
      <c r="AI13" s="146"/>
      <c r="AL13" s="164">
        <v>0.8</v>
      </c>
      <c r="AM13" s="154">
        <v>1</v>
      </c>
      <c r="AN13" s="154"/>
    </row>
    <row r="14" spans="1:40" ht="15" customHeight="1" x14ac:dyDescent="0.3">
      <c r="A14" s="145"/>
      <c r="B14" s="148"/>
      <c r="C14" s="193" t="s">
        <v>160</v>
      </c>
      <c r="D14" s="194" t="s">
        <v>259</v>
      </c>
      <c r="E14" s="195" t="str">
        <f>VLOOKUP(D14,Tabla4[[#All],[Tarea]:[Actividad]],2,0)</f>
        <v>Construcción Interfeces Gráficas</v>
      </c>
      <c r="F14" s="156">
        <v>5</v>
      </c>
      <c r="G14" s="156"/>
      <c r="H14" s="156"/>
      <c r="I14" s="156">
        <v>1</v>
      </c>
      <c r="J14" s="156">
        <v>2</v>
      </c>
      <c r="K14" s="156">
        <v>1</v>
      </c>
      <c r="L14" s="156">
        <v>1</v>
      </c>
      <c r="M14" s="156"/>
      <c r="N14" s="163">
        <f t="shared" ref="N14:N15" si="0">SUM(G14:M14)</f>
        <v>5</v>
      </c>
      <c r="P14" s="146"/>
      <c r="Z14" s="146"/>
      <c r="AA14" s="149"/>
      <c r="AI14" s="146"/>
      <c r="AL14" s="164"/>
      <c r="AM14" s="154"/>
      <c r="AN14" s="154"/>
    </row>
    <row r="15" spans="1:40" ht="15" customHeight="1" x14ac:dyDescent="0.3">
      <c r="A15" s="145"/>
      <c r="B15" s="148"/>
      <c r="C15" s="193" t="s">
        <v>160</v>
      </c>
      <c r="D15" s="194" t="s">
        <v>260</v>
      </c>
      <c r="E15" s="195" t="str">
        <f>VLOOKUP(D15,Tabla4[[#All],[Tarea]:[Actividad]],2,0)</f>
        <v>Construcción Capa de Dominio</v>
      </c>
      <c r="F15" s="156">
        <v>5</v>
      </c>
      <c r="G15" s="156"/>
      <c r="H15" s="156"/>
      <c r="I15" s="156"/>
      <c r="J15" s="156"/>
      <c r="K15" s="156"/>
      <c r="L15" s="156">
        <v>5</v>
      </c>
      <c r="M15" s="156"/>
      <c r="N15" s="163">
        <f t="shared" si="0"/>
        <v>5</v>
      </c>
      <c r="P15" s="146"/>
      <c r="Z15" s="146"/>
      <c r="AA15" s="149"/>
      <c r="AI15" s="146"/>
      <c r="AL15" s="164"/>
      <c r="AM15" s="154"/>
      <c r="AN15" s="154"/>
    </row>
    <row r="16" spans="1:40" ht="17.25" x14ac:dyDescent="0.3">
      <c r="A16" s="145"/>
      <c r="B16" s="148"/>
      <c r="C16" s="193" t="s">
        <v>160</v>
      </c>
      <c r="D16" s="194" t="s">
        <v>261</v>
      </c>
      <c r="E16" s="195" t="str">
        <f>VLOOKUP(D16,Tabla4[[#All],[Tarea]:[Actividad]],2,0)</f>
        <v>Entregable para Tutoria 3</v>
      </c>
      <c r="F16" s="156">
        <v>1</v>
      </c>
      <c r="G16" s="156"/>
      <c r="H16" s="156"/>
      <c r="I16" s="156"/>
      <c r="J16" s="156"/>
      <c r="K16" s="156"/>
      <c r="L16" s="156">
        <v>1</v>
      </c>
      <c r="M16" s="156"/>
      <c r="N16" s="163">
        <f>SUM(G16:M16)</f>
        <v>1</v>
      </c>
      <c r="P16" s="146"/>
      <c r="Z16" s="146"/>
      <c r="AA16" s="149"/>
      <c r="AI16" s="146"/>
      <c r="AL16" s="164">
        <v>0.9</v>
      </c>
      <c r="AM16" s="154">
        <v>1</v>
      </c>
      <c r="AN16" s="154"/>
    </row>
    <row r="17" spans="1:40" ht="14.25" x14ac:dyDescent="0.2">
      <c r="A17" s="145"/>
      <c r="B17" s="148"/>
      <c r="C17" s="165"/>
      <c r="N17" s="166"/>
      <c r="P17" s="146"/>
      <c r="Z17" s="146"/>
      <c r="AA17" s="149"/>
      <c r="AI17" s="146"/>
      <c r="AL17" s="164">
        <v>1</v>
      </c>
      <c r="AM17" s="154">
        <v>9</v>
      </c>
      <c r="AN17" s="154"/>
    </row>
    <row r="18" spans="1:40" ht="15" customHeight="1" x14ac:dyDescent="0.25">
      <c r="A18" s="145"/>
      <c r="B18" s="148"/>
      <c r="C18" s="165"/>
      <c r="D18" s="167" t="s">
        <v>130</v>
      </c>
      <c r="E18" s="167"/>
      <c r="F18" s="168">
        <f>SUM(F5:F16)</f>
        <v>27</v>
      </c>
      <c r="G18" s="168">
        <f>F18-SUM(G5:G16)</f>
        <v>24</v>
      </c>
      <c r="H18" s="168">
        <f>G18-SUM(H5:H16)</f>
        <v>22</v>
      </c>
      <c r="I18" s="168">
        <f>H18-SUM(I5:I16)</f>
        <v>18</v>
      </c>
      <c r="J18" s="168">
        <f>I18-SUM(J5:J16)</f>
        <v>16</v>
      </c>
      <c r="K18" s="168">
        <f>J18-SUM(K5:K16)</f>
        <v>12</v>
      </c>
      <c r="L18" s="168">
        <f>K18-SUM(L5:L16)</f>
        <v>0</v>
      </c>
      <c r="M18" s="168">
        <f>L18-SUM(M5:M16)</f>
        <v>0</v>
      </c>
      <c r="N18" s="166">
        <f>SUM(N5:N16)</f>
        <v>25</v>
      </c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L18" s="154"/>
      <c r="AM18" s="154"/>
      <c r="AN18" s="164">
        <f>+AE26</f>
        <v>0.92592592592592593</v>
      </c>
    </row>
    <row r="19" spans="1:40" ht="15" customHeight="1" x14ac:dyDescent="0.25">
      <c r="A19" s="145"/>
      <c r="B19" s="148"/>
      <c r="C19" s="165"/>
      <c r="D19" s="167" t="s">
        <v>131</v>
      </c>
      <c r="E19" s="167"/>
      <c r="F19" s="168">
        <f>SUM(F5:F16)</f>
        <v>27</v>
      </c>
      <c r="G19" s="169">
        <f>F19-(SUM($F$5:$F$16)/COUNTIF($F$2:$M$2,"x"))</f>
        <v>22.5</v>
      </c>
      <c r="H19" s="169">
        <f>G19-(SUM($F$5:$F$16)/COUNTIF($F$2:$M$2,"x"))</f>
        <v>18</v>
      </c>
      <c r="I19" s="169">
        <f>H19-(SUM($F$5:$F$16)/COUNTIF($F$2:$M$2,"x"))</f>
        <v>13.5</v>
      </c>
      <c r="J19" s="169">
        <f>I19-(SUM($F$5:$F$16)/COUNTIF($F$2:$M$2,"x"))</f>
        <v>9</v>
      </c>
      <c r="K19" s="169">
        <f>J19-(SUM($F$5:$F$16)/COUNTIF($F$2:$M$2,"x"))</f>
        <v>4.5</v>
      </c>
      <c r="L19" s="169">
        <f>K19-(SUM($F$5:$F$16)/COUNTIF($F$2:$M$2,"x"))</f>
        <v>0</v>
      </c>
      <c r="M19" s="169">
        <f>L19-(SUM($F$5:$F$16)/COUNTIF($F$2:$M$2,"x"))</f>
        <v>-4.5</v>
      </c>
      <c r="N19" s="166"/>
      <c r="P19" s="146"/>
      <c r="Z19" s="146"/>
      <c r="AA19" s="149"/>
      <c r="AI19" s="146"/>
      <c r="AL19" s="154" t="s">
        <v>112</v>
      </c>
      <c r="AM19" s="154">
        <f>+AN18*PI()</f>
        <v>2.9088820866572158</v>
      </c>
      <c r="AN19" s="154"/>
    </row>
    <row r="20" spans="1:40" ht="15.75" customHeight="1" thickBot="1" x14ac:dyDescent="0.4">
      <c r="A20" s="145"/>
      <c r="B20" s="148"/>
      <c r="C20" s="170"/>
      <c r="D20" s="171"/>
      <c r="E20" s="171"/>
      <c r="F20" s="171"/>
      <c r="G20" s="171"/>
      <c r="H20" s="171"/>
      <c r="I20" s="171"/>
      <c r="J20" s="171"/>
      <c r="K20" s="171"/>
      <c r="L20" s="171"/>
      <c r="M20" s="171"/>
      <c r="N20" s="172"/>
      <c r="P20" s="146"/>
      <c r="Q20" s="173" t="s">
        <v>132</v>
      </c>
      <c r="Z20" s="146"/>
      <c r="AA20" s="149"/>
      <c r="AB20" s="174" t="s">
        <v>133</v>
      </c>
      <c r="AC20" s="175"/>
      <c r="AD20" s="174"/>
      <c r="AE20" s="175"/>
      <c r="AI20" s="146"/>
      <c r="AL20" s="154"/>
      <c r="AM20" s="154" t="s">
        <v>7</v>
      </c>
      <c r="AN20" s="154" t="s">
        <v>113</v>
      </c>
    </row>
    <row r="21" spans="1:40" ht="15.75" customHeight="1" x14ac:dyDescent="0.3">
      <c r="A21" s="145"/>
      <c r="B21" s="148"/>
      <c r="P21" s="146"/>
      <c r="Q21" s="176" t="s">
        <v>134</v>
      </c>
      <c r="Z21" s="146"/>
      <c r="AA21" s="149"/>
      <c r="AB21" s="175"/>
      <c r="AC21" s="174" t="s">
        <v>135</v>
      </c>
      <c r="AD21" s="174"/>
      <c r="AE21" s="175"/>
      <c r="AI21" s="146"/>
      <c r="AL21" s="154" t="s">
        <v>114</v>
      </c>
      <c r="AM21" s="154">
        <v>0</v>
      </c>
      <c r="AN21" s="154">
        <v>0</v>
      </c>
    </row>
    <row r="22" spans="1:40" ht="15.75" customHeight="1" x14ac:dyDescent="0.3">
      <c r="A22" s="145"/>
      <c r="B22" s="145"/>
      <c r="C22" s="146"/>
      <c r="D22" s="146"/>
      <c r="E22" s="146"/>
      <c r="F22" s="146"/>
      <c r="G22" s="177"/>
      <c r="H22" s="177"/>
      <c r="I22" s="177"/>
      <c r="J22" s="177"/>
      <c r="K22" s="177"/>
      <c r="L22" s="177"/>
      <c r="M22" s="177"/>
      <c r="N22" s="146"/>
      <c r="O22" s="146"/>
      <c r="P22" s="146"/>
      <c r="Q22" s="178" t="s">
        <v>136</v>
      </c>
      <c r="R22" s="179" t="s">
        <v>137</v>
      </c>
      <c r="Z22" s="146"/>
      <c r="AA22" s="149"/>
      <c r="AB22" s="175"/>
      <c r="AC22" s="174" t="s">
        <v>47</v>
      </c>
      <c r="AD22" s="174"/>
      <c r="AE22" s="175"/>
      <c r="AI22" s="146"/>
      <c r="AL22" s="154" t="s">
        <v>115</v>
      </c>
      <c r="AM22" s="154">
        <f>+COS(AM19)*-1</f>
        <v>0.97304487057982381</v>
      </c>
      <c r="AN22" s="154">
        <f>+SIN(AM19)</f>
        <v>0.23061587074244033</v>
      </c>
    </row>
    <row r="23" spans="1:40" ht="15.75" customHeight="1" x14ac:dyDescent="0.3">
      <c r="A23" s="145"/>
      <c r="B23" s="145"/>
      <c r="C23" s="146"/>
      <c r="D23" s="146"/>
      <c r="E23" s="146"/>
      <c r="F23" s="146"/>
      <c r="G23" s="177"/>
      <c r="H23" s="177"/>
      <c r="I23" s="177"/>
      <c r="J23" s="177"/>
      <c r="K23" s="177"/>
      <c r="L23" s="177"/>
      <c r="M23" s="177"/>
      <c r="N23" s="146"/>
      <c r="O23" s="146"/>
      <c r="P23" s="146"/>
      <c r="Q23" s="178" t="s">
        <v>138</v>
      </c>
      <c r="R23" s="179" t="s">
        <v>139</v>
      </c>
      <c r="Z23" s="146"/>
      <c r="AA23" s="149"/>
      <c r="AB23" s="175"/>
      <c r="AC23" s="174"/>
      <c r="AD23" s="174"/>
      <c r="AE23" s="175"/>
      <c r="AI23" s="146"/>
    </row>
    <row r="24" spans="1:40" ht="15.75" customHeight="1" x14ac:dyDescent="0.3">
      <c r="A24" s="145"/>
      <c r="B24" s="145"/>
      <c r="C24" s="146"/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6"/>
      <c r="R24" s="179" t="s">
        <v>140</v>
      </c>
      <c r="Z24" s="146"/>
      <c r="AA24" s="149"/>
      <c r="AB24" s="175"/>
      <c r="AC24" s="174" t="s">
        <v>141</v>
      </c>
      <c r="AD24" s="174"/>
      <c r="AE24" s="175"/>
      <c r="AI24" s="146"/>
    </row>
    <row r="25" spans="1:40" ht="15.75" customHeight="1" x14ac:dyDescent="0.3">
      <c r="A25" s="145"/>
      <c r="B25" s="145"/>
      <c r="C25" s="146"/>
      <c r="D25" s="146"/>
      <c r="E25" s="146"/>
      <c r="F25" s="146"/>
      <c r="G25" s="146"/>
      <c r="H25" s="146"/>
      <c r="I25" s="146"/>
      <c r="J25" s="146"/>
      <c r="K25" s="146"/>
      <c r="L25" s="146"/>
      <c r="M25" s="146"/>
      <c r="N25" s="146"/>
      <c r="O25" s="146"/>
      <c r="P25" s="146"/>
      <c r="R25" s="179" t="s">
        <v>142</v>
      </c>
      <c r="Z25" s="146"/>
      <c r="AA25" s="149"/>
      <c r="AB25" s="175"/>
      <c r="AC25" s="174" t="s">
        <v>41</v>
      </c>
      <c r="AD25" s="174"/>
      <c r="AE25" s="175"/>
      <c r="AI25" s="146"/>
    </row>
    <row r="26" spans="1:40" ht="15.75" customHeight="1" x14ac:dyDescent="0.3">
      <c r="A26" s="145"/>
      <c r="B26" s="145"/>
      <c r="C26" s="146"/>
      <c r="D26" s="146"/>
      <c r="E26" s="146"/>
      <c r="F26" s="146"/>
      <c r="G26" s="146"/>
      <c r="H26" s="146"/>
      <c r="I26" s="146"/>
      <c r="J26" s="146"/>
      <c r="K26" s="146"/>
      <c r="L26" s="146"/>
      <c r="M26" s="146"/>
      <c r="N26" s="146"/>
      <c r="O26" s="146"/>
      <c r="P26" s="146"/>
      <c r="R26" s="179" t="s">
        <v>143</v>
      </c>
      <c r="Z26" s="146"/>
      <c r="AA26" s="149"/>
      <c r="AB26" s="175"/>
      <c r="AC26" s="174" t="s">
        <v>59</v>
      </c>
      <c r="AE26" s="180">
        <f>N18/F18</f>
        <v>0.92592592592592593</v>
      </c>
      <c r="AI26" s="146"/>
    </row>
    <row r="27" spans="1:40" ht="15.75" customHeight="1" x14ac:dyDescent="0.25">
      <c r="A27" s="145"/>
      <c r="B27" s="145"/>
      <c r="C27" s="146"/>
      <c r="D27" s="146"/>
      <c r="E27" s="146"/>
      <c r="F27" s="146"/>
      <c r="G27" s="146"/>
      <c r="H27" s="146"/>
      <c r="I27" s="146"/>
      <c r="J27" s="146"/>
      <c r="K27" s="146"/>
      <c r="L27" s="146"/>
      <c r="M27" s="146"/>
      <c r="N27" s="146"/>
      <c r="O27" s="146"/>
      <c r="P27" s="146"/>
      <c r="R27" s="179" t="s">
        <v>144</v>
      </c>
      <c r="Z27" s="146"/>
      <c r="AA27" s="149"/>
      <c r="AI27" s="146"/>
    </row>
    <row r="28" spans="1:40" ht="15.75" customHeight="1" x14ac:dyDescent="0.25">
      <c r="A28" s="145"/>
      <c r="B28" s="145"/>
      <c r="C28" s="146"/>
      <c r="D28" s="146"/>
      <c r="E28" s="146"/>
      <c r="F28" s="146"/>
      <c r="G28" s="146"/>
      <c r="H28" s="146"/>
      <c r="I28" s="146"/>
      <c r="J28" s="146"/>
      <c r="K28" s="146"/>
      <c r="L28" s="146"/>
      <c r="M28" s="146"/>
      <c r="N28" s="146"/>
      <c r="O28" s="146"/>
      <c r="P28" s="146"/>
      <c r="R28" s="179" t="s">
        <v>145</v>
      </c>
      <c r="Z28" s="146"/>
      <c r="AA28" s="149"/>
      <c r="AI28" s="146"/>
    </row>
    <row r="29" spans="1:40" ht="15.75" customHeight="1" x14ac:dyDescent="0.25">
      <c r="A29" s="145"/>
      <c r="B29" s="145"/>
      <c r="C29" s="146"/>
      <c r="D29" s="146"/>
      <c r="E29" s="146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R29" s="179" t="s">
        <v>146</v>
      </c>
      <c r="Z29" s="146"/>
      <c r="AA29" s="149"/>
      <c r="AI29" s="146"/>
    </row>
    <row r="30" spans="1:40" ht="15.75" customHeight="1" x14ac:dyDescent="0.25">
      <c r="A30" s="145"/>
      <c r="B30" s="145"/>
      <c r="C30" s="146"/>
      <c r="D30" s="146"/>
      <c r="E30" s="146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6"/>
      <c r="R30" s="179" t="s">
        <v>147</v>
      </c>
      <c r="Z30" s="146"/>
      <c r="AA30" s="149"/>
      <c r="AI30" s="146"/>
    </row>
    <row r="31" spans="1:40" ht="15.75" customHeight="1" x14ac:dyDescent="0.25">
      <c r="A31" s="145"/>
      <c r="B31" s="145"/>
      <c r="C31" s="146"/>
      <c r="D31" s="146"/>
      <c r="E31" s="146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6"/>
      <c r="R31" s="179" t="s">
        <v>148</v>
      </c>
      <c r="Z31" s="146"/>
      <c r="AA31" s="149"/>
      <c r="AI31" s="146"/>
    </row>
    <row r="32" spans="1:40" ht="15.75" customHeight="1" x14ac:dyDescent="0.2">
      <c r="A32" s="145"/>
      <c r="B32" s="145"/>
      <c r="C32" s="146"/>
      <c r="D32" s="146"/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Z32" s="146"/>
      <c r="AA32" s="149"/>
      <c r="AI32" s="146"/>
    </row>
    <row r="33" spans="1:35" ht="15.75" customHeight="1" x14ac:dyDescent="0.2">
      <c r="A33" s="145"/>
      <c r="B33" s="145"/>
      <c r="C33" s="146"/>
      <c r="D33" s="146"/>
      <c r="E33" s="146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  <c r="W33" s="146"/>
      <c r="X33" s="146"/>
      <c r="Y33" s="146"/>
      <c r="Z33" s="146"/>
      <c r="AA33" s="146"/>
      <c r="AB33" s="146"/>
      <c r="AC33" s="146"/>
      <c r="AD33" s="146"/>
      <c r="AE33" s="146"/>
      <c r="AF33" s="146"/>
      <c r="AG33" s="146"/>
      <c r="AH33" s="146"/>
      <c r="AI33" s="146"/>
    </row>
    <row r="34" spans="1:35" ht="15.75" customHeight="1" x14ac:dyDescent="0.2">
      <c r="A34" s="145"/>
      <c r="B34" s="145"/>
      <c r="C34" s="146"/>
      <c r="D34" s="146"/>
      <c r="E34" s="146"/>
      <c r="F34" s="146"/>
      <c r="G34" s="146"/>
      <c r="H34" s="146"/>
      <c r="I34" s="146"/>
      <c r="J34" s="146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  <c r="W34" s="146"/>
      <c r="X34" s="146"/>
      <c r="Y34" s="146"/>
      <c r="Z34" s="146"/>
      <c r="AA34" s="146"/>
      <c r="AB34" s="146"/>
      <c r="AC34" s="146"/>
      <c r="AD34" s="146"/>
      <c r="AE34" s="146"/>
      <c r="AF34" s="146"/>
      <c r="AG34" s="146"/>
      <c r="AH34" s="146"/>
      <c r="AI34" s="146"/>
    </row>
    <row r="35" spans="1:35" ht="15.75" customHeight="1" x14ac:dyDescent="0.2">
      <c r="A35" s="145"/>
      <c r="B35" s="145"/>
      <c r="C35" s="146"/>
      <c r="D35" s="146"/>
      <c r="E35" s="146"/>
      <c r="F35" s="146"/>
      <c r="G35" s="146"/>
      <c r="H35" s="146"/>
      <c r="I35" s="146"/>
      <c r="J35" s="146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  <c r="W35" s="146"/>
      <c r="X35" s="146"/>
      <c r="Y35" s="146"/>
      <c r="Z35" s="146"/>
      <c r="AA35" s="146"/>
      <c r="AB35" s="146"/>
      <c r="AC35" s="146"/>
      <c r="AD35" s="146"/>
      <c r="AE35" s="146"/>
      <c r="AF35" s="146"/>
      <c r="AG35" s="146"/>
      <c r="AH35" s="146"/>
      <c r="AI35" s="146"/>
    </row>
    <row r="36" spans="1:35" ht="15.75" customHeight="1" x14ac:dyDescent="0.2"/>
    <row r="37" spans="1:35" ht="15.75" customHeight="1" x14ac:dyDescent="0.2"/>
    <row r="38" spans="1:35" ht="15.75" customHeight="1" x14ac:dyDescent="0.2"/>
    <row r="39" spans="1:35" ht="15.75" customHeight="1" x14ac:dyDescent="0.2"/>
    <row r="40" spans="1:35" ht="15.75" customHeight="1" x14ac:dyDescent="0.2"/>
    <row r="41" spans="1:35" ht="15.75" customHeight="1" x14ac:dyDescent="0.2"/>
    <row r="42" spans="1:35" ht="15.75" customHeight="1" x14ac:dyDescent="0.2"/>
    <row r="43" spans="1:35" ht="15.75" customHeight="1" x14ac:dyDescent="0.2"/>
    <row r="44" spans="1:35" ht="15.75" customHeight="1" x14ac:dyDescent="0.2"/>
    <row r="45" spans="1:35" ht="15.75" customHeight="1" x14ac:dyDescent="0.2"/>
    <row r="46" spans="1:35" ht="15.75" customHeight="1" x14ac:dyDescent="0.2"/>
    <row r="47" spans="1:35" ht="15.75" customHeight="1" x14ac:dyDescent="0.2"/>
    <row r="48" spans="1:3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honeticPr fontId="5" type="noConversion"/>
  <pageMargins left="0.7" right="0.7" top="0.75" bottom="0.75" header="0" footer="0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BE6ECFD-6AAD-43CB-AB24-A6A7EE703756}">
          <x14:formula1>
            <xm:f>Parametros!$A$18:$A$24</xm:f>
          </x14:formula1>
          <xm:sqref>C5:C16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D4AB3-D463-4924-B28E-504904B4ADEE}">
  <dimension ref="B3:AF20"/>
  <sheetViews>
    <sheetView topLeftCell="Y4" zoomScaleNormal="100" workbookViewId="0">
      <selection activeCell="AA17" sqref="AA17"/>
    </sheetView>
  </sheetViews>
  <sheetFormatPr baseColWidth="10" defaultRowHeight="15" x14ac:dyDescent="0.25"/>
  <cols>
    <col min="2" max="2" width="12.5703125" bestFit="1" customWidth="1"/>
    <col min="3" max="4" width="18.5703125" bestFit="1" customWidth="1"/>
    <col min="5" max="5" width="8.42578125" bestFit="1" customWidth="1"/>
    <col min="6" max="6" width="12.5703125" bestFit="1" customWidth="1"/>
    <col min="7" max="9" width="8.42578125" bestFit="1" customWidth="1"/>
    <col min="10" max="10" width="12.5703125" bestFit="1" customWidth="1"/>
    <col min="11" max="11" width="11.42578125" bestFit="1" customWidth="1"/>
    <col min="12" max="13" width="12.5703125" bestFit="1" customWidth="1"/>
    <col min="19" max="19" width="8.42578125" bestFit="1" customWidth="1"/>
    <col min="20" max="22" width="11" bestFit="1" customWidth="1"/>
    <col min="23" max="24" width="12.5703125" bestFit="1" customWidth="1"/>
    <col min="25" max="25" width="11.85546875" bestFit="1" customWidth="1"/>
    <col min="26" max="26" width="12.5703125" bestFit="1" customWidth="1"/>
    <col min="27" max="27" width="12.5703125" customWidth="1"/>
    <col min="29" max="29" width="9.140625" bestFit="1" customWidth="1"/>
    <col min="30" max="31" width="8.42578125" bestFit="1" customWidth="1"/>
    <col min="32" max="32" width="12.5703125" bestFit="1" customWidth="1"/>
  </cols>
  <sheetData>
    <row r="3" spans="2:32" x14ac:dyDescent="0.25">
      <c r="B3" s="81" t="s">
        <v>6</v>
      </c>
      <c r="C3" t="s">
        <v>84</v>
      </c>
      <c r="G3" s="81" t="s">
        <v>9</v>
      </c>
      <c r="O3" s="81" t="s">
        <v>85</v>
      </c>
      <c r="T3" s="81" t="s">
        <v>11</v>
      </c>
    </row>
    <row r="4" spans="2:32" x14ac:dyDescent="0.25">
      <c r="B4" t="s">
        <v>231</v>
      </c>
      <c r="C4" s="45">
        <v>0</v>
      </c>
      <c r="F4" s="81" t="s">
        <v>6</v>
      </c>
      <c r="H4" t="s">
        <v>39</v>
      </c>
      <c r="I4" t="s">
        <v>120</v>
      </c>
      <c r="J4" t="s">
        <v>83</v>
      </c>
      <c r="O4" s="81" t="s">
        <v>6</v>
      </c>
      <c r="P4" s="81" t="s">
        <v>4</v>
      </c>
      <c r="Q4" s="81" t="s">
        <v>40</v>
      </c>
      <c r="R4" s="81" t="s">
        <v>41</v>
      </c>
      <c r="S4" s="81" t="s">
        <v>9</v>
      </c>
      <c r="T4" t="s">
        <v>231</v>
      </c>
      <c r="U4" t="s">
        <v>178</v>
      </c>
      <c r="V4" t="s">
        <v>224</v>
      </c>
      <c r="W4" t="s">
        <v>83</v>
      </c>
    </row>
    <row r="5" spans="2:32" x14ac:dyDescent="0.25">
      <c r="B5">
        <v>2</v>
      </c>
      <c r="C5" s="45">
        <v>13</v>
      </c>
      <c r="F5" t="s">
        <v>231</v>
      </c>
      <c r="O5" t="s">
        <v>231</v>
      </c>
      <c r="P5" t="s">
        <v>80</v>
      </c>
      <c r="Q5" t="s">
        <v>80</v>
      </c>
      <c r="R5" t="s">
        <v>80</v>
      </c>
      <c r="T5" s="45"/>
      <c r="U5" s="45"/>
      <c r="V5" s="45"/>
      <c r="W5" s="45"/>
      <c r="AA5" s="45"/>
      <c r="AB5" s="81" t="s">
        <v>85</v>
      </c>
      <c r="AD5" s="81" t="s">
        <v>9</v>
      </c>
    </row>
    <row r="6" spans="2:32" x14ac:dyDescent="0.25">
      <c r="B6">
        <v>3</v>
      </c>
      <c r="C6" s="45">
        <v>14</v>
      </c>
      <c r="F6">
        <v>2</v>
      </c>
      <c r="O6">
        <v>2</v>
      </c>
      <c r="P6" t="s">
        <v>193</v>
      </c>
      <c r="Q6" s="30">
        <v>44447</v>
      </c>
      <c r="R6" s="30">
        <v>44230</v>
      </c>
      <c r="S6" t="s">
        <v>120</v>
      </c>
      <c r="T6" s="45"/>
      <c r="U6" s="45">
        <v>1</v>
      </c>
      <c r="V6" s="45"/>
      <c r="W6" s="45">
        <v>1</v>
      </c>
      <c r="AA6" s="45"/>
      <c r="AB6" s="81" t="s">
        <v>6</v>
      </c>
      <c r="AC6" s="81" t="s">
        <v>11</v>
      </c>
      <c r="AD6" t="s">
        <v>39</v>
      </c>
      <c r="AE6" t="s">
        <v>120</v>
      </c>
      <c r="AF6" t="s">
        <v>83</v>
      </c>
    </row>
    <row r="7" spans="2:32" x14ac:dyDescent="0.25">
      <c r="B7" t="s">
        <v>83</v>
      </c>
      <c r="C7" s="45">
        <v>27</v>
      </c>
      <c r="F7">
        <v>3</v>
      </c>
      <c r="P7" t="s">
        <v>195</v>
      </c>
      <c r="Q7" s="30">
        <v>44447</v>
      </c>
      <c r="R7" s="30">
        <v>44231</v>
      </c>
      <c r="S7" t="s">
        <v>120</v>
      </c>
      <c r="T7" s="45"/>
      <c r="U7" s="45">
        <v>1</v>
      </c>
      <c r="V7" s="45"/>
      <c r="W7" s="45">
        <v>1</v>
      </c>
      <c r="AA7" s="45"/>
      <c r="AB7">
        <v>2</v>
      </c>
      <c r="AC7" t="s">
        <v>178</v>
      </c>
      <c r="AD7" s="45"/>
      <c r="AE7" s="45">
        <v>5</v>
      </c>
      <c r="AF7" s="45">
        <v>5</v>
      </c>
    </row>
    <row r="8" spans="2:32" x14ac:dyDescent="0.25">
      <c r="F8" t="s">
        <v>83</v>
      </c>
      <c r="P8" t="s">
        <v>197</v>
      </c>
      <c r="Q8" s="30">
        <v>44447</v>
      </c>
      <c r="R8" s="30">
        <v>44235</v>
      </c>
      <c r="S8" t="s">
        <v>120</v>
      </c>
      <c r="T8" s="45"/>
      <c r="U8" s="45">
        <v>1</v>
      </c>
      <c r="V8" s="45"/>
      <c r="W8" s="45">
        <v>1</v>
      </c>
      <c r="AA8" s="45"/>
      <c r="AB8">
        <v>3</v>
      </c>
      <c r="AC8" t="s">
        <v>178</v>
      </c>
      <c r="AD8" s="45">
        <v>1</v>
      </c>
      <c r="AE8" s="45">
        <v>7</v>
      </c>
      <c r="AF8" s="45">
        <v>8</v>
      </c>
    </row>
    <row r="9" spans="2:32" x14ac:dyDescent="0.25">
      <c r="P9" t="s">
        <v>199</v>
      </c>
      <c r="Q9" s="30">
        <v>44448</v>
      </c>
      <c r="R9" s="30">
        <v>44235</v>
      </c>
      <c r="S9" t="s">
        <v>120</v>
      </c>
      <c r="T9" s="45"/>
      <c r="U9" s="45">
        <v>1</v>
      </c>
      <c r="V9" s="45"/>
      <c r="W9" s="45">
        <v>1</v>
      </c>
      <c r="AA9" s="45"/>
      <c r="AC9" t="s">
        <v>224</v>
      </c>
      <c r="AD9" s="45"/>
      <c r="AE9" s="45">
        <v>1</v>
      </c>
      <c r="AF9" s="45">
        <v>1</v>
      </c>
    </row>
    <row r="10" spans="2:32" x14ac:dyDescent="0.25">
      <c r="P10" t="s">
        <v>201</v>
      </c>
      <c r="Q10" s="30">
        <v>44450</v>
      </c>
      <c r="R10" s="30">
        <v>44456</v>
      </c>
      <c r="S10" t="s">
        <v>120</v>
      </c>
      <c r="T10" s="45"/>
      <c r="U10" s="45">
        <v>1</v>
      </c>
      <c r="V10" s="45"/>
      <c r="W10" s="45">
        <v>1</v>
      </c>
      <c r="AA10" s="45"/>
      <c r="AB10" t="s">
        <v>83</v>
      </c>
      <c r="AD10" s="45">
        <v>1</v>
      </c>
      <c r="AE10" s="45">
        <v>13</v>
      </c>
      <c r="AF10" s="45">
        <v>14</v>
      </c>
    </row>
    <row r="11" spans="2:32" x14ac:dyDescent="0.25">
      <c r="O11">
        <v>3</v>
      </c>
      <c r="P11" t="s">
        <v>215</v>
      </c>
      <c r="Q11" s="30">
        <v>44453</v>
      </c>
      <c r="R11" s="30">
        <v>44453</v>
      </c>
      <c r="S11" t="s">
        <v>39</v>
      </c>
      <c r="T11" s="45"/>
      <c r="U11" s="45">
        <v>1</v>
      </c>
      <c r="V11" s="45"/>
      <c r="W11" s="45">
        <v>1</v>
      </c>
      <c r="AA11" s="45"/>
    </row>
    <row r="12" spans="2:32" x14ac:dyDescent="0.25">
      <c r="P12" t="s">
        <v>203</v>
      </c>
      <c r="Q12" s="30">
        <v>44452</v>
      </c>
      <c r="R12" s="30">
        <v>44454</v>
      </c>
      <c r="S12" t="s">
        <v>120</v>
      </c>
      <c r="T12" s="45"/>
      <c r="U12" s="45">
        <v>1</v>
      </c>
      <c r="V12" s="45"/>
      <c r="W12" s="45">
        <v>1</v>
      </c>
      <c r="AA12" s="45"/>
    </row>
    <row r="13" spans="2:32" x14ac:dyDescent="0.25">
      <c r="P13" t="s">
        <v>204</v>
      </c>
      <c r="Q13" s="30">
        <v>44452</v>
      </c>
      <c r="R13" s="30">
        <v>44454</v>
      </c>
      <c r="S13" t="s">
        <v>120</v>
      </c>
      <c r="T13" s="45"/>
      <c r="U13" s="45">
        <v>1</v>
      </c>
      <c r="V13" s="45"/>
      <c r="W13" s="45">
        <v>1</v>
      </c>
      <c r="AA13" s="45"/>
    </row>
    <row r="14" spans="2:32" x14ac:dyDescent="0.25">
      <c r="P14" t="s">
        <v>205</v>
      </c>
      <c r="Q14" s="30">
        <v>44452</v>
      </c>
      <c r="R14" s="30">
        <v>44454</v>
      </c>
      <c r="S14" t="s">
        <v>120</v>
      </c>
      <c r="T14" s="45"/>
      <c r="U14" s="45">
        <v>1</v>
      </c>
      <c r="V14" s="45"/>
      <c r="W14" s="45">
        <v>1</v>
      </c>
      <c r="AA14" s="45"/>
    </row>
    <row r="15" spans="2:32" x14ac:dyDescent="0.25">
      <c r="P15" t="s">
        <v>209</v>
      </c>
      <c r="Q15" s="30">
        <v>44454</v>
      </c>
      <c r="R15" s="30">
        <v>44455</v>
      </c>
      <c r="S15" t="s">
        <v>120</v>
      </c>
      <c r="T15" s="45"/>
      <c r="U15" s="45">
        <v>1</v>
      </c>
      <c r="V15" s="45"/>
      <c r="W15" s="45">
        <v>1</v>
      </c>
      <c r="AA15" s="45"/>
    </row>
    <row r="16" spans="2:32" x14ac:dyDescent="0.25">
      <c r="P16" t="s">
        <v>211</v>
      </c>
      <c r="Q16" s="30">
        <v>44455</v>
      </c>
      <c r="R16" s="30">
        <v>44456</v>
      </c>
      <c r="S16" t="s">
        <v>120</v>
      </c>
      <c r="T16" s="45"/>
      <c r="U16" s="45">
        <v>1</v>
      </c>
      <c r="V16" s="45"/>
      <c r="W16" s="45">
        <v>1</v>
      </c>
    </row>
    <row r="17" spans="15:23" x14ac:dyDescent="0.25">
      <c r="P17" t="s">
        <v>216</v>
      </c>
      <c r="Q17" s="30">
        <v>44455</v>
      </c>
      <c r="R17" t="s">
        <v>231</v>
      </c>
      <c r="S17" t="s">
        <v>120</v>
      </c>
      <c r="T17" s="45"/>
      <c r="U17" s="45"/>
      <c r="V17" s="45">
        <v>1</v>
      </c>
      <c r="W17" s="45">
        <v>1</v>
      </c>
    </row>
    <row r="18" spans="15:23" x14ac:dyDescent="0.25">
      <c r="P18" t="s">
        <v>213</v>
      </c>
      <c r="Q18" s="30">
        <v>44456</v>
      </c>
      <c r="R18" s="30">
        <v>44456</v>
      </c>
      <c r="S18" t="s">
        <v>120</v>
      </c>
      <c r="T18" s="45"/>
      <c r="U18" s="45">
        <v>1</v>
      </c>
      <c r="V18" s="45"/>
      <c r="W18" s="45">
        <v>1</v>
      </c>
    </row>
    <row r="19" spans="15:23" x14ac:dyDescent="0.25">
      <c r="P19" t="s">
        <v>217</v>
      </c>
      <c r="Q19" s="30">
        <v>44456</v>
      </c>
      <c r="R19" s="30">
        <v>44456</v>
      </c>
      <c r="S19" t="s">
        <v>120</v>
      </c>
      <c r="T19" s="45"/>
      <c r="U19" s="45">
        <v>1</v>
      </c>
      <c r="V19" s="45"/>
      <c r="W19" s="45">
        <v>1</v>
      </c>
    </row>
    <row r="20" spans="15:23" x14ac:dyDescent="0.25">
      <c r="O20" t="s">
        <v>83</v>
      </c>
      <c r="T20" s="45"/>
      <c r="U20" s="45">
        <v>13</v>
      </c>
      <c r="V20" s="45">
        <v>1</v>
      </c>
      <c r="W20" s="45">
        <v>14</v>
      </c>
    </row>
  </sheetData>
  <pageMargins left="0.7" right="0.7" top="0.75" bottom="0.75" header="0.3" footer="0.3"/>
  <pageSetup paperSize="9" orientation="portrait" horizontalDpi="200" verticalDpi="200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FA6BE-B23D-45E9-B24B-437DED6191EB}">
  <dimension ref="A1:K68"/>
  <sheetViews>
    <sheetView topLeftCell="A10" workbookViewId="0">
      <selection activeCell="A19" sqref="A19"/>
    </sheetView>
  </sheetViews>
  <sheetFormatPr baseColWidth="10" defaultRowHeight="15" x14ac:dyDescent="0.25"/>
  <cols>
    <col min="1" max="1" width="14.7109375" bestFit="1" customWidth="1"/>
    <col min="3" max="3" width="32.140625" bestFit="1" customWidth="1"/>
    <col min="4" max="4" width="47.5703125" bestFit="1" customWidth="1"/>
    <col min="6" max="6" width="27.85546875" customWidth="1"/>
    <col min="7" max="7" width="32.140625" bestFit="1" customWidth="1"/>
  </cols>
  <sheetData>
    <row r="1" spans="1:11" x14ac:dyDescent="0.25">
      <c r="A1" s="8" t="s">
        <v>36</v>
      </c>
      <c r="D1" s="8" t="s">
        <v>9</v>
      </c>
      <c r="I1" s="8" t="s">
        <v>25</v>
      </c>
      <c r="J1" s="8" t="s">
        <v>46</v>
      </c>
      <c r="K1" s="8" t="s">
        <v>81</v>
      </c>
    </row>
    <row r="2" spans="1:11" x14ac:dyDescent="0.25">
      <c r="A2" t="s">
        <v>176</v>
      </c>
      <c r="D2" t="s">
        <v>120</v>
      </c>
    </row>
    <row r="3" spans="1:11" x14ac:dyDescent="0.25">
      <c r="A3" t="s">
        <v>177</v>
      </c>
      <c r="D3" t="s">
        <v>156</v>
      </c>
    </row>
    <row r="4" spans="1:11" x14ac:dyDescent="0.25">
      <c r="A4" t="s">
        <v>178</v>
      </c>
      <c r="D4" t="s">
        <v>39</v>
      </c>
    </row>
    <row r="5" spans="1:11" x14ac:dyDescent="0.25">
      <c r="A5" t="s">
        <v>179</v>
      </c>
      <c r="D5" t="s">
        <v>157</v>
      </c>
    </row>
    <row r="6" spans="1:11" x14ac:dyDescent="0.25">
      <c r="A6" t="s">
        <v>38</v>
      </c>
    </row>
    <row r="7" spans="1:11" x14ac:dyDescent="0.25">
      <c r="A7" t="s">
        <v>37</v>
      </c>
    </row>
    <row r="8" spans="1:11" x14ac:dyDescent="0.25">
      <c r="A8" t="s">
        <v>180</v>
      </c>
    </row>
    <row r="9" spans="1:11" x14ac:dyDescent="0.25">
      <c r="A9" t="s">
        <v>61</v>
      </c>
    </row>
    <row r="10" spans="1:11" x14ac:dyDescent="0.25">
      <c r="A10" t="s">
        <v>62</v>
      </c>
    </row>
    <row r="11" spans="1:11" x14ac:dyDescent="0.25">
      <c r="A11" t="s">
        <v>224</v>
      </c>
    </row>
    <row r="17" spans="1:7" x14ac:dyDescent="0.25">
      <c r="A17" s="8" t="s">
        <v>119</v>
      </c>
      <c r="C17" s="8" t="s">
        <v>46</v>
      </c>
      <c r="D17" t="s">
        <v>47</v>
      </c>
      <c r="E17" t="s">
        <v>44</v>
      </c>
      <c r="F17" t="s">
        <v>47</v>
      </c>
      <c r="G17" t="s">
        <v>5</v>
      </c>
    </row>
    <row r="18" spans="1:7" x14ac:dyDescent="0.25">
      <c r="A18" t="s">
        <v>236</v>
      </c>
      <c r="C18" t="s">
        <v>165</v>
      </c>
      <c r="D18" t="s">
        <v>170</v>
      </c>
      <c r="E18">
        <v>1</v>
      </c>
      <c r="F18" s="51" t="str">
        <f>+D18</f>
        <v>Planeación</v>
      </c>
      <c r="G18" t="s">
        <v>175</v>
      </c>
    </row>
    <row r="19" spans="1:7" x14ac:dyDescent="0.25">
      <c r="A19" t="s">
        <v>158</v>
      </c>
      <c r="C19" t="s">
        <v>165</v>
      </c>
      <c r="D19" t="s">
        <v>184</v>
      </c>
      <c r="E19">
        <v>2</v>
      </c>
      <c r="F19" s="51" t="str">
        <f t="shared" ref="F19:F23" si="0">+D19</f>
        <v>Análisis - Modelo Conceptual</v>
      </c>
      <c r="G19" t="s">
        <v>175</v>
      </c>
    </row>
    <row r="20" spans="1:7" x14ac:dyDescent="0.25">
      <c r="A20" t="s">
        <v>159</v>
      </c>
      <c r="C20" t="s">
        <v>165</v>
      </c>
      <c r="D20" t="s">
        <v>185</v>
      </c>
      <c r="E20">
        <v>3</v>
      </c>
      <c r="F20" s="51" t="str">
        <f t="shared" si="0"/>
        <v>Análisis - Requerimientos Funcionales</v>
      </c>
      <c r="G20" t="s">
        <v>175</v>
      </c>
    </row>
    <row r="21" spans="1:7" x14ac:dyDescent="0.25">
      <c r="A21" t="s">
        <v>160</v>
      </c>
      <c r="C21" t="s">
        <v>165</v>
      </c>
      <c r="D21" t="s">
        <v>186</v>
      </c>
      <c r="E21">
        <v>4</v>
      </c>
      <c r="F21" s="51" t="str">
        <f t="shared" si="0"/>
        <v>Diseño Diagrama de Claeses</v>
      </c>
      <c r="G21" t="s">
        <v>175</v>
      </c>
    </row>
    <row r="22" spans="1:7" x14ac:dyDescent="0.25">
      <c r="A22" t="s">
        <v>161</v>
      </c>
      <c r="C22" t="s">
        <v>165</v>
      </c>
      <c r="D22" t="s">
        <v>187</v>
      </c>
      <c r="E22">
        <v>5</v>
      </c>
      <c r="F22" s="51" t="str">
        <f t="shared" si="0"/>
        <v>Diseño Modelo Entidad Relación</v>
      </c>
      <c r="G22" t="s">
        <v>175</v>
      </c>
    </row>
    <row r="23" spans="1:7" x14ac:dyDescent="0.25">
      <c r="A23" t="s">
        <v>162</v>
      </c>
      <c r="C23" t="s">
        <v>165</v>
      </c>
      <c r="D23" t="s">
        <v>229</v>
      </c>
      <c r="E23">
        <v>6</v>
      </c>
      <c r="F23" s="51" t="str">
        <f t="shared" si="0"/>
        <v>Diseño funcionales</v>
      </c>
      <c r="G23" t="s">
        <v>175</v>
      </c>
    </row>
    <row r="24" spans="1:7" x14ac:dyDescent="0.25">
      <c r="A24" t="s">
        <v>163</v>
      </c>
      <c r="C24" t="s">
        <v>165</v>
      </c>
      <c r="D24" t="s">
        <v>188</v>
      </c>
      <c r="E24">
        <v>7</v>
      </c>
      <c r="F24" s="51" t="str">
        <f t="shared" ref="F24:F33" si="1">+D24</f>
        <v>Diseño Código C#</v>
      </c>
      <c r="G24" t="s">
        <v>175</v>
      </c>
    </row>
    <row r="25" spans="1:7" x14ac:dyDescent="0.25">
      <c r="A25" t="s">
        <v>164</v>
      </c>
      <c r="C25" t="s">
        <v>165</v>
      </c>
      <c r="D25" t="s">
        <v>189</v>
      </c>
      <c r="E25">
        <v>8</v>
      </c>
      <c r="F25" s="51" t="str">
        <f t="shared" si="1"/>
        <v>Construcción - Codigo estructuras</v>
      </c>
      <c r="G25" t="s">
        <v>175</v>
      </c>
    </row>
    <row r="26" spans="1:7" x14ac:dyDescent="0.25">
      <c r="C26" t="s">
        <v>165</v>
      </c>
      <c r="D26" t="s">
        <v>190</v>
      </c>
      <c r="E26">
        <v>9</v>
      </c>
      <c r="F26" s="51" t="str">
        <f t="shared" si="1"/>
        <v>Construcción - Base de Datos</v>
      </c>
      <c r="G26" t="s">
        <v>175</v>
      </c>
    </row>
    <row r="27" spans="1:7" x14ac:dyDescent="0.25">
      <c r="C27" t="s">
        <v>165</v>
      </c>
      <c r="D27" t="s">
        <v>171</v>
      </c>
      <c r="E27">
        <v>10</v>
      </c>
      <c r="F27" s="51" t="str">
        <f t="shared" si="1"/>
        <v>Pruebas</v>
      </c>
      <c r="G27" t="s">
        <v>175</v>
      </c>
    </row>
    <row r="28" spans="1:7" x14ac:dyDescent="0.25">
      <c r="C28" t="s">
        <v>165</v>
      </c>
      <c r="D28" t="s">
        <v>172</v>
      </c>
      <c r="E28">
        <v>11</v>
      </c>
      <c r="F28" s="51" t="str">
        <f t="shared" si="1"/>
        <v>Documentación</v>
      </c>
      <c r="G28" t="s">
        <v>175</v>
      </c>
    </row>
    <row r="29" spans="1:7" x14ac:dyDescent="0.25">
      <c r="C29" t="s">
        <v>165</v>
      </c>
      <c r="D29" t="s">
        <v>191</v>
      </c>
      <c r="E29">
        <v>12</v>
      </c>
      <c r="F29" s="51" t="str">
        <f t="shared" si="1"/>
        <v>Despliegue Aplicación</v>
      </c>
      <c r="G29" t="s">
        <v>175</v>
      </c>
    </row>
    <row r="30" spans="1:7" x14ac:dyDescent="0.25">
      <c r="C30" t="s">
        <v>165</v>
      </c>
      <c r="D30" t="s">
        <v>166</v>
      </c>
      <c r="E30">
        <v>13</v>
      </c>
      <c r="F30" s="51" t="str">
        <f t="shared" si="1"/>
        <v>Talleres</v>
      </c>
      <c r="G30" t="s">
        <v>175</v>
      </c>
    </row>
    <row r="31" spans="1:7" x14ac:dyDescent="0.25">
      <c r="C31" t="s">
        <v>169</v>
      </c>
      <c r="D31" t="s">
        <v>174</v>
      </c>
      <c r="E31">
        <v>14</v>
      </c>
      <c r="F31" s="51" t="str">
        <f t="shared" si="1"/>
        <v>Entregas</v>
      </c>
      <c r="G31" t="s">
        <v>175</v>
      </c>
    </row>
    <row r="32" spans="1:7" x14ac:dyDescent="0.25">
      <c r="C32" t="s">
        <v>169</v>
      </c>
      <c r="D32" t="s">
        <v>166</v>
      </c>
      <c r="E32">
        <v>15</v>
      </c>
      <c r="F32" s="51" t="str">
        <f t="shared" si="1"/>
        <v>Talleres</v>
      </c>
      <c r="G32" t="s">
        <v>175</v>
      </c>
    </row>
    <row r="33" spans="3:7" x14ac:dyDescent="0.25">
      <c r="C33" t="s">
        <v>169</v>
      </c>
      <c r="D33" t="s">
        <v>167</v>
      </c>
      <c r="E33">
        <v>16</v>
      </c>
      <c r="F33" s="51" t="str">
        <f t="shared" si="1"/>
        <v>Retos</v>
      </c>
      <c r="G33" t="s">
        <v>175</v>
      </c>
    </row>
    <row r="34" spans="3:7" x14ac:dyDescent="0.25">
      <c r="C34" t="s">
        <v>168</v>
      </c>
      <c r="D34" t="s">
        <v>173</v>
      </c>
      <c r="E34">
        <v>17</v>
      </c>
      <c r="F34" s="51" t="str">
        <f t="shared" ref="F34" si="2">+D34</f>
        <v>Seguimiento</v>
      </c>
      <c r="G34" t="s">
        <v>230</v>
      </c>
    </row>
    <row r="35" spans="3:7" x14ac:dyDescent="0.25">
      <c r="F35" s="51"/>
    </row>
    <row r="36" spans="3:7" x14ac:dyDescent="0.25">
      <c r="F36" s="51"/>
    </row>
    <row r="37" spans="3:7" x14ac:dyDescent="0.25">
      <c r="F37" s="51"/>
    </row>
    <row r="38" spans="3:7" x14ac:dyDescent="0.25">
      <c r="F38" s="51"/>
    </row>
    <row r="39" spans="3:7" x14ac:dyDescent="0.25">
      <c r="F39" s="51"/>
    </row>
    <row r="40" spans="3:7" x14ac:dyDescent="0.25">
      <c r="F40" s="51"/>
    </row>
    <row r="41" spans="3:7" x14ac:dyDescent="0.25">
      <c r="F41" s="51"/>
    </row>
    <row r="42" spans="3:7" x14ac:dyDescent="0.25">
      <c r="F42" s="51"/>
    </row>
    <row r="43" spans="3:7" x14ac:dyDescent="0.25">
      <c r="F43" s="51"/>
    </row>
    <row r="44" spans="3:7" x14ac:dyDescent="0.25">
      <c r="F44" s="51"/>
    </row>
    <row r="45" spans="3:7" x14ac:dyDescent="0.25">
      <c r="F45" s="51"/>
    </row>
    <row r="46" spans="3:7" x14ac:dyDescent="0.25">
      <c r="F46" s="51"/>
    </row>
    <row r="47" spans="3:7" x14ac:dyDescent="0.25">
      <c r="F47" s="51"/>
    </row>
    <row r="48" spans="3:7" x14ac:dyDescent="0.25">
      <c r="F48" s="51"/>
    </row>
    <row r="49" spans="1:6" x14ac:dyDescent="0.25">
      <c r="F49" s="51"/>
    </row>
    <row r="50" spans="1:6" x14ac:dyDescent="0.25">
      <c r="F50" s="51"/>
    </row>
    <row r="51" spans="1:6" x14ac:dyDescent="0.25">
      <c r="F51" s="51"/>
    </row>
    <row r="59" spans="1:6" x14ac:dyDescent="0.25">
      <c r="A59" s="8" t="s">
        <v>48</v>
      </c>
      <c r="C59" s="8"/>
      <c r="D59" s="8" t="s">
        <v>82</v>
      </c>
    </row>
    <row r="60" spans="1:6" x14ac:dyDescent="0.25">
      <c r="A60" t="s">
        <v>49</v>
      </c>
      <c r="D60" t="s">
        <v>181</v>
      </c>
    </row>
    <row r="61" spans="1:6" x14ac:dyDescent="0.25">
      <c r="A61" t="s">
        <v>50</v>
      </c>
      <c r="D61" t="s">
        <v>182</v>
      </c>
    </row>
    <row r="62" spans="1:6" x14ac:dyDescent="0.25">
      <c r="A62" t="s">
        <v>55</v>
      </c>
      <c r="D62" t="s">
        <v>183</v>
      </c>
    </row>
    <row r="63" spans="1:6" x14ac:dyDescent="0.25">
      <c r="A63" t="s">
        <v>51</v>
      </c>
    </row>
    <row r="64" spans="1:6" x14ac:dyDescent="0.25">
      <c r="A64" t="s">
        <v>52</v>
      </c>
    </row>
    <row r="66" spans="1:1" x14ac:dyDescent="0.25">
      <c r="A66" t="s">
        <v>63</v>
      </c>
    </row>
    <row r="67" spans="1:1" x14ac:dyDescent="0.25">
      <c r="A67" t="s">
        <v>53</v>
      </c>
    </row>
    <row r="68" spans="1:1" x14ac:dyDescent="0.25">
      <c r="A68" t="s">
        <v>54</v>
      </c>
    </row>
  </sheetData>
  <autoFilter ref="C17:G51" xr:uid="{F7F6CD9C-6515-43CA-8F20-3E0340587AB1}"/>
  <sortState xmlns:xlrd2="http://schemas.microsoft.com/office/spreadsheetml/2017/richdata2" ref="D18:G49">
    <sortCondition ref="E18:E49"/>
  </sortState>
  <phoneticPr fontId="5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2CC66-FC24-48EC-984D-1698D0DE4B9A}">
  <dimension ref="A1:T46"/>
  <sheetViews>
    <sheetView workbookViewId="0">
      <pane xSplit="8" ySplit="2" topLeftCell="N29" activePane="bottomRight" state="frozen"/>
      <selection pane="topRight" activeCell="I1" sqref="I1"/>
      <selection pane="bottomLeft" activeCell="A2" sqref="A2"/>
      <selection pane="bottomRight" activeCell="N38" sqref="N38"/>
    </sheetView>
  </sheetViews>
  <sheetFormatPr baseColWidth="10" defaultRowHeight="15" x14ac:dyDescent="0.25"/>
  <cols>
    <col min="1" max="1" width="5.28515625" customWidth="1"/>
    <col min="2" max="2" width="8" customWidth="1"/>
    <col min="3" max="3" width="5" bestFit="1" customWidth="1"/>
    <col min="4" max="4" width="11.85546875" hidden="1" customWidth="1"/>
    <col min="5" max="5" width="10.28515625" hidden="1" customWidth="1"/>
    <col min="6" max="6" width="13.7109375" customWidth="1"/>
    <col min="7" max="7" width="50.140625" customWidth="1"/>
    <col min="8" max="8" width="13.42578125" hidden="1" customWidth="1"/>
    <col min="9" max="9" width="12.28515625" customWidth="1"/>
    <col min="10" max="10" width="15.85546875" customWidth="1"/>
    <col min="11" max="11" width="14.140625" customWidth="1"/>
    <col min="12" max="12" width="16.85546875" hidden="1" customWidth="1"/>
    <col min="13" max="13" width="16.140625" customWidth="1"/>
    <col min="14" max="14" width="5.42578125" customWidth="1"/>
    <col min="15" max="15" width="4.5703125" customWidth="1"/>
    <col min="18" max="18" width="20.28515625" bestFit="1" customWidth="1"/>
    <col min="19" max="19" width="30.140625" customWidth="1"/>
  </cols>
  <sheetData>
    <row r="1" spans="1:20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</row>
    <row r="2" spans="1:20" x14ac:dyDescent="0.25">
      <c r="A2" t="s">
        <v>8</v>
      </c>
      <c r="B2" t="s">
        <v>149</v>
      </c>
      <c r="C2" t="s">
        <v>27</v>
      </c>
      <c r="D2" t="s">
        <v>33</v>
      </c>
      <c r="E2" t="s">
        <v>34</v>
      </c>
      <c r="F2" t="s">
        <v>28</v>
      </c>
      <c r="G2" t="s">
        <v>29</v>
      </c>
      <c r="H2" t="s">
        <v>35</v>
      </c>
      <c r="I2" t="s">
        <v>9</v>
      </c>
      <c r="J2" t="s">
        <v>30</v>
      </c>
      <c r="K2" t="s">
        <v>31</v>
      </c>
      <c r="L2" t="s">
        <v>32</v>
      </c>
      <c r="M2" t="s">
        <v>13</v>
      </c>
      <c r="N2" t="s">
        <v>38</v>
      </c>
      <c r="O2" t="s">
        <v>60</v>
      </c>
      <c r="P2" t="s">
        <v>11</v>
      </c>
      <c r="Q2" t="s">
        <v>25</v>
      </c>
      <c r="R2" s="12" t="s">
        <v>43</v>
      </c>
      <c r="S2" s="12" t="s">
        <v>47</v>
      </c>
      <c r="T2" t="s">
        <v>44</v>
      </c>
    </row>
    <row r="3" spans="1:20" ht="15.75" x14ac:dyDescent="0.25">
      <c r="A3">
        <v>1</v>
      </c>
      <c r="B3" t="s">
        <v>150</v>
      </c>
      <c r="C3">
        <f>+Tabla3[[#This Row],[Prioridad]]</f>
        <v>1</v>
      </c>
      <c r="D3" s="42" t="str">
        <f>+CONCATENATE(Tabla3[[#This Row],[Responsable]],"00",Tabla3[[#This Row],[Id]])</f>
        <v>EdwinV001</v>
      </c>
      <c r="E3" s="16">
        <f>+VLOOKUP(Tabla3[[#This Row],[Responsable]],Clientes[],3,0)</f>
        <v>8</v>
      </c>
      <c r="F3" s="29" t="s">
        <v>192</v>
      </c>
      <c r="G3" s="48" t="s">
        <v>193</v>
      </c>
      <c r="H3" s="41" t="str">
        <f>+CONCATENATE(Tabla3[[#This Row],[Num_Ticket]]," ",Tabla3[[#This Row],[Descripción]])</f>
        <v>T-001 Crear plan de trabajo y cronograma general</v>
      </c>
      <c r="I3" s="5" t="s">
        <v>120</v>
      </c>
      <c r="J3" s="30">
        <v>44447</v>
      </c>
      <c r="K3" s="30">
        <f>+Sprint_Backlog!P6</f>
        <v>44230</v>
      </c>
      <c r="L3" s="30"/>
      <c r="P3" t="s">
        <v>176</v>
      </c>
      <c r="Q3" t="s">
        <v>236</v>
      </c>
      <c r="R3" s="49" t="s">
        <v>181</v>
      </c>
      <c r="S3" s="182" t="s">
        <v>170</v>
      </c>
      <c r="T3">
        <f>IFERROR(VLOOKUP(Tabla3[[#This Row],[Epica]],Parametros!$D$17:$E$51,2,0),"")</f>
        <v>1</v>
      </c>
    </row>
    <row r="4" spans="1:20" ht="15.75" x14ac:dyDescent="0.25">
      <c r="A4">
        <v>2</v>
      </c>
      <c r="B4" t="s">
        <v>155</v>
      </c>
      <c r="C4">
        <f>+Tabla3[[#This Row],[Prioridad]]</f>
        <v>2</v>
      </c>
      <c r="D4" s="42" t="str">
        <f>+CONCATENATE(Tabla3[[#This Row],[Responsable]],"00",Tabla3[[#This Row],[Id]])</f>
        <v>EQUIPO002</v>
      </c>
      <c r="E4" s="16">
        <f>+VLOOKUP(Tabla3[[#This Row],[Responsable]],Clientes[],3,0)</f>
        <v>4</v>
      </c>
      <c r="F4" s="29" t="s">
        <v>194</v>
      </c>
      <c r="G4" s="48" t="s">
        <v>195</v>
      </c>
      <c r="H4" s="41" t="str">
        <f>+CONCATENATE(Tabla3[[#This Row],[Num_Ticket]]," ",Tabla3[[#This Row],[Descripción]])</f>
        <v>T-002 Planteamiento del Problema</v>
      </c>
      <c r="I4" s="5" t="s">
        <v>120</v>
      </c>
      <c r="J4" s="30">
        <v>44447</v>
      </c>
      <c r="K4" s="30">
        <f>+Sprint_Backlog!P7</f>
        <v>44231</v>
      </c>
      <c r="L4" s="30"/>
      <c r="P4" t="s">
        <v>176</v>
      </c>
      <c r="Q4" t="s">
        <v>236</v>
      </c>
      <c r="R4" s="49" t="s">
        <v>181</v>
      </c>
      <c r="S4" s="183" t="s">
        <v>170</v>
      </c>
      <c r="T4">
        <f>IFERROR(VLOOKUP(Tabla3[[#This Row],[Epica]],Parametros!$D$17:$E$51,2,0),"")</f>
        <v>1</v>
      </c>
    </row>
    <row r="5" spans="1:20" ht="15.75" x14ac:dyDescent="0.25">
      <c r="A5">
        <v>3</v>
      </c>
      <c r="B5" t="s">
        <v>155</v>
      </c>
      <c r="C5">
        <f>+Tabla3[[#This Row],[Prioridad]]</f>
        <v>3</v>
      </c>
      <c r="D5" s="42" t="str">
        <f>+CONCATENATE(Tabla3[[#This Row],[Responsable]],"00",Tabla3[[#This Row],[Id]])</f>
        <v>EQUIPO003</v>
      </c>
      <c r="E5" s="16">
        <f>+VLOOKUP(Tabla3[[#This Row],[Responsable]],Clientes[],3,0)</f>
        <v>4</v>
      </c>
      <c r="F5" s="29" t="s">
        <v>196</v>
      </c>
      <c r="G5" s="48" t="s">
        <v>197</v>
      </c>
      <c r="H5" s="41" t="str">
        <f>+CONCATENATE(Tabla3[[#This Row],[Num_Ticket]]," ",Tabla3[[#This Row],[Descripción]])</f>
        <v>T-003 Asignación de Roles y Tareas</v>
      </c>
      <c r="I5" s="5" t="s">
        <v>120</v>
      </c>
      <c r="J5" s="30">
        <v>44447</v>
      </c>
      <c r="K5" s="30">
        <f>+Sprint_Backlog!P8</f>
        <v>44235</v>
      </c>
      <c r="L5" s="30"/>
      <c r="P5" t="s">
        <v>176</v>
      </c>
      <c r="Q5" t="s">
        <v>236</v>
      </c>
      <c r="R5" s="49" t="s">
        <v>181</v>
      </c>
      <c r="S5" s="183" t="s">
        <v>170</v>
      </c>
      <c r="T5">
        <f>IFERROR(VLOOKUP(Tabla3[[#This Row],[Epica]],Parametros!$D$17:$E$51,2,0),"")</f>
        <v>1</v>
      </c>
    </row>
    <row r="6" spans="1:20" ht="15.75" x14ac:dyDescent="0.25">
      <c r="A6">
        <v>4</v>
      </c>
      <c r="B6" t="s">
        <v>152</v>
      </c>
      <c r="C6">
        <f>+Tabla3[[#This Row],[Prioridad]]</f>
        <v>4</v>
      </c>
      <c r="D6" s="43" t="str">
        <f>+CONCATENATE(Tabla3[[#This Row],[Responsable]],"00",Tabla3[[#This Row],[Id]])</f>
        <v>JhonB004</v>
      </c>
      <c r="E6" s="16">
        <f>+VLOOKUP(Tabla3[[#This Row],[Responsable]],Clientes[],3,0)</f>
        <v>8</v>
      </c>
      <c r="F6" s="29" t="s">
        <v>198</v>
      </c>
      <c r="G6" s="48" t="s">
        <v>199</v>
      </c>
      <c r="H6" s="41" t="str">
        <f>+CONCATENATE(Tabla3[[#This Row],[Num_Ticket]]," ",Tabla3[[#This Row],[Descripción]])</f>
        <v>T-004 Crear repositorio y tablero Kanban</v>
      </c>
      <c r="I6" s="5" t="s">
        <v>120</v>
      </c>
      <c r="J6" s="30">
        <v>44448</v>
      </c>
      <c r="K6" s="30">
        <f>+Sprint_Backlog!P9</f>
        <v>44235</v>
      </c>
      <c r="L6" s="30"/>
      <c r="P6" t="s">
        <v>176</v>
      </c>
      <c r="Q6" t="s">
        <v>236</v>
      </c>
      <c r="R6" s="49" t="s">
        <v>181</v>
      </c>
      <c r="S6" s="183" t="s">
        <v>170</v>
      </c>
      <c r="T6">
        <f>IFERROR(VLOOKUP(Tabla3[[#This Row],[Epica]],Parametros!$D$17:$E$51,2,0),"")</f>
        <v>1</v>
      </c>
    </row>
    <row r="7" spans="1:20" ht="15.75" x14ac:dyDescent="0.25">
      <c r="A7">
        <v>5</v>
      </c>
      <c r="B7" t="s">
        <v>155</v>
      </c>
      <c r="C7">
        <f>+Tabla3[[#This Row],[Prioridad]]</f>
        <v>5</v>
      </c>
      <c r="D7" s="43" t="str">
        <f>+CONCATENATE(Tabla3[[#This Row],[Responsable]],"00",Tabla3[[#This Row],[Id]])</f>
        <v>EQUIPO005</v>
      </c>
      <c r="E7" s="16">
        <f>+VLOOKUP(Tabla3[[#This Row],[Responsable]],Clientes[],3,0)</f>
        <v>4</v>
      </c>
      <c r="F7" s="29" t="s">
        <v>200</v>
      </c>
      <c r="G7" s="48" t="s">
        <v>201</v>
      </c>
      <c r="H7" s="44" t="str">
        <f>+CONCATENATE(Tabla3[[#This Row],[Num_Ticket]]," ",Tabla3[[#This Row],[Descripción]])</f>
        <v>T-005 Listar Entidades y Atributos</v>
      </c>
      <c r="I7" s="5" t="s">
        <v>120</v>
      </c>
      <c r="J7" s="30">
        <v>44450</v>
      </c>
      <c r="K7" s="30">
        <f>+Sprint_Backlog!P10</f>
        <v>44456</v>
      </c>
      <c r="L7" s="30"/>
      <c r="P7" t="s">
        <v>176</v>
      </c>
      <c r="Q7" t="s">
        <v>158</v>
      </c>
      <c r="R7" s="49" t="s">
        <v>181</v>
      </c>
      <c r="S7" s="183" t="s">
        <v>184</v>
      </c>
      <c r="T7">
        <f>IFERROR(VLOOKUP(Tabla3[[#This Row],[Epica]],Parametros!$D$17:$E$51,2,0),"")</f>
        <v>2</v>
      </c>
    </row>
    <row r="8" spans="1:20" ht="15.75" x14ac:dyDescent="0.25">
      <c r="A8">
        <v>6</v>
      </c>
      <c r="B8" t="s">
        <v>155</v>
      </c>
      <c r="C8">
        <f>+Tabla3[[#This Row],[Prioridad]]</f>
        <v>6</v>
      </c>
      <c r="D8" s="43" t="str">
        <f>+CONCATENATE(Tabla3[[#This Row],[Responsable]],"00",Tabla3[[#This Row],[Id]])</f>
        <v>EQUIPO006</v>
      </c>
      <c r="E8" s="16"/>
      <c r="F8" s="29" t="s">
        <v>202</v>
      </c>
      <c r="G8" s="48" t="s">
        <v>215</v>
      </c>
      <c r="H8" s="44" t="str">
        <f>+CONCATENATE(Tabla3[[#This Row],[Num_Ticket]]," ",Tabla3[[#This Row],[Descripción]])</f>
        <v>T-006 Asistencia Tutoria 1</v>
      </c>
      <c r="I8" s="32" t="s">
        <v>39</v>
      </c>
      <c r="J8" s="30">
        <v>44453</v>
      </c>
      <c r="K8" s="30">
        <f>+Sprint_Backlog!P50</f>
        <v>0</v>
      </c>
      <c r="L8" s="30"/>
      <c r="P8" t="s">
        <v>176</v>
      </c>
      <c r="Q8" t="s">
        <v>236</v>
      </c>
      <c r="R8" s="49" t="s">
        <v>183</v>
      </c>
      <c r="S8" s="184" t="s">
        <v>173</v>
      </c>
      <c r="T8" s="45">
        <f>IFERROR(VLOOKUP(Tabla3[[#This Row],[Epica]],Parametros!$D$17:$E$51,2,0),"")</f>
        <v>17</v>
      </c>
    </row>
    <row r="9" spans="1:20" ht="15.75" x14ac:dyDescent="0.25">
      <c r="A9">
        <v>7</v>
      </c>
      <c r="B9" t="s">
        <v>152</v>
      </c>
      <c r="C9">
        <f>+Tabla3[[#This Row],[Prioridad]]</f>
        <v>7</v>
      </c>
      <c r="D9" s="43" t="str">
        <f>+CONCATENATE(Tabla3[[#This Row],[Responsable]],"00",Tabla3[[#This Row],[Id]])</f>
        <v>JhonB007</v>
      </c>
      <c r="E9" s="16">
        <f>+VLOOKUP(Tabla3[[#This Row],[Responsable]],Clientes[],3,0)</f>
        <v>8</v>
      </c>
      <c r="F9" s="29" t="s">
        <v>206</v>
      </c>
      <c r="G9" s="48" t="s">
        <v>203</v>
      </c>
      <c r="H9" s="44" t="str">
        <f>+CONCATENATE(Tabla3[[#This Row],[Num_Ticket]]," ",Tabla3[[#This Row],[Descripción]])</f>
        <v>T-007 Crear Modelo Conceptual del Sistema</v>
      </c>
      <c r="I9" s="5" t="s">
        <v>120</v>
      </c>
      <c r="J9" s="30">
        <v>44452</v>
      </c>
      <c r="K9" s="30" t="str">
        <f>+Sprint_Backlog!P47</f>
        <v/>
      </c>
      <c r="L9" s="30"/>
      <c r="P9" t="s">
        <v>176</v>
      </c>
      <c r="Q9" t="s">
        <v>158</v>
      </c>
      <c r="R9" s="49" t="s">
        <v>181</v>
      </c>
      <c r="S9" s="183" t="s">
        <v>184</v>
      </c>
      <c r="T9">
        <f>IFERROR(VLOOKUP(Tabla3[[#This Row],[Epica]],Parametros!$D$17:$E$51,2,0),"")</f>
        <v>2</v>
      </c>
    </row>
    <row r="10" spans="1:20" ht="15.75" x14ac:dyDescent="0.25">
      <c r="A10">
        <v>8</v>
      </c>
      <c r="B10" t="s">
        <v>153</v>
      </c>
      <c r="C10">
        <f>+Tabla3[[#This Row],[Prioridad]]</f>
        <v>8</v>
      </c>
      <c r="D10" s="43" t="str">
        <f>+CONCATENATE(Tabla3[[#This Row],[Responsable]],"00",Tabla3[[#This Row],[Id]])</f>
        <v>YhonV008</v>
      </c>
      <c r="E10" s="16">
        <f>+VLOOKUP(Tabla3[[#This Row],[Responsable]],Clientes[],3,0)</f>
        <v>8</v>
      </c>
      <c r="F10" s="29" t="s">
        <v>207</v>
      </c>
      <c r="G10" s="48" t="s">
        <v>204</v>
      </c>
      <c r="H10" s="44" t="str">
        <f>+CONCATENATE(Tabla3[[#This Row],[Num_Ticket]]," ",Tabla3[[#This Row],[Descripción]])</f>
        <v>T-008 Documentar Historias de Usuario</v>
      </c>
      <c r="I10" s="5" t="s">
        <v>120</v>
      </c>
      <c r="J10" s="30">
        <v>44452</v>
      </c>
      <c r="K10" s="30" t="str">
        <f>+Sprint_Backlog!P48</f>
        <v/>
      </c>
      <c r="L10" s="30"/>
      <c r="P10" t="s">
        <v>176</v>
      </c>
      <c r="Q10" t="s">
        <v>158</v>
      </c>
      <c r="R10" s="49" t="s">
        <v>181</v>
      </c>
      <c r="S10" s="184" t="s">
        <v>185</v>
      </c>
      <c r="T10" s="45">
        <f>IFERROR(VLOOKUP(Tabla3[[#This Row],[Epica]],Parametros!$D$17:$E$51,2,0),"")</f>
        <v>3</v>
      </c>
    </row>
    <row r="11" spans="1:20" ht="15.75" x14ac:dyDescent="0.25">
      <c r="A11">
        <v>9</v>
      </c>
      <c r="B11" t="s">
        <v>153</v>
      </c>
      <c r="C11">
        <f>+Tabla3[[#This Row],[Prioridad]]</f>
        <v>9</v>
      </c>
      <c r="D11" s="43" t="str">
        <f>+CONCATENATE(Tabla3[[#This Row],[Responsable]],"00",Tabla3[[#This Row],[Id]])</f>
        <v>YhonV009</v>
      </c>
      <c r="E11" s="16">
        <f>+VLOOKUP(Tabla3[[#This Row],[Responsable]],Clientes[],3,0)</f>
        <v>8</v>
      </c>
      <c r="F11" s="29" t="s">
        <v>208</v>
      </c>
      <c r="G11" s="48" t="s">
        <v>205</v>
      </c>
      <c r="H11" s="44" t="str">
        <f>+CONCATENATE(Tabla3[[#This Row],[Num_Ticket]]," ",Tabla3[[#This Row],[Descripción]])</f>
        <v>T-009 Documentar Requerimientos Funcionales</v>
      </c>
      <c r="I11" s="5" t="s">
        <v>120</v>
      </c>
      <c r="J11" s="30">
        <v>44452</v>
      </c>
      <c r="K11" s="30">
        <f>+Sprint_Backlog!P49</f>
        <v>0</v>
      </c>
      <c r="L11" s="30"/>
      <c r="P11" t="s">
        <v>176</v>
      </c>
      <c r="Q11" t="s">
        <v>158</v>
      </c>
      <c r="R11" s="49" t="s">
        <v>181</v>
      </c>
      <c r="S11" s="184" t="s">
        <v>185</v>
      </c>
      <c r="T11" s="45">
        <f>IFERROR(VLOOKUP(Tabla3[[#This Row],[Epica]],Parametros!$D$17:$E$51,2,0),"")</f>
        <v>3</v>
      </c>
    </row>
    <row r="12" spans="1:20" ht="15.75" x14ac:dyDescent="0.25">
      <c r="A12">
        <v>10</v>
      </c>
      <c r="B12" t="s">
        <v>154</v>
      </c>
      <c r="C12">
        <f>+Tabla3[[#This Row],[Prioridad]]</f>
        <v>10</v>
      </c>
      <c r="D12" s="43" t="str">
        <f>+CONCATENATE(Tabla3[[#This Row],[Responsable]],"00",Tabla3[[#This Row],[Id]])</f>
        <v>JuanC0010</v>
      </c>
      <c r="E12" s="16"/>
      <c r="F12" s="29" t="s">
        <v>210</v>
      </c>
      <c r="G12" s="48" t="s">
        <v>209</v>
      </c>
      <c r="H12" s="44" t="str">
        <f>+CONCATENATE(Tabla3[[#This Row],[Num_Ticket]]," ",Tabla3[[#This Row],[Descripción]])</f>
        <v>T-010 Documentar Requerimientos No Funcionales</v>
      </c>
      <c r="I12" s="32" t="s">
        <v>120</v>
      </c>
      <c r="J12" s="30">
        <v>44454</v>
      </c>
      <c r="K12" s="30">
        <f>+Sprint_Backlog!P50</f>
        <v>0</v>
      </c>
      <c r="L12" s="30"/>
      <c r="P12" t="s">
        <v>176</v>
      </c>
      <c r="Q12" t="s">
        <v>158</v>
      </c>
      <c r="R12" s="49" t="s">
        <v>181</v>
      </c>
      <c r="S12" s="184" t="s">
        <v>185</v>
      </c>
      <c r="T12" s="45">
        <f>IFERROR(VLOOKUP(Tabla3[[#This Row],[Epica]],Parametros!$D$17:$E$51,2,0),"")</f>
        <v>3</v>
      </c>
    </row>
    <row r="13" spans="1:20" ht="15.75" x14ac:dyDescent="0.25">
      <c r="A13">
        <v>11</v>
      </c>
      <c r="B13" t="s">
        <v>151</v>
      </c>
      <c r="C13">
        <f>+Tabla3[[#This Row],[Prioridad]]</f>
        <v>11</v>
      </c>
      <c r="D13" s="43" t="str">
        <f>+CONCATENATE(Tabla3[[#This Row],[Responsable]],"00",Tabla3[[#This Row],[Id]])</f>
        <v>TatianaR0011</v>
      </c>
      <c r="E13" s="16"/>
      <c r="F13" s="29" t="s">
        <v>212</v>
      </c>
      <c r="G13" s="48" t="s">
        <v>211</v>
      </c>
      <c r="H13" s="44" t="str">
        <f>+CONCATENATE(Tabla3[[#This Row],[Num_Ticket]]," ",Tabla3[[#This Row],[Descripción]])</f>
        <v>T-011 Consolidar documento entregable</v>
      </c>
      <c r="I13" s="32" t="s">
        <v>120</v>
      </c>
      <c r="J13" s="30">
        <v>44455</v>
      </c>
      <c r="K13" s="30">
        <f>+Sprint_Backlog!P51</f>
        <v>0</v>
      </c>
      <c r="L13" s="30"/>
      <c r="P13" t="s">
        <v>176</v>
      </c>
      <c r="Q13" t="s">
        <v>158</v>
      </c>
      <c r="R13" s="49" t="s">
        <v>181</v>
      </c>
      <c r="S13" s="184" t="s">
        <v>185</v>
      </c>
      <c r="T13" s="45">
        <f>IFERROR(VLOOKUP(Tabla3[[#This Row],[Epica]],Parametros!$D$17:$E$51,2,0),"")</f>
        <v>3</v>
      </c>
    </row>
    <row r="14" spans="1:20" ht="15.75" x14ac:dyDescent="0.25">
      <c r="A14">
        <v>12</v>
      </c>
      <c r="B14" t="s">
        <v>150</v>
      </c>
      <c r="C14">
        <f>+Tabla3[[#This Row],[Prioridad]]</f>
        <v>12</v>
      </c>
      <c r="D14" s="43" t="str">
        <f>+CONCATENATE(Tabla3[[#This Row],[Responsable]],"00",Tabla3[[#This Row],[Id]])</f>
        <v>EdwinV0012</v>
      </c>
      <c r="E14" s="16"/>
      <c r="F14" s="29" t="s">
        <v>214</v>
      </c>
      <c r="G14" s="48" t="s">
        <v>216</v>
      </c>
      <c r="H14" s="44" t="str">
        <f>+CONCATENATE(Tabla3[[#This Row],[Num_Ticket]]," ",Tabla3[[#This Row],[Descripción]])</f>
        <v>T-012 Cargar documento Sprint 3 - Curso</v>
      </c>
      <c r="I14" s="32" t="s">
        <v>120</v>
      </c>
      <c r="J14" s="30">
        <v>44455</v>
      </c>
      <c r="K14" s="30" t="str">
        <f>+Sprint_Backlog!P47</f>
        <v/>
      </c>
      <c r="L14" s="30"/>
      <c r="P14" t="s">
        <v>176</v>
      </c>
      <c r="Q14" t="s">
        <v>158</v>
      </c>
      <c r="R14" s="49" t="s">
        <v>182</v>
      </c>
      <c r="S14" s="184" t="s">
        <v>174</v>
      </c>
      <c r="T14" s="45">
        <f>IFERROR(VLOOKUP(Tabla3[[#This Row],[Epica]],Parametros!$D$17:$E$51,2,0),"")</f>
        <v>14</v>
      </c>
    </row>
    <row r="15" spans="1:20" ht="15.75" x14ac:dyDescent="0.25">
      <c r="A15">
        <v>13</v>
      </c>
      <c r="B15" t="s">
        <v>150</v>
      </c>
      <c r="C15">
        <f>+Tabla3[[#This Row],[Prioridad]]</f>
        <v>13</v>
      </c>
      <c r="D15" s="43" t="str">
        <f>+CONCATENATE(Tabla3[[#This Row],[Responsable]],"00",Tabla3[[#This Row],[Id]])</f>
        <v>EdwinV0013</v>
      </c>
      <c r="E15" s="16"/>
      <c r="F15" s="29" t="s">
        <v>218</v>
      </c>
      <c r="G15" s="48" t="s">
        <v>213</v>
      </c>
      <c r="H15" s="44" t="str">
        <f>+CONCATENATE(Tabla3[[#This Row],[Num_Ticket]]," ",Tabla3[[#This Row],[Descripción]])</f>
        <v>T-013 Consolidar documento seguimiento Sprint 3</v>
      </c>
      <c r="I15" s="32" t="s">
        <v>120</v>
      </c>
      <c r="J15" s="30">
        <v>44456</v>
      </c>
      <c r="K15" s="30">
        <f>+Sprint_Backlog!P52</f>
        <v>0</v>
      </c>
      <c r="L15" s="30"/>
      <c r="P15" t="s">
        <v>176</v>
      </c>
      <c r="Q15" t="s">
        <v>158</v>
      </c>
      <c r="R15" s="49" t="s">
        <v>183</v>
      </c>
      <c r="S15" s="184" t="s">
        <v>174</v>
      </c>
      <c r="T15" s="45">
        <f>IFERROR(VLOOKUP(Tabla3[[#This Row],[Epica]],Parametros!$D$17:$E$51,2,0),"")</f>
        <v>14</v>
      </c>
    </row>
    <row r="16" spans="1:20" ht="15.75" x14ac:dyDescent="0.25">
      <c r="A16">
        <v>14</v>
      </c>
      <c r="B16" t="s">
        <v>150</v>
      </c>
      <c r="C16">
        <f>+Tabla3[[#This Row],[Prioridad]]</f>
        <v>14</v>
      </c>
      <c r="D16" s="43" t="str">
        <f>+CONCATENATE(Tabla3[[#This Row],[Responsable]],"00",Tabla3[[#This Row],[Id]])</f>
        <v>EdwinV0014</v>
      </c>
      <c r="E16" s="16"/>
      <c r="F16" s="29" t="s">
        <v>219</v>
      </c>
      <c r="G16" s="48" t="s">
        <v>217</v>
      </c>
      <c r="H16" s="44" t="str">
        <f>+CONCATENATE(Tabla3[[#This Row],[Num_Ticket]]," ",Tabla3[[#This Row],[Descripción]])</f>
        <v>T-014 Cargar evidencia para seguimiento</v>
      </c>
      <c r="I16" s="32" t="s">
        <v>120</v>
      </c>
      <c r="J16" s="30">
        <v>44456</v>
      </c>
      <c r="K16" s="30" t="str">
        <f>+Sprint_Backlog!P47</f>
        <v/>
      </c>
      <c r="L16" s="30"/>
      <c r="P16" t="s">
        <v>176</v>
      </c>
      <c r="Q16" t="s">
        <v>158</v>
      </c>
      <c r="R16" s="49" t="s">
        <v>183</v>
      </c>
      <c r="S16" s="184" t="s">
        <v>174</v>
      </c>
      <c r="T16" s="45">
        <f>IFERROR(VLOOKUP(Tabla3[[#This Row],[Epica]],Parametros!$D$17:$E$51,2,0),"")</f>
        <v>14</v>
      </c>
    </row>
    <row r="17" spans="1:20" ht="15.75" x14ac:dyDescent="0.25">
      <c r="A17">
        <v>15</v>
      </c>
      <c r="B17" t="s">
        <v>155</v>
      </c>
      <c r="C17">
        <f>+Tabla3[[#This Row],[Prioridad]]</f>
        <v>15</v>
      </c>
      <c r="D17" s="43" t="str">
        <f>+CONCATENATE(Tabla3[[#This Row],[Responsable]],"00",Tabla3[[#This Row],[Id]])</f>
        <v>EQUIPO0015</v>
      </c>
      <c r="E17" s="16"/>
      <c r="F17" s="29" t="s">
        <v>232</v>
      </c>
      <c r="G17" s="48" t="s">
        <v>233</v>
      </c>
      <c r="H17" s="44" t="str">
        <f>+CONCATENATE(Tabla3[[#This Row],[Num_Ticket]]," ",Tabla3[[#This Row],[Descripción]])</f>
        <v>T-019 Planeación Sprint 4 -Diseños</v>
      </c>
      <c r="I17" s="32" t="s">
        <v>39</v>
      </c>
      <c r="J17" s="30">
        <v>44459</v>
      </c>
      <c r="K17" s="30">
        <f>+Sprint_Backlog!P51</f>
        <v>0</v>
      </c>
      <c r="L17" s="30"/>
      <c r="P17" t="s">
        <v>176</v>
      </c>
      <c r="Q17" t="s">
        <v>159</v>
      </c>
      <c r="R17" s="49" t="s">
        <v>181</v>
      </c>
      <c r="S17" s="184" t="s">
        <v>170</v>
      </c>
      <c r="T17" s="45">
        <f>IFERROR(VLOOKUP(Tabla3[[#This Row],[Epica]],Parametros!$D$17:$E$51,2,0),"")</f>
        <v>1</v>
      </c>
    </row>
    <row r="18" spans="1:20" ht="15.75" x14ac:dyDescent="0.25">
      <c r="A18">
        <v>16</v>
      </c>
      <c r="B18" t="s">
        <v>152</v>
      </c>
      <c r="C18">
        <f>+Tabla3[[#This Row],[Prioridad]]</f>
        <v>16</v>
      </c>
      <c r="D18" s="43" t="str">
        <f>+CONCATENATE(Tabla3[[#This Row],[Responsable]],"00",Tabla3[[#This Row],[Id]])</f>
        <v>JhonB0016</v>
      </c>
      <c r="E18" s="16"/>
      <c r="F18" s="29" t="s">
        <v>221</v>
      </c>
      <c r="G18" s="48" t="s">
        <v>222</v>
      </c>
      <c r="H18" s="44" t="str">
        <f>+CONCATENATE(Tabla3[[#This Row],[Num_Ticket]]," ",Tabla3[[#This Row],[Descripción]])</f>
        <v>T-015 Crear Diagrama Entidad -Relación</v>
      </c>
      <c r="I18" s="32" t="s">
        <v>120</v>
      </c>
      <c r="J18" s="30">
        <v>44459</v>
      </c>
      <c r="K18" s="30" t="str">
        <f>+Sprint_Backlog!P47</f>
        <v/>
      </c>
      <c r="L18" s="30"/>
      <c r="P18" t="s">
        <v>176</v>
      </c>
      <c r="Q18" t="s">
        <v>159</v>
      </c>
      <c r="R18" s="49" t="s">
        <v>181</v>
      </c>
      <c r="S18" s="184" t="s">
        <v>187</v>
      </c>
      <c r="T18" s="45">
        <f>IFERROR(VLOOKUP(Tabla3[[#This Row],[Epica]],Parametros!$D$17:$E$51,2,0),"")</f>
        <v>5</v>
      </c>
    </row>
    <row r="19" spans="1:20" ht="15.75" x14ac:dyDescent="0.25">
      <c r="A19">
        <v>17</v>
      </c>
      <c r="B19" t="s">
        <v>154</v>
      </c>
      <c r="C19">
        <f>+Tabla3[[#This Row],[Prioridad]]</f>
        <v>17</v>
      </c>
      <c r="D19" s="43" t="str">
        <f>+CONCATENATE(Tabla3[[#This Row],[Responsable]],"00",Tabla3[[#This Row],[Id]])</f>
        <v>JuanC0017</v>
      </c>
      <c r="E19" s="16"/>
      <c r="F19" s="29" t="s">
        <v>225</v>
      </c>
      <c r="G19" s="48" t="s">
        <v>223</v>
      </c>
      <c r="H19" s="44" t="str">
        <f>+CONCATENATE(Tabla3[[#This Row],[Num_Ticket]]," ",Tabla3[[#This Row],[Descripción]])</f>
        <v>T-017 Generar Script creación base de datos</v>
      </c>
      <c r="I19" s="32" t="s">
        <v>120</v>
      </c>
      <c r="J19" s="30">
        <v>44459</v>
      </c>
      <c r="K19" s="30" t="str">
        <f>+Sprint_Backlog!P48</f>
        <v/>
      </c>
      <c r="L19" s="30"/>
      <c r="P19" t="s">
        <v>176</v>
      </c>
      <c r="Q19" t="s">
        <v>159</v>
      </c>
      <c r="R19" s="49" t="s">
        <v>181</v>
      </c>
      <c r="S19" s="184" t="s">
        <v>187</v>
      </c>
      <c r="T19" s="45">
        <f>IFERROR(VLOOKUP(Tabla3[[#This Row],[Epica]],Parametros!$D$17:$E$51,2,0),"")</f>
        <v>5</v>
      </c>
    </row>
    <row r="20" spans="1:20" ht="15.75" x14ac:dyDescent="0.25">
      <c r="A20">
        <v>18</v>
      </c>
      <c r="B20" t="s">
        <v>153</v>
      </c>
      <c r="C20">
        <f>+Tabla3[[#This Row],[Prioridad]]</f>
        <v>18</v>
      </c>
      <c r="D20" s="43" t="str">
        <f>+CONCATENATE(Tabla3[[#This Row],[Responsable]],"00",Tabla3[[#This Row],[Id]])</f>
        <v>YhonV0018</v>
      </c>
      <c r="E20" s="16"/>
      <c r="F20" s="29" t="s">
        <v>226</v>
      </c>
      <c r="G20" s="48" t="s">
        <v>228</v>
      </c>
      <c r="H20" s="44" t="str">
        <f>+CONCATENATE(Tabla3[[#This Row],[Num_Ticket]]," ",Tabla3[[#This Row],[Descripción]])</f>
        <v>T-018 Diseñar formato de reportes</v>
      </c>
      <c r="I20" s="32"/>
      <c r="J20" s="30">
        <v>44460</v>
      </c>
      <c r="K20" s="30">
        <f>+Sprint_Backlog!P49</f>
        <v>0</v>
      </c>
      <c r="L20" s="30"/>
      <c r="P20" t="s">
        <v>176</v>
      </c>
      <c r="Q20" t="s">
        <v>159</v>
      </c>
      <c r="R20" s="49" t="s">
        <v>181</v>
      </c>
      <c r="S20" s="184" t="s">
        <v>229</v>
      </c>
      <c r="T20" s="45">
        <f>IFERROR(VLOOKUP(Tabla3[[#This Row],[Epica]],Parametros!$D$17:$E$51,2,0),"")</f>
        <v>6</v>
      </c>
    </row>
    <row r="21" spans="1:20" ht="15.75" x14ac:dyDescent="0.25">
      <c r="A21">
        <v>19</v>
      </c>
      <c r="B21" t="s">
        <v>150</v>
      </c>
      <c r="C21">
        <f>+Tabla3[[#This Row],[Prioridad]]</f>
        <v>19</v>
      </c>
      <c r="D21" s="43" t="str">
        <f>+CONCATENATE(Tabla3[[#This Row],[Responsable]],"00",Tabla3[[#This Row],[Id]])</f>
        <v>EdwinV0019</v>
      </c>
      <c r="E21" s="16"/>
      <c r="F21" s="29" t="s">
        <v>234</v>
      </c>
      <c r="G21" s="48" t="s">
        <v>262</v>
      </c>
      <c r="H21" s="44" t="str">
        <f>+CONCATENATE(Tabla3[[#This Row],[Num_Ticket]]," ",Tabla3[[#This Row],[Descripción]])</f>
        <v>T-020 Consolidar documento seguimiento Sprint 2</v>
      </c>
      <c r="I21" s="32"/>
      <c r="J21" s="30">
        <v>44459</v>
      </c>
      <c r="K21" s="30" t="str">
        <f>+Sprint_Backlog!P48</f>
        <v/>
      </c>
      <c r="L21" s="30"/>
      <c r="P21" t="s">
        <v>176</v>
      </c>
      <c r="Q21" t="s">
        <v>159</v>
      </c>
      <c r="R21" s="49" t="s">
        <v>183</v>
      </c>
      <c r="S21" s="184" t="s">
        <v>174</v>
      </c>
      <c r="T21" s="45">
        <f>IFERROR(VLOOKUP(Tabla3[[#This Row],[Epica]],Parametros!$D$17:$E$51,2,0),"")</f>
        <v>14</v>
      </c>
    </row>
    <row r="22" spans="1:20" ht="15.75" x14ac:dyDescent="0.25">
      <c r="A22">
        <v>20</v>
      </c>
      <c r="B22" t="s">
        <v>150</v>
      </c>
      <c r="C22">
        <f>+Tabla3[[#This Row],[Prioridad]]</f>
        <v>20</v>
      </c>
      <c r="D22" s="43" t="str">
        <f>+CONCATENATE(Tabla3[[#This Row],[Responsable]],"00",Tabla3[[#This Row],[Id]])</f>
        <v>EdwinV0020</v>
      </c>
      <c r="E22" s="16"/>
      <c r="F22" s="29" t="s">
        <v>250</v>
      </c>
      <c r="G22" s="48" t="s">
        <v>217</v>
      </c>
      <c r="H22" s="44" t="str">
        <f>+CONCATENATE(Tabla3[[#This Row],[Num_Ticket]]," ",Tabla3[[#This Row],[Descripción]])</f>
        <v>T-021_0 Cargar evidencia para seguimiento</v>
      </c>
      <c r="I22" s="32"/>
      <c r="J22" s="30">
        <v>44459</v>
      </c>
      <c r="K22" s="30" t="str">
        <f>+Sprint_Backlog!P48</f>
        <v/>
      </c>
      <c r="L22" s="30"/>
      <c r="P22" t="s">
        <v>176</v>
      </c>
      <c r="Q22" t="s">
        <v>159</v>
      </c>
      <c r="R22" s="49" t="s">
        <v>183</v>
      </c>
      <c r="S22" s="184" t="s">
        <v>174</v>
      </c>
      <c r="T22" s="45">
        <f>IFERROR(VLOOKUP(Tabla3[[#This Row],[Epica]],Parametros!$D$17:$E$51,2,0),"")</f>
        <v>14</v>
      </c>
    </row>
    <row r="23" spans="1:20" ht="30" x14ac:dyDescent="0.25">
      <c r="A23">
        <v>21</v>
      </c>
      <c r="B23" t="s">
        <v>155</v>
      </c>
      <c r="C23">
        <f>+Tabla3[[#This Row],[Prioridad]]</f>
        <v>21</v>
      </c>
      <c r="D23" s="43" t="str">
        <f>+CONCATENATE(Tabla3[[#This Row],[Responsable]],"00",Tabla3[[#This Row],[Id]])</f>
        <v>EQUIPO0021</v>
      </c>
      <c r="E23" s="16"/>
      <c r="F23" s="45" t="str">
        <f>+CONCATENATE("T-0",Tabla3[[#This Row],[Prioridad]])</f>
        <v>T-021</v>
      </c>
      <c r="G23" s="48" t="s">
        <v>248</v>
      </c>
      <c r="H23" s="44" t="str">
        <f>+CONCATENATE(Tabla3[[#This Row],[Num_Ticket]]," ",Tabla3[[#This Row],[Descripción]])</f>
        <v>T-021 Planeación Sprint 3 - Interfaz Gráfica y Capa de Dominio</v>
      </c>
      <c r="I23" s="32" t="s">
        <v>39</v>
      </c>
      <c r="J23" s="30">
        <v>44464</v>
      </c>
      <c r="K23" s="30">
        <f>+Sprint_Backlog!P59</f>
        <v>0</v>
      </c>
      <c r="L23" s="30"/>
      <c r="N23">
        <v>2</v>
      </c>
      <c r="P23" t="s">
        <v>176</v>
      </c>
      <c r="Q23" t="s">
        <v>160</v>
      </c>
      <c r="R23" s="49" t="s">
        <v>181</v>
      </c>
      <c r="S23" s="184" t="s">
        <v>170</v>
      </c>
      <c r="T23" s="45">
        <f>IFERROR(VLOOKUP(Tabla3[[#This Row],[Epica]],Parametros!$D$17:$E$51,2,0),"")</f>
        <v>1</v>
      </c>
    </row>
    <row r="24" spans="1:20" ht="15.75" x14ac:dyDescent="0.25">
      <c r="A24">
        <v>22</v>
      </c>
      <c r="B24" t="s">
        <v>155</v>
      </c>
      <c r="C24">
        <f>+Tabla3[[#This Row],[Prioridad]]</f>
        <v>22</v>
      </c>
      <c r="D24" s="43" t="str">
        <f>+CONCATENATE(Tabla3[[#This Row],[Responsable]],"00",Tabla3[[#This Row],[Id]])</f>
        <v>EQUIPO0022</v>
      </c>
      <c r="E24" s="16"/>
      <c r="F24" s="45" t="str">
        <f>+CONCATENATE("T-0",Tabla3[[#This Row],[Prioridad]])</f>
        <v>T-022</v>
      </c>
      <c r="G24" s="48" t="s">
        <v>227</v>
      </c>
      <c r="H24" s="44" t="str">
        <f>+CONCATENATE(Tabla3[[#This Row],[Num_Ticket]]," ",Tabla3[[#This Row],[Descripción]])</f>
        <v>T-022 Crear prototipos de las funcionalidades</v>
      </c>
      <c r="I24" s="32" t="s">
        <v>120</v>
      </c>
      <c r="J24" s="30">
        <v>44466</v>
      </c>
      <c r="K24" s="30">
        <f>+Sprint_Backlog!P49</f>
        <v>0</v>
      </c>
      <c r="L24" s="30"/>
      <c r="N24">
        <v>4</v>
      </c>
      <c r="P24" t="s">
        <v>176</v>
      </c>
      <c r="Q24" t="s">
        <v>160</v>
      </c>
      <c r="R24" s="49" t="s">
        <v>181</v>
      </c>
      <c r="S24" s="184" t="s">
        <v>229</v>
      </c>
      <c r="T24" s="45">
        <f>IFERROR(VLOOKUP(Tabla3[[#This Row],[Epica]],Parametros!$D$17:$E$51,2,0),"")</f>
        <v>6</v>
      </c>
    </row>
    <row r="25" spans="1:20" ht="15.75" x14ac:dyDescent="0.25">
      <c r="A25">
        <v>23</v>
      </c>
      <c r="B25" t="s">
        <v>155</v>
      </c>
      <c r="C25">
        <f>+Tabla3[[#This Row],[Prioridad]]</f>
        <v>23</v>
      </c>
      <c r="D25" s="43" t="str">
        <f>+CONCATENATE(Tabla3[[#This Row],[Responsable]],"00",Tabla3[[#This Row],[Id]])</f>
        <v>EQUIPO0023</v>
      </c>
      <c r="E25" s="16"/>
      <c r="F25" s="45" t="str">
        <f>+CONCATENATE("T-0",Tabla3[[#This Row],[Prioridad]])</f>
        <v>T-023</v>
      </c>
      <c r="G25" s="48" t="s">
        <v>240</v>
      </c>
      <c r="H25" s="44" t="str">
        <f>+CONCATENATE(Tabla3[[#This Row],[Num_Ticket]]," ",Tabla3[[#This Row],[Descripción]])</f>
        <v>T-023 Crear repositorio del código para Interfaz Gráfica</v>
      </c>
      <c r="I25" s="32" t="s">
        <v>120</v>
      </c>
      <c r="J25" s="30">
        <v>44464</v>
      </c>
      <c r="K25" s="30">
        <f>+Sprint_Backlog!P51</f>
        <v>0</v>
      </c>
      <c r="L25" s="30"/>
      <c r="N25">
        <v>1</v>
      </c>
      <c r="P25" t="s">
        <v>176</v>
      </c>
      <c r="Q25" t="s">
        <v>160</v>
      </c>
      <c r="R25" s="49" t="s">
        <v>181</v>
      </c>
      <c r="S25" s="184" t="s">
        <v>189</v>
      </c>
      <c r="T25" s="45">
        <f>IFERROR(VLOOKUP(Tabla3[[#This Row],[Epica]],Parametros!$D$17:$E$51,2,0),"")</f>
        <v>8</v>
      </c>
    </row>
    <row r="26" spans="1:20" ht="15.75" x14ac:dyDescent="0.25">
      <c r="A26">
        <v>24</v>
      </c>
      <c r="B26" t="s">
        <v>155</v>
      </c>
      <c r="C26">
        <f>+Tabla3[[#This Row],[Prioridad]]</f>
        <v>24</v>
      </c>
      <c r="D26" s="43" t="str">
        <f>+CONCATENATE(Tabla3[[#This Row],[Responsable]],"00",Tabla3[[#This Row],[Id]])</f>
        <v>EQUIPO0024</v>
      </c>
      <c r="E26" s="16"/>
      <c r="F26" s="45" t="str">
        <f>+CONCATENATE("T-0",Tabla3[[#This Row],[Prioridad]])</f>
        <v>T-024</v>
      </c>
      <c r="G26" s="48" t="s">
        <v>241</v>
      </c>
      <c r="H26" s="44" t="str">
        <f>+CONCATENATE(Tabla3[[#This Row],[Num_Ticket]]," ",Tabla3[[#This Row],[Descripción]])</f>
        <v>T-024 Crear repositorio del código para Capa de Dominio</v>
      </c>
      <c r="I26" s="32" t="s">
        <v>120</v>
      </c>
      <c r="J26" s="30">
        <v>44464</v>
      </c>
      <c r="K26" s="30">
        <f>+Sprint_Backlog!P51</f>
        <v>0</v>
      </c>
      <c r="L26" s="30"/>
      <c r="N26">
        <v>1</v>
      </c>
      <c r="P26" t="s">
        <v>176</v>
      </c>
      <c r="Q26" t="s">
        <v>160</v>
      </c>
      <c r="R26" s="49" t="s">
        <v>181</v>
      </c>
      <c r="S26" s="184" t="s">
        <v>189</v>
      </c>
      <c r="T26" s="45">
        <f>IFERROR(VLOOKUP(Tabla3[[#This Row],[Epica]],Parametros!$D$17:$E$51,2,0),"")</f>
        <v>8</v>
      </c>
    </row>
    <row r="27" spans="1:20" ht="15.75" x14ac:dyDescent="0.25">
      <c r="A27">
        <v>25</v>
      </c>
      <c r="B27" t="s">
        <v>155</v>
      </c>
      <c r="C27">
        <f>+Tabla3[[#This Row],[Prioridad]]</f>
        <v>25</v>
      </c>
      <c r="D27" s="43" t="str">
        <f>+CONCATENATE(Tabla3[[#This Row],[Responsable]],"00",Tabla3[[#This Row],[Id]])</f>
        <v>EQUIPO0025</v>
      </c>
      <c r="E27" s="16"/>
      <c r="F27" s="45" t="str">
        <f>+CONCATENATE("T-0",Tabla3[[#This Row],[Prioridad]])</f>
        <v>T-025</v>
      </c>
      <c r="G27" s="48" t="s">
        <v>237</v>
      </c>
      <c r="H27" s="44" t="str">
        <f>+CONCATENATE(Tabla3[[#This Row],[Num_Ticket]]," ",Tabla3[[#This Row],[Descripción]])</f>
        <v>T-025 Asegurar integridad de Datos</v>
      </c>
      <c r="I27" s="32" t="s">
        <v>120</v>
      </c>
      <c r="J27" s="30">
        <v>44464</v>
      </c>
      <c r="K27" s="30" t="str">
        <f>+Sprint_Backlog!P48</f>
        <v/>
      </c>
      <c r="L27" s="30"/>
      <c r="N27">
        <v>2</v>
      </c>
      <c r="P27" t="s">
        <v>176</v>
      </c>
      <c r="Q27" t="s">
        <v>160</v>
      </c>
      <c r="R27" s="49" t="s">
        <v>181</v>
      </c>
      <c r="S27" s="184" t="s">
        <v>190</v>
      </c>
      <c r="T27" s="45">
        <f>IFERROR(VLOOKUP(Tabla3[[#This Row],[Epica]],Parametros!$D$17:$E$51,2,0),"")</f>
        <v>9</v>
      </c>
    </row>
    <row r="28" spans="1:20" ht="32.25" customHeight="1" x14ac:dyDescent="0.25">
      <c r="A28">
        <v>26</v>
      </c>
      <c r="B28" t="s">
        <v>155</v>
      </c>
      <c r="C28">
        <f>+Tabla3[[#This Row],[Prioridad]]</f>
        <v>26</v>
      </c>
      <c r="D28" s="43" t="str">
        <f>+CONCATENATE(Tabla3[[#This Row],[Responsable]],"00",Tabla3[[#This Row],[Id]])</f>
        <v>EQUIPO0026</v>
      </c>
      <c r="E28" s="16"/>
      <c r="F28" s="45" t="str">
        <f>+CONCATENATE("T-0",Tabla3[[#This Row],[Prioridad]])</f>
        <v>T-026</v>
      </c>
      <c r="G28" s="48" t="s">
        <v>238</v>
      </c>
      <c r="H28" s="44" t="str">
        <f>+CONCATENATE(Tabla3[[#This Row],[Num_Ticket]]," ",Tabla3[[#This Row],[Descripción]])</f>
        <v>T-026 Generar Insert a la Base de Datos</v>
      </c>
      <c r="I28" s="32" t="s">
        <v>120</v>
      </c>
      <c r="J28" s="30">
        <v>44464</v>
      </c>
      <c r="K28" s="30" t="str">
        <f>+Sprint_Backlog!P48</f>
        <v/>
      </c>
      <c r="L28" s="30"/>
      <c r="N28">
        <v>1</v>
      </c>
      <c r="P28" t="s">
        <v>176</v>
      </c>
      <c r="Q28" t="s">
        <v>160</v>
      </c>
      <c r="R28" s="49" t="s">
        <v>181</v>
      </c>
      <c r="S28" s="184" t="s">
        <v>190</v>
      </c>
      <c r="T28" s="45">
        <f>IFERROR(VLOOKUP(Tabla3[[#This Row],[Epica]],Parametros!$D$17:$E$51,2,0),"")</f>
        <v>9</v>
      </c>
    </row>
    <row r="29" spans="1:20" ht="15.75" x14ac:dyDescent="0.25">
      <c r="A29">
        <v>27</v>
      </c>
      <c r="B29" t="s">
        <v>155</v>
      </c>
      <c r="C29">
        <f>+Tabla3[[#This Row],[Prioridad]]</f>
        <v>27</v>
      </c>
      <c r="D29" s="43" t="str">
        <f>+CONCATENATE(Tabla3[[#This Row],[Responsable]],"00",Tabla3[[#This Row],[Id]])</f>
        <v>EQUIPO0027</v>
      </c>
      <c r="E29" s="16"/>
      <c r="F29" s="45" t="str">
        <f>+CONCATENATE("T-0",Tabla3[[#This Row],[Prioridad]])</f>
        <v>T-027</v>
      </c>
      <c r="G29" s="48" t="s">
        <v>239</v>
      </c>
      <c r="H29" s="44" t="str">
        <f>+CONCATENATE(Tabla3[[#This Row],[Num_Ticket]]," ",Tabla3[[#This Row],[Descripción]])</f>
        <v>T-027 Generar Consultas a la Base de Datos</v>
      </c>
      <c r="I29" s="32" t="s">
        <v>120</v>
      </c>
      <c r="J29" s="30">
        <v>44464</v>
      </c>
      <c r="K29" s="30" t="str">
        <f>+Sprint_Backlog!P48</f>
        <v/>
      </c>
      <c r="L29" s="30"/>
      <c r="N29">
        <v>1</v>
      </c>
      <c r="P29" t="s">
        <v>176</v>
      </c>
      <c r="Q29" t="s">
        <v>160</v>
      </c>
      <c r="R29" s="49" t="s">
        <v>181</v>
      </c>
      <c r="S29" s="184" t="s">
        <v>190</v>
      </c>
      <c r="T29" s="45">
        <f>IFERROR(VLOOKUP(Tabla3[[#This Row],[Epica]],Parametros!$D$17:$E$51,2,0),"")</f>
        <v>9</v>
      </c>
    </row>
    <row r="30" spans="1:20" ht="30" x14ac:dyDescent="0.25">
      <c r="A30">
        <v>28</v>
      </c>
      <c r="B30" t="s">
        <v>155</v>
      </c>
      <c r="C30">
        <f>+Tabla3[[#This Row],[Prioridad]]</f>
        <v>28</v>
      </c>
      <c r="D30" s="43" t="str">
        <f>+CONCATENATE(Tabla3[[#This Row],[Responsable]],"00",Tabla3[[#This Row],[Id]])</f>
        <v>EQUIPO0028</v>
      </c>
      <c r="E30" s="16"/>
      <c r="F30" s="45" t="str">
        <f>+CONCATENATE("T-0",Tabla3[[#This Row],[Prioridad]])</f>
        <v>T-028</v>
      </c>
      <c r="G30" s="48" t="s">
        <v>242</v>
      </c>
      <c r="H30" s="44" t="str">
        <f>+CONCATENATE(Tabla3[[#This Row],[Num_Ticket]]," ",Tabla3[[#This Row],[Descripción]])</f>
        <v>T-028 Crear documento líneamientos para diseñar y construir Interfaz Gráfica</v>
      </c>
      <c r="I30" s="32" t="s">
        <v>120</v>
      </c>
      <c r="J30" s="30">
        <v>44466</v>
      </c>
      <c r="K30" s="30">
        <f>+Sprint_Backlog!P51</f>
        <v>0</v>
      </c>
      <c r="L30" s="30"/>
      <c r="N30">
        <v>2</v>
      </c>
      <c r="P30" t="s">
        <v>176</v>
      </c>
      <c r="Q30" t="s">
        <v>160</v>
      </c>
      <c r="R30" s="49" t="s">
        <v>181</v>
      </c>
      <c r="S30" s="184" t="s">
        <v>189</v>
      </c>
      <c r="T30" s="45">
        <f>IFERROR(VLOOKUP(Tabla3[[#This Row],[Epica]],Parametros!$D$17:$E$51,2,0),"")</f>
        <v>8</v>
      </c>
    </row>
    <row r="31" spans="1:20" ht="28.5" customHeight="1" x14ac:dyDescent="0.25">
      <c r="A31">
        <v>29</v>
      </c>
      <c r="B31" t="s">
        <v>155</v>
      </c>
      <c r="C31">
        <f>+Tabla3[[#This Row],[Prioridad]]</f>
        <v>29</v>
      </c>
      <c r="D31" s="43" t="str">
        <f>+CONCATENATE(Tabla3[[#This Row],[Responsable]],"00",Tabla3[[#This Row],[Id]])</f>
        <v>EQUIPO0029</v>
      </c>
      <c r="E31" s="16"/>
      <c r="F31" s="45" t="str">
        <f>+CONCATENATE("T-0",Tabla3[[#This Row],[Prioridad]])</f>
        <v>T-029</v>
      </c>
      <c r="G31" s="48" t="s">
        <v>243</v>
      </c>
      <c r="H31" s="44" t="str">
        <f>+CONCATENATE(Tabla3[[#This Row],[Num_Ticket]]," ",Tabla3[[#This Row],[Descripción]])</f>
        <v>T-029 Crear documento líneamientos para diseñar y construir Capa de Dominio</v>
      </c>
      <c r="I31" s="32" t="s">
        <v>120</v>
      </c>
      <c r="J31" s="30">
        <v>44466</v>
      </c>
      <c r="K31" s="30">
        <f>+Sprint_Backlog!P61</f>
        <v>0</v>
      </c>
      <c r="L31" s="30"/>
      <c r="N31">
        <v>2</v>
      </c>
      <c r="P31" t="s">
        <v>176</v>
      </c>
      <c r="Q31" t="s">
        <v>160</v>
      </c>
      <c r="R31" s="49" t="s">
        <v>181</v>
      </c>
      <c r="S31" s="184" t="s">
        <v>189</v>
      </c>
      <c r="T31" s="45">
        <f>IFERROR(VLOOKUP(Tabla3[[#This Row],[Epica]],Parametros!$D$17:$E$51,2,0),"")</f>
        <v>8</v>
      </c>
    </row>
    <row r="32" spans="1:20" ht="15.75" x14ac:dyDescent="0.25">
      <c r="A32">
        <v>30</v>
      </c>
      <c r="B32" t="s">
        <v>155</v>
      </c>
      <c r="C32">
        <f>+Tabla3[[#This Row],[Prioridad]]</f>
        <v>30</v>
      </c>
      <c r="D32" s="43" t="str">
        <f>+CONCATENATE(Tabla3[[#This Row],[Responsable]],"00",Tabla3[[#This Row],[Id]])</f>
        <v>EQUIPO0030</v>
      </c>
      <c r="E32" s="16"/>
      <c r="F32" s="45" t="str">
        <f>+CONCATENATE("T-0",Tabla3[[#This Row],[Prioridad]])</f>
        <v>T-030</v>
      </c>
      <c r="G32" s="48" t="s">
        <v>244</v>
      </c>
      <c r="H32" s="44" t="str">
        <f>+CONCATENATE(Tabla3[[#This Row],[Num_Ticket]]," ",Tabla3[[#This Row],[Descripción]])</f>
        <v>T-030 Construcción Interfeces Gráficas</v>
      </c>
      <c r="I32" s="32" t="s">
        <v>120</v>
      </c>
      <c r="J32" s="30">
        <v>44467</v>
      </c>
      <c r="K32" s="30">
        <f>+Sprint_Backlog!P51</f>
        <v>0</v>
      </c>
      <c r="L32" s="30"/>
      <c r="N32">
        <v>5</v>
      </c>
      <c r="P32" t="s">
        <v>176</v>
      </c>
      <c r="Q32" t="s">
        <v>160</v>
      </c>
      <c r="R32" s="49" t="s">
        <v>181</v>
      </c>
      <c r="S32" s="184" t="s">
        <v>189</v>
      </c>
      <c r="T32" s="45">
        <f>IFERROR(VLOOKUP(Tabla3[[#This Row],[Epica]],Parametros!$D$17:$E$51,2,0),"")</f>
        <v>8</v>
      </c>
    </row>
    <row r="33" spans="1:20" ht="15.75" x14ac:dyDescent="0.25">
      <c r="A33">
        <v>31</v>
      </c>
      <c r="B33" t="s">
        <v>155</v>
      </c>
      <c r="C33">
        <f>+Tabla3[[#This Row],[Prioridad]]</f>
        <v>31</v>
      </c>
      <c r="D33" s="43" t="str">
        <f>+CONCATENATE(Tabla3[[#This Row],[Responsable]],"00",Tabla3[[#This Row],[Id]])</f>
        <v>EQUIPO0031</v>
      </c>
      <c r="E33" s="16"/>
      <c r="F33" s="45" t="str">
        <f>+CONCATENATE("T-0",Tabla3[[#This Row],[Prioridad]])</f>
        <v>T-031</v>
      </c>
      <c r="G33" s="48" t="s">
        <v>245</v>
      </c>
      <c r="H33" s="44" t="str">
        <f>+CONCATENATE(Tabla3[[#This Row],[Num_Ticket]]," ",Tabla3[[#This Row],[Descripción]])</f>
        <v>T-031 Construcción Capa de Dominio</v>
      </c>
      <c r="I33" s="32" t="s">
        <v>120</v>
      </c>
      <c r="J33" s="30">
        <v>44467</v>
      </c>
      <c r="K33" s="30">
        <f>+Sprint_Backlog!P51</f>
        <v>0</v>
      </c>
      <c r="L33" s="30"/>
      <c r="N33">
        <v>5</v>
      </c>
      <c r="P33" t="s">
        <v>176</v>
      </c>
      <c r="Q33" t="s">
        <v>160</v>
      </c>
      <c r="R33" s="49" t="s">
        <v>181</v>
      </c>
      <c r="S33" s="184" t="s">
        <v>189</v>
      </c>
      <c r="T33" s="45">
        <f>IFERROR(VLOOKUP(Tabla3[[#This Row],[Epica]],Parametros!$D$17:$E$51,2,0),"")</f>
        <v>8</v>
      </c>
    </row>
    <row r="34" spans="1:20" ht="15.75" x14ac:dyDescent="0.25">
      <c r="A34">
        <v>34</v>
      </c>
      <c r="B34" t="s">
        <v>155</v>
      </c>
      <c r="C34">
        <f>+Tabla3[[#This Row],[Prioridad]]</f>
        <v>34</v>
      </c>
      <c r="D34" s="43" t="str">
        <f>+CONCATENATE(Tabla3[[#This Row],[Responsable]],"00",Tabla3[[#This Row],[Id]])</f>
        <v>EQUIPO0034</v>
      </c>
      <c r="E34" s="16"/>
      <c r="F34" s="45" t="str">
        <f>+CONCATENATE("T-0",Tabla3[[#This Row],[Prioridad]])</f>
        <v>T-034</v>
      </c>
      <c r="G34" s="48" t="s">
        <v>249</v>
      </c>
      <c r="H34" s="44" t="str">
        <f>+CONCATENATE(Tabla3[[#This Row],[Num_Ticket]]," ",Tabla3[[#This Row],[Descripción]])</f>
        <v>T-034 Entregable para Tutoria 3</v>
      </c>
      <c r="I34" s="32" t="s">
        <v>120</v>
      </c>
      <c r="J34" s="30">
        <v>44471</v>
      </c>
      <c r="K34" s="30">
        <f>+Sprint_Backlog!P51</f>
        <v>0</v>
      </c>
      <c r="L34" s="30"/>
      <c r="N34">
        <v>1</v>
      </c>
      <c r="P34" t="s">
        <v>176</v>
      </c>
      <c r="Q34" t="s">
        <v>160</v>
      </c>
      <c r="R34" s="49" t="s">
        <v>183</v>
      </c>
      <c r="S34" s="184" t="s">
        <v>174</v>
      </c>
      <c r="T34" s="45">
        <f>IFERROR(VLOOKUP(Tabla3[[#This Row],[Epica]],Parametros!$D$17:$E$51,2,0),"")</f>
        <v>14</v>
      </c>
    </row>
    <row r="35" spans="1:20" ht="33.75" customHeight="1" x14ac:dyDescent="0.25">
      <c r="A35">
        <v>35</v>
      </c>
      <c r="B35" t="s">
        <v>155</v>
      </c>
      <c r="C35">
        <f>+Tabla3[[#This Row],[Prioridad]]</f>
        <v>35</v>
      </c>
      <c r="D35" s="43" t="str">
        <f>+CONCATENATE(Tabla3[[#This Row],[Responsable]],"00",Tabla3[[#This Row],[Id]])</f>
        <v>EQUIPO0035</v>
      </c>
      <c r="E35" s="16"/>
      <c r="F35" s="45" t="str">
        <f>+CONCATENATE("T-0",Tabla3[[#This Row],[Prioridad]])</f>
        <v>T-035</v>
      </c>
      <c r="G35" s="48" t="s">
        <v>263</v>
      </c>
      <c r="H35" s="44" t="str">
        <f>+CONCATENATE(Tabla3[[#This Row],[Num_Ticket]]," ",Tabla3[[#This Row],[Descripción]])</f>
        <v>T-035 Planeación Sprint 4 - Integración capas Dominio, Presentación, Persistencia</v>
      </c>
      <c r="I35" s="32" t="s">
        <v>120</v>
      </c>
      <c r="J35" s="30">
        <v>44473</v>
      </c>
      <c r="K35" s="209" t="str">
        <f>+Sprint_Backlog!P47</f>
        <v/>
      </c>
      <c r="L35" s="30"/>
      <c r="N35">
        <v>2</v>
      </c>
      <c r="P35" t="s">
        <v>176</v>
      </c>
      <c r="Q35" t="s">
        <v>161</v>
      </c>
      <c r="R35" s="49" t="s">
        <v>181</v>
      </c>
      <c r="S35" s="184" t="s">
        <v>170</v>
      </c>
      <c r="T35" s="45">
        <f>IFERROR(VLOOKUP(Tabla3[[#This Row],[Epica]],Parametros!$D$17:$E$51,2,0),"")</f>
        <v>1</v>
      </c>
    </row>
    <row r="36" spans="1:20" ht="30" x14ac:dyDescent="0.25">
      <c r="A36">
        <v>36</v>
      </c>
      <c r="B36" t="s">
        <v>155</v>
      </c>
      <c r="C36">
        <f>+Tabla3[[#This Row],[Prioridad]]</f>
        <v>36</v>
      </c>
      <c r="D36" s="43" t="str">
        <f>+CONCATENATE(Tabla3[[#This Row],[Responsable]],"00",Tabla3[[#This Row],[Id]])</f>
        <v>EQUIPO0036</v>
      </c>
      <c r="E36" s="16"/>
      <c r="F36" s="45" t="str">
        <f>+CONCATENATE("T-0",Tabla3[[#This Row],[Prioridad]])</f>
        <v>T-036</v>
      </c>
      <c r="G36" s="48" t="s">
        <v>266</v>
      </c>
      <c r="H36" s="44" t="str">
        <f>+CONCATENATE(Tabla3[[#This Row],[Num_Ticket]]," ",Tabla3[[#This Row],[Descripción]])</f>
        <v>T-036 Integrar capa Presentación y Dominio</v>
      </c>
      <c r="I36" s="32" t="s">
        <v>120</v>
      </c>
      <c r="J36" s="30">
        <v>44474</v>
      </c>
      <c r="K36" s="209" t="str">
        <f>+Sprint_Backlog!P47</f>
        <v/>
      </c>
      <c r="L36" s="30"/>
      <c r="N36">
        <v>5</v>
      </c>
      <c r="P36" t="s">
        <v>176</v>
      </c>
      <c r="Q36" t="s">
        <v>161</v>
      </c>
      <c r="R36" s="49" t="s">
        <v>181</v>
      </c>
      <c r="S36" s="184" t="s">
        <v>189</v>
      </c>
      <c r="T36" s="45">
        <f>IFERROR(VLOOKUP(Tabla3[[#This Row],[Epica]],Parametros!$D$17:$E$51,2,0),"")</f>
        <v>8</v>
      </c>
    </row>
    <row r="37" spans="1:20" ht="30" x14ac:dyDescent="0.25">
      <c r="A37">
        <v>37</v>
      </c>
      <c r="B37" t="s">
        <v>155</v>
      </c>
      <c r="C37">
        <f>+Tabla3[[#This Row],[Prioridad]]</f>
        <v>37</v>
      </c>
      <c r="D37" s="43" t="str">
        <f>+CONCATENATE(Tabla3[[#This Row],[Responsable]],"00",Tabla3[[#This Row],[Id]])</f>
        <v>EQUIPO0037</v>
      </c>
      <c r="E37" s="16"/>
      <c r="F37" s="45" t="str">
        <f>+CONCATENATE("T-0",Tabla3[[#This Row],[Prioridad]])</f>
        <v>T-037</v>
      </c>
      <c r="G37" s="48" t="s">
        <v>265</v>
      </c>
      <c r="H37" s="44" t="str">
        <f>+CONCATENATE(Tabla3[[#This Row],[Num_Ticket]]," ",Tabla3[[#This Row],[Descripción]])</f>
        <v>T-037 Integrar capa de Dominio y Persistencia</v>
      </c>
      <c r="I37" s="32" t="s">
        <v>120</v>
      </c>
      <c r="J37" s="30">
        <v>44474</v>
      </c>
      <c r="K37" s="209" t="str">
        <f>+Sprint_Backlog!P48</f>
        <v/>
      </c>
      <c r="L37" s="30"/>
      <c r="N37">
        <v>5</v>
      </c>
      <c r="P37" t="s">
        <v>176</v>
      </c>
      <c r="Q37" t="s">
        <v>161</v>
      </c>
      <c r="R37" s="49" t="s">
        <v>181</v>
      </c>
      <c r="S37" s="184" t="s">
        <v>189</v>
      </c>
      <c r="T37" s="45">
        <f>IFERROR(VLOOKUP(Tabla3[[#This Row],[Epica]],Parametros!$D$17:$E$51,2,0),"")</f>
        <v>8</v>
      </c>
    </row>
    <row r="38" spans="1:20" ht="15.75" x14ac:dyDescent="0.25">
      <c r="A38">
        <v>38</v>
      </c>
      <c r="B38" t="s">
        <v>155</v>
      </c>
      <c r="C38">
        <f>+Tabla3[[#This Row],[Prioridad]]</f>
        <v>38</v>
      </c>
      <c r="D38" s="43" t="str">
        <f>+CONCATENATE(Tabla3[[#This Row],[Responsable]],"00",Tabla3[[#This Row],[Id]])</f>
        <v>EQUIPO0038</v>
      </c>
      <c r="E38" s="16"/>
      <c r="F38" s="45" t="str">
        <f>+CONCATENATE("T-0",Tabla3[[#This Row],[Prioridad]])</f>
        <v>T-038</v>
      </c>
      <c r="G38" s="48" t="s">
        <v>268</v>
      </c>
      <c r="H38" s="44" t="str">
        <f>+CONCATENATE(Tabla3[[#This Row],[Num_Ticket]]," ",Tabla3[[#This Row],[Descripción]])</f>
        <v>T-038 Crear una Persona, Estudiante, Docente</v>
      </c>
      <c r="I38" s="32" t="s">
        <v>120</v>
      </c>
      <c r="J38" s="30">
        <v>44477</v>
      </c>
      <c r="K38" s="209">
        <f>+Sprint_Backlog!P52</f>
        <v>0</v>
      </c>
      <c r="L38" s="30"/>
      <c r="N38">
        <v>2</v>
      </c>
      <c r="P38" t="s">
        <v>176</v>
      </c>
      <c r="Q38" t="s">
        <v>161</v>
      </c>
      <c r="R38" s="49" t="s">
        <v>181</v>
      </c>
      <c r="S38" s="184" t="s">
        <v>171</v>
      </c>
      <c r="T38" s="45">
        <f>IFERROR(VLOOKUP(Tabla3[[#This Row],[Epica]],Parametros!$D$17:$E$51,2,0),"")</f>
        <v>10</v>
      </c>
    </row>
    <row r="39" spans="1:20" ht="15.75" x14ac:dyDescent="0.25">
      <c r="A39">
        <v>39</v>
      </c>
      <c r="B39" t="s">
        <v>155</v>
      </c>
      <c r="C39">
        <f>+Tabla3[[#This Row],[Prioridad]]</f>
        <v>39</v>
      </c>
      <c r="D39" s="43" t="str">
        <f>+CONCATENATE(Tabla3[[#This Row],[Responsable]],"00",Tabla3[[#This Row],[Id]])</f>
        <v>EQUIPO0039</v>
      </c>
      <c r="E39" s="16"/>
      <c r="F39" s="45" t="str">
        <f>+CONCATENATE("T-0",Tabla3[[#This Row],[Prioridad]])</f>
        <v>T-039</v>
      </c>
      <c r="G39" s="48" t="s">
        <v>267</v>
      </c>
      <c r="H39" s="44" t="str">
        <f>+CONCATENATE(Tabla3[[#This Row],[Num_Ticket]]," ",Tabla3[[#This Row],[Descripción]])</f>
        <v>T-039 Crear un Curso, Materia, Asignatura</v>
      </c>
      <c r="I39" s="32" t="s">
        <v>120</v>
      </c>
      <c r="J39" s="30">
        <v>44477</v>
      </c>
      <c r="K39" s="209" t="str">
        <f>+Sprint_Backlog!P47</f>
        <v/>
      </c>
      <c r="L39" s="30"/>
      <c r="N39">
        <v>2</v>
      </c>
      <c r="P39" t="s">
        <v>176</v>
      </c>
      <c r="Q39" t="s">
        <v>161</v>
      </c>
      <c r="R39" s="49" t="s">
        <v>181</v>
      </c>
      <c r="S39" s="184" t="s">
        <v>171</v>
      </c>
      <c r="T39" s="45">
        <f>IFERROR(VLOOKUP(Tabla3[[#This Row],[Epica]],Parametros!$D$17:$E$51,2,0),"")</f>
        <v>10</v>
      </c>
    </row>
    <row r="40" spans="1:20" ht="15.75" x14ac:dyDescent="0.25">
      <c r="A40">
        <v>40</v>
      </c>
      <c r="B40" t="s">
        <v>155</v>
      </c>
      <c r="C40">
        <f>+Tabla3[[#This Row],[Prioridad]]</f>
        <v>40</v>
      </c>
      <c r="D40" s="43" t="str">
        <f>+CONCATENATE(Tabla3[[#This Row],[Responsable]],"00",Tabla3[[#This Row],[Id]])</f>
        <v>EQUIPO0040</v>
      </c>
      <c r="E40" s="16"/>
      <c r="F40" s="45" t="str">
        <f>+CONCATENATE("T-0",Tabla3[[#This Row],[Prioridad]])</f>
        <v>T-040</v>
      </c>
      <c r="G40" s="48" t="s">
        <v>246</v>
      </c>
      <c r="H40" s="44" t="str">
        <f>+CONCATENATE(Tabla3[[#This Row],[Num_Ticket]]," ",Tabla3[[#This Row],[Descripción]])</f>
        <v>T-040 Realizar pruebas Interfaz Gráfica</v>
      </c>
      <c r="I40" s="32" t="s">
        <v>120</v>
      </c>
      <c r="J40" s="30">
        <v>44478</v>
      </c>
      <c r="K40" s="30">
        <f>+Sprint_Backlog!P51</f>
        <v>0</v>
      </c>
      <c r="L40" s="30"/>
      <c r="N40">
        <v>1</v>
      </c>
      <c r="P40" t="s">
        <v>176</v>
      </c>
      <c r="Q40" t="s">
        <v>161</v>
      </c>
      <c r="R40" s="49" t="s">
        <v>181</v>
      </c>
      <c r="S40" s="184" t="s">
        <v>171</v>
      </c>
      <c r="T40" s="45">
        <f>IFERROR(VLOOKUP(Tabla3[[#This Row],[Epica]],Parametros!$D$17:$E$51,2,0),"")</f>
        <v>10</v>
      </c>
    </row>
    <row r="41" spans="1:20" ht="15.75" x14ac:dyDescent="0.25">
      <c r="A41">
        <v>41</v>
      </c>
      <c r="B41" t="s">
        <v>155</v>
      </c>
      <c r="C41">
        <f>+Tabla3[[#This Row],[Prioridad]]</f>
        <v>41</v>
      </c>
      <c r="D41" s="43" t="str">
        <f>+CONCATENATE(Tabla3[[#This Row],[Responsable]],"00",Tabla3[[#This Row],[Id]])</f>
        <v>EQUIPO0041</v>
      </c>
      <c r="E41" s="16"/>
      <c r="F41" s="45" t="str">
        <f>+CONCATENATE("T-0",Tabla3[[#This Row],[Prioridad]])</f>
        <v>T-041</v>
      </c>
      <c r="G41" s="48" t="s">
        <v>247</v>
      </c>
      <c r="H41" s="44" t="str">
        <f>+CONCATENATE(Tabla3[[#This Row],[Num_Ticket]]," ",Tabla3[[#This Row],[Descripción]])</f>
        <v>T-041 Realizar pruebas Capa de Dominio</v>
      </c>
      <c r="I41" s="32" t="s">
        <v>120</v>
      </c>
      <c r="J41" s="30">
        <v>44478</v>
      </c>
      <c r="K41" s="30">
        <f>+Sprint_Backlog!P51</f>
        <v>0</v>
      </c>
      <c r="L41" s="30"/>
      <c r="N41">
        <v>1</v>
      </c>
      <c r="P41" t="s">
        <v>176</v>
      </c>
      <c r="Q41" t="s">
        <v>161</v>
      </c>
      <c r="R41" s="49" t="s">
        <v>181</v>
      </c>
      <c r="S41" s="184" t="s">
        <v>171</v>
      </c>
      <c r="T41" s="45">
        <f>IFERROR(VLOOKUP(Tabla3[[#This Row],[Epica]],Parametros!$D$17:$E$51,2,0),"")</f>
        <v>10</v>
      </c>
    </row>
    <row r="42" spans="1:20" ht="15.75" x14ac:dyDescent="0.25">
      <c r="A42">
        <v>42</v>
      </c>
      <c r="B42" t="s">
        <v>155</v>
      </c>
      <c r="C42">
        <f>+Tabla3[[#This Row],[Prioridad]]</f>
        <v>42</v>
      </c>
      <c r="D42" s="43" t="str">
        <f>+CONCATENATE(Tabla3[[#This Row],[Responsable]],"00",Tabla3[[#This Row],[Id]])</f>
        <v>EQUIPO0042</v>
      </c>
      <c r="E42" s="16"/>
      <c r="F42" s="45" t="str">
        <f>+CONCATENATE("T-0",Tabla3[[#This Row],[Prioridad]])</f>
        <v>T-042</v>
      </c>
      <c r="G42" s="48" t="s">
        <v>264</v>
      </c>
      <c r="H42" s="44" t="str">
        <f>+CONCATENATE(Tabla3[[#This Row],[Num_Ticket]]," ",Tabla3[[#This Row],[Descripción]])</f>
        <v>T-042 Entregable para Tutoria 4</v>
      </c>
      <c r="I42" s="32" t="s">
        <v>120</v>
      </c>
      <c r="J42" s="30">
        <v>44479</v>
      </c>
      <c r="K42" s="209" t="str">
        <f>+Sprint_Backlog!P47</f>
        <v/>
      </c>
      <c r="L42" s="30"/>
      <c r="N42">
        <v>1</v>
      </c>
      <c r="P42" t="s">
        <v>176</v>
      </c>
      <c r="Q42" t="s">
        <v>161</v>
      </c>
      <c r="R42" s="49" t="s">
        <v>183</v>
      </c>
      <c r="S42" s="184" t="s">
        <v>174</v>
      </c>
      <c r="T42" s="45">
        <f>IFERROR(VLOOKUP(Tabla3[[#This Row],[Epica]],Parametros!$D$17:$E$51,2,0),"")</f>
        <v>14</v>
      </c>
    </row>
    <row r="43" spans="1:20" ht="15.75" x14ac:dyDescent="0.25">
      <c r="D43" s="43" t="str">
        <f>+CONCATENATE(Tabla3[[#This Row],[Responsable]],"00",Tabla3[[#This Row],[Id]])</f>
        <v>00</v>
      </c>
      <c r="E43" s="16"/>
      <c r="F43" s="29"/>
      <c r="G43" s="48"/>
      <c r="H43" s="44" t="str">
        <f>+CONCATENATE(Tabla3[[#This Row],[Num_Ticket]]," ",Tabla3[[#This Row],[Descripción]])</f>
        <v xml:space="preserve"> </v>
      </c>
      <c r="I43" s="32"/>
      <c r="J43" s="30"/>
      <c r="K43" s="209">
        <f>+Sprint_Backlog!P52</f>
        <v>0</v>
      </c>
      <c r="L43" s="30"/>
      <c r="R43" s="49"/>
      <c r="S43" s="184" t="str">
        <f>IFERROR(VLOOKUP(#REF!,Parametros!$E$17:$F$51,2,0),"")</f>
        <v/>
      </c>
      <c r="T43" s="45" t="str">
        <f>IFERROR(VLOOKUP(Tabla3[[#This Row],[Epica]],Parametros!$D$17:$E$51,2,0),"")</f>
        <v/>
      </c>
    </row>
    <row r="44" spans="1:20" ht="15.75" x14ac:dyDescent="0.25">
      <c r="D44" s="43" t="str">
        <f>+CONCATENATE(Tabla3[[#This Row],[Responsable]],"00",Tabla3[[#This Row],[Id]])</f>
        <v>00</v>
      </c>
      <c r="E44" s="16"/>
      <c r="F44" s="29"/>
      <c r="G44" s="48"/>
      <c r="H44" s="44" t="str">
        <f>+CONCATENATE(Tabla3[[#This Row],[Num_Ticket]]," ",Tabla3[[#This Row],[Descripción]])</f>
        <v xml:space="preserve"> </v>
      </c>
      <c r="I44" s="32"/>
      <c r="K44" s="30"/>
      <c r="R44" s="39"/>
      <c r="S44" s="184" t="str">
        <f>IFERROR(VLOOKUP(#REF!,Parametros!$E$17:$F$51,2,0),"")</f>
        <v/>
      </c>
      <c r="T44" s="45" t="str">
        <f>IFERROR(VLOOKUP(Tabla3[[#This Row],[Epica]],Parametros!$D$17:$E$51,2,0),"")</f>
        <v/>
      </c>
    </row>
    <row r="45" spans="1:20" x14ac:dyDescent="0.25">
      <c r="R45" s="39"/>
      <c r="S45" s="64"/>
    </row>
    <row r="46" spans="1:20" x14ac:dyDescent="0.25">
      <c r="R46" s="39"/>
      <c r="S46" s="64"/>
    </row>
  </sheetData>
  <phoneticPr fontId="5" type="noConversion"/>
  <pageMargins left="0.7" right="0.7" top="0.75" bottom="0.75" header="0.3" footer="0.3"/>
  <pageSetup paperSize="9" orientation="portrait" horizontalDpi="200" verticalDpi="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C5C2C27A-3D63-4D39-A0A0-C2F33A78E681}">
          <x14:formula1>
            <xm:f>Parametros!$A$18:$A$29</xm:f>
          </x14:formula1>
          <xm:sqref>Q3:Q44</xm:sqref>
        </x14:dataValidation>
        <x14:dataValidation type="list" allowBlank="1" showInputMessage="1" showErrorMessage="1" xr:uid="{2CA46501-B54C-4ADD-9F88-85A51041F5A1}">
          <x14:formula1>
            <xm:f>Parametros!$D$2:$D$5</xm:f>
          </x14:formula1>
          <xm:sqref>I3:I44</xm:sqref>
        </x14:dataValidation>
        <x14:dataValidation type="list" allowBlank="1" showInputMessage="1" showErrorMessage="1" xr:uid="{EC86E145-35B5-419E-91FC-2F4385909B22}">
          <x14:formula1>
            <xm:f>Parametros!$A$2:$A$13</xm:f>
          </x14:formula1>
          <xm:sqref>P3:P44</xm:sqref>
        </x14:dataValidation>
        <x14:dataValidation type="list" allowBlank="1" showInputMessage="1" showErrorMessage="1" xr:uid="{A2DCBE99-4E96-44E9-ADE1-325D8AEAE2A8}">
          <x14:formula1>
            <xm:f>Parametros!$D$60:$D$84</xm:f>
          </x14:formula1>
          <xm:sqref>R3:R44</xm:sqref>
        </x14:dataValidation>
        <x14:dataValidation type="list" allowBlank="1" showInputMessage="1" showErrorMessage="1" xr:uid="{9450DF8A-3009-4DBF-BD63-B05B9B3D9740}">
          <x14:formula1>
            <xm:f>Parametros!$F$18:$F$51</xm:f>
          </x14:formula1>
          <xm:sqref>S3:S44</xm:sqref>
        </x14:dataValidation>
        <x14:dataValidation type="list" allowBlank="1" showInputMessage="1" showErrorMessage="1" xr:uid="{C2C53923-F4E3-4CA4-BA8E-ADA8AFA63666}">
          <x14:formula1>
            <xm:f>Responsable!$A$1:$A$8</xm:f>
          </x14:formula1>
          <xm:sqref>B3:B44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6D3E0-26E3-491C-82F4-B351527A98C7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23D64-644F-4B2E-A3A2-B4973F7EA14D}">
  <dimension ref="A1:W28"/>
  <sheetViews>
    <sheetView zoomScale="70" zoomScaleNormal="70" workbookViewId="0">
      <selection activeCell="E35" sqref="E35"/>
    </sheetView>
  </sheetViews>
  <sheetFormatPr baseColWidth="10" defaultRowHeight="15" x14ac:dyDescent="0.25"/>
  <cols>
    <col min="1" max="1" width="4.85546875" customWidth="1"/>
    <col min="2" max="2" width="12.5703125" bestFit="1" customWidth="1"/>
    <col min="3" max="3" width="9.85546875" bestFit="1" customWidth="1"/>
    <col min="4" max="4" width="37.7109375" bestFit="1" customWidth="1"/>
    <col min="5" max="5" width="30.5703125" bestFit="1" customWidth="1"/>
    <col min="7" max="7" width="5.140625" customWidth="1"/>
    <col min="8" max="8" width="5.28515625" customWidth="1"/>
  </cols>
  <sheetData>
    <row r="1" spans="1:23" ht="15.75" thickBot="1" x14ac:dyDescent="0.3">
      <c r="A1" s="131"/>
      <c r="B1" s="132"/>
      <c r="C1" s="132"/>
      <c r="D1" s="132"/>
      <c r="E1" s="132"/>
      <c r="F1" s="132"/>
      <c r="G1" s="133"/>
      <c r="H1" s="102"/>
    </row>
    <row r="2" spans="1:23" x14ac:dyDescent="0.25">
      <c r="A2" s="135"/>
      <c r="D2" s="102"/>
      <c r="E2" s="102"/>
      <c r="F2" s="102"/>
      <c r="G2" s="136"/>
      <c r="H2" s="102"/>
      <c r="I2" s="131"/>
      <c r="J2" s="132"/>
      <c r="K2" s="132"/>
      <c r="L2" s="132"/>
      <c r="M2" s="132"/>
      <c r="N2" s="132"/>
      <c r="O2" s="132"/>
      <c r="P2" s="132"/>
      <c r="Q2" s="132"/>
      <c r="R2" s="133"/>
    </row>
    <row r="3" spans="1:23" x14ac:dyDescent="0.25">
      <c r="A3" s="135"/>
      <c r="D3" s="102"/>
      <c r="E3" s="102"/>
      <c r="F3" s="102"/>
      <c r="G3" s="136"/>
      <c r="H3" s="102"/>
      <c r="I3" s="135"/>
      <c r="J3" s="102"/>
      <c r="K3" s="102"/>
      <c r="L3" s="102"/>
      <c r="M3" s="102"/>
      <c r="N3" s="102"/>
      <c r="O3" s="102"/>
      <c r="P3" s="102"/>
      <c r="Q3" s="102"/>
      <c r="R3" s="136"/>
    </row>
    <row r="4" spans="1:23" x14ac:dyDescent="0.25">
      <c r="A4" s="135"/>
      <c r="B4" s="102"/>
      <c r="C4" s="102"/>
      <c r="D4" s="102"/>
      <c r="E4" s="102"/>
      <c r="F4" s="102"/>
      <c r="G4" s="136"/>
      <c r="H4" s="102"/>
      <c r="I4" s="135"/>
      <c r="J4" s="102"/>
      <c r="K4" s="102"/>
      <c r="L4" s="102"/>
      <c r="M4" s="102"/>
      <c r="N4" s="102"/>
      <c r="O4" s="102"/>
      <c r="P4" s="102"/>
      <c r="Q4" s="102"/>
      <c r="R4" s="136"/>
    </row>
    <row r="5" spans="1:23" x14ac:dyDescent="0.25">
      <c r="A5" s="135"/>
      <c r="B5" s="143" t="s">
        <v>6</v>
      </c>
      <c r="C5" s="143" t="s">
        <v>44</v>
      </c>
      <c r="D5" s="143" t="s">
        <v>47</v>
      </c>
      <c r="E5" s="1" t="s">
        <v>109</v>
      </c>
      <c r="F5" s="102"/>
      <c r="G5" s="136"/>
      <c r="H5" s="102"/>
      <c r="I5" s="135"/>
      <c r="J5" s="102"/>
      <c r="K5" s="102"/>
      <c r="L5" s="102"/>
      <c r="M5" s="102"/>
      <c r="N5" s="102"/>
      <c r="O5" s="102"/>
      <c r="P5" s="102"/>
      <c r="Q5" s="102"/>
      <c r="R5" s="136"/>
    </row>
    <row r="6" spans="1:23" x14ac:dyDescent="0.25">
      <c r="A6" s="135"/>
      <c r="B6" s="1">
        <v>3</v>
      </c>
      <c r="C6" s="1">
        <v>2</v>
      </c>
      <c r="D6" s="1" t="s">
        <v>184</v>
      </c>
      <c r="E6" s="144">
        <v>1</v>
      </c>
      <c r="F6" s="102"/>
      <c r="G6" s="136"/>
      <c r="H6" s="102"/>
      <c r="I6" s="135"/>
      <c r="J6" s="102"/>
      <c r="K6" s="102"/>
      <c r="L6" s="102"/>
      <c r="M6" s="102"/>
      <c r="N6" s="102"/>
      <c r="O6" s="102"/>
      <c r="P6" s="102"/>
      <c r="Q6" s="102"/>
      <c r="R6" s="136"/>
    </row>
    <row r="7" spans="1:23" x14ac:dyDescent="0.25">
      <c r="A7" s="135"/>
      <c r="B7" s="1"/>
      <c r="C7" s="1">
        <v>3</v>
      </c>
      <c r="D7" s="1" t="s">
        <v>185</v>
      </c>
      <c r="E7" s="144">
        <v>1</v>
      </c>
      <c r="F7" s="102"/>
      <c r="G7" s="136"/>
      <c r="H7" s="102"/>
      <c r="I7" s="135"/>
      <c r="J7" s="102"/>
      <c r="K7" s="102"/>
      <c r="L7" s="102"/>
      <c r="M7" s="102"/>
      <c r="N7" s="102"/>
      <c r="O7" s="102"/>
      <c r="P7" s="102"/>
      <c r="Q7" s="102"/>
      <c r="R7" s="136"/>
    </row>
    <row r="8" spans="1:23" x14ac:dyDescent="0.25">
      <c r="A8" s="135"/>
      <c r="B8" s="1"/>
      <c r="C8" s="1">
        <v>14</v>
      </c>
      <c r="D8" s="1" t="s">
        <v>174</v>
      </c>
      <c r="E8" s="144">
        <v>0.66666666666666663</v>
      </c>
      <c r="F8" s="102"/>
      <c r="G8" s="136"/>
      <c r="H8" s="102"/>
      <c r="I8" s="135"/>
      <c r="J8" s="102"/>
      <c r="K8" s="102"/>
      <c r="L8" s="102"/>
      <c r="M8" s="102"/>
      <c r="N8" s="102"/>
      <c r="O8" s="102"/>
      <c r="P8" s="102"/>
      <c r="Q8" s="102"/>
      <c r="R8" s="136"/>
    </row>
    <row r="9" spans="1:23" x14ac:dyDescent="0.25">
      <c r="A9" s="135"/>
      <c r="B9" s="1"/>
      <c r="C9" s="1">
        <v>17</v>
      </c>
      <c r="D9" s="1" t="s">
        <v>173</v>
      </c>
      <c r="E9" s="144">
        <v>1</v>
      </c>
      <c r="F9" s="102"/>
      <c r="G9" s="136"/>
      <c r="H9" s="102"/>
      <c r="I9" s="135"/>
      <c r="J9" s="102"/>
      <c r="K9" s="102"/>
      <c r="L9" s="102"/>
      <c r="M9" s="102"/>
      <c r="N9" s="102"/>
      <c r="O9" s="102"/>
      <c r="P9" s="102"/>
      <c r="Q9" s="102"/>
      <c r="R9" s="136"/>
    </row>
    <row r="10" spans="1:23" ht="15.75" thickBot="1" x14ac:dyDescent="0.3">
      <c r="A10" s="135"/>
      <c r="B10" s="1" t="s">
        <v>83</v>
      </c>
      <c r="C10" s="1"/>
      <c r="D10" s="1"/>
      <c r="E10" s="144">
        <v>0.88888888888888884</v>
      </c>
      <c r="F10" s="102"/>
      <c r="G10" s="136"/>
      <c r="H10" s="102"/>
      <c r="I10" s="135"/>
      <c r="J10" s="102"/>
      <c r="K10" s="102"/>
      <c r="L10" s="102"/>
      <c r="M10" s="102"/>
      <c r="N10" s="102"/>
      <c r="O10" s="102"/>
      <c r="P10" s="102"/>
      <c r="Q10" s="102"/>
      <c r="R10" s="136"/>
      <c r="U10" s="134" t="s">
        <v>110</v>
      </c>
      <c r="V10" s="134" t="s">
        <v>111</v>
      </c>
      <c r="W10" s="134"/>
    </row>
    <row r="11" spans="1:23" x14ac:dyDescent="0.25">
      <c r="A11" s="135"/>
      <c r="F11" s="102"/>
      <c r="G11" s="136"/>
      <c r="H11" s="102"/>
      <c r="I11" s="135"/>
      <c r="J11" s="102"/>
      <c r="K11" s="102"/>
      <c r="L11" s="102"/>
      <c r="M11" s="102"/>
      <c r="N11" s="102"/>
      <c r="O11" s="102"/>
      <c r="P11" s="102"/>
      <c r="Q11" s="102"/>
      <c r="R11" s="136"/>
      <c r="U11" s="137">
        <v>0.1</v>
      </c>
      <c r="V11" s="134">
        <v>1</v>
      </c>
      <c r="W11" s="134"/>
    </row>
    <row r="12" spans="1:23" x14ac:dyDescent="0.25">
      <c r="A12" s="135"/>
      <c r="F12" s="102"/>
      <c r="G12" s="136"/>
      <c r="H12" s="102"/>
      <c r="I12" s="135"/>
      <c r="J12" s="102"/>
      <c r="K12" s="102"/>
      <c r="L12" s="102"/>
      <c r="M12" s="102"/>
      <c r="N12" s="102"/>
      <c r="O12" s="102"/>
      <c r="P12" s="102"/>
      <c r="Q12" s="102"/>
      <c r="R12" s="136"/>
      <c r="U12" s="137">
        <v>0.2</v>
      </c>
      <c r="V12" s="134">
        <v>1</v>
      </c>
      <c r="W12" s="134"/>
    </row>
    <row r="13" spans="1:23" x14ac:dyDescent="0.25">
      <c r="A13" s="135"/>
      <c r="F13" s="102"/>
      <c r="G13" s="136"/>
      <c r="H13" s="102"/>
      <c r="I13" s="135"/>
      <c r="J13" s="102"/>
      <c r="K13" s="102"/>
      <c r="L13" s="102"/>
      <c r="M13" s="102"/>
      <c r="N13" s="102"/>
      <c r="O13" s="102"/>
      <c r="P13" s="102"/>
      <c r="Q13" s="102"/>
      <c r="R13" s="136"/>
      <c r="U13" s="137">
        <v>0.3</v>
      </c>
      <c r="V13" s="134">
        <v>1</v>
      </c>
      <c r="W13" s="134"/>
    </row>
    <row r="14" spans="1:23" x14ac:dyDescent="0.25">
      <c r="A14" s="135"/>
      <c r="F14" s="102"/>
      <c r="G14" s="136"/>
      <c r="H14" s="102"/>
      <c r="I14" s="135"/>
      <c r="J14" s="102"/>
      <c r="K14" s="102"/>
      <c r="L14" s="102"/>
      <c r="M14" s="102"/>
      <c r="N14" s="102"/>
      <c r="O14" s="102"/>
      <c r="P14" s="102"/>
      <c r="Q14" s="102"/>
      <c r="R14" s="136"/>
      <c r="U14" s="137">
        <v>0.4</v>
      </c>
      <c r="V14" s="134">
        <v>1</v>
      </c>
      <c r="W14" s="134"/>
    </row>
    <row r="15" spans="1:23" x14ac:dyDescent="0.25">
      <c r="A15" s="135"/>
      <c r="F15" s="102"/>
      <c r="G15" s="136"/>
      <c r="H15" s="102"/>
      <c r="I15" s="135"/>
      <c r="J15" s="102"/>
      <c r="K15" s="102"/>
      <c r="L15" s="102"/>
      <c r="M15" s="102"/>
      <c r="N15" s="102"/>
      <c r="O15" s="102"/>
      <c r="P15" s="102"/>
      <c r="Q15" s="102"/>
      <c r="R15" s="136"/>
      <c r="U15" s="137">
        <v>0.5</v>
      </c>
      <c r="V15" s="134">
        <v>1</v>
      </c>
      <c r="W15" s="134"/>
    </row>
    <row r="16" spans="1:23" x14ac:dyDescent="0.25">
      <c r="A16" s="135"/>
      <c r="F16" s="102"/>
      <c r="G16" s="136"/>
      <c r="H16" s="102"/>
      <c r="I16" s="135"/>
      <c r="J16" s="102"/>
      <c r="K16" s="102"/>
      <c r="L16" s="102"/>
      <c r="M16" s="102"/>
      <c r="N16" s="102"/>
      <c r="O16" s="102"/>
      <c r="P16" s="102"/>
      <c r="Q16" s="102"/>
      <c r="R16" s="136"/>
      <c r="U16" s="137">
        <v>0.6</v>
      </c>
      <c r="V16" s="134">
        <v>1</v>
      </c>
      <c r="W16" s="134"/>
    </row>
    <row r="17" spans="1:23" x14ac:dyDescent="0.25">
      <c r="A17" s="135"/>
      <c r="F17" s="102"/>
      <c r="G17" s="136"/>
      <c r="H17" s="102"/>
      <c r="I17" s="135"/>
      <c r="J17" s="102"/>
      <c r="K17" s="102"/>
      <c r="L17" s="102"/>
      <c r="M17" s="102"/>
      <c r="N17" s="102"/>
      <c r="O17" s="102"/>
      <c r="P17" s="102"/>
      <c r="Q17" s="102"/>
      <c r="R17" s="136"/>
      <c r="U17" s="137">
        <v>0.7</v>
      </c>
      <c r="V17" s="134">
        <v>1</v>
      </c>
      <c r="W17" s="134"/>
    </row>
    <row r="18" spans="1:23" x14ac:dyDescent="0.25">
      <c r="A18" s="135"/>
      <c r="F18" s="102"/>
      <c r="G18" s="136"/>
      <c r="H18" s="102"/>
      <c r="I18" s="135"/>
      <c r="J18" s="102"/>
      <c r="K18" s="102"/>
      <c r="L18" s="102"/>
      <c r="M18" s="102"/>
      <c r="N18" s="102"/>
      <c r="O18" s="102"/>
      <c r="P18" s="102"/>
      <c r="Q18" s="102"/>
      <c r="R18" s="136"/>
      <c r="U18" s="137">
        <v>0.8</v>
      </c>
      <c r="V18" s="134">
        <v>1</v>
      </c>
      <c r="W18" s="134"/>
    </row>
    <row r="19" spans="1:23" x14ac:dyDescent="0.25">
      <c r="A19" s="135"/>
      <c r="F19" s="102"/>
      <c r="G19" s="136"/>
      <c r="H19" s="102"/>
      <c r="I19" s="135"/>
      <c r="J19" s="102"/>
      <c r="K19" s="102"/>
      <c r="L19" s="102"/>
      <c r="M19" s="102"/>
      <c r="N19" s="102"/>
      <c r="O19" s="102"/>
      <c r="P19" s="102"/>
      <c r="Q19" s="102"/>
      <c r="R19" s="136"/>
      <c r="U19" s="137">
        <v>0.9</v>
      </c>
      <c r="V19" s="134">
        <v>1</v>
      </c>
      <c r="W19" s="134"/>
    </row>
    <row r="20" spans="1:23" x14ac:dyDescent="0.25">
      <c r="A20" s="135"/>
      <c r="F20" s="102"/>
      <c r="G20" s="136"/>
      <c r="H20" s="102"/>
      <c r="I20" s="135"/>
      <c r="J20" s="102"/>
      <c r="K20" s="102"/>
      <c r="L20" s="102"/>
      <c r="M20" s="102"/>
      <c r="N20" s="102"/>
      <c r="O20" s="102"/>
      <c r="P20" s="102"/>
      <c r="Q20" s="102"/>
      <c r="R20" s="136"/>
      <c r="U20" s="137">
        <v>1</v>
      </c>
      <c r="V20" s="134">
        <v>9</v>
      </c>
      <c r="W20" s="134"/>
    </row>
    <row r="21" spans="1:23" x14ac:dyDescent="0.25">
      <c r="A21" s="135"/>
      <c r="F21" s="102"/>
      <c r="G21" s="136"/>
      <c r="H21" s="102"/>
      <c r="I21" s="135"/>
      <c r="J21" s="102"/>
      <c r="K21" s="102"/>
      <c r="L21" s="102"/>
      <c r="M21" s="102"/>
      <c r="N21" s="102"/>
      <c r="O21" s="102"/>
      <c r="P21" s="102"/>
      <c r="Q21" s="102"/>
      <c r="R21" s="136"/>
      <c r="U21" s="134"/>
      <c r="V21" s="134"/>
      <c r="W21" s="142">
        <f>+GETPIVOTDATA("Avance Hito",$B$5)</f>
        <v>0.88888888888888884</v>
      </c>
    </row>
    <row r="22" spans="1:23" x14ac:dyDescent="0.25">
      <c r="A22" s="135"/>
      <c r="F22" s="102"/>
      <c r="G22" s="136"/>
      <c r="H22" s="102"/>
      <c r="I22" s="135"/>
      <c r="J22" s="102"/>
      <c r="K22" s="102"/>
      <c r="L22" s="102"/>
      <c r="M22" s="102"/>
      <c r="N22" s="102"/>
      <c r="O22" s="102"/>
      <c r="P22" s="102"/>
      <c r="Q22" s="102"/>
      <c r="R22" s="136"/>
      <c r="U22" s="134" t="s">
        <v>112</v>
      </c>
      <c r="V22" s="134">
        <f>+W21*PI()</f>
        <v>2.7925268031909272</v>
      </c>
      <c r="W22" s="134"/>
    </row>
    <row r="23" spans="1:23" x14ac:dyDescent="0.25">
      <c r="A23" s="135"/>
      <c r="F23" s="102"/>
      <c r="G23" s="136"/>
      <c r="H23" s="102"/>
      <c r="I23" s="135"/>
      <c r="J23" s="102"/>
      <c r="K23" s="102"/>
      <c r="L23" s="102"/>
      <c r="M23" s="102"/>
      <c r="N23" s="102"/>
      <c r="O23" s="102"/>
      <c r="P23" s="102"/>
      <c r="Q23" s="102"/>
      <c r="R23" s="136"/>
      <c r="U23" s="134"/>
      <c r="V23" s="134" t="s">
        <v>7</v>
      </c>
      <c r="W23" s="134" t="s">
        <v>113</v>
      </c>
    </row>
    <row r="24" spans="1:23" ht="15.75" thickBot="1" x14ac:dyDescent="0.3">
      <c r="A24" s="135"/>
      <c r="F24" s="102"/>
      <c r="G24" s="136"/>
      <c r="H24" s="102"/>
      <c r="I24" s="139"/>
      <c r="J24" s="140"/>
      <c r="K24" s="140"/>
      <c r="L24" s="140"/>
      <c r="M24" s="140"/>
      <c r="N24" s="140"/>
      <c r="O24" s="140"/>
      <c r="P24" s="140"/>
      <c r="Q24" s="140"/>
      <c r="R24" s="141"/>
      <c r="U24" s="134" t="s">
        <v>114</v>
      </c>
      <c r="V24" s="134">
        <v>0</v>
      </c>
      <c r="W24" s="134">
        <v>0</v>
      </c>
    </row>
    <row r="25" spans="1:23" x14ac:dyDescent="0.25">
      <c r="A25" s="135"/>
      <c r="F25" s="102"/>
      <c r="G25" s="136"/>
      <c r="H25" s="102"/>
      <c r="U25" s="134" t="s">
        <v>115</v>
      </c>
      <c r="V25" s="134">
        <f>+COS(V22)*-1</f>
        <v>0.93969262078590832</v>
      </c>
      <c r="W25" s="134">
        <f>+SIN(V22)</f>
        <v>0.34202014332566888</v>
      </c>
    </row>
    <row r="26" spans="1:23" x14ac:dyDescent="0.25">
      <c r="A26" s="135"/>
      <c r="F26" s="102"/>
      <c r="G26" s="136"/>
      <c r="H26" s="102"/>
      <c r="U26" s="138"/>
      <c r="V26" s="138"/>
      <c r="W26" s="138"/>
    </row>
    <row r="27" spans="1:23" x14ac:dyDescent="0.25">
      <c r="A27" s="135"/>
      <c r="B27" s="102"/>
      <c r="C27" s="102"/>
      <c r="D27" s="102"/>
      <c r="E27" s="102"/>
      <c r="F27" s="102"/>
      <c r="G27" s="136"/>
      <c r="H27" s="102"/>
    </row>
    <row r="28" spans="1:23" ht="15.75" thickBot="1" x14ac:dyDescent="0.3">
      <c r="A28" s="139"/>
      <c r="B28" s="140"/>
      <c r="C28" s="140"/>
      <c r="D28" s="140"/>
      <c r="E28" s="140"/>
      <c r="F28" s="140"/>
      <c r="G28" s="141"/>
      <c r="H28" s="102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FF824-13A1-4184-B8C4-17A47BF66654}">
  <dimension ref="A1:LR59"/>
  <sheetViews>
    <sheetView zoomScale="98" zoomScaleNormal="98" workbookViewId="0">
      <pane xSplit="9" ySplit="5" topLeftCell="J32" activePane="bottomRight" state="frozen"/>
      <selection pane="topRight" activeCell="H1" sqref="H1"/>
      <selection pane="bottomLeft" activeCell="A5" sqref="A5"/>
      <selection pane="bottomRight" activeCell="B38" sqref="B38"/>
    </sheetView>
  </sheetViews>
  <sheetFormatPr baseColWidth="10" defaultRowHeight="15" x14ac:dyDescent="0.25"/>
  <cols>
    <col min="1" max="1" width="4.140625" customWidth="1"/>
    <col min="2" max="2" width="4.5703125" customWidth="1"/>
    <col min="3" max="3" width="5.85546875" customWidth="1"/>
    <col min="4" max="4" width="8" customWidth="1"/>
    <col min="5" max="5" width="29.85546875" customWidth="1"/>
    <col min="6" max="7" width="5.7109375" hidden="1" customWidth="1"/>
    <col min="8" max="8" width="5.28515625" hidden="1" customWidth="1"/>
    <col min="9" max="9" width="11" style="64" hidden="1" customWidth="1"/>
    <col min="10" max="10" width="4" customWidth="1"/>
    <col min="11" max="11" width="19.42578125" style="51" customWidth="1"/>
    <col min="12" max="12" width="5.42578125" customWidth="1"/>
    <col min="13" max="14" width="8.42578125" customWidth="1"/>
    <col min="15" max="15" width="11.42578125" style="30"/>
    <col min="17" max="17" width="7.140625" hidden="1" customWidth="1"/>
    <col min="18" max="18" width="8.28515625" hidden="1" customWidth="1"/>
    <col min="19" max="19" width="9.28515625" hidden="1" customWidth="1"/>
    <col min="20" max="20" width="7" customWidth="1"/>
    <col min="21" max="21" width="5" style="45" customWidth="1"/>
    <col min="22" max="22" width="8.28515625" customWidth="1"/>
    <col min="23" max="39" width="2.85546875" hidden="1" customWidth="1"/>
    <col min="40" max="41" width="2.7109375" hidden="1" customWidth="1"/>
    <col min="42" max="42" width="14" hidden="1" customWidth="1"/>
    <col min="43" max="52" width="2.7109375" hidden="1" customWidth="1"/>
    <col min="53" max="54" width="3.140625" hidden="1" customWidth="1"/>
    <col min="55" max="55" width="3" hidden="1" customWidth="1"/>
    <col min="56" max="62" width="3.140625" hidden="1" customWidth="1"/>
    <col min="63" max="63" width="14" hidden="1" customWidth="1"/>
    <col min="64" max="70" width="3.140625" hidden="1" customWidth="1"/>
    <col min="71" max="71" width="3" hidden="1" customWidth="1"/>
    <col min="72" max="84" width="3.140625" hidden="1" customWidth="1"/>
    <col min="85" max="85" width="3.5703125" hidden="1" customWidth="1"/>
    <col min="86" max="86" width="14" hidden="1" customWidth="1"/>
    <col min="87" max="93" width="3.140625" hidden="1" customWidth="1"/>
    <col min="94" max="94" width="3" hidden="1" customWidth="1"/>
    <col min="95" max="106" width="3.140625" hidden="1" customWidth="1"/>
    <col min="107" max="107" width="15.140625" hidden="1" customWidth="1"/>
    <col min="108" max="114" width="3.140625" hidden="1" customWidth="1"/>
    <col min="115" max="115" width="3" hidden="1" customWidth="1"/>
    <col min="116" max="130" width="3.140625" hidden="1" customWidth="1"/>
    <col min="131" max="131" width="14" hidden="1" customWidth="1"/>
    <col min="132" max="135" width="3.140625" hidden="1" customWidth="1"/>
    <col min="136" max="136" width="14" hidden="1" customWidth="1"/>
    <col min="137" max="139" width="3.140625" hidden="1" customWidth="1"/>
    <col min="140" max="140" width="3" hidden="1" customWidth="1"/>
    <col min="141" max="141" width="13.7109375" hidden="1" customWidth="1"/>
    <col min="142" max="142" width="2.7109375" hidden="1" customWidth="1"/>
    <col min="143" max="145" width="3.140625" hidden="1" customWidth="1"/>
    <col min="146" max="146" width="15.7109375" hidden="1" customWidth="1"/>
    <col min="147" max="147" width="3" hidden="1" customWidth="1"/>
    <col min="148" max="151" width="3.140625" hidden="1" customWidth="1"/>
    <col min="152" max="152" width="14" hidden="1" customWidth="1"/>
    <col min="153" max="156" width="3.140625" hidden="1" customWidth="1"/>
    <col min="157" max="157" width="2.28515625" hidden="1" customWidth="1"/>
    <col min="158" max="158" width="14" hidden="1" customWidth="1"/>
    <col min="159" max="162" width="3.140625" hidden="1" customWidth="1"/>
    <col min="163" max="163" width="16.5703125" hidden="1" customWidth="1"/>
    <col min="164" max="165" width="3.140625" hidden="1" customWidth="1"/>
    <col min="166" max="166" width="3" hidden="1" customWidth="1"/>
    <col min="167" max="168" width="3.140625" hidden="1" customWidth="1"/>
    <col min="169" max="169" width="15.28515625" hidden="1" customWidth="1"/>
    <col min="170" max="173" width="3.140625" hidden="1" customWidth="1"/>
    <col min="174" max="174" width="14" hidden="1" customWidth="1"/>
    <col min="175" max="179" width="3.140625" hidden="1" customWidth="1"/>
    <col min="180" max="180" width="14" hidden="1" customWidth="1"/>
    <col min="181" max="181" width="2.85546875" hidden="1" customWidth="1"/>
    <col min="182" max="184" width="3.140625" hidden="1" customWidth="1"/>
    <col min="185" max="185" width="2.28515625" hidden="1" customWidth="1"/>
    <col min="186" max="186" width="16.140625" hidden="1" customWidth="1"/>
    <col min="187" max="188" width="3.140625" hidden="1" customWidth="1"/>
    <col min="189" max="189" width="3" hidden="1" customWidth="1"/>
    <col min="190" max="191" width="3.140625" hidden="1" customWidth="1"/>
    <col min="192" max="192" width="16" hidden="1" customWidth="1"/>
    <col min="193" max="196" width="3.140625" hidden="1" customWidth="1"/>
    <col min="197" max="197" width="14.28515625" hidden="1" customWidth="1"/>
    <col min="198" max="202" width="3.140625" hidden="1" customWidth="1"/>
    <col min="203" max="203" width="13.5703125" hidden="1" customWidth="1"/>
    <col min="204" max="208" width="3.140625" hidden="1" customWidth="1"/>
    <col min="209" max="209" width="14.7109375" hidden="1" customWidth="1"/>
    <col min="210" max="211" width="3.140625" hidden="1" customWidth="1"/>
    <col min="212" max="212" width="3" hidden="1" customWidth="1"/>
    <col min="213" max="215" width="3.140625" hidden="1" customWidth="1"/>
    <col min="216" max="216" width="15" hidden="1" customWidth="1"/>
    <col min="217" max="222" width="3.140625" hidden="1" customWidth="1"/>
    <col min="223" max="223" width="15.140625" hidden="1" customWidth="1"/>
    <col min="224" max="229" width="3.140625" hidden="1" customWidth="1"/>
    <col min="230" max="230" width="11.42578125" hidden="1" customWidth="1"/>
    <col min="231" max="236" width="3.140625" customWidth="1"/>
    <col min="237" max="237" width="14" bestFit="1" customWidth="1"/>
    <col min="238" max="243" width="3.140625" customWidth="1"/>
    <col min="244" max="244" width="14" bestFit="1" customWidth="1"/>
    <col min="245" max="245" width="3" bestFit="1" customWidth="1"/>
    <col min="246" max="250" width="3.140625" customWidth="1"/>
    <col min="251" max="251" width="15.140625" customWidth="1"/>
    <col min="252" max="268" width="3.140625" hidden="1" customWidth="1"/>
    <col min="269" max="269" width="3" hidden="1" customWidth="1"/>
    <col min="270" max="291" width="3.140625" hidden="1" customWidth="1"/>
    <col min="292" max="292" width="13.85546875" hidden="1" customWidth="1"/>
    <col min="293" max="314" width="3.140625" hidden="1" customWidth="1"/>
    <col min="315" max="315" width="13.85546875" customWidth="1"/>
  </cols>
  <sheetData>
    <row r="1" spans="1:330" x14ac:dyDescent="0.25">
      <c r="N1" s="91">
        <f>+O1/32</f>
        <v>0.46875</v>
      </c>
      <c r="O1" s="90">
        <v>15</v>
      </c>
    </row>
    <row r="2" spans="1:330" x14ac:dyDescent="0.25">
      <c r="N2" s="92">
        <f>100%-N1</f>
        <v>0.53125</v>
      </c>
      <c r="O2" s="90">
        <f>21-O1</f>
        <v>6</v>
      </c>
      <c r="P2" s="91">
        <f>12/21</f>
        <v>0.5714285714285714</v>
      </c>
      <c r="W2" s="202" t="s">
        <v>12</v>
      </c>
      <c r="X2" s="202"/>
      <c r="Y2" s="202"/>
      <c r="Z2" s="202"/>
      <c r="AA2" s="202"/>
      <c r="AB2" s="202"/>
      <c r="AC2" s="202"/>
      <c r="AD2" s="202"/>
      <c r="AE2" s="202"/>
      <c r="AF2" s="202"/>
      <c r="AG2" s="202"/>
      <c r="AH2" s="202"/>
      <c r="AI2" s="202"/>
      <c r="AJ2" s="202"/>
      <c r="AK2" s="202"/>
      <c r="AL2" s="202"/>
      <c r="AM2" s="202"/>
      <c r="AN2" s="202"/>
      <c r="AO2" s="202"/>
      <c r="AP2" s="202"/>
      <c r="AQ2" s="200" t="s">
        <v>14</v>
      </c>
      <c r="AR2" s="200"/>
      <c r="AS2" s="200"/>
      <c r="AT2" s="200"/>
      <c r="AU2" s="200"/>
      <c r="AV2" s="200"/>
      <c r="AW2" s="200"/>
      <c r="AX2" s="200"/>
      <c r="AY2" s="200"/>
      <c r="AZ2" s="200"/>
      <c r="BA2" s="200"/>
      <c r="BB2" s="200"/>
      <c r="BC2" s="200"/>
      <c r="BD2" s="200"/>
      <c r="BE2" s="200"/>
      <c r="BF2" s="200"/>
      <c r="BG2" s="200"/>
      <c r="BH2" s="200"/>
      <c r="BI2" s="200"/>
      <c r="BJ2" s="200"/>
      <c r="BK2" s="200"/>
      <c r="BL2" s="201" t="s">
        <v>15</v>
      </c>
      <c r="BM2" s="201"/>
      <c r="BN2" s="201"/>
      <c r="BO2" s="201"/>
      <c r="BP2" s="201"/>
      <c r="BQ2" s="201"/>
      <c r="BR2" s="201"/>
      <c r="BS2" s="201"/>
      <c r="BT2" s="201"/>
      <c r="BU2" s="201"/>
      <c r="BV2" s="201"/>
      <c r="BW2" s="201"/>
      <c r="BX2" s="201"/>
      <c r="BY2" s="201"/>
      <c r="BZ2" s="201"/>
      <c r="CA2" s="201"/>
      <c r="CB2" s="201"/>
      <c r="CC2" s="201"/>
      <c r="CD2" s="201"/>
      <c r="CE2" s="201"/>
      <c r="CF2" s="201"/>
      <c r="CG2" s="201"/>
      <c r="CH2" s="201"/>
      <c r="CI2" s="201" t="s">
        <v>16</v>
      </c>
      <c r="CJ2" s="201"/>
      <c r="CK2" s="201"/>
      <c r="CL2" s="201"/>
      <c r="CM2" s="201"/>
      <c r="CN2" s="201"/>
      <c r="CO2" s="201"/>
      <c r="CP2" s="201"/>
      <c r="CQ2" s="201"/>
      <c r="CR2" s="201"/>
      <c r="CS2" s="201"/>
      <c r="CT2" s="201"/>
      <c r="CU2" s="201"/>
      <c r="CV2" s="201"/>
      <c r="CW2" s="201"/>
      <c r="CX2" s="201"/>
      <c r="CY2" s="201"/>
      <c r="CZ2" s="201"/>
      <c r="DA2" s="201"/>
      <c r="DB2" s="201"/>
      <c r="DC2" s="201"/>
      <c r="DD2" s="201" t="s">
        <v>17</v>
      </c>
      <c r="DE2" s="201"/>
      <c r="DF2" s="201"/>
      <c r="DG2" s="201"/>
      <c r="DH2" s="201"/>
      <c r="DI2" s="201"/>
      <c r="DJ2" s="201"/>
      <c r="DK2" s="201"/>
      <c r="DL2" s="201"/>
      <c r="DM2" s="201"/>
      <c r="DN2" s="201"/>
      <c r="DO2" s="201"/>
      <c r="DP2" s="201"/>
      <c r="DQ2" s="201"/>
      <c r="DR2" s="201"/>
      <c r="DS2" s="201"/>
      <c r="DT2" s="201"/>
      <c r="DU2" s="201"/>
      <c r="DV2" s="201"/>
      <c r="DW2" s="201"/>
      <c r="DX2" s="201"/>
      <c r="DY2" s="201"/>
      <c r="DZ2" s="201"/>
      <c r="EA2" s="201"/>
      <c r="EB2" s="201" t="s">
        <v>18</v>
      </c>
      <c r="EC2" s="201"/>
      <c r="ED2" s="201"/>
      <c r="EE2" s="201"/>
      <c r="EF2" s="201"/>
      <c r="EG2" s="201"/>
      <c r="EH2" s="201"/>
      <c r="EI2" s="201"/>
      <c r="EJ2" s="201"/>
      <c r="EK2" s="201"/>
      <c r="EL2" s="201"/>
      <c r="EM2" s="201"/>
      <c r="EN2" s="201"/>
      <c r="EO2" s="201"/>
      <c r="EP2" s="201"/>
      <c r="EQ2" s="201"/>
      <c r="ER2" s="201"/>
      <c r="ES2" s="201"/>
      <c r="ET2" s="201"/>
      <c r="EU2" s="201"/>
      <c r="EV2" s="201"/>
      <c r="EW2" s="201"/>
      <c r="EX2" s="201"/>
      <c r="EY2" s="201"/>
      <c r="EZ2" s="201"/>
      <c r="FA2" s="201"/>
      <c r="FB2" s="97"/>
      <c r="FC2" s="208" t="s">
        <v>19</v>
      </c>
      <c r="FD2" s="208"/>
      <c r="FE2" s="208"/>
      <c r="FF2" s="208"/>
      <c r="FG2" s="208"/>
      <c r="FH2" s="208"/>
      <c r="FI2" s="208"/>
      <c r="FJ2" s="208"/>
      <c r="FK2" s="208"/>
      <c r="FL2" s="208"/>
      <c r="FM2" s="208"/>
      <c r="FN2" s="208"/>
      <c r="FO2" s="208"/>
      <c r="FP2" s="208"/>
      <c r="FQ2" s="208"/>
      <c r="FR2" s="208"/>
      <c r="FS2" s="208"/>
      <c r="FT2" s="208"/>
      <c r="FU2" s="208"/>
      <c r="FV2" s="208"/>
      <c r="FW2" s="208"/>
      <c r="FX2" s="208"/>
      <c r="FY2" s="104" t="s">
        <v>20</v>
      </c>
      <c r="GA2" s="104"/>
      <c r="GB2" s="104"/>
      <c r="GC2" s="104"/>
      <c r="GD2" s="104"/>
      <c r="GE2" s="104"/>
      <c r="GF2" s="104"/>
      <c r="GG2" s="104"/>
      <c r="GH2" s="104"/>
      <c r="GI2" s="104"/>
      <c r="GJ2" s="104"/>
      <c r="GK2" s="104"/>
      <c r="GL2" s="104"/>
      <c r="GM2" s="104"/>
      <c r="GN2" s="104"/>
      <c r="GO2" s="104"/>
      <c r="GP2" s="104"/>
      <c r="GQ2" s="104"/>
      <c r="GR2" s="104"/>
      <c r="GS2" s="104"/>
      <c r="GT2" s="104"/>
      <c r="GU2" s="104"/>
      <c r="GV2" s="104"/>
      <c r="GX2" s="104" t="s">
        <v>21</v>
      </c>
      <c r="GY2" s="104"/>
      <c r="GZ2" s="104"/>
      <c r="HA2" s="104"/>
      <c r="HB2" s="104"/>
      <c r="HC2" s="104"/>
      <c r="HD2" s="104"/>
      <c r="HE2" s="104"/>
      <c r="HF2" s="104"/>
      <c r="HG2" s="104"/>
      <c r="HH2" s="104"/>
      <c r="HI2" s="104"/>
      <c r="HJ2" s="104"/>
      <c r="HK2" s="104"/>
      <c r="HL2" s="104"/>
      <c r="HM2" s="104"/>
      <c r="HN2" s="104"/>
      <c r="HO2" s="104"/>
      <c r="HP2" s="104"/>
      <c r="HQ2" s="104"/>
      <c r="HR2" s="104"/>
      <c r="HS2" s="104"/>
      <c r="HT2" s="104"/>
      <c r="HU2" s="104"/>
      <c r="HV2" s="104"/>
      <c r="HW2" s="104"/>
      <c r="HX2" s="104"/>
      <c r="HY2" s="104"/>
      <c r="HZ2" s="201" t="s">
        <v>22</v>
      </c>
      <c r="IA2" s="201"/>
      <c r="IB2" s="201"/>
      <c r="IC2" s="201"/>
      <c r="ID2" s="201"/>
      <c r="IE2" s="201"/>
      <c r="IF2" s="201"/>
      <c r="IG2" s="201"/>
      <c r="IH2" s="201"/>
      <c r="II2" s="201"/>
      <c r="IJ2" s="201"/>
      <c r="IK2" s="201"/>
      <c r="IL2" s="201"/>
      <c r="IM2" s="201"/>
      <c r="IN2" s="201"/>
      <c r="IO2" s="201"/>
      <c r="IP2" s="201"/>
      <c r="IQ2" s="201"/>
      <c r="IR2" s="201"/>
      <c r="IS2" s="201"/>
      <c r="IT2" s="201"/>
      <c r="IU2" s="201"/>
      <c r="IV2" s="201"/>
      <c r="IW2" s="201"/>
      <c r="IX2" s="201"/>
      <c r="IY2" s="201"/>
      <c r="IZ2" s="201"/>
      <c r="JA2" s="201"/>
      <c r="JB2" s="201" t="s">
        <v>23</v>
      </c>
      <c r="JC2" s="201"/>
      <c r="JD2" s="201"/>
      <c r="JE2" s="201"/>
      <c r="JF2" s="201"/>
      <c r="JG2" s="201"/>
      <c r="JH2" s="201"/>
      <c r="JI2" s="201"/>
      <c r="JJ2" s="201"/>
      <c r="JK2" s="201"/>
      <c r="JL2" s="201"/>
      <c r="JM2" s="201"/>
      <c r="JN2" s="201"/>
      <c r="JO2" s="201"/>
      <c r="JP2" s="201"/>
      <c r="JQ2" s="201"/>
      <c r="JR2" s="201"/>
      <c r="JS2" s="201"/>
      <c r="JT2" s="201"/>
      <c r="JU2" s="201"/>
      <c r="JV2" s="201"/>
      <c r="JW2" s="201"/>
      <c r="JX2" s="201"/>
      <c r="JY2" s="201" t="s">
        <v>24</v>
      </c>
      <c r="JZ2" s="201"/>
      <c r="KA2" s="201"/>
      <c r="KB2" s="201"/>
      <c r="KC2" s="201"/>
      <c r="KD2" s="201"/>
      <c r="KE2" s="201"/>
      <c r="KF2" s="201"/>
      <c r="KG2" s="201"/>
      <c r="KH2" s="201"/>
      <c r="KI2" s="201"/>
      <c r="KJ2" s="201"/>
      <c r="KK2" s="201"/>
      <c r="KL2" s="201"/>
      <c r="KM2" s="201"/>
      <c r="KN2" s="201"/>
      <c r="KO2" s="201"/>
      <c r="KP2" s="201"/>
      <c r="KQ2" s="201"/>
      <c r="KR2" s="201"/>
      <c r="KS2" s="201"/>
      <c r="KT2" s="201"/>
      <c r="KU2" s="201"/>
    </row>
    <row r="3" spans="1:330" x14ac:dyDescent="0.25">
      <c r="W3" s="203" t="s">
        <v>64</v>
      </c>
      <c r="X3" s="204"/>
      <c r="Y3" s="204"/>
      <c r="Z3" s="204"/>
      <c r="AA3" s="205"/>
      <c r="AB3" s="203" t="s">
        <v>65</v>
      </c>
      <c r="AC3" s="204"/>
      <c r="AD3" s="204"/>
      <c r="AE3" s="204"/>
      <c r="AF3" s="204" t="s">
        <v>66</v>
      </c>
      <c r="AG3" s="204"/>
      <c r="AH3" s="204"/>
      <c r="AI3" s="204"/>
      <c r="AJ3" s="204"/>
      <c r="AK3" s="204" t="s">
        <v>67</v>
      </c>
      <c r="AL3" s="204"/>
      <c r="AM3" s="204"/>
      <c r="AN3" s="204"/>
      <c r="AO3" s="204"/>
      <c r="AP3" s="71"/>
      <c r="AQ3" s="206" t="s">
        <v>68</v>
      </c>
      <c r="AR3" s="206"/>
      <c r="AS3" s="206"/>
      <c r="AT3" s="206"/>
      <c r="AU3" s="206"/>
      <c r="AV3" s="206" t="s">
        <v>69</v>
      </c>
      <c r="AW3" s="206"/>
      <c r="AX3" s="206"/>
      <c r="AY3" s="206"/>
      <c r="AZ3" s="206"/>
      <c r="BA3" s="206" t="s">
        <v>70</v>
      </c>
      <c r="BB3" s="206"/>
      <c r="BC3" s="206"/>
      <c r="BD3" s="206"/>
      <c r="BE3" s="206"/>
      <c r="BF3" s="206" t="s">
        <v>71</v>
      </c>
      <c r="BG3" s="206"/>
      <c r="BH3" s="206"/>
      <c r="BI3" s="206"/>
      <c r="BJ3" s="206"/>
      <c r="BK3" s="72"/>
      <c r="BL3" s="207" t="s">
        <v>72</v>
      </c>
      <c r="BM3" s="207"/>
      <c r="BN3" s="207"/>
      <c r="BO3" s="207"/>
      <c r="BP3" s="207"/>
      <c r="BQ3" s="207" t="s">
        <v>73</v>
      </c>
      <c r="BR3" s="207"/>
      <c r="BS3" s="207"/>
      <c r="BT3" s="207"/>
      <c r="BU3" s="207"/>
      <c r="BV3" s="207" t="s">
        <v>74</v>
      </c>
      <c r="BW3" s="207"/>
      <c r="BX3" s="207"/>
      <c r="BY3" s="207"/>
      <c r="BZ3" s="207"/>
      <c r="CA3" s="207" t="s">
        <v>75</v>
      </c>
      <c r="CB3" s="207"/>
      <c r="CC3" s="207"/>
      <c r="CD3" s="207"/>
      <c r="CE3" s="207" t="s">
        <v>76</v>
      </c>
      <c r="CF3" s="207"/>
      <c r="CG3" s="207"/>
      <c r="CH3" s="23"/>
      <c r="CI3" s="200" t="s">
        <v>88</v>
      </c>
      <c r="CJ3" s="200"/>
      <c r="CK3" s="200"/>
      <c r="CL3" s="200"/>
      <c r="CM3" s="200"/>
      <c r="CN3" s="200" t="s">
        <v>89</v>
      </c>
      <c r="CO3" s="200"/>
      <c r="CP3" s="200"/>
      <c r="CQ3" s="200"/>
      <c r="CR3" s="200"/>
      <c r="CS3" s="200" t="s">
        <v>90</v>
      </c>
      <c r="CT3" s="200"/>
      <c r="CU3" s="200"/>
      <c r="CV3" s="200"/>
      <c r="CW3" s="200"/>
      <c r="CX3" s="200" t="s">
        <v>91</v>
      </c>
      <c r="CY3" s="200"/>
      <c r="CZ3" s="200"/>
      <c r="DA3" s="200"/>
      <c r="DB3" s="200"/>
      <c r="DC3" s="23"/>
      <c r="DD3" s="200" t="s">
        <v>92</v>
      </c>
      <c r="DE3" s="200"/>
      <c r="DF3" s="200"/>
      <c r="DG3" s="200"/>
      <c r="DH3" s="200"/>
      <c r="DI3" s="200" t="s">
        <v>93</v>
      </c>
      <c r="DJ3" s="200"/>
      <c r="DK3" s="200"/>
      <c r="DL3" s="200"/>
      <c r="DM3" s="200"/>
      <c r="DN3" s="23"/>
      <c r="DO3" s="200" t="s">
        <v>94</v>
      </c>
      <c r="DP3" s="200"/>
      <c r="DQ3" s="200"/>
      <c r="DR3" s="200"/>
      <c r="DS3" s="200" t="s">
        <v>95</v>
      </c>
      <c r="DT3" s="200"/>
      <c r="DU3" s="200"/>
      <c r="DV3" s="200"/>
      <c r="DW3" s="200"/>
      <c r="DX3" s="23"/>
      <c r="DY3" s="23"/>
      <c r="DZ3" s="23"/>
      <c r="EA3" s="23"/>
      <c r="EB3" s="200" t="s">
        <v>96</v>
      </c>
      <c r="EC3" s="200"/>
      <c r="ED3" s="200"/>
      <c r="EE3" s="200"/>
      <c r="EF3" s="97"/>
      <c r="EG3" s="200" t="s">
        <v>97</v>
      </c>
      <c r="EH3" s="200"/>
      <c r="EI3" s="200"/>
      <c r="EJ3" s="200"/>
      <c r="EK3" s="23"/>
      <c r="EL3" s="200" t="s">
        <v>98</v>
      </c>
      <c r="EM3" s="200"/>
      <c r="EN3" s="200"/>
      <c r="EO3" s="200"/>
      <c r="EP3" s="23"/>
      <c r="EQ3" s="200" t="s">
        <v>99</v>
      </c>
      <c r="ER3" s="200"/>
      <c r="ES3" s="200"/>
      <c r="ET3" s="200"/>
      <c r="EU3" s="200"/>
      <c r="EV3" s="97"/>
      <c r="EW3" s="201" t="s">
        <v>100</v>
      </c>
      <c r="EX3" s="201"/>
      <c r="EY3" s="201"/>
      <c r="EZ3" s="201"/>
      <c r="FA3" s="201"/>
      <c r="FB3" s="97"/>
      <c r="FC3" s="201" t="s">
        <v>101</v>
      </c>
      <c r="FD3" s="201"/>
      <c r="FE3" s="201"/>
      <c r="FF3" s="201"/>
      <c r="FG3" s="104"/>
      <c r="FH3" s="200" t="s">
        <v>102</v>
      </c>
      <c r="FI3" s="200"/>
      <c r="FJ3" s="200"/>
      <c r="FK3" s="200"/>
      <c r="FL3" s="200"/>
      <c r="FM3" s="23"/>
      <c r="FN3" s="200" t="s">
        <v>103</v>
      </c>
      <c r="FO3" s="200"/>
      <c r="FP3" s="200"/>
      <c r="FQ3" s="200"/>
      <c r="FR3" s="23"/>
      <c r="FS3" s="200" t="s">
        <v>104</v>
      </c>
      <c r="FT3" s="200"/>
      <c r="FU3" s="200"/>
      <c r="FV3" s="200"/>
      <c r="FW3" s="200"/>
      <c r="FX3" s="23"/>
      <c r="FY3" s="201" t="s">
        <v>105</v>
      </c>
      <c r="FZ3" s="201"/>
      <c r="GA3" s="201"/>
      <c r="GB3" s="201"/>
      <c r="GC3" s="201"/>
      <c r="GD3" s="23"/>
      <c r="GE3" s="201" t="s">
        <v>106</v>
      </c>
      <c r="GF3" s="201"/>
      <c r="GG3" s="201"/>
      <c r="GH3" s="201"/>
      <c r="GI3" s="201"/>
      <c r="GJ3" s="23"/>
      <c r="GK3" s="200" t="s">
        <v>107</v>
      </c>
      <c r="GL3" s="200"/>
      <c r="GM3" s="200"/>
      <c r="GN3" s="200"/>
      <c r="GO3" s="23"/>
      <c r="GP3" s="201" t="s">
        <v>108</v>
      </c>
      <c r="GQ3" s="201"/>
      <c r="GR3" s="201"/>
      <c r="GS3" s="201"/>
      <c r="GT3" s="201"/>
      <c r="GU3" s="23"/>
      <c r="GV3" s="200" t="s">
        <v>64</v>
      </c>
      <c r="GW3" s="200"/>
      <c r="GX3" s="200"/>
      <c r="GY3" s="200"/>
      <c r="GZ3" s="200"/>
      <c r="HA3" s="23"/>
      <c r="HB3" s="200" t="s">
        <v>65</v>
      </c>
      <c r="HC3" s="200"/>
      <c r="HD3" s="200"/>
      <c r="HE3" s="200"/>
      <c r="HF3" s="200"/>
      <c r="HG3" s="181"/>
      <c r="HH3" s="108"/>
      <c r="HI3" s="200" t="s">
        <v>66</v>
      </c>
      <c r="HJ3" s="200"/>
      <c r="HK3" s="200"/>
      <c r="HL3" s="200"/>
      <c r="HM3" s="200"/>
      <c r="HN3" s="181"/>
      <c r="HO3" s="108"/>
      <c r="HP3" s="201" t="s">
        <v>67</v>
      </c>
      <c r="HQ3" s="201"/>
      <c r="HR3" s="201"/>
      <c r="HS3" s="201"/>
      <c r="HT3" s="201"/>
      <c r="HU3" s="130"/>
      <c r="HV3" s="125"/>
      <c r="HW3" s="200" t="s">
        <v>68</v>
      </c>
      <c r="HX3" s="200"/>
      <c r="HY3" s="200"/>
      <c r="HZ3" s="200"/>
      <c r="IA3" s="200"/>
      <c r="IB3" s="181"/>
      <c r="IC3" s="181"/>
      <c r="ID3" s="201" t="s">
        <v>69</v>
      </c>
      <c r="IE3" s="201"/>
      <c r="IF3" s="201"/>
      <c r="IG3" s="201"/>
      <c r="IH3" s="201"/>
      <c r="II3" s="130"/>
      <c r="IJ3" s="130"/>
      <c r="IK3" s="201" t="s">
        <v>70</v>
      </c>
      <c r="IL3" s="201"/>
      <c r="IM3" s="201"/>
      <c r="IN3" s="201"/>
      <c r="IO3" s="201"/>
      <c r="IP3" s="130"/>
      <c r="IQ3" s="23"/>
      <c r="IR3" s="23"/>
      <c r="IS3" s="23"/>
      <c r="IT3" s="23"/>
      <c r="IU3" s="23"/>
      <c r="IV3" s="23"/>
      <c r="IW3" s="23"/>
      <c r="IX3" s="23"/>
      <c r="IY3" s="23"/>
      <c r="IZ3" s="23"/>
      <c r="JA3" s="23"/>
      <c r="JB3" s="23"/>
      <c r="JC3" s="23"/>
      <c r="JD3" s="23"/>
      <c r="JE3" s="23"/>
      <c r="JF3" s="23"/>
      <c r="JG3" s="23"/>
      <c r="JH3" s="23"/>
      <c r="JI3" s="23"/>
      <c r="JJ3" s="23"/>
      <c r="JK3" s="23"/>
      <c r="JL3" s="23"/>
      <c r="JM3" s="23"/>
      <c r="JN3" s="23"/>
      <c r="JO3" s="23"/>
      <c r="JP3" s="23"/>
      <c r="JQ3" s="23"/>
      <c r="JR3" s="23"/>
      <c r="JS3" s="23"/>
      <c r="JT3" s="23"/>
      <c r="JU3" s="23"/>
      <c r="JV3" s="23"/>
      <c r="JW3" s="23"/>
      <c r="JX3" s="23"/>
      <c r="JY3" s="23"/>
      <c r="JZ3" s="23"/>
      <c r="KA3" s="23"/>
      <c r="KB3" s="23"/>
      <c r="KC3" s="23"/>
      <c r="KD3" s="23"/>
      <c r="KE3" s="23"/>
      <c r="KF3" s="23"/>
      <c r="KG3" s="23"/>
      <c r="KH3" s="23"/>
      <c r="KI3" s="23"/>
      <c r="KJ3" s="23"/>
      <c r="KK3" s="23"/>
      <c r="KL3" s="23"/>
      <c r="KM3" s="23"/>
      <c r="KN3" s="23"/>
      <c r="KO3" s="23"/>
      <c r="KP3" s="23"/>
      <c r="KQ3" s="23"/>
      <c r="KR3" s="23"/>
      <c r="KS3" s="23"/>
      <c r="KT3" s="23"/>
      <c r="KU3" s="23"/>
    </row>
    <row r="4" spans="1:330" x14ac:dyDescent="0.25">
      <c r="B4" s="64"/>
      <c r="C4" s="39"/>
      <c r="D4" s="39"/>
      <c r="E4" s="39"/>
      <c r="L4" s="51"/>
      <c r="W4" s="18" t="s">
        <v>0</v>
      </c>
      <c r="X4" s="19" t="s">
        <v>2</v>
      </c>
      <c r="Y4" s="19" t="s">
        <v>7</v>
      </c>
      <c r="Z4" s="19" t="s">
        <v>3</v>
      </c>
      <c r="AA4" s="19" t="s">
        <v>1</v>
      </c>
      <c r="AB4" s="19" t="s">
        <v>2</v>
      </c>
      <c r="AC4" s="19" t="s">
        <v>7</v>
      </c>
      <c r="AD4" s="19" t="s">
        <v>3</v>
      </c>
      <c r="AE4" s="19" t="s">
        <v>1</v>
      </c>
      <c r="AF4" s="19" t="s">
        <v>0</v>
      </c>
      <c r="AG4" s="19" t="s">
        <v>2</v>
      </c>
      <c r="AH4" s="19" t="s">
        <v>7</v>
      </c>
      <c r="AI4" s="19" t="s">
        <v>3</v>
      </c>
      <c r="AJ4" s="19" t="s">
        <v>1</v>
      </c>
      <c r="AK4" s="20" t="s">
        <v>0</v>
      </c>
      <c r="AL4" s="20" t="s">
        <v>2</v>
      </c>
      <c r="AM4" s="20" t="s">
        <v>7</v>
      </c>
      <c r="AN4" s="20" t="s">
        <v>3</v>
      </c>
      <c r="AO4" s="20" t="s">
        <v>1</v>
      </c>
      <c r="AP4" s="21"/>
      <c r="AQ4" s="57" t="s">
        <v>0</v>
      </c>
      <c r="AR4" s="13" t="s">
        <v>2</v>
      </c>
      <c r="AS4" s="13" t="s">
        <v>7</v>
      </c>
      <c r="AT4" s="13" t="s">
        <v>3</v>
      </c>
      <c r="AU4" s="21" t="s">
        <v>1</v>
      </c>
      <c r="AV4" s="24" t="s">
        <v>0</v>
      </c>
      <c r="AW4" s="24" t="s">
        <v>2</v>
      </c>
      <c r="AX4" s="24" t="s">
        <v>7</v>
      </c>
      <c r="AY4" s="24" t="s">
        <v>3</v>
      </c>
      <c r="AZ4" s="24" t="s">
        <v>1</v>
      </c>
      <c r="BA4" s="25" t="s">
        <v>0</v>
      </c>
      <c r="BB4" s="25" t="s">
        <v>2</v>
      </c>
      <c r="BC4" s="25" t="s">
        <v>7</v>
      </c>
      <c r="BD4" s="25" t="s">
        <v>3</v>
      </c>
      <c r="BE4" s="25" t="s">
        <v>1</v>
      </c>
      <c r="BF4" s="26" t="s">
        <v>0</v>
      </c>
      <c r="BG4" s="26" t="s">
        <v>2</v>
      </c>
      <c r="BH4" s="26" t="s">
        <v>7</v>
      </c>
      <c r="BI4" s="26" t="s">
        <v>3</v>
      </c>
      <c r="BJ4" s="26" t="s">
        <v>1</v>
      </c>
      <c r="BK4" s="58"/>
      <c r="BL4" s="22" t="s">
        <v>0</v>
      </c>
      <c r="BM4" s="22" t="s">
        <v>2</v>
      </c>
      <c r="BN4" s="22" t="s">
        <v>7</v>
      </c>
      <c r="BO4" s="22" t="s">
        <v>3</v>
      </c>
      <c r="BP4" s="22" t="s">
        <v>1</v>
      </c>
      <c r="BQ4" s="24" t="s">
        <v>0</v>
      </c>
      <c r="BR4" s="24" t="s">
        <v>2</v>
      </c>
      <c r="BS4" s="24" t="s">
        <v>7</v>
      </c>
      <c r="BT4" s="24" t="s">
        <v>3</v>
      </c>
      <c r="BU4" s="24" t="s">
        <v>1</v>
      </c>
      <c r="BV4" s="25" t="s">
        <v>0</v>
      </c>
      <c r="BW4" s="25" t="s">
        <v>2</v>
      </c>
      <c r="BX4" s="25" t="s">
        <v>7</v>
      </c>
      <c r="BY4" s="25" t="s">
        <v>3</v>
      </c>
      <c r="BZ4" s="25" t="s">
        <v>1</v>
      </c>
      <c r="CA4" s="26" t="s">
        <v>2</v>
      </c>
      <c r="CB4" s="26" t="s">
        <v>7</v>
      </c>
      <c r="CC4" s="26" t="s">
        <v>3</v>
      </c>
      <c r="CD4" s="26" t="s">
        <v>1</v>
      </c>
      <c r="CE4" s="27" t="s">
        <v>0</v>
      </c>
      <c r="CF4" s="27" t="s">
        <v>2</v>
      </c>
      <c r="CG4" s="27" t="s">
        <v>7</v>
      </c>
      <c r="CH4" s="1"/>
      <c r="CI4" s="22" t="s">
        <v>0</v>
      </c>
      <c r="CJ4" s="22" t="s">
        <v>2</v>
      </c>
      <c r="CK4" s="22" t="s">
        <v>7</v>
      </c>
      <c r="CL4" s="22" t="s">
        <v>3</v>
      </c>
      <c r="CM4" s="22" t="s">
        <v>1</v>
      </c>
      <c r="CN4" s="24" t="s">
        <v>0</v>
      </c>
      <c r="CO4" s="24" t="s">
        <v>2</v>
      </c>
      <c r="CP4" s="24" t="s">
        <v>7</v>
      </c>
      <c r="CQ4" s="24" t="s">
        <v>3</v>
      </c>
      <c r="CR4" s="24" t="s">
        <v>1</v>
      </c>
      <c r="CS4" s="25" t="s">
        <v>0</v>
      </c>
      <c r="CT4" s="25" t="s">
        <v>2</v>
      </c>
      <c r="CU4" s="25" t="s">
        <v>7</v>
      </c>
      <c r="CV4" s="25" t="s">
        <v>3</v>
      </c>
      <c r="CW4" s="25" t="s">
        <v>1</v>
      </c>
      <c r="CX4" s="26" t="s">
        <v>0</v>
      </c>
      <c r="CY4" s="26" t="s">
        <v>2</v>
      </c>
      <c r="CZ4" s="26" t="s">
        <v>7</v>
      </c>
      <c r="DA4" s="26" t="s">
        <v>3</v>
      </c>
      <c r="DB4" s="26" t="s">
        <v>1</v>
      </c>
      <c r="DC4" s="1"/>
      <c r="DD4" s="22" t="s">
        <v>0</v>
      </c>
      <c r="DE4" s="22" t="s">
        <v>2</v>
      </c>
      <c r="DF4" s="22" t="s">
        <v>7</v>
      </c>
      <c r="DG4" s="22" t="s">
        <v>3</v>
      </c>
      <c r="DH4" s="22" t="s">
        <v>1</v>
      </c>
      <c r="DI4" s="24" t="s">
        <v>0</v>
      </c>
      <c r="DJ4" s="24" t="s">
        <v>2</v>
      </c>
      <c r="DK4" s="24" t="s">
        <v>7</v>
      </c>
      <c r="DL4" s="24" t="s">
        <v>3</v>
      </c>
      <c r="DM4" s="24" t="s">
        <v>1</v>
      </c>
      <c r="DN4" s="25" t="s">
        <v>0</v>
      </c>
      <c r="DO4" s="25" t="s">
        <v>2</v>
      </c>
      <c r="DP4" s="25" t="s">
        <v>7</v>
      </c>
      <c r="DQ4" s="25" t="s">
        <v>3</v>
      </c>
      <c r="DR4" s="25" t="s">
        <v>1</v>
      </c>
      <c r="DS4" s="26" t="s">
        <v>0</v>
      </c>
      <c r="DT4" s="26" t="s">
        <v>2</v>
      </c>
      <c r="DU4" s="26" t="s">
        <v>7</v>
      </c>
      <c r="DV4" s="26" t="s">
        <v>3</v>
      </c>
      <c r="DW4" s="26" t="s">
        <v>1</v>
      </c>
      <c r="DX4" s="27" t="s">
        <v>0</v>
      </c>
      <c r="DY4" s="27" t="s">
        <v>2</v>
      </c>
      <c r="DZ4" s="27" t="s">
        <v>7</v>
      </c>
      <c r="EA4" s="1"/>
      <c r="EB4" s="22" t="s">
        <v>2</v>
      </c>
      <c r="EC4" s="22" t="s">
        <v>7</v>
      </c>
      <c r="ED4" s="22" t="s">
        <v>3</v>
      </c>
      <c r="EE4" s="22" t="s">
        <v>1</v>
      </c>
      <c r="EF4" s="2" t="s">
        <v>13</v>
      </c>
      <c r="EG4" s="24" t="s">
        <v>2</v>
      </c>
      <c r="EH4" s="24" t="s">
        <v>7</v>
      </c>
      <c r="EI4" s="24" t="s">
        <v>3</v>
      </c>
      <c r="EJ4" s="24" t="s">
        <v>1</v>
      </c>
      <c r="EK4" s="98" t="s">
        <v>13</v>
      </c>
      <c r="EL4" s="25" t="s">
        <v>2</v>
      </c>
      <c r="EM4" s="25" t="s">
        <v>7</v>
      </c>
      <c r="EN4" s="25" t="s">
        <v>3</v>
      </c>
      <c r="EO4" s="25" t="s">
        <v>1</v>
      </c>
      <c r="EP4" s="2" t="s">
        <v>13</v>
      </c>
      <c r="EQ4" s="26" t="s">
        <v>0</v>
      </c>
      <c r="ER4" s="26" t="s">
        <v>2</v>
      </c>
      <c r="ES4" s="26" t="s">
        <v>7</v>
      </c>
      <c r="ET4" s="26" t="s">
        <v>3</v>
      </c>
      <c r="EU4" s="26" t="s">
        <v>1</v>
      </c>
      <c r="EV4" s="2"/>
      <c r="EW4" s="27" t="s">
        <v>0</v>
      </c>
      <c r="EX4" s="27" t="s">
        <v>2</v>
      </c>
      <c r="EY4" s="27" t="s">
        <v>7</v>
      </c>
      <c r="EZ4" s="4" t="s">
        <v>3</v>
      </c>
      <c r="FA4" s="106" t="s">
        <v>1</v>
      </c>
      <c r="FB4" s="2"/>
      <c r="FC4" s="22" t="s">
        <v>2</v>
      </c>
      <c r="FD4" s="22" t="s">
        <v>7</v>
      </c>
      <c r="FE4" s="22" t="s">
        <v>3</v>
      </c>
      <c r="FF4" s="22" t="s">
        <v>1</v>
      </c>
      <c r="FG4" s="1"/>
      <c r="FH4" s="24" t="s">
        <v>0</v>
      </c>
      <c r="FI4" s="24" t="s">
        <v>2</v>
      </c>
      <c r="FJ4" s="24" t="s">
        <v>7</v>
      </c>
      <c r="FK4" s="24" t="s">
        <v>3</v>
      </c>
      <c r="FL4" s="24" t="s">
        <v>1</v>
      </c>
      <c r="FM4" s="2"/>
      <c r="FN4" s="25" t="s">
        <v>0</v>
      </c>
      <c r="FO4" s="25" t="s">
        <v>7</v>
      </c>
      <c r="FP4" s="25" t="s">
        <v>3</v>
      </c>
      <c r="FQ4" s="111" t="s">
        <v>1</v>
      </c>
      <c r="FR4" s="1"/>
      <c r="FS4" s="26" t="s">
        <v>0</v>
      </c>
      <c r="FT4" s="26" t="s">
        <v>2</v>
      </c>
      <c r="FU4" s="26" t="s">
        <v>2</v>
      </c>
      <c r="FV4" s="26" t="s">
        <v>3</v>
      </c>
      <c r="FW4" s="113" t="s">
        <v>1</v>
      </c>
      <c r="FX4" s="1"/>
      <c r="FY4" s="22" t="s">
        <v>0</v>
      </c>
      <c r="FZ4" s="22" t="s">
        <v>2</v>
      </c>
      <c r="GA4" s="22" t="s">
        <v>7</v>
      </c>
      <c r="GB4" s="22" t="s">
        <v>3</v>
      </c>
      <c r="GC4" s="109" t="s">
        <v>1</v>
      </c>
      <c r="GD4" s="2"/>
      <c r="GE4" s="24" t="s">
        <v>0</v>
      </c>
      <c r="GF4" s="24" t="s">
        <v>2</v>
      </c>
      <c r="GG4" s="24" t="s">
        <v>7</v>
      </c>
      <c r="GH4" s="24" t="s">
        <v>3</v>
      </c>
      <c r="GI4" s="24" t="s">
        <v>1</v>
      </c>
      <c r="GJ4" s="119"/>
      <c r="GK4" s="25" t="s">
        <v>2</v>
      </c>
      <c r="GL4" s="25" t="s">
        <v>7</v>
      </c>
      <c r="GM4" s="25" t="s">
        <v>3</v>
      </c>
      <c r="GN4" s="25" t="s">
        <v>1</v>
      </c>
      <c r="GO4" s="1"/>
      <c r="GP4" s="26" t="s">
        <v>0</v>
      </c>
      <c r="GQ4" s="26" t="s">
        <v>2</v>
      </c>
      <c r="GR4" s="26" t="s">
        <v>7</v>
      </c>
      <c r="GS4" s="26" t="s">
        <v>3</v>
      </c>
      <c r="GT4" s="26" t="s">
        <v>1</v>
      </c>
      <c r="GU4" s="1"/>
      <c r="GV4" s="22" t="s">
        <v>0</v>
      </c>
      <c r="GW4" s="22" t="s">
        <v>2</v>
      </c>
      <c r="GX4" s="27" t="s">
        <v>7</v>
      </c>
      <c r="GY4" s="27" t="s">
        <v>3</v>
      </c>
      <c r="GZ4" s="121" t="s">
        <v>1</v>
      </c>
      <c r="HA4" s="119"/>
      <c r="HB4" s="24" t="s">
        <v>0</v>
      </c>
      <c r="HC4" s="24" t="s">
        <v>2</v>
      </c>
      <c r="HD4" s="24" t="s">
        <v>7</v>
      </c>
      <c r="HE4" s="24" t="s">
        <v>3</v>
      </c>
      <c r="HF4" s="122" t="s">
        <v>1</v>
      </c>
      <c r="HG4" s="122" t="s">
        <v>220</v>
      </c>
      <c r="HH4" s="1"/>
      <c r="HI4" s="25" t="s">
        <v>0</v>
      </c>
      <c r="HJ4" s="25" t="s">
        <v>2</v>
      </c>
      <c r="HK4" s="25" t="s">
        <v>7</v>
      </c>
      <c r="HL4" s="25" t="s">
        <v>3</v>
      </c>
      <c r="HM4" s="25" t="s">
        <v>1</v>
      </c>
      <c r="HN4" s="25" t="s">
        <v>220</v>
      </c>
      <c r="HO4" s="1"/>
      <c r="HP4" s="26" t="s">
        <v>0</v>
      </c>
      <c r="HQ4" s="26" t="s">
        <v>2</v>
      </c>
      <c r="HR4" s="26" t="s">
        <v>7</v>
      </c>
      <c r="HS4" s="26" t="s">
        <v>3</v>
      </c>
      <c r="HT4" s="26" t="s">
        <v>1</v>
      </c>
      <c r="HU4" s="26" t="s">
        <v>220</v>
      </c>
      <c r="HV4" s="1"/>
      <c r="HW4" s="27" t="s">
        <v>0</v>
      </c>
      <c r="HX4" s="27" t="s">
        <v>2</v>
      </c>
      <c r="HY4" s="27" t="s">
        <v>7</v>
      </c>
      <c r="HZ4" s="27" t="s">
        <v>3</v>
      </c>
      <c r="IA4" s="2" t="s">
        <v>1</v>
      </c>
      <c r="IB4" s="2" t="s">
        <v>220</v>
      </c>
      <c r="IC4" s="1"/>
      <c r="ID4" s="2" t="s">
        <v>0</v>
      </c>
      <c r="IE4" s="2" t="s">
        <v>2</v>
      </c>
      <c r="IF4" s="2" t="s">
        <v>7</v>
      </c>
      <c r="IG4" s="117" t="s">
        <v>3</v>
      </c>
      <c r="IH4" s="117" t="s">
        <v>1</v>
      </c>
      <c r="II4" s="117" t="s">
        <v>220</v>
      </c>
      <c r="IJ4" s="1"/>
      <c r="IK4" s="117" t="s">
        <v>0</v>
      </c>
      <c r="IL4" s="117" t="s">
        <v>2</v>
      </c>
      <c r="IM4" s="117" t="s">
        <v>7</v>
      </c>
      <c r="IN4" s="2" t="s">
        <v>3</v>
      </c>
      <c r="IO4" s="2" t="s">
        <v>1</v>
      </c>
      <c r="IP4" s="117" t="s">
        <v>220</v>
      </c>
      <c r="IQ4" s="1"/>
      <c r="IR4" s="7" t="s">
        <v>2</v>
      </c>
      <c r="IS4" s="7" t="s">
        <v>7</v>
      </c>
      <c r="IT4" s="7" t="s">
        <v>3</v>
      </c>
      <c r="IU4" s="7" t="s">
        <v>1</v>
      </c>
      <c r="IV4" s="7" t="s">
        <v>0</v>
      </c>
      <c r="IW4" s="7" t="s">
        <v>2</v>
      </c>
      <c r="IX4" s="7" t="s">
        <v>7</v>
      </c>
      <c r="IY4" s="7" t="s">
        <v>3</v>
      </c>
      <c r="IZ4" s="7" t="s">
        <v>1</v>
      </c>
      <c r="JA4" s="7"/>
      <c r="JB4" s="7" t="s">
        <v>2</v>
      </c>
      <c r="JC4" s="7" t="s">
        <v>7</v>
      </c>
      <c r="JD4" s="7" t="s">
        <v>3</v>
      </c>
      <c r="JE4" s="7" t="s">
        <v>1</v>
      </c>
      <c r="JF4" s="7"/>
      <c r="JG4" s="94" t="s">
        <v>0</v>
      </c>
      <c r="JH4" s="94" t="s">
        <v>2</v>
      </c>
      <c r="JI4" s="94" t="s">
        <v>7</v>
      </c>
      <c r="JJ4" s="94" t="s">
        <v>3</v>
      </c>
      <c r="JK4" s="94" t="s">
        <v>1</v>
      </c>
      <c r="JL4" s="7" t="s">
        <v>0</v>
      </c>
      <c r="JM4" s="7" t="s">
        <v>2</v>
      </c>
      <c r="JN4" s="7" t="s">
        <v>7</v>
      </c>
      <c r="JO4" s="7" t="s">
        <v>3</v>
      </c>
      <c r="JP4" s="7" t="s">
        <v>1</v>
      </c>
      <c r="JQ4" s="7" t="s">
        <v>2</v>
      </c>
      <c r="JR4" s="7" t="s">
        <v>7</v>
      </c>
      <c r="JS4" s="7" t="s">
        <v>3</v>
      </c>
      <c r="JT4" s="7" t="s">
        <v>1</v>
      </c>
      <c r="JU4" s="7" t="s">
        <v>0</v>
      </c>
      <c r="JV4" s="7" t="s">
        <v>2</v>
      </c>
      <c r="JW4" s="7" t="s">
        <v>7</v>
      </c>
      <c r="JX4" s="7"/>
      <c r="JY4" s="7" t="s">
        <v>0</v>
      </c>
      <c r="JZ4" s="7" t="s">
        <v>2</v>
      </c>
      <c r="KA4" s="7" t="s">
        <v>7</v>
      </c>
      <c r="KB4" s="7" t="s">
        <v>3</v>
      </c>
      <c r="KC4" s="7" t="s">
        <v>1</v>
      </c>
      <c r="KD4" s="94" t="s">
        <v>0</v>
      </c>
      <c r="KE4" s="94" t="s">
        <v>2</v>
      </c>
      <c r="KF4" s="94" t="s">
        <v>7</v>
      </c>
      <c r="KG4" s="94" t="s">
        <v>3</v>
      </c>
      <c r="KH4" s="94" t="s">
        <v>1</v>
      </c>
      <c r="KI4" s="7" t="s">
        <v>0</v>
      </c>
      <c r="KJ4" s="7" t="s">
        <v>2</v>
      </c>
      <c r="KK4" s="7" t="s">
        <v>7</v>
      </c>
      <c r="KL4" s="7" t="s">
        <v>3</v>
      </c>
      <c r="KM4" s="7" t="s">
        <v>1</v>
      </c>
      <c r="KN4" s="7" t="s">
        <v>2</v>
      </c>
      <c r="KO4" s="7" t="s">
        <v>7</v>
      </c>
      <c r="KP4" s="7" t="s">
        <v>3</v>
      </c>
      <c r="KQ4" s="7" t="s">
        <v>1</v>
      </c>
      <c r="KR4" s="7" t="s">
        <v>0</v>
      </c>
      <c r="KS4" s="7" t="s">
        <v>2</v>
      </c>
      <c r="KT4" s="7" t="s">
        <v>7</v>
      </c>
      <c r="KU4" s="102"/>
      <c r="KV4" s="102"/>
      <c r="KW4" s="102"/>
      <c r="KX4" s="102"/>
      <c r="KY4" s="102"/>
      <c r="KZ4" s="102"/>
      <c r="LA4" s="102"/>
      <c r="LB4" s="102"/>
      <c r="LC4" s="102"/>
      <c r="LD4" s="102"/>
      <c r="LE4" s="102"/>
      <c r="LF4" s="102"/>
      <c r="LG4" s="102"/>
      <c r="LH4" s="102"/>
      <c r="LI4" s="102"/>
      <c r="LJ4" s="102"/>
      <c r="LK4" s="102"/>
      <c r="LL4" s="102"/>
      <c r="LM4" s="102"/>
      <c r="LN4" s="102"/>
      <c r="LO4" s="102"/>
      <c r="LP4" s="102"/>
      <c r="LQ4" s="102"/>
      <c r="LR4" s="102"/>
    </row>
    <row r="5" spans="1:330" ht="45" x14ac:dyDescent="0.25">
      <c r="A5" s="38" t="s">
        <v>8</v>
      </c>
      <c r="B5" s="65" t="s">
        <v>149</v>
      </c>
      <c r="C5" s="85" t="s">
        <v>119</v>
      </c>
      <c r="D5" s="85" t="s">
        <v>120</v>
      </c>
      <c r="E5" s="85" t="s">
        <v>4</v>
      </c>
      <c r="F5" s="75" t="s">
        <v>77</v>
      </c>
      <c r="G5" s="75" t="s">
        <v>79</v>
      </c>
      <c r="H5" s="75" t="s">
        <v>78</v>
      </c>
      <c r="I5" s="65" t="s">
        <v>43</v>
      </c>
      <c r="J5" s="12" t="s">
        <v>44</v>
      </c>
      <c r="K5" s="65" t="s">
        <v>47</v>
      </c>
      <c r="L5" s="61" t="s">
        <v>9</v>
      </c>
      <c r="M5" s="36" t="s">
        <v>42</v>
      </c>
      <c r="N5" s="37" t="s">
        <v>45</v>
      </c>
      <c r="O5" s="68" t="s">
        <v>40</v>
      </c>
      <c r="P5" s="17" t="s">
        <v>41</v>
      </c>
      <c r="Q5" s="54" t="s">
        <v>56</v>
      </c>
      <c r="R5" s="55" t="s">
        <v>57</v>
      </c>
      <c r="S5" s="55" t="s">
        <v>58</v>
      </c>
      <c r="T5" s="37" t="s">
        <v>59</v>
      </c>
      <c r="U5" s="73" t="s">
        <v>6</v>
      </c>
      <c r="V5" s="83" t="s">
        <v>11</v>
      </c>
      <c r="W5" s="3">
        <v>4</v>
      </c>
      <c r="X5" s="3">
        <v>5</v>
      </c>
      <c r="Y5" s="3">
        <v>6</v>
      </c>
      <c r="Z5" s="3">
        <v>7</v>
      </c>
      <c r="AA5" s="3">
        <v>8</v>
      </c>
      <c r="AB5" s="3">
        <v>12</v>
      </c>
      <c r="AC5" s="3">
        <v>13</v>
      </c>
      <c r="AD5" s="3">
        <v>14</v>
      </c>
      <c r="AE5" s="3">
        <v>15</v>
      </c>
      <c r="AF5" s="3">
        <v>18</v>
      </c>
      <c r="AG5" s="3">
        <v>19</v>
      </c>
      <c r="AH5" s="3">
        <v>20</v>
      </c>
      <c r="AI5" s="3">
        <v>21</v>
      </c>
      <c r="AJ5" s="3">
        <v>22</v>
      </c>
      <c r="AK5" s="2">
        <v>25</v>
      </c>
      <c r="AL5" s="2">
        <v>26</v>
      </c>
      <c r="AM5" s="2">
        <v>27</v>
      </c>
      <c r="AN5" s="2">
        <v>28</v>
      </c>
      <c r="AO5" s="2">
        <v>29</v>
      </c>
      <c r="AP5" s="22" t="s">
        <v>13</v>
      </c>
      <c r="AQ5" s="22">
        <v>1</v>
      </c>
      <c r="AR5" s="22">
        <v>2</v>
      </c>
      <c r="AS5" s="22">
        <v>3</v>
      </c>
      <c r="AT5" s="22">
        <v>4</v>
      </c>
      <c r="AU5" s="22">
        <v>5</v>
      </c>
      <c r="AV5" s="24">
        <v>8</v>
      </c>
      <c r="AW5" s="24">
        <v>9</v>
      </c>
      <c r="AX5" s="24">
        <v>10</v>
      </c>
      <c r="AY5" s="24">
        <v>11</v>
      </c>
      <c r="AZ5" s="24">
        <v>12</v>
      </c>
      <c r="BA5" s="25">
        <v>15</v>
      </c>
      <c r="BB5" s="25">
        <v>16</v>
      </c>
      <c r="BC5" s="25">
        <v>17</v>
      </c>
      <c r="BD5" s="25">
        <v>18</v>
      </c>
      <c r="BE5" s="25">
        <v>19</v>
      </c>
      <c r="BF5" s="26">
        <v>22</v>
      </c>
      <c r="BG5" s="26">
        <v>23</v>
      </c>
      <c r="BH5" s="26">
        <v>24</v>
      </c>
      <c r="BI5" s="26">
        <v>25</v>
      </c>
      <c r="BJ5" s="26">
        <v>26</v>
      </c>
      <c r="BK5" s="58" t="s">
        <v>13</v>
      </c>
      <c r="BL5" s="22">
        <v>1</v>
      </c>
      <c r="BM5" s="22">
        <v>2</v>
      </c>
      <c r="BN5" s="22">
        <v>3</v>
      </c>
      <c r="BO5" s="22">
        <v>4</v>
      </c>
      <c r="BP5" s="22">
        <v>5</v>
      </c>
      <c r="BQ5" s="24">
        <v>8</v>
      </c>
      <c r="BR5" s="24">
        <v>9</v>
      </c>
      <c r="BS5" s="24">
        <v>10</v>
      </c>
      <c r="BT5" s="24">
        <v>11</v>
      </c>
      <c r="BU5" s="24">
        <v>12</v>
      </c>
      <c r="BV5" s="25">
        <v>15</v>
      </c>
      <c r="BW5" s="25">
        <v>16</v>
      </c>
      <c r="BX5" s="25">
        <v>17</v>
      </c>
      <c r="BY5" s="25">
        <v>18</v>
      </c>
      <c r="BZ5" s="25">
        <v>19</v>
      </c>
      <c r="CA5" s="26">
        <v>23</v>
      </c>
      <c r="CB5" s="26">
        <v>24</v>
      </c>
      <c r="CC5" s="26">
        <v>25</v>
      </c>
      <c r="CD5" s="26">
        <v>26</v>
      </c>
      <c r="CE5" s="27">
        <v>29</v>
      </c>
      <c r="CF5" s="27">
        <v>30</v>
      </c>
      <c r="CG5" s="27">
        <v>31</v>
      </c>
      <c r="CH5" s="1" t="s">
        <v>13</v>
      </c>
      <c r="CI5" s="22">
        <v>5</v>
      </c>
      <c r="CJ5" s="22">
        <v>6</v>
      </c>
      <c r="CK5" s="22">
        <v>7</v>
      </c>
      <c r="CL5" s="22">
        <v>8</v>
      </c>
      <c r="CM5" s="22">
        <v>9</v>
      </c>
      <c r="CN5" s="24">
        <v>12</v>
      </c>
      <c r="CO5" s="24">
        <v>13</v>
      </c>
      <c r="CP5" s="24">
        <v>14</v>
      </c>
      <c r="CQ5" s="24">
        <v>15</v>
      </c>
      <c r="CR5" s="24">
        <v>16</v>
      </c>
      <c r="CS5" s="25">
        <v>19</v>
      </c>
      <c r="CT5" s="25">
        <v>20</v>
      </c>
      <c r="CU5" s="25">
        <v>21</v>
      </c>
      <c r="CV5" s="25">
        <v>22</v>
      </c>
      <c r="CW5" s="25">
        <v>23</v>
      </c>
      <c r="CX5" s="26">
        <v>26</v>
      </c>
      <c r="CY5" s="26">
        <v>27</v>
      </c>
      <c r="CZ5" s="26">
        <v>28</v>
      </c>
      <c r="DA5" s="26">
        <v>29</v>
      </c>
      <c r="DB5" s="26">
        <v>30</v>
      </c>
      <c r="DC5" s="1" t="s">
        <v>13</v>
      </c>
      <c r="DD5" s="22">
        <v>3</v>
      </c>
      <c r="DE5" s="22">
        <v>4</v>
      </c>
      <c r="DF5" s="22">
        <v>5</v>
      </c>
      <c r="DG5" s="22">
        <v>6</v>
      </c>
      <c r="DH5" s="22">
        <v>7</v>
      </c>
      <c r="DI5" s="24">
        <v>10</v>
      </c>
      <c r="DJ5" s="24">
        <v>11</v>
      </c>
      <c r="DK5" s="24">
        <v>12</v>
      </c>
      <c r="DL5" s="24">
        <v>13</v>
      </c>
      <c r="DM5" s="24">
        <v>14</v>
      </c>
      <c r="DN5" s="25">
        <v>18</v>
      </c>
      <c r="DO5" s="25">
        <v>18</v>
      </c>
      <c r="DP5" s="25">
        <v>19</v>
      </c>
      <c r="DQ5" s="25">
        <v>20</v>
      </c>
      <c r="DR5" s="25">
        <v>21</v>
      </c>
      <c r="DS5" s="26">
        <v>24</v>
      </c>
      <c r="DT5" s="26">
        <v>25</v>
      </c>
      <c r="DU5" s="26">
        <v>26</v>
      </c>
      <c r="DV5" s="26">
        <v>27</v>
      </c>
      <c r="DW5" s="26">
        <v>28</v>
      </c>
      <c r="DX5" s="27">
        <v>31</v>
      </c>
      <c r="DY5" s="95">
        <v>30</v>
      </c>
      <c r="DZ5" s="27">
        <v>31</v>
      </c>
      <c r="EA5" s="1" t="s">
        <v>13</v>
      </c>
      <c r="EB5" s="22">
        <v>1</v>
      </c>
      <c r="EC5" s="22">
        <v>2</v>
      </c>
      <c r="ED5" s="22">
        <v>3</v>
      </c>
      <c r="EE5" s="22">
        <v>4</v>
      </c>
      <c r="EF5" s="98"/>
      <c r="EG5" s="24">
        <v>8</v>
      </c>
      <c r="EH5" s="24">
        <v>9</v>
      </c>
      <c r="EI5" s="24">
        <v>10</v>
      </c>
      <c r="EJ5" s="24">
        <v>11</v>
      </c>
      <c r="EK5" s="101"/>
      <c r="EL5" s="25">
        <v>15</v>
      </c>
      <c r="EM5" s="25">
        <v>16</v>
      </c>
      <c r="EN5" s="25">
        <v>17</v>
      </c>
      <c r="EO5" s="25">
        <v>18</v>
      </c>
      <c r="EP5" s="2"/>
      <c r="EQ5" s="26">
        <v>21</v>
      </c>
      <c r="ER5" s="26">
        <v>22</v>
      </c>
      <c r="ES5" s="26">
        <v>23</v>
      </c>
      <c r="ET5" s="26">
        <v>24</v>
      </c>
      <c r="EU5" s="26">
        <v>25</v>
      </c>
      <c r="EV5" s="1" t="s">
        <v>13</v>
      </c>
      <c r="EW5" s="27">
        <v>28</v>
      </c>
      <c r="EX5" s="27">
        <v>29</v>
      </c>
      <c r="EY5" s="27">
        <v>30</v>
      </c>
      <c r="EZ5" s="4">
        <v>1</v>
      </c>
      <c r="FA5" s="106">
        <v>2</v>
      </c>
      <c r="FB5" s="1" t="s">
        <v>13</v>
      </c>
      <c r="FC5" s="22">
        <v>6</v>
      </c>
      <c r="FD5" s="22">
        <v>7</v>
      </c>
      <c r="FE5" s="22">
        <v>8</v>
      </c>
      <c r="FF5" s="109">
        <v>9</v>
      </c>
      <c r="FG5" s="1" t="s">
        <v>13</v>
      </c>
      <c r="FH5" s="24">
        <v>12</v>
      </c>
      <c r="FI5" s="24">
        <v>13</v>
      </c>
      <c r="FJ5" s="24">
        <v>14</v>
      </c>
      <c r="FK5" s="24">
        <v>15</v>
      </c>
      <c r="FL5" s="24">
        <v>16</v>
      </c>
      <c r="FM5" s="2" t="s">
        <v>13</v>
      </c>
      <c r="FN5" s="25">
        <v>19</v>
      </c>
      <c r="FO5" s="25">
        <v>21</v>
      </c>
      <c r="FP5" s="25">
        <v>22</v>
      </c>
      <c r="FQ5" s="111">
        <v>23</v>
      </c>
      <c r="FR5" s="1" t="s">
        <v>13</v>
      </c>
      <c r="FS5" s="26">
        <v>26</v>
      </c>
      <c r="FT5" s="26">
        <v>27</v>
      </c>
      <c r="FU5" s="26">
        <v>28</v>
      </c>
      <c r="FV5" s="26">
        <v>29</v>
      </c>
      <c r="FW5" s="113">
        <v>30</v>
      </c>
      <c r="FX5" s="1" t="s">
        <v>13</v>
      </c>
      <c r="FY5" s="22">
        <v>2</v>
      </c>
      <c r="FZ5" s="22">
        <v>3</v>
      </c>
      <c r="GA5" s="22">
        <v>4</v>
      </c>
      <c r="GB5" s="22">
        <v>5</v>
      </c>
      <c r="GC5" s="109">
        <v>6</v>
      </c>
      <c r="GD5" s="1" t="s">
        <v>13</v>
      </c>
      <c r="GE5" s="24">
        <v>9</v>
      </c>
      <c r="GF5" s="24">
        <v>10</v>
      </c>
      <c r="GG5" s="24">
        <v>11</v>
      </c>
      <c r="GH5" s="24">
        <v>12</v>
      </c>
      <c r="GI5" s="24">
        <v>13</v>
      </c>
      <c r="GJ5" s="119" t="s">
        <v>13</v>
      </c>
      <c r="GK5" s="25">
        <v>17</v>
      </c>
      <c r="GL5" s="25">
        <v>18</v>
      </c>
      <c r="GM5" s="25">
        <v>19</v>
      </c>
      <c r="GN5" s="25">
        <v>20</v>
      </c>
      <c r="GO5" s="1" t="s">
        <v>13</v>
      </c>
      <c r="GP5" s="26">
        <v>23</v>
      </c>
      <c r="GQ5" s="26">
        <v>24</v>
      </c>
      <c r="GR5" s="26">
        <v>25</v>
      </c>
      <c r="GS5" s="26">
        <v>26</v>
      </c>
      <c r="GT5" s="26">
        <v>27</v>
      </c>
      <c r="GU5" s="1" t="s">
        <v>13</v>
      </c>
      <c r="GV5" s="22">
        <v>30</v>
      </c>
      <c r="GW5" s="22">
        <v>31</v>
      </c>
      <c r="GX5" s="27">
        <v>1</v>
      </c>
      <c r="GY5" s="27">
        <v>2</v>
      </c>
      <c r="GZ5" s="121">
        <v>3</v>
      </c>
      <c r="HA5" s="119" t="s">
        <v>13</v>
      </c>
      <c r="HB5" s="24">
        <v>6</v>
      </c>
      <c r="HC5" s="24">
        <v>7</v>
      </c>
      <c r="HD5" s="24">
        <v>8</v>
      </c>
      <c r="HE5" s="24">
        <v>9</v>
      </c>
      <c r="HF5" s="122">
        <v>10</v>
      </c>
      <c r="HG5" s="122">
        <v>11</v>
      </c>
      <c r="HH5" s="1" t="s">
        <v>13</v>
      </c>
      <c r="HI5" s="25">
        <v>13</v>
      </c>
      <c r="HJ5" s="25">
        <v>14</v>
      </c>
      <c r="HK5" s="25">
        <v>15</v>
      </c>
      <c r="HL5" s="25">
        <v>16</v>
      </c>
      <c r="HM5" s="111">
        <v>17</v>
      </c>
      <c r="HN5" s="111">
        <v>18</v>
      </c>
      <c r="HO5" s="1" t="s">
        <v>13</v>
      </c>
      <c r="HP5" s="187">
        <v>20</v>
      </c>
      <c r="HQ5" s="187">
        <v>21</v>
      </c>
      <c r="HR5" s="187">
        <v>22</v>
      </c>
      <c r="HS5" s="187">
        <v>23</v>
      </c>
      <c r="HT5" s="187">
        <v>24</v>
      </c>
      <c r="HU5" s="187">
        <v>25</v>
      </c>
      <c r="HV5" s="1" t="s">
        <v>13</v>
      </c>
      <c r="HW5" s="188">
        <v>27</v>
      </c>
      <c r="HX5" s="188">
        <v>28</v>
      </c>
      <c r="HY5" s="188">
        <v>29</v>
      </c>
      <c r="HZ5" s="188">
        <v>30</v>
      </c>
      <c r="IA5" s="189">
        <v>1</v>
      </c>
      <c r="IB5" s="189">
        <v>2</v>
      </c>
      <c r="IC5" s="1" t="s">
        <v>13</v>
      </c>
      <c r="ID5" s="2">
        <v>4</v>
      </c>
      <c r="IE5" s="2">
        <v>5</v>
      </c>
      <c r="IF5" s="2">
        <v>6</v>
      </c>
      <c r="IG5" s="117">
        <v>7</v>
      </c>
      <c r="IH5" s="117">
        <v>8</v>
      </c>
      <c r="II5" s="117">
        <v>9</v>
      </c>
      <c r="IJ5" s="1" t="s">
        <v>13</v>
      </c>
      <c r="IK5" s="117">
        <v>11</v>
      </c>
      <c r="IL5" s="117">
        <v>12</v>
      </c>
      <c r="IM5" s="117">
        <v>13</v>
      </c>
      <c r="IN5" s="2">
        <v>14</v>
      </c>
      <c r="IO5" s="2">
        <v>15</v>
      </c>
      <c r="IP5" s="117">
        <v>16</v>
      </c>
      <c r="IQ5" s="1" t="s">
        <v>13</v>
      </c>
      <c r="IR5" s="7">
        <v>19</v>
      </c>
      <c r="IS5" s="7">
        <v>20</v>
      </c>
      <c r="IT5" s="7">
        <v>21</v>
      </c>
      <c r="IU5" s="7">
        <v>22</v>
      </c>
      <c r="IV5" s="7">
        <v>25</v>
      </c>
      <c r="IW5" s="7">
        <v>26</v>
      </c>
      <c r="IX5" s="7">
        <v>27</v>
      </c>
      <c r="IY5" s="7">
        <v>28</v>
      </c>
      <c r="IZ5" s="7">
        <v>29</v>
      </c>
      <c r="JA5" s="7" t="s">
        <v>13</v>
      </c>
      <c r="JB5" s="7">
        <v>2</v>
      </c>
      <c r="JC5" s="7">
        <v>3</v>
      </c>
      <c r="JD5" s="7">
        <v>4</v>
      </c>
      <c r="JE5" s="7">
        <v>5</v>
      </c>
      <c r="JF5" s="7" t="s">
        <v>13</v>
      </c>
      <c r="JG5" s="94">
        <v>8</v>
      </c>
      <c r="JH5" s="94">
        <v>9</v>
      </c>
      <c r="JI5" s="94">
        <v>10</v>
      </c>
      <c r="JJ5" s="94">
        <v>11</v>
      </c>
      <c r="JK5" s="94">
        <v>12</v>
      </c>
      <c r="JL5" s="7">
        <v>15</v>
      </c>
      <c r="JM5" s="7">
        <v>16</v>
      </c>
      <c r="JN5" s="7">
        <v>17</v>
      </c>
      <c r="JO5" s="7">
        <v>18</v>
      </c>
      <c r="JP5" s="7">
        <v>19</v>
      </c>
      <c r="JQ5" s="7">
        <v>23</v>
      </c>
      <c r="JR5" s="7">
        <v>24</v>
      </c>
      <c r="JS5" s="7">
        <v>25</v>
      </c>
      <c r="JT5" s="7">
        <v>26</v>
      </c>
      <c r="JU5" s="7">
        <v>29</v>
      </c>
      <c r="JV5" s="7">
        <v>30</v>
      </c>
      <c r="JW5" s="7">
        <v>31</v>
      </c>
      <c r="JX5" s="7" t="s">
        <v>13</v>
      </c>
      <c r="JY5" s="7">
        <v>1</v>
      </c>
      <c r="JZ5" s="7">
        <v>2</v>
      </c>
      <c r="KA5" s="7">
        <v>3</v>
      </c>
      <c r="KB5" s="7">
        <v>4</v>
      </c>
      <c r="KC5" s="7">
        <v>5</v>
      </c>
      <c r="KD5" s="94">
        <v>8</v>
      </c>
      <c r="KE5" s="94">
        <v>9</v>
      </c>
      <c r="KF5" s="94">
        <v>10</v>
      </c>
      <c r="KG5" s="94">
        <v>11</v>
      </c>
      <c r="KH5" s="94">
        <v>12</v>
      </c>
      <c r="KI5" s="7">
        <v>15</v>
      </c>
      <c r="KJ5" s="7">
        <v>16</v>
      </c>
      <c r="KK5" s="7">
        <v>17</v>
      </c>
      <c r="KL5" s="7">
        <v>18</v>
      </c>
      <c r="KM5" s="7">
        <v>19</v>
      </c>
      <c r="KN5" s="7">
        <v>23</v>
      </c>
      <c r="KO5" s="7">
        <v>24</v>
      </c>
      <c r="KP5" s="7">
        <v>25</v>
      </c>
      <c r="KQ5" s="7">
        <v>26</v>
      </c>
      <c r="KR5" s="7">
        <v>29</v>
      </c>
      <c r="KS5" s="7">
        <v>30</v>
      </c>
      <c r="KT5" s="7">
        <v>31</v>
      </c>
      <c r="KU5" s="102" t="s">
        <v>13</v>
      </c>
      <c r="KV5" s="7"/>
      <c r="KW5" s="7"/>
      <c r="KX5" s="7"/>
      <c r="KY5" s="7"/>
      <c r="KZ5" s="7"/>
      <c r="LA5" s="7"/>
      <c r="LB5" s="7"/>
      <c r="LC5" s="7"/>
      <c r="LD5" s="7"/>
      <c r="LE5" s="7"/>
      <c r="LF5" s="7"/>
      <c r="LG5" s="7"/>
      <c r="LH5" s="7"/>
      <c r="LI5" s="7"/>
      <c r="LJ5" s="102"/>
      <c r="LK5" s="102"/>
      <c r="LL5" s="102"/>
      <c r="LM5" s="102"/>
      <c r="LN5" s="102"/>
      <c r="LO5" s="102"/>
      <c r="LP5" s="102"/>
      <c r="LQ5" s="102"/>
      <c r="LR5" s="102"/>
    </row>
    <row r="6" spans="1:330" hidden="1" x14ac:dyDescent="0.25">
      <c r="A6" s="5">
        <v>1</v>
      </c>
      <c r="B6" s="50" t="str">
        <f>IFERROR(VLOOKUP(Tabla4[[#This Row],[Prioridad]],Tabla3[#All],2,0),"")</f>
        <v>EdwinV</v>
      </c>
      <c r="C6" s="39" t="str">
        <f>IFERROR(VLOOKUP(Tabla4[[#This Row],[Prioridad]],Tabla3[#All],17,0),"")</f>
        <v>Sprint 0</v>
      </c>
      <c r="D6" s="88" t="str">
        <f>IFERROR(VLOOKUP(Tabla4[[#This Row],[Prioridad]],Tabla3[#All],6,0),"")</f>
        <v>T-001</v>
      </c>
      <c r="E6" s="49" t="str">
        <f>+IFERROR(VLOOKUP(Tabla4[[#This Row],[Tarea]],Tabla3[[Num_Ticket]:[Descripción]],2,0),"")</f>
        <v>Crear plan de trabajo y cronograma general</v>
      </c>
      <c r="F6">
        <f>IFERROR(VLOOKUP(Tabla4[[#This Row],[Prioridad]],Tabla3[#All],14,0),"")</f>
        <v>0</v>
      </c>
      <c r="G6">
        <f>IF(Tabla4[[#This Row],[Prioridad]]&lt;&gt;"",SUM(W6:KT6),"")</f>
        <v>4</v>
      </c>
      <c r="H6">
        <f>IF(Tabla4[[#This Row],[Prioridad]]&lt;&gt;"",Tabla4[[#This Row],[Horas Estimadas]]-Tabla4[[#This Row],[Ejecutadas]],"")</f>
        <v>-4</v>
      </c>
      <c r="I6" s="46" t="str">
        <f>IFERROR(VLOOKUP(Tabla4[[#This Row],[Prioridad]],Tabla3[#All],18,0),"")</f>
        <v>DESARROLLO APLICACIÓN</v>
      </c>
      <c r="J6">
        <f>IFERROR(VLOOKUP(Tabla4[[#This Row],[Prioridad]],Tabla3[#All],20,0),"")</f>
        <v>1</v>
      </c>
      <c r="K6" s="62" t="str">
        <f>IFERROR(VLOOKUP(Tabla4[[#This Row],[Prioridad]],Tabla3[#All],19,0),"")</f>
        <v>Planeación</v>
      </c>
      <c r="L6" s="51" t="str">
        <f>IFERROR(VLOOKUP(Tabla4[[#This Row],[Prioridad]],Tabla3[#All],9,0),"")</f>
        <v>Tarea</v>
      </c>
      <c r="M6" s="93">
        <f>+SUMIFS(Tabla4[Avance Hito],Tabla4[Responsable],Tabla4[[#This Row],[Responsable]],Tabla4[Sprint],Tabla4[[#This Row],[Sprint]],Tabla4[Proyecto],Tabla4[[#This Row],[Proyecto]])/COUNTIFS(Tabla4[Responsable],Tabla4[[#This Row],[Responsable]],Tabla4[Sprint],Tabla4[[#This Row],[Sprint]],Tabla4[Proyecto],Tabla4[[#This Row],[Proyecto]])</f>
        <v>1</v>
      </c>
      <c r="N6" s="35">
        <f>+SUMIFS(Tabla4[Avance relativo],Tabla4[Responsable],Tabla4[[#This Row],[Responsable]],Tabla4[Sprint],Tabla4[[#This Row],[Sprint]],Tabla4[Hito],Tabla4[[#This Row],[Hito]])</f>
        <v>1</v>
      </c>
      <c r="O6" s="69">
        <f>IFERROR(VLOOKUP(Tabla4[[#This Row],[Tarea]],Tabla3[[#All],[Num_Ticket]:[Hito]],5,0),"")</f>
        <v>44447</v>
      </c>
      <c r="P6" s="76">
        <v>44230</v>
      </c>
      <c r="Q6" s="7">
        <f>IF(Tabla4[[#This Row],[Prioridad]]="","",IF(Tabla4[[#This Row],[Hito]]&lt;&gt;"",COUNTIFS(Tabla4[Responsable],Tabla4[[#This Row],[Responsable]],Tabla4[Sprint],Tabla4[[#This Row],[Sprint]],Tabla4[Epica],Tabla4[[#This Row],[Epica]])))</f>
        <v>1</v>
      </c>
      <c r="R6" s="7">
        <f>IF(Tabla4[[#This Row],[Prioridad]]="","",1*Tabla4[[#This Row],[% Avance]])</f>
        <v>1</v>
      </c>
      <c r="S6" s="7">
        <f>IFERROR(Tabla4[[#This Row],[Total Avance]]/Tabla4[[#This Row],[Conteo_Epica]],0)</f>
        <v>1</v>
      </c>
      <c r="T6" s="78">
        <v>1</v>
      </c>
      <c r="U6" s="79">
        <v>2</v>
      </c>
      <c r="V6" s="89" t="s">
        <v>178</v>
      </c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11"/>
      <c r="AQ6" s="10"/>
      <c r="AR6" s="7"/>
      <c r="AS6" s="7"/>
      <c r="AT6" s="7"/>
      <c r="AU6" s="11"/>
      <c r="AV6" s="10"/>
      <c r="AW6" s="7"/>
      <c r="AX6" s="7"/>
      <c r="AY6" s="7"/>
      <c r="AZ6" s="11"/>
      <c r="BA6" s="10"/>
      <c r="BB6" s="7"/>
      <c r="BC6" s="7"/>
      <c r="BD6" s="7"/>
      <c r="BE6" s="11"/>
      <c r="BF6" s="10"/>
      <c r="BG6" s="7"/>
      <c r="BH6" s="7"/>
      <c r="BI6" s="7"/>
      <c r="BJ6" s="11"/>
      <c r="BK6" s="5"/>
      <c r="BL6" s="10"/>
      <c r="BM6" s="7"/>
      <c r="BN6" s="7"/>
      <c r="BO6" s="7"/>
      <c r="BP6" s="7"/>
      <c r="BQ6" s="10"/>
      <c r="BR6" s="7"/>
      <c r="BS6" s="7"/>
      <c r="BT6" s="7"/>
      <c r="BU6" s="11"/>
      <c r="BV6" s="10"/>
      <c r="BW6" s="7"/>
      <c r="BX6" s="7"/>
      <c r="BY6" s="7"/>
      <c r="BZ6" s="11"/>
      <c r="CA6" s="7"/>
      <c r="CB6" s="7"/>
      <c r="CC6" s="7"/>
      <c r="CD6" s="11"/>
      <c r="CE6" s="10"/>
      <c r="CF6" s="7"/>
      <c r="CG6" s="11"/>
      <c r="CH6" s="11"/>
      <c r="CI6" s="10"/>
      <c r="CJ6" s="7"/>
      <c r="CK6" s="7"/>
      <c r="CL6" s="7"/>
      <c r="CM6" s="7"/>
      <c r="CN6" s="10"/>
      <c r="CO6" s="7"/>
      <c r="CP6" s="7"/>
      <c r="CQ6" s="7"/>
      <c r="CR6" s="11"/>
      <c r="CS6" s="10"/>
      <c r="CT6" s="7"/>
      <c r="CU6" s="7"/>
      <c r="CV6" s="7"/>
      <c r="CW6" s="11"/>
      <c r="CX6" s="7"/>
      <c r="CY6" s="7"/>
      <c r="CZ6" s="7"/>
      <c r="DA6" s="7"/>
      <c r="DB6" s="11"/>
      <c r="DC6" s="11"/>
      <c r="DD6" s="10"/>
      <c r="DE6" s="7"/>
      <c r="DF6" s="7"/>
      <c r="DG6" s="7"/>
      <c r="DH6" s="7"/>
      <c r="DI6" s="10"/>
      <c r="DJ6" s="7"/>
      <c r="DK6" s="7"/>
      <c r="DL6" s="7"/>
      <c r="DM6" s="11"/>
      <c r="DN6" s="10"/>
      <c r="DO6" s="7"/>
      <c r="DP6" s="7"/>
      <c r="DQ6" s="7"/>
      <c r="DR6" s="11"/>
      <c r="DS6" s="7"/>
      <c r="DT6" s="7"/>
      <c r="DU6" s="7"/>
      <c r="DV6" s="7"/>
      <c r="DW6" s="11"/>
      <c r="DX6" s="96"/>
      <c r="DY6" s="7"/>
      <c r="DZ6" s="11"/>
      <c r="EA6" s="11"/>
      <c r="EB6" s="10"/>
      <c r="EC6" s="7"/>
      <c r="ED6" s="7"/>
      <c r="EE6" s="11"/>
      <c r="EF6" s="7"/>
      <c r="EG6" s="10"/>
      <c r="EH6" s="10"/>
      <c r="EI6" s="7"/>
      <c r="EJ6" s="11"/>
      <c r="EK6" s="7"/>
      <c r="EL6" s="10"/>
      <c r="EM6" s="7"/>
      <c r="EN6" s="7"/>
      <c r="EO6" s="11"/>
      <c r="EP6" s="7"/>
      <c r="EQ6" s="10"/>
      <c r="ER6" s="7"/>
      <c r="ES6" s="7"/>
      <c r="ET6" s="7"/>
      <c r="EU6" s="11"/>
      <c r="EV6" s="96"/>
      <c r="EW6" s="10"/>
      <c r="EX6" s="7"/>
      <c r="EY6" s="7"/>
      <c r="EZ6" s="7"/>
      <c r="FA6" s="7"/>
      <c r="FB6" s="96"/>
      <c r="FC6" s="10"/>
      <c r="FD6" s="7"/>
      <c r="FE6" s="7"/>
      <c r="FF6" s="7"/>
      <c r="FG6" s="96"/>
      <c r="FH6" s="10"/>
      <c r="FI6" s="7"/>
      <c r="FJ6" s="7"/>
      <c r="FK6" s="7"/>
      <c r="FL6" s="11"/>
      <c r="FM6" s="96"/>
      <c r="FN6" s="10"/>
      <c r="FO6" s="7"/>
      <c r="FP6" s="7"/>
      <c r="FQ6" s="7"/>
      <c r="FR6" s="96"/>
      <c r="FS6" s="10"/>
      <c r="FT6" s="7"/>
      <c r="FU6" s="7"/>
      <c r="FV6" s="7"/>
      <c r="FW6" s="7"/>
      <c r="FX6" s="96"/>
      <c r="FY6" s="10"/>
      <c r="FZ6" s="7"/>
      <c r="GA6" s="7"/>
      <c r="GB6" s="7"/>
      <c r="GC6" s="7"/>
      <c r="GD6" s="96"/>
      <c r="GE6" s="10"/>
      <c r="GF6" s="7"/>
      <c r="GG6" s="7"/>
      <c r="GH6" s="7"/>
      <c r="GI6" s="11"/>
      <c r="GJ6" s="110"/>
      <c r="GK6" s="2"/>
      <c r="GL6" s="2"/>
      <c r="GM6" s="2"/>
      <c r="GN6" s="2"/>
      <c r="GO6" s="96"/>
      <c r="GP6" s="10"/>
      <c r="GQ6" s="7"/>
      <c r="GR6" s="7"/>
      <c r="GS6" s="7"/>
      <c r="GT6" s="11"/>
      <c r="GU6" s="96"/>
      <c r="GV6" s="10"/>
      <c r="GW6" s="7"/>
      <c r="GX6" s="7"/>
      <c r="GY6" s="7"/>
      <c r="GZ6" s="7"/>
      <c r="HA6" s="10"/>
      <c r="HB6" s="10"/>
      <c r="HC6" s="7">
        <v>4</v>
      </c>
      <c r="HD6" s="7"/>
      <c r="HE6" s="7"/>
      <c r="HF6" s="7"/>
      <c r="HG6" s="7"/>
      <c r="HH6" s="96"/>
      <c r="HI6" s="10"/>
      <c r="HJ6" s="7"/>
      <c r="HK6" s="7"/>
      <c r="HL6" s="7"/>
      <c r="HM6" s="7"/>
      <c r="HN6" s="7"/>
      <c r="HO6" s="10"/>
      <c r="HP6" s="99"/>
      <c r="HQ6" s="20"/>
      <c r="HR6" s="20"/>
      <c r="HS6" s="20"/>
      <c r="HT6" s="20"/>
      <c r="HU6" s="100"/>
      <c r="HV6" s="7"/>
      <c r="HW6" s="99"/>
      <c r="HX6" s="20"/>
      <c r="HY6" s="20"/>
      <c r="HZ6" s="20"/>
      <c r="IA6" s="20"/>
      <c r="IB6" s="100"/>
      <c r="IC6" s="11"/>
      <c r="ID6" s="7"/>
      <c r="IE6" s="7"/>
      <c r="IF6" s="7"/>
      <c r="IG6" s="7"/>
      <c r="IH6" s="7"/>
      <c r="II6" s="7"/>
      <c r="IJ6" s="96"/>
      <c r="IK6" s="10"/>
      <c r="IL6" s="7"/>
      <c r="IM6" s="7"/>
      <c r="IN6" s="7"/>
      <c r="IO6" s="7"/>
      <c r="IP6" s="11"/>
      <c r="IQ6" s="96"/>
      <c r="IR6" s="7"/>
      <c r="IS6" s="7"/>
      <c r="IT6" s="7"/>
      <c r="IU6" s="7"/>
      <c r="IV6" s="7"/>
      <c r="IW6" s="7"/>
      <c r="IX6" s="7"/>
      <c r="IY6" s="7"/>
      <c r="IZ6" s="7"/>
      <c r="JA6" s="7"/>
      <c r="JB6" s="7"/>
      <c r="JC6" s="7"/>
      <c r="JD6" s="7"/>
      <c r="JE6" s="7"/>
      <c r="JF6" s="7"/>
      <c r="JG6" s="7"/>
      <c r="JH6" s="7"/>
      <c r="JI6" s="7"/>
      <c r="JJ6" s="7"/>
      <c r="JK6" s="7"/>
      <c r="JL6" s="7"/>
      <c r="JM6" s="7"/>
      <c r="JN6" s="7"/>
      <c r="JO6" s="7"/>
      <c r="JP6" s="7"/>
      <c r="JQ6" s="7"/>
      <c r="JR6" s="7"/>
      <c r="JS6" s="7"/>
      <c r="JT6" s="7"/>
      <c r="JU6" s="7"/>
      <c r="JV6" s="7"/>
      <c r="JW6" s="7"/>
      <c r="JX6" s="7"/>
      <c r="JY6" s="7"/>
      <c r="JZ6" s="7"/>
      <c r="KA6" s="7"/>
      <c r="KB6" s="7"/>
      <c r="KC6" s="7"/>
      <c r="KD6" s="7"/>
      <c r="KE6" s="7"/>
      <c r="KF6" s="7"/>
      <c r="KG6" s="7"/>
      <c r="KH6" s="7"/>
      <c r="KI6" s="7"/>
      <c r="KJ6" s="7"/>
      <c r="KK6" s="7"/>
      <c r="KL6" s="7"/>
      <c r="KM6" s="7"/>
      <c r="KN6" s="7"/>
      <c r="KO6" s="7"/>
      <c r="KP6" s="7"/>
      <c r="KQ6" s="7"/>
      <c r="KR6" s="7"/>
      <c r="KS6" s="7"/>
      <c r="KT6" s="7"/>
      <c r="KU6" s="7"/>
      <c r="KV6" s="7"/>
      <c r="KW6" s="7"/>
      <c r="KX6" s="7"/>
      <c r="KY6" s="7"/>
      <c r="KZ6" s="7"/>
      <c r="LA6" s="7"/>
      <c r="LB6" s="7"/>
      <c r="LC6" s="7"/>
      <c r="LD6" s="7"/>
      <c r="LE6" s="7"/>
      <c r="LF6" s="7"/>
      <c r="LG6" s="7"/>
      <c r="LH6" s="7"/>
      <c r="LI6" s="7"/>
      <c r="LJ6" s="102"/>
      <c r="LK6" s="102"/>
      <c r="LL6" s="102"/>
      <c r="LM6" s="102"/>
      <c r="LN6" s="102"/>
      <c r="LO6" s="102"/>
      <c r="LP6" s="102"/>
      <c r="LQ6" s="102"/>
      <c r="LR6" s="102"/>
    </row>
    <row r="7" spans="1:330" hidden="1" x14ac:dyDescent="0.25">
      <c r="A7" s="5">
        <v>2</v>
      </c>
      <c r="B7" s="50" t="str">
        <f>IFERROR(VLOOKUP(Tabla4[[#This Row],[Prioridad]],Tabla3[#All],2,0),"")</f>
        <v>EQUIPO</v>
      </c>
      <c r="C7" s="39" t="str">
        <f>IFERROR(VLOOKUP(Tabla4[[#This Row],[Prioridad]],Tabla3[#All],17,0),"")</f>
        <v>Sprint 0</v>
      </c>
      <c r="D7" s="49" t="str">
        <f>IFERROR(VLOOKUP(Tabla4[[#This Row],[Prioridad]],Tabla3[#All],6,0),"")</f>
        <v>T-002</v>
      </c>
      <c r="E7" s="49" t="str">
        <f>+IFERROR(VLOOKUP(Tabla4[[#This Row],[Tarea]],Tabla3[[Num_Ticket]:[Descripción]],2,0),"")</f>
        <v>Planteamiento del Problema</v>
      </c>
      <c r="F7" s="7">
        <f>IFERROR(VLOOKUP(Tabla4[[#This Row],[Prioridad]],Tabla3[#All],14,0),"")</f>
        <v>0</v>
      </c>
      <c r="G7" s="7">
        <f>IF(Tabla4[[#This Row],[Prioridad]]&lt;&gt;"",SUM(W7:KT7),"")</f>
        <v>2</v>
      </c>
      <c r="H7" s="7">
        <f>IF(Tabla4[[#This Row],[Prioridad]]&lt;&gt;"",Tabla4[[#This Row],[Horas Estimadas]]-Tabla4[[#This Row],[Ejecutadas]],"")</f>
        <v>-2</v>
      </c>
      <c r="I7" s="46" t="str">
        <f>IFERROR(VLOOKUP(Tabla4[[#This Row],[Prioridad]],Tabla3[#All],18,0),"")</f>
        <v>DESARROLLO APLICACIÓN</v>
      </c>
      <c r="J7" s="5">
        <f>IFERROR(VLOOKUP(Tabla4[[#This Row],[Prioridad]],Tabla3[#All],20,0),"")</f>
        <v>1</v>
      </c>
      <c r="K7" s="62" t="str">
        <f>IFERROR(VLOOKUP(Tabla4[[#This Row],[Prioridad]],Tabla3[#All],19,0),"")</f>
        <v>Planeación</v>
      </c>
      <c r="L7" s="82" t="str">
        <f>IFERROR(VLOOKUP(Tabla4[[#This Row],[Prioridad]],Tabla3[#All],9,0),"")</f>
        <v>Tarea</v>
      </c>
      <c r="M7" s="93">
        <f>+SUMIFS(Tabla4[Avance Hito],Tabla4[Responsable],Tabla4[[#This Row],[Responsable]],Tabla4[Sprint],Tabla4[[#This Row],[Sprint]],Tabla4[Proyecto],Tabla4[[#This Row],[Proyecto]])/COUNTIFS(Tabla4[Responsable],Tabla4[[#This Row],[Responsable]],Tabla4[Sprint],Tabla4[[#This Row],[Sprint]],Tabla4[Proyecto],Tabla4[[#This Row],[Proyecto]])</f>
        <v>1</v>
      </c>
      <c r="N7" s="35">
        <f>+SUMIFS(Tabla4[Avance relativo],Tabla4[Responsable],Tabla4[[#This Row],[Responsable]],Tabla4[Sprint],Tabla4[[#This Row],[Sprint]],Tabla4[Hito],Tabla4[[#This Row],[Hito]])</f>
        <v>1</v>
      </c>
      <c r="O7" s="69">
        <f>IFERROR(VLOOKUP(Tabla4[[#This Row],[Tarea]],Tabla3[[#All],[Num_Ticket]:[Hito]],5,0),"")</f>
        <v>44447</v>
      </c>
      <c r="P7" s="77">
        <v>44231</v>
      </c>
      <c r="Q7" s="7">
        <f>IF(Tabla4[[#This Row],[Prioridad]]="","",IF(Tabla4[[#This Row],[Hito]]&lt;&gt;"",COUNTIFS(Tabla4[Responsable],Tabla4[[#This Row],[Responsable]],Tabla4[Sprint],Tabla4[[#This Row],[Sprint]],Tabla4[Epica],Tabla4[[#This Row],[Epica]])))</f>
        <v>2</v>
      </c>
      <c r="R7" s="7">
        <f>IF(Tabla4[[#This Row],[Prioridad]]="","",1*Tabla4[[#This Row],[% Avance]])</f>
        <v>1</v>
      </c>
      <c r="S7" s="7">
        <f>IFERROR(Tabla4[[#This Row],[Total Avance]]/Tabla4[[#This Row],[Conteo_Epica]],0)</f>
        <v>0.5</v>
      </c>
      <c r="T7" s="78">
        <v>1</v>
      </c>
      <c r="U7" s="79">
        <v>2</v>
      </c>
      <c r="V7" s="89" t="s">
        <v>178</v>
      </c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11"/>
      <c r="AQ7" s="10"/>
      <c r="AR7" s="7"/>
      <c r="AS7" s="7"/>
      <c r="AT7" s="7"/>
      <c r="AU7" s="11"/>
      <c r="AV7" s="10"/>
      <c r="AW7" s="7"/>
      <c r="AX7" s="7"/>
      <c r="AY7" s="7"/>
      <c r="AZ7" s="11"/>
      <c r="BA7" s="10"/>
      <c r="BB7" s="7"/>
      <c r="BC7" s="7"/>
      <c r="BD7" s="9"/>
      <c r="BE7" s="14"/>
      <c r="BF7" s="59"/>
      <c r="BG7" s="7"/>
      <c r="BH7" s="7"/>
      <c r="BI7" s="7"/>
      <c r="BJ7" s="11"/>
      <c r="BK7" s="5"/>
      <c r="BL7" s="10"/>
      <c r="BM7" s="7"/>
      <c r="BN7" s="7"/>
      <c r="BO7" s="7"/>
      <c r="BP7" s="7"/>
      <c r="BQ7" s="10"/>
      <c r="BR7" s="7"/>
      <c r="BS7" s="7"/>
      <c r="BT7" s="7"/>
      <c r="BU7" s="11"/>
      <c r="BV7" s="10"/>
      <c r="BW7" s="7"/>
      <c r="BX7" s="7"/>
      <c r="BY7" s="9"/>
      <c r="BZ7" s="14"/>
      <c r="CA7" s="7"/>
      <c r="CB7" s="7"/>
      <c r="CC7" s="7"/>
      <c r="CD7" s="11"/>
      <c r="CE7" s="10"/>
      <c r="CF7" s="7"/>
      <c r="CG7" s="11"/>
      <c r="CH7" s="11"/>
      <c r="CI7" s="10"/>
      <c r="CJ7" s="7"/>
      <c r="CK7" s="7"/>
      <c r="CL7" s="7"/>
      <c r="CM7" s="7"/>
      <c r="CN7" s="10"/>
      <c r="CO7" s="7"/>
      <c r="CP7" s="7"/>
      <c r="CQ7" s="7"/>
      <c r="CR7" s="11"/>
      <c r="CS7" s="10"/>
      <c r="CT7" s="7"/>
      <c r="CU7" s="7"/>
      <c r="CV7" s="9"/>
      <c r="CW7" s="14"/>
      <c r="CX7" s="7"/>
      <c r="CY7" s="7"/>
      <c r="CZ7" s="7"/>
      <c r="DA7" s="7"/>
      <c r="DB7" s="11"/>
      <c r="DC7" s="11"/>
      <c r="DD7" s="10"/>
      <c r="DE7" s="7"/>
      <c r="DF7" s="7"/>
      <c r="DG7" s="7"/>
      <c r="DH7" s="7"/>
      <c r="DI7" s="10"/>
      <c r="DJ7" s="7"/>
      <c r="DK7" s="7"/>
      <c r="DL7" s="7"/>
      <c r="DM7" s="11"/>
      <c r="DN7" s="10"/>
      <c r="DO7" s="7"/>
      <c r="DP7" s="7"/>
      <c r="DQ7" s="9"/>
      <c r="DR7" s="14"/>
      <c r="DS7" s="9"/>
      <c r="DT7" s="7"/>
      <c r="DU7" s="7"/>
      <c r="DV7" s="7"/>
      <c r="DW7" s="11"/>
      <c r="DX7" s="96"/>
      <c r="DY7" s="7"/>
      <c r="DZ7" s="11"/>
      <c r="EA7" s="11"/>
      <c r="EB7" s="10"/>
      <c r="EC7" s="7"/>
      <c r="ED7" s="7"/>
      <c r="EE7" s="11"/>
      <c r="EF7" s="7"/>
      <c r="EG7" s="10"/>
      <c r="EH7" s="10"/>
      <c r="EI7" s="7"/>
      <c r="EJ7" s="11"/>
      <c r="EK7" s="7"/>
      <c r="EL7" s="10"/>
      <c r="EM7" s="7"/>
      <c r="EN7" s="7"/>
      <c r="EO7" s="11"/>
      <c r="EP7" s="7"/>
      <c r="EQ7" s="59"/>
      <c r="ER7" s="9"/>
      <c r="ES7" s="7"/>
      <c r="ET7" s="7"/>
      <c r="EU7" s="11"/>
      <c r="EV7" s="96"/>
      <c r="EW7" s="10"/>
      <c r="EX7" s="7"/>
      <c r="EY7" s="7"/>
      <c r="EZ7" s="7"/>
      <c r="FA7" s="7"/>
      <c r="FB7" s="96"/>
      <c r="FC7" s="10"/>
      <c r="FD7" s="7"/>
      <c r="FE7" s="7"/>
      <c r="FF7" s="7"/>
      <c r="FG7" s="96"/>
      <c r="FH7" s="10"/>
      <c r="FI7" s="7"/>
      <c r="FJ7" s="7"/>
      <c r="FK7" s="7"/>
      <c r="FL7" s="11"/>
      <c r="FM7" s="96"/>
      <c r="FN7" s="10"/>
      <c r="FO7" s="7"/>
      <c r="FP7" s="9"/>
      <c r="FQ7" s="9"/>
      <c r="FR7" s="96"/>
      <c r="FS7" s="10"/>
      <c r="FT7" s="7"/>
      <c r="FU7" s="7"/>
      <c r="FV7" s="7"/>
      <c r="FW7" s="7"/>
      <c r="FX7" s="96"/>
      <c r="FY7" s="10"/>
      <c r="FZ7" s="7"/>
      <c r="GA7" s="7"/>
      <c r="GB7" s="7"/>
      <c r="GC7" s="7"/>
      <c r="GD7" s="96"/>
      <c r="GE7" s="10"/>
      <c r="GF7" s="7"/>
      <c r="GG7" s="7"/>
      <c r="GH7" s="7"/>
      <c r="GI7" s="11"/>
      <c r="GJ7" s="110"/>
      <c r="GK7" s="2"/>
      <c r="GL7" s="2"/>
      <c r="GM7" s="116"/>
      <c r="GN7" s="116"/>
      <c r="GO7" s="96"/>
      <c r="GP7" s="10"/>
      <c r="GQ7" s="7"/>
      <c r="GR7" s="7"/>
      <c r="GS7" s="7"/>
      <c r="GT7" s="11"/>
      <c r="GU7" s="96"/>
      <c r="GV7" s="10"/>
      <c r="GW7" s="7"/>
      <c r="GX7" s="7"/>
      <c r="GY7" s="7"/>
      <c r="GZ7" s="7"/>
      <c r="HA7" s="10"/>
      <c r="HB7" s="10"/>
      <c r="HC7" s="7"/>
      <c r="HD7" s="7"/>
      <c r="HE7" s="7">
        <v>2</v>
      </c>
      <c r="HF7" s="7"/>
      <c r="HG7" s="7"/>
      <c r="HH7" s="96"/>
      <c r="HI7" s="10"/>
      <c r="HJ7" s="7"/>
      <c r="HK7" s="7"/>
      <c r="HL7" s="9"/>
      <c r="HM7" s="9"/>
      <c r="HN7" s="9"/>
      <c r="HO7" s="59"/>
      <c r="HP7" s="10"/>
      <c r="HQ7" s="7"/>
      <c r="HR7" s="7"/>
      <c r="HS7" s="7"/>
      <c r="HT7" s="7"/>
      <c r="HU7" s="11"/>
      <c r="HV7" s="9"/>
      <c r="HW7" s="10"/>
      <c r="HX7" s="7"/>
      <c r="HY7" s="7"/>
      <c r="HZ7" s="7"/>
      <c r="IA7" s="7"/>
      <c r="IB7" s="11"/>
      <c r="IC7" s="14"/>
      <c r="ID7" s="7"/>
      <c r="IE7" s="7"/>
      <c r="IF7" s="7"/>
      <c r="IG7" s="7"/>
      <c r="IH7" s="7"/>
      <c r="II7" s="7"/>
      <c r="IJ7" s="112"/>
      <c r="IK7" s="10"/>
      <c r="IL7" s="7"/>
      <c r="IM7" s="7"/>
      <c r="IN7" s="7"/>
      <c r="IO7" s="7"/>
      <c r="IP7" s="11"/>
      <c r="IQ7" s="112"/>
      <c r="IR7" s="9"/>
      <c r="IS7" s="9"/>
      <c r="IT7" s="7"/>
      <c r="IU7" s="7"/>
      <c r="IV7" s="7"/>
      <c r="IW7" s="7"/>
      <c r="IX7" s="7"/>
      <c r="IY7" s="7"/>
      <c r="IZ7" s="7"/>
      <c r="JA7" s="7"/>
      <c r="JB7" s="7"/>
      <c r="JC7" s="7"/>
      <c r="JD7" s="7"/>
      <c r="JE7" s="7"/>
      <c r="JF7" s="7"/>
      <c r="JG7" s="7"/>
      <c r="JH7" s="7"/>
      <c r="JI7" s="7"/>
      <c r="JJ7" s="7"/>
      <c r="JK7" s="7"/>
      <c r="JL7" s="7"/>
      <c r="JM7" s="7"/>
      <c r="JN7" s="7"/>
      <c r="JO7" s="9"/>
      <c r="JP7" s="9"/>
      <c r="JQ7" s="7"/>
      <c r="JR7" s="7"/>
      <c r="JS7" s="7"/>
      <c r="JT7" s="7"/>
      <c r="JU7" s="7"/>
      <c r="JV7" s="7"/>
      <c r="JW7" s="7"/>
      <c r="JX7" s="7"/>
      <c r="JY7" s="7"/>
      <c r="JZ7" s="7"/>
      <c r="KA7" s="7"/>
      <c r="KB7" s="7"/>
      <c r="KC7" s="7"/>
      <c r="KD7" s="7"/>
      <c r="KE7" s="7"/>
      <c r="KF7" s="7"/>
      <c r="KG7" s="7"/>
      <c r="KH7" s="7"/>
      <c r="KI7" s="7"/>
      <c r="KJ7" s="7"/>
      <c r="KK7" s="7"/>
      <c r="KL7" s="9"/>
      <c r="KM7" s="9"/>
      <c r="KN7" s="7"/>
      <c r="KO7" s="7"/>
      <c r="KP7" s="7"/>
      <c r="KQ7" s="7"/>
      <c r="KR7" s="7"/>
      <c r="KS7" s="7"/>
      <c r="KT7" s="7"/>
      <c r="KU7" s="7"/>
      <c r="KV7" s="7"/>
      <c r="KW7" s="7"/>
      <c r="KX7" s="7"/>
      <c r="KY7" s="7"/>
      <c r="KZ7" s="7"/>
      <c r="LA7" s="7"/>
      <c r="LB7" s="7"/>
      <c r="LC7" s="7"/>
      <c r="LD7" s="7"/>
      <c r="LE7" s="7"/>
      <c r="LF7" s="7"/>
      <c r="LG7" s="7"/>
      <c r="LH7" s="7"/>
      <c r="LI7" s="7"/>
      <c r="LJ7" s="102"/>
      <c r="LK7" s="102"/>
      <c r="LL7" s="102"/>
      <c r="LM7" s="102"/>
      <c r="LN7" s="102"/>
      <c r="LO7" s="102"/>
      <c r="LP7" s="102"/>
      <c r="LQ7" s="102"/>
      <c r="LR7" s="102"/>
    </row>
    <row r="8" spans="1:330" hidden="1" x14ac:dyDescent="0.25">
      <c r="A8" s="5">
        <v>3</v>
      </c>
      <c r="B8" s="50" t="str">
        <f>IFERROR(VLOOKUP(Tabla4[[#This Row],[Prioridad]],Tabla3[#All],2,0),"")</f>
        <v>EQUIPO</v>
      </c>
      <c r="C8" s="39" t="str">
        <f>IFERROR(VLOOKUP(Tabla4[[#This Row],[Prioridad]],Tabla3[#All],17,0),"")</f>
        <v>Sprint 0</v>
      </c>
      <c r="D8" s="49" t="str">
        <f>IFERROR(VLOOKUP(Tabla4[[#This Row],[Prioridad]],Tabla3[#All],6,0),"")</f>
        <v>T-003</v>
      </c>
      <c r="E8" s="49" t="str">
        <f>+IFERROR(VLOOKUP(Tabla4[[#This Row],[Tarea]],Tabla3[[Num_Ticket]:[Descripción]],2,0),"")</f>
        <v>Asignación de Roles y Tareas</v>
      </c>
      <c r="F8" s="7">
        <f>IFERROR(VLOOKUP(Tabla4[[#This Row],[Prioridad]],Tabla3[#All],14,0),"")</f>
        <v>0</v>
      </c>
      <c r="G8" s="7">
        <f>IF(Tabla4[[#This Row],[Prioridad]]&lt;&gt;"",SUM(W8:KT8),"")</f>
        <v>1</v>
      </c>
      <c r="H8" s="7">
        <f>IF(Tabla4[[#This Row],[Prioridad]]&lt;&gt;"",Tabla4[[#This Row],[Horas Estimadas]]-Tabla4[[#This Row],[Ejecutadas]],"")</f>
        <v>-1</v>
      </c>
      <c r="I8" s="46" t="str">
        <f>IFERROR(VLOOKUP(Tabla4[[#This Row],[Prioridad]],Tabla3[#All],18,0),"")</f>
        <v>DESARROLLO APLICACIÓN</v>
      </c>
      <c r="J8" s="5">
        <f>IFERROR(VLOOKUP(Tabla4[[#This Row],[Prioridad]],Tabla3[#All],20,0),"")</f>
        <v>1</v>
      </c>
      <c r="K8" s="62" t="str">
        <f>IFERROR(VLOOKUP(Tabla4[[#This Row],[Prioridad]],Tabla3[#All],19,0),"")</f>
        <v>Planeación</v>
      </c>
      <c r="L8" s="82" t="str">
        <f>IFERROR(VLOOKUP(Tabla4[[#This Row],[Prioridad]],Tabla3[#All],9,0),"")</f>
        <v>Tarea</v>
      </c>
      <c r="M8" s="93">
        <f>+SUMIFS(Tabla4[Avance Hito],Tabla4[Responsable],Tabla4[[#This Row],[Responsable]],Tabla4[Sprint],Tabla4[[#This Row],[Sprint]],Tabla4[Proyecto],Tabla4[[#This Row],[Proyecto]])/COUNTIFS(Tabla4[Responsable],Tabla4[[#This Row],[Responsable]],Tabla4[Sprint],Tabla4[[#This Row],[Sprint]],Tabla4[Proyecto],Tabla4[[#This Row],[Proyecto]])</f>
        <v>1</v>
      </c>
      <c r="N8" s="35">
        <f>+SUMIFS(Tabla4[Avance relativo],Tabla4[Responsable],Tabla4[[#This Row],[Responsable]],Tabla4[Sprint],Tabla4[[#This Row],[Sprint]],Tabla4[Hito],Tabla4[[#This Row],[Hito]])</f>
        <v>1</v>
      </c>
      <c r="O8" s="69">
        <f>IFERROR(VLOOKUP(Tabla4[[#This Row],[Tarea]],Tabla3[[#All],[Num_Ticket]:[Hito]],5,0),"")</f>
        <v>44447</v>
      </c>
      <c r="P8" s="77">
        <v>44235</v>
      </c>
      <c r="Q8" s="7">
        <f>IF(Tabla4[[#This Row],[Prioridad]]="","",IF(Tabla4[[#This Row],[Hito]]&lt;&gt;"",COUNTIFS(Tabla4[Responsable],Tabla4[[#This Row],[Responsable]],Tabla4[Sprint],Tabla4[[#This Row],[Sprint]],Tabla4[Epica],Tabla4[[#This Row],[Epica]])))</f>
        <v>2</v>
      </c>
      <c r="R8" s="7">
        <f>IF(Tabla4[[#This Row],[Prioridad]]="","",1*Tabla4[[#This Row],[% Avance]])</f>
        <v>1</v>
      </c>
      <c r="S8" s="7">
        <f>IFERROR(Tabla4[[#This Row],[Total Avance]]/Tabla4[[#This Row],[Conteo_Epica]],0)</f>
        <v>0.5</v>
      </c>
      <c r="T8" s="78">
        <v>1</v>
      </c>
      <c r="U8" s="79">
        <v>2</v>
      </c>
      <c r="V8" s="89" t="s">
        <v>178</v>
      </c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11"/>
      <c r="AQ8" s="10"/>
      <c r="AR8" s="7"/>
      <c r="AS8" s="7"/>
      <c r="AT8" s="7"/>
      <c r="AU8" s="11"/>
      <c r="AV8" s="10"/>
      <c r="AW8" s="7"/>
      <c r="AX8" s="7"/>
      <c r="AY8" s="7"/>
      <c r="AZ8" s="11"/>
      <c r="BA8" s="10"/>
      <c r="BB8" s="7"/>
      <c r="BC8" s="7"/>
      <c r="BD8" s="9"/>
      <c r="BE8" s="15"/>
      <c r="BF8" s="59"/>
      <c r="BG8" s="9"/>
      <c r="BH8" s="9"/>
      <c r="BI8" s="7"/>
      <c r="BJ8" s="11"/>
      <c r="BK8" s="5"/>
      <c r="BL8" s="10"/>
      <c r="BM8" s="7"/>
      <c r="BN8" s="7"/>
      <c r="BO8" s="7"/>
      <c r="BP8" s="7"/>
      <c r="BQ8" s="10"/>
      <c r="BR8" s="7"/>
      <c r="BS8" s="7"/>
      <c r="BT8" s="7"/>
      <c r="BU8" s="11"/>
      <c r="BV8" s="10"/>
      <c r="BW8" s="7"/>
      <c r="BX8" s="7"/>
      <c r="BY8" s="9"/>
      <c r="BZ8" s="15"/>
      <c r="CA8" s="9"/>
      <c r="CB8" s="9"/>
      <c r="CC8" s="7"/>
      <c r="CD8" s="11"/>
      <c r="CE8" s="10"/>
      <c r="CF8" s="7"/>
      <c r="CG8" s="11"/>
      <c r="CH8" s="11"/>
      <c r="CI8" s="10"/>
      <c r="CJ8" s="7"/>
      <c r="CK8" s="7"/>
      <c r="CL8" s="7"/>
      <c r="CM8" s="7"/>
      <c r="CN8" s="10"/>
      <c r="CO8" s="7"/>
      <c r="CP8" s="7"/>
      <c r="CQ8" s="7"/>
      <c r="CR8" s="11"/>
      <c r="CS8" s="10"/>
      <c r="CT8" s="7"/>
      <c r="CU8" s="7"/>
      <c r="CV8" s="9"/>
      <c r="CW8" s="15"/>
      <c r="CX8" s="9"/>
      <c r="CY8" s="9"/>
      <c r="CZ8" s="7"/>
      <c r="DA8" s="7"/>
      <c r="DB8" s="11"/>
      <c r="DC8" s="11"/>
      <c r="DD8" s="10"/>
      <c r="DE8" s="7"/>
      <c r="DF8" s="7"/>
      <c r="DG8" s="7"/>
      <c r="DH8" s="7"/>
      <c r="DI8" s="10"/>
      <c r="DJ8" s="7"/>
      <c r="DK8" s="7"/>
      <c r="DL8" s="7"/>
      <c r="DM8" s="11"/>
      <c r="DN8" s="10"/>
      <c r="DO8" s="7"/>
      <c r="DP8" s="7"/>
      <c r="DQ8" s="9"/>
      <c r="DR8" s="15"/>
      <c r="DS8" s="94"/>
      <c r="DT8" s="9"/>
      <c r="DU8" s="9"/>
      <c r="DV8" s="7"/>
      <c r="DW8" s="11"/>
      <c r="DX8" s="96"/>
      <c r="DY8" s="7"/>
      <c r="DZ8" s="11"/>
      <c r="EA8" s="11"/>
      <c r="EB8" s="10"/>
      <c r="EC8" s="7"/>
      <c r="ED8" s="7"/>
      <c r="EE8" s="11"/>
      <c r="EF8" s="7"/>
      <c r="EG8" s="10"/>
      <c r="EH8" s="10"/>
      <c r="EI8" s="7"/>
      <c r="EJ8" s="11"/>
      <c r="EK8" s="7"/>
      <c r="EL8" s="10"/>
      <c r="EM8" s="7"/>
      <c r="EN8" s="7"/>
      <c r="EO8" s="11"/>
      <c r="EP8" s="7"/>
      <c r="EQ8" s="59"/>
      <c r="ER8" s="94"/>
      <c r="ES8" s="9"/>
      <c r="ET8" s="9"/>
      <c r="EU8" s="11"/>
      <c r="EV8" s="96"/>
      <c r="EW8" s="10"/>
      <c r="EX8" s="7"/>
      <c r="EY8" s="7"/>
      <c r="EZ8" s="7"/>
      <c r="FA8" s="7"/>
      <c r="FB8" s="96"/>
      <c r="FC8" s="10"/>
      <c r="FD8" s="7"/>
      <c r="FE8" s="7"/>
      <c r="FF8" s="7"/>
      <c r="FG8" s="96"/>
      <c r="FH8" s="10"/>
      <c r="FI8" s="7"/>
      <c r="FJ8" s="7"/>
      <c r="FK8" s="7"/>
      <c r="FL8" s="11"/>
      <c r="FM8" s="96"/>
      <c r="FN8" s="10"/>
      <c r="FO8" s="7"/>
      <c r="FP8" s="9"/>
      <c r="FQ8" s="94"/>
      <c r="FR8" s="112"/>
      <c r="FS8" s="59"/>
      <c r="FT8" s="7"/>
      <c r="FU8" s="7"/>
      <c r="FV8" s="7"/>
      <c r="FW8" s="7"/>
      <c r="FX8" s="96"/>
      <c r="FY8" s="10"/>
      <c r="FZ8" s="7"/>
      <c r="GA8" s="7"/>
      <c r="GB8" s="7"/>
      <c r="GC8" s="7"/>
      <c r="GD8" s="96"/>
      <c r="GE8" s="10"/>
      <c r="GF8" s="7"/>
      <c r="GG8" s="7"/>
      <c r="GH8" s="7"/>
      <c r="GI8" s="11"/>
      <c r="GJ8" s="110"/>
      <c r="GK8" s="2"/>
      <c r="GL8" s="2"/>
      <c r="GM8" s="116"/>
      <c r="GN8" s="117"/>
      <c r="GO8" s="112"/>
      <c r="GP8" s="59"/>
      <c r="GQ8" s="7"/>
      <c r="GR8" s="7"/>
      <c r="GS8" s="7"/>
      <c r="GT8" s="11"/>
      <c r="GU8" s="96"/>
      <c r="GV8" s="10"/>
      <c r="GW8" s="7"/>
      <c r="GX8" s="7"/>
      <c r="GY8" s="7"/>
      <c r="GZ8" s="7"/>
      <c r="HA8" s="10"/>
      <c r="HB8" s="10"/>
      <c r="HC8" s="7"/>
      <c r="HD8" s="7">
        <v>1</v>
      </c>
      <c r="HE8" s="7"/>
      <c r="HF8" s="7"/>
      <c r="HG8" s="7"/>
      <c r="HH8" s="96"/>
      <c r="HI8" s="10"/>
      <c r="HJ8" s="7"/>
      <c r="HK8" s="7"/>
      <c r="HL8" s="9"/>
      <c r="HM8" s="94"/>
      <c r="HN8" s="94"/>
      <c r="HO8" s="186"/>
      <c r="HP8" s="59"/>
      <c r="HQ8" s="9"/>
      <c r="HR8" s="7"/>
      <c r="HS8" s="7"/>
      <c r="HT8" s="7"/>
      <c r="HU8" s="11"/>
      <c r="HV8" s="94"/>
      <c r="HW8" s="10"/>
      <c r="HX8" s="7"/>
      <c r="HY8" s="7"/>
      <c r="HZ8" s="7"/>
      <c r="IA8" s="7"/>
      <c r="IB8" s="11"/>
      <c r="IC8" s="15"/>
      <c r="ID8" s="7"/>
      <c r="IE8" s="7"/>
      <c r="IF8" s="7"/>
      <c r="IG8" s="7"/>
      <c r="IH8" s="7"/>
      <c r="II8" s="7"/>
      <c r="IJ8" s="126"/>
      <c r="IK8" s="10"/>
      <c r="IL8" s="7"/>
      <c r="IM8" s="7"/>
      <c r="IN8" s="7"/>
      <c r="IO8" s="7"/>
      <c r="IP8" s="11"/>
      <c r="IQ8" s="126"/>
      <c r="IR8" s="9"/>
      <c r="IS8" s="94"/>
      <c r="IT8" s="9"/>
      <c r="IU8" s="9"/>
      <c r="IV8" s="7"/>
      <c r="IW8" s="7"/>
      <c r="IX8" s="7"/>
      <c r="IY8" s="7"/>
      <c r="IZ8" s="7"/>
      <c r="JA8" s="7"/>
      <c r="JB8" s="7"/>
      <c r="JC8" s="7"/>
      <c r="JD8" s="7"/>
      <c r="JE8" s="7"/>
      <c r="JF8" s="7"/>
      <c r="JG8" s="7"/>
      <c r="JH8" s="7"/>
      <c r="JI8" s="7"/>
      <c r="JJ8" s="7"/>
      <c r="JK8" s="7"/>
      <c r="JL8" s="7"/>
      <c r="JM8" s="7"/>
      <c r="JN8" s="7"/>
      <c r="JO8" s="9"/>
      <c r="JP8" s="94"/>
      <c r="JQ8" s="9"/>
      <c r="JR8" s="9"/>
      <c r="JS8" s="7"/>
      <c r="JT8" s="7"/>
      <c r="JU8" s="7"/>
      <c r="JV8" s="7"/>
      <c r="JW8" s="7"/>
      <c r="JX8" s="7"/>
      <c r="JY8" s="7"/>
      <c r="JZ8" s="7"/>
      <c r="KA8" s="7"/>
      <c r="KB8" s="7"/>
      <c r="KC8" s="7"/>
      <c r="KD8" s="7"/>
      <c r="KE8" s="7"/>
      <c r="KF8" s="7"/>
      <c r="KG8" s="7"/>
      <c r="KH8" s="7"/>
      <c r="KI8" s="7"/>
      <c r="KJ8" s="7"/>
      <c r="KK8" s="7"/>
      <c r="KL8" s="9"/>
      <c r="KM8" s="94"/>
      <c r="KN8" s="9"/>
      <c r="KO8" s="9"/>
      <c r="KP8" s="7"/>
      <c r="KQ8" s="7"/>
      <c r="KR8" s="7"/>
      <c r="KS8" s="7"/>
      <c r="KT8" s="7"/>
      <c r="KU8" s="7"/>
      <c r="KV8" s="7"/>
      <c r="KW8" s="7"/>
      <c r="KX8" s="7"/>
      <c r="KY8" s="7"/>
      <c r="KZ8" s="7"/>
      <c r="LA8" s="7"/>
      <c r="LB8" s="7"/>
      <c r="LC8" s="7"/>
      <c r="LD8" s="7"/>
      <c r="LE8" s="7"/>
      <c r="LF8" s="7"/>
      <c r="LG8" s="7"/>
      <c r="LH8" s="7"/>
      <c r="LI8" s="7"/>
      <c r="LJ8" s="102"/>
      <c r="LK8" s="102"/>
      <c r="LL8" s="102"/>
      <c r="LM8" s="102"/>
      <c r="LN8" s="102"/>
      <c r="LO8" s="102"/>
      <c r="LP8" s="102"/>
      <c r="LQ8" s="102"/>
      <c r="LR8" s="102"/>
    </row>
    <row r="9" spans="1:330" hidden="1" x14ac:dyDescent="0.25">
      <c r="A9" s="5">
        <v>4</v>
      </c>
      <c r="B9" s="50" t="str">
        <f>IFERROR(VLOOKUP(Tabla4[[#This Row],[Prioridad]],Tabla3[#All],2,0),"")</f>
        <v>JhonB</v>
      </c>
      <c r="C9" s="39" t="str">
        <f>IFERROR(VLOOKUP(Tabla4[[#This Row],[Prioridad]],Tabla3[#All],17,0),"")</f>
        <v>Sprint 0</v>
      </c>
      <c r="D9" s="49" t="str">
        <f>IFERROR(VLOOKUP(Tabla4[[#This Row],[Prioridad]],Tabla3[#All],6,0),"")</f>
        <v>T-004</v>
      </c>
      <c r="E9" s="49" t="str">
        <f>+IFERROR(VLOOKUP(Tabla4[[#This Row],[Tarea]],Tabla3[[Num_Ticket]:[Descripción]],2,0),"")</f>
        <v>Crear repositorio y tablero Kanban</v>
      </c>
      <c r="F9" s="7">
        <f>IFERROR(VLOOKUP(Tabla4[[#This Row],[Prioridad]],Tabla3[#All],14,0),"")</f>
        <v>0</v>
      </c>
      <c r="G9" s="7">
        <f>IF(Tabla4[[#This Row],[Prioridad]]&lt;&gt;"",SUM(W9:KT9),"")</f>
        <v>2</v>
      </c>
      <c r="H9" s="7">
        <f>IF(Tabla4[[#This Row],[Prioridad]]&lt;&gt;"",Tabla4[[#This Row],[Horas Estimadas]]-Tabla4[[#This Row],[Ejecutadas]],"")</f>
        <v>-2</v>
      </c>
      <c r="I9" s="46" t="str">
        <f>IFERROR(VLOOKUP(Tabla4[[#This Row],[Prioridad]],Tabla3[#All],18,0),"")</f>
        <v>DESARROLLO APLICACIÓN</v>
      </c>
      <c r="J9" s="5">
        <f>IFERROR(VLOOKUP(Tabla4[[#This Row],[Prioridad]],Tabla3[#All],20,0),"")</f>
        <v>1</v>
      </c>
      <c r="K9" s="62" t="str">
        <f>IFERROR(VLOOKUP(Tabla4[[#This Row],[Prioridad]],Tabla3[#All],19,0),"")</f>
        <v>Planeación</v>
      </c>
      <c r="L9" s="82" t="str">
        <f>IFERROR(VLOOKUP(Tabla4[[#This Row],[Prioridad]],Tabla3[#All],9,0),"")</f>
        <v>Tarea</v>
      </c>
      <c r="M9" s="93">
        <f>+SUMIFS(Tabla4[Avance Hito],Tabla4[Responsable],Tabla4[[#This Row],[Responsable]],Tabla4[Sprint],Tabla4[[#This Row],[Sprint]],Tabla4[Proyecto],Tabla4[[#This Row],[Proyecto]])/COUNTIFS(Tabla4[Responsable],Tabla4[[#This Row],[Responsable]],Tabla4[Sprint],Tabla4[[#This Row],[Sprint]],Tabla4[Proyecto],Tabla4[[#This Row],[Proyecto]])</f>
        <v>1</v>
      </c>
      <c r="N9" s="35">
        <f>+SUMIFS(Tabla4[Avance relativo],Tabla4[Responsable],Tabla4[[#This Row],[Responsable]],Tabla4[Sprint],Tabla4[[#This Row],[Sprint]],Tabla4[Hito],Tabla4[[#This Row],[Hito]])</f>
        <v>1</v>
      </c>
      <c r="O9" s="69">
        <f>IFERROR(VLOOKUP(Tabla4[[#This Row],[Tarea]],Tabla3[[#All],[Num_Ticket]:[Hito]],5,0),"")</f>
        <v>44448</v>
      </c>
      <c r="P9" s="77">
        <v>44235</v>
      </c>
      <c r="Q9" s="7">
        <f>IF(Tabla4[[#This Row],[Prioridad]]="","",IF(Tabla4[[#This Row],[Hito]]&lt;&gt;"",COUNTIFS(Tabla4[Responsable],Tabla4[[#This Row],[Responsable]],Tabla4[Sprint],Tabla4[[#This Row],[Sprint]],Tabla4[Epica],Tabla4[[#This Row],[Epica]])))</f>
        <v>1</v>
      </c>
      <c r="R9" s="7">
        <f>IF(Tabla4[[#This Row],[Prioridad]]="","",1*Tabla4[[#This Row],[% Avance]])</f>
        <v>1</v>
      </c>
      <c r="S9" s="7">
        <f>IFERROR(Tabla4[[#This Row],[Total Avance]]/Tabla4[[#This Row],[Conteo_Epica]],0)</f>
        <v>1</v>
      </c>
      <c r="T9" s="78">
        <v>1</v>
      </c>
      <c r="U9" s="79">
        <v>2</v>
      </c>
      <c r="V9" s="89" t="s">
        <v>178</v>
      </c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11"/>
      <c r="AQ9" s="10"/>
      <c r="AR9" s="7"/>
      <c r="AS9" s="7"/>
      <c r="AT9" s="7"/>
      <c r="AU9" s="11"/>
      <c r="AV9" s="10"/>
      <c r="AW9" s="7"/>
      <c r="AX9" s="7"/>
      <c r="AY9" s="7"/>
      <c r="AZ9" s="11"/>
      <c r="BA9" s="10"/>
      <c r="BB9" s="7"/>
      <c r="BC9" s="7"/>
      <c r="BD9" s="9"/>
      <c r="BE9" s="15"/>
      <c r="BF9" s="59"/>
      <c r="BG9" s="9"/>
      <c r="BH9" s="9"/>
      <c r="BI9" s="7"/>
      <c r="BJ9" s="11"/>
      <c r="BK9" s="5"/>
      <c r="BL9" s="10"/>
      <c r="BM9" s="7"/>
      <c r="BN9" s="7"/>
      <c r="BO9" s="7"/>
      <c r="BP9" s="7"/>
      <c r="BQ9" s="10"/>
      <c r="BR9" s="7"/>
      <c r="BS9" s="7"/>
      <c r="BT9" s="7"/>
      <c r="BU9" s="11"/>
      <c r="BV9" s="10"/>
      <c r="BW9" s="7"/>
      <c r="BX9" s="7"/>
      <c r="BY9" s="9"/>
      <c r="BZ9" s="15"/>
      <c r="CA9" s="9"/>
      <c r="CB9" s="9"/>
      <c r="CC9" s="7"/>
      <c r="CD9" s="11"/>
      <c r="CE9" s="10"/>
      <c r="CF9" s="7"/>
      <c r="CG9" s="11"/>
      <c r="CH9" s="11"/>
      <c r="CI9" s="10"/>
      <c r="CJ9" s="7"/>
      <c r="CK9" s="7"/>
      <c r="CL9" s="7"/>
      <c r="CM9" s="7"/>
      <c r="CN9" s="10"/>
      <c r="CO9" s="7"/>
      <c r="CP9" s="7"/>
      <c r="CQ9" s="7"/>
      <c r="CR9" s="11"/>
      <c r="CS9" s="10"/>
      <c r="CT9" s="7"/>
      <c r="CU9" s="7"/>
      <c r="CV9" s="9"/>
      <c r="CW9" s="15"/>
      <c r="CX9" s="9"/>
      <c r="CY9" s="9"/>
      <c r="CZ9" s="7"/>
      <c r="DA9" s="7"/>
      <c r="DB9" s="11"/>
      <c r="DC9" s="11"/>
      <c r="DD9" s="10"/>
      <c r="DE9" s="7"/>
      <c r="DF9" s="7"/>
      <c r="DG9" s="7"/>
      <c r="DH9" s="7"/>
      <c r="DI9" s="10"/>
      <c r="DJ9" s="7"/>
      <c r="DK9" s="7"/>
      <c r="DL9" s="7"/>
      <c r="DM9" s="11"/>
      <c r="DN9" s="10"/>
      <c r="DO9" s="7"/>
      <c r="DP9" s="7"/>
      <c r="DQ9" s="9"/>
      <c r="DR9" s="15"/>
      <c r="DS9" s="94"/>
      <c r="DT9" s="9"/>
      <c r="DU9" s="9"/>
      <c r="DV9" s="7"/>
      <c r="DW9" s="11"/>
      <c r="DX9" s="96"/>
      <c r="DY9" s="7"/>
      <c r="DZ9" s="11"/>
      <c r="EA9" s="11"/>
      <c r="EB9" s="10"/>
      <c r="EC9" s="7"/>
      <c r="ED9" s="7"/>
      <c r="EE9" s="11"/>
      <c r="EF9" s="7"/>
      <c r="EG9" s="10"/>
      <c r="EH9" s="10"/>
      <c r="EI9" s="7"/>
      <c r="EJ9" s="11"/>
      <c r="EK9" s="7"/>
      <c r="EL9" s="10"/>
      <c r="EM9" s="7"/>
      <c r="EN9" s="7"/>
      <c r="EO9" s="11"/>
      <c r="EP9" s="7"/>
      <c r="EQ9" s="59"/>
      <c r="ER9" s="94"/>
      <c r="ES9" s="9"/>
      <c r="ET9" s="9"/>
      <c r="EU9" s="11"/>
      <c r="EV9" s="96"/>
      <c r="EW9" s="10"/>
      <c r="EX9" s="7"/>
      <c r="EY9" s="7"/>
      <c r="EZ9" s="7"/>
      <c r="FA9" s="7"/>
      <c r="FB9" s="96"/>
      <c r="FC9" s="10"/>
      <c r="FD9" s="7"/>
      <c r="FE9" s="7"/>
      <c r="FF9" s="7"/>
      <c r="FG9" s="96"/>
      <c r="FH9" s="10"/>
      <c r="FI9" s="7"/>
      <c r="FJ9" s="7"/>
      <c r="FK9" s="7"/>
      <c r="FL9" s="11"/>
      <c r="FM9" s="96"/>
      <c r="FN9" s="10"/>
      <c r="FO9" s="7"/>
      <c r="FP9" s="9"/>
      <c r="FQ9" s="94"/>
      <c r="FR9" s="112"/>
      <c r="FS9" s="59"/>
      <c r="FT9" s="7"/>
      <c r="FU9" s="7"/>
      <c r="FV9" s="7"/>
      <c r="FW9" s="7"/>
      <c r="FX9" s="96"/>
      <c r="FY9" s="10"/>
      <c r="FZ9" s="7"/>
      <c r="GA9" s="7"/>
      <c r="GB9" s="7"/>
      <c r="GC9" s="7"/>
      <c r="GD9" s="96"/>
      <c r="GE9" s="10"/>
      <c r="GF9" s="7"/>
      <c r="GG9" s="7"/>
      <c r="GH9" s="7"/>
      <c r="GI9" s="11"/>
      <c r="GJ9" s="110"/>
      <c r="GK9" s="2"/>
      <c r="GL9" s="2"/>
      <c r="GM9" s="116"/>
      <c r="GN9" s="117"/>
      <c r="GO9" s="112"/>
      <c r="GP9" s="59"/>
      <c r="GQ9" s="7"/>
      <c r="GR9" s="7"/>
      <c r="GS9" s="7"/>
      <c r="GT9" s="11"/>
      <c r="GU9" s="96"/>
      <c r="GV9" s="10"/>
      <c r="GW9" s="7"/>
      <c r="GX9" s="7"/>
      <c r="GY9" s="7"/>
      <c r="GZ9" s="7"/>
      <c r="HA9" s="10"/>
      <c r="HB9" s="10"/>
      <c r="HC9" s="7"/>
      <c r="HD9" s="7"/>
      <c r="HE9" s="7">
        <v>2</v>
      </c>
      <c r="HF9" s="7"/>
      <c r="HG9" s="7"/>
      <c r="HH9" s="96"/>
      <c r="HI9" s="10"/>
      <c r="HJ9" s="7"/>
      <c r="HK9" s="7"/>
      <c r="HL9" s="9"/>
      <c r="HM9" s="94"/>
      <c r="HN9" s="94"/>
      <c r="HO9" s="186"/>
      <c r="HP9" s="59"/>
      <c r="HQ9" s="9"/>
      <c r="HR9" s="7"/>
      <c r="HS9" s="7"/>
      <c r="HT9" s="7"/>
      <c r="HU9" s="11"/>
      <c r="HV9" s="94"/>
      <c r="HW9" s="10"/>
      <c r="HX9" s="7"/>
      <c r="HY9" s="7"/>
      <c r="HZ9" s="7"/>
      <c r="IA9" s="7"/>
      <c r="IB9" s="11"/>
      <c r="IC9" s="15"/>
      <c r="ID9" s="7"/>
      <c r="IE9" s="7"/>
      <c r="IF9" s="7"/>
      <c r="IG9" s="7"/>
      <c r="IH9" s="7"/>
      <c r="II9" s="7"/>
      <c r="IJ9" s="126"/>
      <c r="IK9" s="10"/>
      <c r="IL9" s="7"/>
      <c r="IM9" s="7"/>
      <c r="IN9" s="7"/>
      <c r="IO9" s="7"/>
      <c r="IP9" s="11"/>
      <c r="IQ9" s="126"/>
      <c r="IR9" s="9"/>
      <c r="IS9" s="94"/>
      <c r="IT9" s="9"/>
      <c r="IU9" s="9"/>
      <c r="IV9" s="7"/>
      <c r="IW9" s="7"/>
      <c r="IX9" s="7"/>
      <c r="IY9" s="7"/>
      <c r="IZ9" s="7"/>
      <c r="JA9" s="7"/>
      <c r="JB9" s="7"/>
      <c r="JC9" s="7"/>
      <c r="JD9" s="7"/>
      <c r="JE9" s="7"/>
      <c r="JF9" s="7"/>
      <c r="JG9" s="7"/>
      <c r="JH9" s="7"/>
      <c r="JI9" s="7"/>
      <c r="JJ9" s="7"/>
      <c r="JK9" s="7"/>
      <c r="JL9" s="7"/>
      <c r="JM9" s="7"/>
      <c r="JN9" s="7"/>
      <c r="JO9" s="9"/>
      <c r="JP9" s="94"/>
      <c r="JQ9" s="9"/>
      <c r="JR9" s="9"/>
      <c r="JS9" s="7"/>
      <c r="JT9" s="7"/>
      <c r="JU9" s="7"/>
      <c r="JV9" s="7"/>
      <c r="JW9" s="7"/>
      <c r="JX9" s="7"/>
      <c r="JY9" s="7"/>
      <c r="JZ9" s="7"/>
      <c r="KA9" s="7"/>
      <c r="KB9" s="7"/>
      <c r="KC9" s="7"/>
      <c r="KD9" s="7"/>
      <c r="KE9" s="7"/>
      <c r="KF9" s="7"/>
      <c r="KG9" s="7"/>
      <c r="KH9" s="7"/>
      <c r="KI9" s="7"/>
      <c r="KJ9" s="7"/>
      <c r="KK9" s="7"/>
      <c r="KL9" s="9"/>
      <c r="KM9" s="94"/>
      <c r="KN9" s="9"/>
      <c r="KO9" s="9"/>
      <c r="KP9" s="7"/>
      <c r="KQ9" s="7"/>
      <c r="KR9" s="7"/>
      <c r="KS9" s="7"/>
      <c r="KT9" s="7"/>
      <c r="KU9" s="7"/>
      <c r="KV9" s="7"/>
      <c r="KW9" s="7"/>
      <c r="KX9" s="7"/>
      <c r="KY9" s="7"/>
      <c r="KZ9" s="7"/>
      <c r="LA9" s="7"/>
      <c r="LB9" s="7"/>
      <c r="LC9" s="7"/>
      <c r="LD9" s="7"/>
      <c r="LE9" s="7"/>
      <c r="LF9" s="7"/>
      <c r="LG9" s="7"/>
      <c r="LH9" s="7"/>
      <c r="LI9" s="7"/>
      <c r="LJ9" s="102"/>
      <c r="LK9" s="102"/>
      <c r="LL9" s="102"/>
      <c r="LM9" s="102"/>
      <c r="LN9" s="102"/>
      <c r="LO9" s="102"/>
      <c r="LP9" s="102"/>
      <c r="LQ9" s="102"/>
      <c r="LR9" s="102"/>
    </row>
    <row r="10" spans="1:330" hidden="1" x14ac:dyDescent="0.25">
      <c r="A10" s="5">
        <v>5</v>
      </c>
      <c r="B10" s="50" t="str">
        <f>IFERROR(VLOOKUP(Tabla4[[#This Row],[Prioridad]],Tabla3[#All],2,0),"")</f>
        <v>EQUIPO</v>
      </c>
      <c r="C10" s="39" t="str">
        <f>IFERROR(VLOOKUP(Tabla4[[#This Row],[Prioridad]],Tabla3[#All],17,0),"")</f>
        <v>Sprint 1</v>
      </c>
      <c r="D10" s="49" t="str">
        <f>IFERROR(VLOOKUP(Tabla4[[#This Row],[Prioridad]],Tabla3[#All],6,0),"")</f>
        <v>T-005</v>
      </c>
      <c r="E10" s="49" t="str">
        <f>+IFERROR(VLOOKUP(Tabla4[[#This Row],[Tarea]],Tabla3[[Num_Ticket]:[Descripción]],2,0),"")</f>
        <v>Listar Entidades y Atributos</v>
      </c>
      <c r="F10" s="7">
        <f>IFERROR(VLOOKUP(Tabla4[[#This Row],[Prioridad]],Tabla3[#All],14,0),"")</f>
        <v>0</v>
      </c>
      <c r="G10" s="7">
        <f>IF(Tabla4[[#This Row],[Prioridad]]&lt;&gt;"",SUM(W10:KT10),"")</f>
        <v>4</v>
      </c>
      <c r="H10" s="7">
        <f>IF(Tabla4[[#This Row],[Prioridad]]&lt;&gt;"",Tabla4[[#This Row],[Horas Estimadas]]-Tabla4[[#This Row],[Ejecutadas]],"")</f>
        <v>-4</v>
      </c>
      <c r="I10" s="46" t="str">
        <f>IFERROR(VLOOKUP(Tabla4[[#This Row],[Prioridad]],Tabla3[#All],18,0),"")</f>
        <v>DESARROLLO APLICACIÓN</v>
      </c>
      <c r="J10" s="5">
        <f>IFERROR(VLOOKUP(Tabla4[[#This Row],[Prioridad]],Tabla3[#All],20,0),"")</f>
        <v>2</v>
      </c>
      <c r="K10" s="62" t="str">
        <f>IFERROR(VLOOKUP(Tabla4[[#This Row],[Prioridad]],Tabla3[#All],19,0),"")</f>
        <v>Análisis - Modelo Conceptual</v>
      </c>
      <c r="L10" s="82" t="str">
        <f>IFERROR(VLOOKUP(Tabla4[[#This Row],[Prioridad]],Tabla3[#All],9,0),"")</f>
        <v>Tarea</v>
      </c>
      <c r="M10" s="93">
        <f>+SUMIFS(Tabla4[Avance Hito],Tabla4[Responsable],Tabla4[[#This Row],[Responsable]],Tabla4[Sprint],Tabla4[[#This Row],[Sprint]],Tabla4[Proyecto],Tabla4[[#This Row],[Proyecto]])/COUNTIFS(Tabla4[Responsable],Tabla4[[#This Row],[Responsable]],Tabla4[Sprint],Tabla4[[#This Row],[Sprint]],Tabla4[Proyecto],Tabla4[[#This Row],[Proyecto]])</f>
        <v>1</v>
      </c>
      <c r="N10" s="35">
        <f>+SUMIFS(Tabla4[Avance relativo],Tabla4[Responsable],Tabla4[[#This Row],[Responsable]],Tabla4[Sprint],Tabla4[[#This Row],[Sprint]],Tabla4[Hito],Tabla4[[#This Row],[Hito]])</f>
        <v>1</v>
      </c>
      <c r="O10" s="69">
        <f>IFERROR(VLOOKUP(Tabla4[[#This Row],[Tarea]],Tabla3[[#All],[Num_Ticket]:[Hito]],5,0),"")</f>
        <v>44450</v>
      </c>
      <c r="P10" s="77">
        <v>44456</v>
      </c>
      <c r="Q10" s="7">
        <f>IF(Tabla4[[#This Row],[Prioridad]]="","",IF(Tabla4[[#This Row],[Hito]]&lt;&gt;"",COUNTIFS(Tabla4[Responsable],Tabla4[[#This Row],[Responsable]],Tabla4[Sprint],Tabla4[[#This Row],[Sprint]],Tabla4[Epica],Tabla4[[#This Row],[Epica]])))</f>
        <v>1</v>
      </c>
      <c r="R10" s="7">
        <f>IF(Tabla4[[#This Row],[Prioridad]]="","",1*Tabla4[[#This Row],[% Avance]])</f>
        <v>1</v>
      </c>
      <c r="S10" s="7">
        <f>IFERROR(Tabla4[[#This Row],[Total Avance]]/Tabla4[[#This Row],[Conteo_Epica]],0)</f>
        <v>1</v>
      </c>
      <c r="T10" s="78">
        <v>1</v>
      </c>
      <c r="U10" s="79">
        <v>2</v>
      </c>
      <c r="V10" s="89" t="s">
        <v>178</v>
      </c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11"/>
      <c r="AQ10" s="10"/>
      <c r="AR10" s="7"/>
      <c r="AS10" s="7"/>
      <c r="AT10" s="7"/>
      <c r="AU10" s="11"/>
      <c r="AV10" s="10"/>
      <c r="AW10" s="7"/>
      <c r="AX10" s="7"/>
      <c r="AY10" s="7"/>
      <c r="AZ10" s="11"/>
      <c r="BA10" s="10"/>
      <c r="BB10" s="7"/>
      <c r="BC10" s="7"/>
      <c r="BD10" s="7"/>
      <c r="BE10" s="11"/>
      <c r="BF10" s="10"/>
      <c r="BG10" s="7"/>
      <c r="BH10" s="7"/>
      <c r="BI10" s="7"/>
      <c r="BJ10" s="11"/>
      <c r="BK10" s="5"/>
      <c r="BL10" s="10"/>
      <c r="BM10" s="7"/>
      <c r="BN10" s="7"/>
      <c r="BO10" s="7"/>
      <c r="BP10" s="7"/>
      <c r="BQ10" s="10"/>
      <c r="BR10" s="7"/>
      <c r="BS10" s="7"/>
      <c r="BT10" s="7"/>
      <c r="BU10" s="11"/>
      <c r="BV10" s="10"/>
      <c r="BW10" s="7"/>
      <c r="BX10" s="7"/>
      <c r="BY10" s="7"/>
      <c r="BZ10" s="11"/>
      <c r="CA10" s="7"/>
      <c r="CB10" s="7"/>
      <c r="CC10" s="7"/>
      <c r="CD10" s="11"/>
      <c r="CE10" s="10"/>
      <c r="CF10" s="7"/>
      <c r="CG10" s="11"/>
      <c r="CH10" s="28"/>
      <c r="CI10" s="10"/>
      <c r="CJ10" s="7"/>
      <c r="CK10" s="7"/>
      <c r="CL10" s="7"/>
      <c r="CM10" s="7"/>
      <c r="CN10" s="10"/>
      <c r="CO10" s="7"/>
      <c r="CP10" s="7"/>
      <c r="CQ10" s="7"/>
      <c r="CR10" s="11"/>
      <c r="CS10" s="10"/>
      <c r="CT10" s="7"/>
      <c r="CU10" s="7"/>
      <c r="CV10" s="7"/>
      <c r="CW10" s="11"/>
      <c r="CX10" s="7"/>
      <c r="CY10" s="7"/>
      <c r="CZ10" s="7"/>
      <c r="DA10" s="7"/>
      <c r="DB10" s="11"/>
      <c r="DC10" s="28"/>
      <c r="DD10" s="10"/>
      <c r="DE10" s="7"/>
      <c r="DF10" s="7"/>
      <c r="DG10" s="7"/>
      <c r="DH10" s="7"/>
      <c r="DI10" s="10"/>
      <c r="DJ10" s="7"/>
      <c r="DK10" s="7"/>
      <c r="DL10" s="7"/>
      <c r="DM10" s="11"/>
      <c r="DN10" s="10"/>
      <c r="DO10" s="7"/>
      <c r="DP10" s="7"/>
      <c r="DQ10" s="7"/>
      <c r="DR10" s="11"/>
      <c r="DS10" s="7"/>
      <c r="DT10" s="7"/>
      <c r="DU10" s="7"/>
      <c r="DV10" s="7"/>
      <c r="DW10" s="11"/>
      <c r="DX10" s="96"/>
      <c r="DY10" s="7"/>
      <c r="DZ10" s="11"/>
      <c r="EA10" s="28"/>
      <c r="EB10" s="10"/>
      <c r="EC10" s="7"/>
      <c r="ED10" s="7"/>
      <c r="EE10" s="11"/>
      <c r="EF10" s="7"/>
      <c r="EG10" s="10"/>
      <c r="EH10" s="10"/>
      <c r="EI10" s="7"/>
      <c r="EJ10" s="11"/>
      <c r="EK10" s="7"/>
      <c r="EL10" s="10"/>
      <c r="EM10" s="7"/>
      <c r="EN10" s="7"/>
      <c r="EO10" s="11"/>
      <c r="EP10" s="7"/>
      <c r="EQ10" s="10"/>
      <c r="ER10" s="7"/>
      <c r="ES10" s="7"/>
      <c r="ET10" s="7"/>
      <c r="EU10" s="11"/>
      <c r="EV10" s="96"/>
      <c r="EW10" s="10"/>
      <c r="EX10" s="7"/>
      <c r="EY10" s="7"/>
      <c r="EZ10" s="7"/>
      <c r="FA10" s="103"/>
      <c r="FB10" s="107"/>
      <c r="FC10" s="10"/>
      <c r="FD10" s="7"/>
      <c r="FE10" s="7"/>
      <c r="FF10" s="7"/>
      <c r="FG10" s="96"/>
      <c r="FH10" s="10"/>
      <c r="FI10" s="7"/>
      <c r="FJ10" s="7"/>
      <c r="FK10" s="7"/>
      <c r="FL10" s="11"/>
      <c r="FM10" s="96"/>
      <c r="FN10" s="10"/>
      <c r="FO10" s="7"/>
      <c r="FP10" s="7"/>
      <c r="FQ10" s="7"/>
      <c r="FR10" s="96"/>
      <c r="FS10" s="10"/>
      <c r="FT10" s="7"/>
      <c r="FU10" s="7"/>
      <c r="FV10" s="7"/>
      <c r="FW10" s="7"/>
      <c r="FX10" s="96"/>
      <c r="FY10" s="114"/>
      <c r="FZ10" s="7"/>
      <c r="GA10" s="7"/>
      <c r="GB10" s="7"/>
      <c r="GC10" s="7"/>
      <c r="GD10" s="96"/>
      <c r="GE10" s="10"/>
      <c r="GF10" s="7"/>
      <c r="GG10" s="7"/>
      <c r="GH10" s="7"/>
      <c r="GI10" s="11"/>
      <c r="GJ10" s="110"/>
      <c r="GK10" s="2"/>
      <c r="GL10" s="2"/>
      <c r="GM10" s="2"/>
      <c r="GN10" s="2"/>
      <c r="GO10" s="96"/>
      <c r="GP10" s="10"/>
      <c r="GQ10" s="7"/>
      <c r="GR10" s="7"/>
      <c r="GS10" s="7"/>
      <c r="GT10" s="11"/>
      <c r="GU10" s="96"/>
      <c r="GV10" s="114"/>
      <c r="GW10" s="7"/>
      <c r="GX10" s="7"/>
      <c r="GY10" s="7"/>
      <c r="GZ10" s="7"/>
      <c r="HA10" s="10"/>
      <c r="HB10" s="10"/>
      <c r="HC10" s="7"/>
      <c r="HD10" s="7"/>
      <c r="HE10" s="7"/>
      <c r="HF10" s="7"/>
      <c r="HG10" s="7"/>
      <c r="HH10" s="96"/>
      <c r="HI10" s="10">
        <v>1</v>
      </c>
      <c r="HJ10" s="7"/>
      <c r="HK10" s="7"/>
      <c r="HL10" s="7">
        <v>1</v>
      </c>
      <c r="HM10" s="7">
        <v>2</v>
      </c>
      <c r="HN10" s="7"/>
      <c r="HO10" s="10"/>
      <c r="HP10" s="10"/>
      <c r="HQ10" s="7"/>
      <c r="HR10" s="7"/>
      <c r="HS10" s="7"/>
      <c r="HT10" s="7"/>
      <c r="HU10" s="11"/>
      <c r="HV10" s="7"/>
      <c r="HW10" s="10"/>
      <c r="HX10" s="7"/>
      <c r="HY10" s="103"/>
      <c r="HZ10" s="7"/>
      <c r="IA10" s="7"/>
      <c r="IB10" s="11"/>
      <c r="IC10" s="11"/>
      <c r="ID10" s="7"/>
      <c r="IE10" s="7"/>
      <c r="IF10" s="7"/>
      <c r="IG10" s="7"/>
      <c r="IH10" s="7"/>
      <c r="II10" s="7"/>
      <c r="IJ10" s="96"/>
      <c r="IK10" s="10"/>
      <c r="IL10" s="7"/>
      <c r="IM10" s="7"/>
      <c r="IN10" s="7"/>
      <c r="IO10" s="7"/>
      <c r="IP10" s="11"/>
      <c r="IQ10" s="96"/>
      <c r="IR10" s="7"/>
      <c r="IS10" s="7"/>
      <c r="IT10" s="7"/>
      <c r="IU10" s="7"/>
      <c r="IV10" s="7"/>
      <c r="IW10" s="7"/>
      <c r="IX10" s="7"/>
      <c r="IY10" s="7"/>
      <c r="IZ10" s="7"/>
      <c r="JA10" s="103"/>
      <c r="JB10" s="7"/>
      <c r="JC10" s="7"/>
      <c r="JD10" s="7"/>
      <c r="JE10" s="7"/>
      <c r="JF10" s="7"/>
      <c r="JG10" s="7"/>
      <c r="JH10" s="7"/>
      <c r="JI10" s="7"/>
      <c r="JJ10" s="7"/>
      <c r="JK10" s="7"/>
      <c r="JL10" s="7"/>
      <c r="JM10" s="7"/>
      <c r="JN10" s="7"/>
      <c r="JO10" s="7"/>
      <c r="JP10" s="7"/>
      <c r="JQ10" s="7"/>
      <c r="JR10" s="7"/>
      <c r="JS10" s="7"/>
      <c r="JT10" s="7"/>
      <c r="JU10" s="7"/>
      <c r="JV10" s="7"/>
      <c r="JW10" s="7"/>
      <c r="JX10" s="103"/>
      <c r="JY10" s="7"/>
      <c r="JZ10" s="7"/>
      <c r="KA10" s="7"/>
      <c r="KB10" s="7"/>
      <c r="KC10" s="7"/>
      <c r="KD10" s="7"/>
      <c r="KE10" s="7"/>
      <c r="KF10" s="7"/>
      <c r="KG10" s="7"/>
      <c r="KH10" s="7"/>
      <c r="KI10" s="7"/>
      <c r="KJ10" s="7"/>
      <c r="KK10" s="7"/>
      <c r="KL10" s="7"/>
      <c r="KM10" s="7"/>
      <c r="KN10" s="7"/>
      <c r="KO10" s="7"/>
      <c r="KP10" s="7"/>
      <c r="KQ10" s="7"/>
      <c r="KR10" s="7"/>
      <c r="KS10" s="7"/>
      <c r="KT10" s="7"/>
      <c r="KU10" s="103"/>
      <c r="KV10" s="7"/>
      <c r="KW10" s="7"/>
      <c r="KX10" s="7"/>
      <c r="KY10" s="7"/>
      <c r="KZ10" s="7"/>
      <c r="LA10" s="7"/>
      <c r="LB10" s="7"/>
      <c r="LC10" s="7"/>
      <c r="LD10" s="7"/>
      <c r="LE10" s="7"/>
      <c r="LF10" s="7"/>
      <c r="LG10" s="7"/>
      <c r="LH10" s="7"/>
      <c r="LI10" s="7"/>
      <c r="LJ10" s="102"/>
      <c r="LK10" s="102"/>
      <c r="LL10" s="102"/>
      <c r="LM10" s="102"/>
      <c r="LN10" s="102"/>
      <c r="LO10" s="102"/>
      <c r="LP10" s="102"/>
      <c r="LQ10" s="102"/>
      <c r="LR10" s="102"/>
    </row>
    <row r="11" spans="1:330" hidden="1" x14ac:dyDescent="0.25">
      <c r="A11" s="5">
        <v>6</v>
      </c>
      <c r="B11" s="66" t="str">
        <f>IFERROR(VLOOKUP(Tabla4[[#This Row],[Prioridad]],Tabla3[#All],2,0),"")</f>
        <v>EQUIPO</v>
      </c>
      <c r="C11" s="86" t="str">
        <f>IFERROR(VLOOKUP(Tabla4[[#This Row],[Prioridad]],Tabla3[#All],17,0),"")</f>
        <v>Sprint 0</v>
      </c>
      <c r="D11" s="86" t="str">
        <f>IFERROR(VLOOKUP(Tabla4[[#This Row],[Prioridad]],Tabla3[#All],6,0),"")</f>
        <v>T-006</v>
      </c>
      <c r="E11" s="86" t="str">
        <f>+IFERROR(VLOOKUP(Tabla4[[#This Row],[Tarea]],Tabla3[[Num_Ticket]:[Descripción]],2,0),"")</f>
        <v>Asistencia Tutoria 1</v>
      </c>
      <c r="F11" s="47">
        <f>IFERROR(VLOOKUP(Tabla4[[#This Row],[Prioridad]],Tabla3[#All],14,0),"")</f>
        <v>0</v>
      </c>
      <c r="G11" s="47">
        <f>IF(Tabla4[[#This Row],[Prioridad]]&lt;&gt;"",SUM(W11:KT11),"")</f>
        <v>1</v>
      </c>
      <c r="H11" s="47">
        <f>IF(Tabla4[[#This Row],[Prioridad]]&lt;&gt;"",Tabla4[[#This Row],[Horas Estimadas]]-Tabla4[[#This Row],[Ejecutadas]],"")</f>
        <v>-1</v>
      </c>
      <c r="I11" s="46" t="str">
        <f>IFERROR(VLOOKUP(Tabla4[[#This Row],[Prioridad]],Tabla3[#All],18,0),"")</f>
        <v>TUTORIA</v>
      </c>
      <c r="J11" s="32">
        <f>IFERROR(VLOOKUP(Tabla4[[#This Row],[Prioridad]],Tabla3[#All],20,0),"")</f>
        <v>17</v>
      </c>
      <c r="K11" s="62" t="str">
        <f>IFERROR(VLOOKUP(Tabla4[[#This Row],[Prioridad]],Tabla3[#All],19,0),"")</f>
        <v>Seguimiento</v>
      </c>
      <c r="L11" s="60" t="str">
        <f>IFERROR(VLOOKUP(Tabla4[[#This Row],[Prioridad]],Tabla3[#All],9,0),"")</f>
        <v>Reunión</v>
      </c>
      <c r="M11" s="93">
        <f>+SUMIFS(Tabla4[Avance Hito],Tabla4[Responsable],Tabla4[[#This Row],[Responsable]],Tabla4[Sprint],Tabla4[[#This Row],[Sprint]],Tabla4[Proyecto],Tabla4[[#This Row],[Proyecto]])/COUNTIFS(Tabla4[Responsable],Tabla4[[#This Row],[Responsable]],Tabla4[Sprint],Tabla4[[#This Row],[Sprint]],Tabla4[Proyecto],Tabla4[[#This Row],[Proyecto]])</f>
        <v>1</v>
      </c>
      <c r="N11" s="35">
        <f>+SUMIFS(Tabla4[Avance relativo],Tabla4[Responsable],Tabla4[[#This Row],[Responsable]],Tabla4[Sprint],Tabla4[[#This Row],[Sprint]],Tabla4[Hito],Tabla4[[#This Row],[Hito]])</f>
        <v>1</v>
      </c>
      <c r="O11" s="185">
        <f>VLOOKUP(Tabla4[[#This Row],[Tarea]],Tabla3[[#All],[Num_Ticket]:[Hito]],5,0)</f>
        <v>44453</v>
      </c>
      <c r="P11" s="124">
        <v>44453</v>
      </c>
      <c r="Q11" s="47">
        <f>IF(Tabla4[[#This Row],[Prioridad]]="","",IF(Tabla4[[#This Row],[Hito]]&lt;&gt;"",COUNTIFS(Tabla4[Responsable],Tabla4[[#This Row],[Responsable]],Tabla4[Sprint],Tabla4[[#This Row],[Sprint]],Tabla4[Epica],Tabla4[[#This Row],[Epica]])))</f>
        <v>1</v>
      </c>
      <c r="R11" s="47">
        <f>1*Tabla4[[#This Row],[% Avance]]</f>
        <v>1</v>
      </c>
      <c r="S11" s="47">
        <f>IFERROR(Tabla4[[#This Row],[Total Avance]]/Tabla4[[#This Row],[Conteo_Epica]],0)</f>
        <v>1</v>
      </c>
      <c r="T11" s="78">
        <v>1</v>
      </c>
      <c r="U11" s="79">
        <v>3</v>
      </c>
      <c r="V11" s="89" t="s">
        <v>178</v>
      </c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11"/>
      <c r="AQ11" s="10"/>
      <c r="AR11" s="7"/>
      <c r="AS11" s="7"/>
      <c r="AT11" s="7"/>
      <c r="AU11" s="11"/>
      <c r="AV11" s="10"/>
      <c r="AW11" s="7"/>
      <c r="AX11" s="7"/>
      <c r="AY11" s="7"/>
      <c r="AZ11" s="11"/>
      <c r="BA11" s="10"/>
      <c r="BB11" s="7"/>
      <c r="BC11" s="7"/>
      <c r="BD11" s="7"/>
      <c r="BE11" s="11"/>
      <c r="BF11" s="10"/>
      <c r="BG11" s="7"/>
      <c r="BH11" s="7"/>
      <c r="BI11" s="7"/>
      <c r="BJ11" s="11"/>
      <c r="BK11" s="5"/>
      <c r="BL11" s="10"/>
      <c r="BM11" s="7"/>
      <c r="BN11" s="7"/>
      <c r="BO11" s="7"/>
      <c r="BP11" s="7"/>
      <c r="BQ11" s="10"/>
      <c r="BR11" s="7"/>
      <c r="BS11" s="7"/>
      <c r="BT11" s="7"/>
      <c r="BU11" s="11"/>
      <c r="BV11" s="10"/>
      <c r="BW11" s="7"/>
      <c r="BX11" s="7"/>
      <c r="BY11" s="7"/>
      <c r="BZ11" s="11"/>
      <c r="CA11" s="7"/>
      <c r="CB11" s="7"/>
      <c r="CC11" s="7"/>
      <c r="CD11" s="11"/>
      <c r="CE11" s="10"/>
      <c r="CF11" s="7"/>
      <c r="CG11" s="11"/>
      <c r="CH11" s="28"/>
      <c r="CI11" s="10"/>
      <c r="CJ11" s="7"/>
      <c r="CK11" s="7"/>
      <c r="CL11" s="7"/>
      <c r="CM11" s="7"/>
      <c r="CN11" s="10"/>
      <c r="CO11" s="7"/>
      <c r="CP11" s="7"/>
      <c r="CQ11" s="7"/>
      <c r="CR11" s="11"/>
      <c r="CS11" s="10"/>
      <c r="CT11" s="7"/>
      <c r="CU11" s="7"/>
      <c r="CV11" s="7"/>
      <c r="CW11" s="11"/>
      <c r="CX11" s="7"/>
      <c r="CY11" s="7"/>
      <c r="CZ11" s="7"/>
      <c r="DA11" s="7"/>
      <c r="DB11" s="11"/>
      <c r="DC11" s="28"/>
      <c r="DD11" s="10"/>
      <c r="DE11" s="7"/>
      <c r="DF11" s="7"/>
      <c r="DG11" s="7"/>
      <c r="DH11" s="7"/>
      <c r="DI11" s="10"/>
      <c r="DJ11" s="7"/>
      <c r="DK11" s="7"/>
      <c r="DL11" s="7"/>
      <c r="DM11" s="11"/>
      <c r="DN11" s="10"/>
      <c r="DO11" s="7"/>
      <c r="DP11" s="7"/>
      <c r="DQ11" s="7"/>
      <c r="DR11" s="11"/>
      <c r="DS11" s="7"/>
      <c r="DT11" s="7"/>
      <c r="DU11" s="7"/>
      <c r="DV11" s="7"/>
      <c r="DW11" s="11"/>
      <c r="DX11" s="96"/>
      <c r="DY11" s="7"/>
      <c r="DZ11" s="11"/>
      <c r="EA11" s="28"/>
      <c r="EB11" s="10"/>
      <c r="EC11" s="7"/>
      <c r="ED11" s="7"/>
      <c r="EE11" s="11"/>
      <c r="EF11" s="7"/>
      <c r="EG11" s="10"/>
      <c r="EH11" s="7"/>
      <c r="EI11" s="7"/>
      <c r="EJ11" s="11"/>
      <c r="EK11" s="7"/>
      <c r="EL11" s="10"/>
      <c r="EM11" s="7"/>
      <c r="EN11" s="7"/>
      <c r="EO11" s="11"/>
      <c r="EP11" s="7"/>
      <c r="EQ11" s="10"/>
      <c r="ER11" s="7"/>
      <c r="ES11" s="7"/>
      <c r="ET11" s="7"/>
      <c r="EU11" s="11"/>
      <c r="EV11" s="96"/>
      <c r="EW11" s="10"/>
      <c r="EX11" s="7"/>
      <c r="EY11" s="7"/>
      <c r="EZ11" s="7"/>
      <c r="FA11" s="103"/>
      <c r="FB11" s="107"/>
      <c r="FC11" s="10"/>
      <c r="FD11" s="7"/>
      <c r="FE11" s="7"/>
      <c r="FF11" s="7"/>
      <c r="FG11" s="96"/>
      <c r="FH11" s="10"/>
      <c r="FI11" s="7"/>
      <c r="FJ11" s="7"/>
      <c r="FK11" s="7"/>
      <c r="FL11" s="11"/>
      <c r="FM11" s="96"/>
      <c r="FN11" s="10"/>
      <c r="FO11" s="7"/>
      <c r="FP11" s="7"/>
      <c r="FQ11" s="7"/>
      <c r="FR11" s="96"/>
      <c r="FS11" s="10"/>
      <c r="FT11" s="7"/>
      <c r="FU11" s="7"/>
      <c r="FV11" s="7"/>
      <c r="FW11" s="7"/>
      <c r="FX11" s="96"/>
      <c r="FY11" s="114"/>
      <c r="FZ11" s="7"/>
      <c r="GA11" s="7"/>
      <c r="GB11" s="7"/>
      <c r="GC11" s="7"/>
      <c r="GD11" s="96"/>
      <c r="GE11" s="10"/>
      <c r="GF11" s="7"/>
      <c r="GG11" s="7"/>
      <c r="GH11" s="7"/>
      <c r="GI11" s="11"/>
      <c r="GJ11" s="10"/>
      <c r="GK11" s="10"/>
      <c r="GL11" s="7"/>
      <c r="GM11" s="7"/>
      <c r="GN11" s="11"/>
      <c r="GO11" s="96"/>
      <c r="GP11" s="10"/>
      <c r="GQ11" s="7"/>
      <c r="GR11" s="7"/>
      <c r="GS11" s="7"/>
      <c r="GT11" s="11"/>
      <c r="GU11" s="96"/>
      <c r="GV11" s="114"/>
      <c r="GW11" s="7"/>
      <c r="GX11" s="7"/>
      <c r="GY11" s="7"/>
      <c r="GZ11" s="7"/>
      <c r="HA11" s="10"/>
      <c r="HB11" s="10"/>
      <c r="HC11" s="7"/>
      <c r="HD11" s="7"/>
      <c r="HE11" s="7"/>
      <c r="HF11" s="7"/>
      <c r="HG11" s="7"/>
      <c r="HH11" s="96"/>
      <c r="HI11" s="10"/>
      <c r="HJ11" s="7">
        <v>1</v>
      </c>
      <c r="HK11" s="7"/>
      <c r="HL11" s="7"/>
      <c r="HM11" s="7"/>
      <c r="HN11" s="7"/>
      <c r="HO11" s="10"/>
      <c r="HP11" s="10"/>
      <c r="HQ11" s="7"/>
      <c r="HR11" s="7"/>
      <c r="HS11" s="7"/>
      <c r="HT11" s="7"/>
      <c r="HU11" s="11"/>
      <c r="HV11" s="7"/>
      <c r="HW11" s="10"/>
      <c r="HX11" s="7"/>
      <c r="HY11" s="103"/>
      <c r="HZ11" s="7"/>
      <c r="IA11" s="7"/>
      <c r="IB11" s="11"/>
      <c r="IC11" s="11"/>
      <c r="ID11" s="7"/>
      <c r="IE11" s="7"/>
      <c r="IF11" s="7"/>
      <c r="IG11" s="7"/>
      <c r="IH11" s="7"/>
      <c r="II11" s="7"/>
      <c r="IJ11" s="96"/>
      <c r="IK11" s="10"/>
      <c r="IL11" s="7"/>
      <c r="IM11" s="7"/>
      <c r="IN11" s="7"/>
      <c r="IO11" s="7"/>
      <c r="IP11" s="11"/>
      <c r="IQ11" s="96"/>
      <c r="IR11" s="7"/>
      <c r="IS11" s="7"/>
      <c r="IT11" s="7"/>
      <c r="IU11" s="7"/>
      <c r="IV11" s="7"/>
      <c r="IW11" s="7"/>
      <c r="IX11" s="7"/>
      <c r="IY11" s="7"/>
      <c r="IZ11" s="7"/>
      <c r="JA11" s="103"/>
      <c r="JB11" s="7"/>
      <c r="JC11" s="7"/>
      <c r="JD11" s="7"/>
      <c r="JE11" s="7"/>
      <c r="JF11" s="7"/>
      <c r="JG11" s="7"/>
      <c r="JH11" s="7"/>
      <c r="JI11" s="7"/>
      <c r="JJ11" s="7"/>
      <c r="JK11" s="7"/>
      <c r="JL11" s="7"/>
      <c r="JM11" s="7"/>
      <c r="JN11" s="7"/>
      <c r="JO11" s="7"/>
      <c r="JP11" s="7"/>
      <c r="JQ11" s="7"/>
      <c r="JR11" s="7"/>
      <c r="JS11" s="7"/>
      <c r="JT11" s="7"/>
      <c r="JU11" s="7"/>
      <c r="JV11" s="7"/>
      <c r="JW11" s="7"/>
      <c r="JX11" s="103"/>
      <c r="JY11" s="7"/>
      <c r="JZ11" s="7"/>
      <c r="KA11" s="7"/>
      <c r="KB11" s="7"/>
      <c r="KC11" s="7"/>
      <c r="KD11" s="7"/>
      <c r="KE11" s="7"/>
      <c r="KF11" s="7"/>
      <c r="KG11" s="7"/>
      <c r="KH11" s="7"/>
      <c r="KI11" s="7"/>
      <c r="KJ11" s="7"/>
      <c r="KK11" s="7"/>
      <c r="KL11" s="7"/>
      <c r="KM11" s="7"/>
      <c r="KN11" s="7"/>
      <c r="KO11" s="7"/>
      <c r="KP11" s="7"/>
      <c r="KQ11" s="7"/>
      <c r="KR11" s="7"/>
      <c r="KS11" s="7"/>
      <c r="KT11" s="7"/>
      <c r="KU11" s="103"/>
      <c r="KV11" s="7"/>
      <c r="KW11" s="7"/>
      <c r="KX11" s="7"/>
      <c r="KY11" s="7"/>
      <c r="KZ11" s="7"/>
      <c r="LA11" s="7"/>
      <c r="LB11" s="7"/>
      <c r="LC11" s="7"/>
      <c r="LD11" s="7"/>
      <c r="LE11" s="7"/>
      <c r="LF11" s="7"/>
      <c r="LG11" s="7"/>
      <c r="LH11" s="7"/>
      <c r="LI11" s="7"/>
      <c r="LJ11" s="102"/>
      <c r="LK11" s="102"/>
      <c r="LL11" s="102"/>
      <c r="LM11" s="102"/>
      <c r="LN11" s="102"/>
      <c r="LO11" s="102"/>
      <c r="LP11" s="102"/>
      <c r="LQ11" s="102"/>
      <c r="LR11" s="102"/>
    </row>
    <row r="12" spans="1:330" hidden="1" x14ac:dyDescent="0.25">
      <c r="A12" s="5">
        <v>7</v>
      </c>
      <c r="B12" s="66" t="str">
        <f>IFERROR(VLOOKUP(Tabla4[[#This Row],[Prioridad]],Tabla3[#All],2,0),"")</f>
        <v>JhonB</v>
      </c>
      <c r="C12" s="86" t="str">
        <f>IFERROR(VLOOKUP(Tabla4[[#This Row],[Prioridad]],Tabla3[#All],17,0),"")</f>
        <v>Sprint 1</v>
      </c>
      <c r="D12" s="86" t="str">
        <f>IFERROR(VLOOKUP(Tabla4[[#This Row],[Prioridad]],Tabla3[#All],6,0),"")</f>
        <v>T-007</v>
      </c>
      <c r="E12" s="86" t="str">
        <f>+IFERROR(VLOOKUP(Tabla4[[#This Row],[Tarea]],Tabla3[[Num_Ticket]:[Descripción]],2,0),"")</f>
        <v>Crear Modelo Conceptual del Sistema</v>
      </c>
      <c r="F12" s="47">
        <f>IFERROR(VLOOKUP(Tabla4[[#This Row],[Prioridad]],Tabla3[#All],14,0),"")</f>
        <v>0</v>
      </c>
      <c r="G12" s="47">
        <f>IF(Tabla4[[#This Row],[Prioridad]]&lt;&gt;"",SUM(W12:KT12),"")</f>
        <v>4</v>
      </c>
      <c r="H12" s="47">
        <f>IF(Tabla4[[#This Row],[Prioridad]]&lt;&gt;"",Tabla4[[#This Row],[Horas Estimadas]]-Tabla4[[#This Row],[Ejecutadas]],"")</f>
        <v>-4</v>
      </c>
      <c r="I12" s="46" t="str">
        <f>IFERROR(VLOOKUP(Tabla4[[#This Row],[Prioridad]],Tabla3[#All],18,0),"")</f>
        <v>DESARROLLO APLICACIÓN</v>
      </c>
      <c r="J12" s="32">
        <f>IFERROR(VLOOKUP(Tabla4[[#This Row],[Prioridad]],Tabla3[#All],20,0),"")</f>
        <v>2</v>
      </c>
      <c r="K12" s="62" t="str">
        <f>IFERROR(VLOOKUP(Tabla4[[#This Row],[Prioridad]],Tabla3[#All],19,0),"")</f>
        <v>Análisis - Modelo Conceptual</v>
      </c>
      <c r="L12" s="60" t="str">
        <f>IFERROR(VLOOKUP(Tabla4[[#This Row],[Prioridad]],Tabla3[#All],9,0),"")</f>
        <v>Tarea</v>
      </c>
      <c r="M12" s="93">
        <f>+SUMIFS(Tabla4[Avance Hito],Tabla4[Responsable],Tabla4[[#This Row],[Responsable]],Tabla4[Sprint],Tabla4[[#This Row],[Sprint]],Tabla4[Proyecto],Tabla4[[#This Row],[Proyecto]])/COUNTIFS(Tabla4[Responsable],Tabla4[[#This Row],[Responsable]],Tabla4[Sprint],Tabla4[[#This Row],[Sprint]],Tabla4[Proyecto],Tabla4[[#This Row],[Proyecto]])</f>
        <v>1</v>
      </c>
      <c r="N12" s="35">
        <f>+SUMIFS(Tabla4[Avance relativo],Tabla4[Responsable],Tabla4[[#This Row],[Responsable]],Tabla4[Sprint],Tabla4[[#This Row],[Sprint]],Tabla4[Hito],Tabla4[[#This Row],[Hito]])</f>
        <v>1</v>
      </c>
      <c r="O12" s="185">
        <f>VLOOKUP(Tabla4[[#This Row],[Tarea]],Tabla3[[#All],[Num_Ticket]:[Hito]],5,0)</f>
        <v>44452</v>
      </c>
      <c r="P12" s="124">
        <v>44454</v>
      </c>
      <c r="Q12" s="47">
        <f>IF(Tabla4[[#This Row],[Prioridad]]="","",IF(Tabla4[[#This Row],[Hito]]&lt;&gt;"",COUNTIFS(Tabla4[Responsable],Tabla4[[#This Row],[Responsable]],Tabla4[Sprint],Tabla4[[#This Row],[Sprint]],Tabla4[Epica],Tabla4[[#This Row],[Epica]])))</f>
        <v>1</v>
      </c>
      <c r="R12" s="47">
        <f>1*Tabla4[[#This Row],[% Avance]]</f>
        <v>1</v>
      </c>
      <c r="S12" s="47">
        <f>IFERROR(Tabla4[[#This Row],[Total Avance]]/Tabla4[[#This Row],[Conteo_Epica]],0)</f>
        <v>1</v>
      </c>
      <c r="T12" s="78">
        <v>1</v>
      </c>
      <c r="U12" s="79">
        <v>3</v>
      </c>
      <c r="V12" s="89" t="s">
        <v>178</v>
      </c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11"/>
      <c r="AQ12" s="10"/>
      <c r="AR12" s="7"/>
      <c r="AS12" s="7"/>
      <c r="AT12" s="7"/>
      <c r="AU12" s="11"/>
      <c r="AV12" s="10"/>
      <c r="AW12" s="7"/>
      <c r="AX12" s="7"/>
      <c r="AY12" s="7"/>
      <c r="AZ12" s="11"/>
      <c r="BA12" s="10"/>
      <c r="BB12" s="7"/>
      <c r="BC12" s="7"/>
      <c r="BD12" s="7"/>
      <c r="BE12" s="11"/>
      <c r="BF12" s="10"/>
      <c r="BG12" s="7"/>
      <c r="BH12" s="7"/>
      <c r="BI12" s="7"/>
      <c r="BJ12" s="11"/>
      <c r="BK12" s="5"/>
      <c r="BL12" s="10"/>
      <c r="BM12" s="7"/>
      <c r="BN12" s="7"/>
      <c r="BO12" s="7"/>
      <c r="BP12" s="7"/>
      <c r="BQ12" s="10"/>
      <c r="BR12" s="7"/>
      <c r="BS12" s="7"/>
      <c r="BT12" s="7"/>
      <c r="BU12" s="11"/>
      <c r="BV12" s="10"/>
      <c r="BW12" s="7"/>
      <c r="BX12" s="7"/>
      <c r="BY12" s="7"/>
      <c r="BZ12" s="11"/>
      <c r="CA12" s="7"/>
      <c r="CB12" s="7"/>
      <c r="CC12" s="7"/>
      <c r="CD12" s="11"/>
      <c r="CE12" s="10"/>
      <c r="CF12" s="7"/>
      <c r="CG12" s="11"/>
      <c r="CH12" s="28"/>
      <c r="CI12" s="10"/>
      <c r="CJ12" s="7"/>
      <c r="CK12" s="7"/>
      <c r="CL12" s="7"/>
      <c r="CM12" s="7"/>
      <c r="CN12" s="10"/>
      <c r="CO12" s="7"/>
      <c r="CP12" s="7"/>
      <c r="CQ12" s="7"/>
      <c r="CR12" s="11"/>
      <c r="CS12" s="10"/>
      <c r="CT12" s="7"/>
      <c r="CU12" s="7"/>
      <c r="CV12" s="7"/>
      <c r="CW12" s="11"/>
      <c r="CX12" s="7"/>
      <c r="CY12" s="7"/>
      <c r="CZ12" s="7"/>
      <c r="DA12" s="7"/>
      <c r="DB12" s="11"/>
      <c r="DC12" s="28"/>
      <c r="DD12" s="10"/>
      <c r="DE12" s="7"/>
      <c r="DF12" s="7"/>
      <c r="DG12" s="7"/>
      <c r="DH12" s="7"/>
      <c r="DI12" s="10"/>
      <c r="DJ12" s="7"/>
      <c r="DK12" s="7"/>
      <c r="DL12" s="7"/>
      <c r="DM12" s="11"/>
      <c r="DN12" s="10"/>
      <c r="DO12" s="7"/>
      <c r="DP12" s="7"/>
      <c r="DQ12" s="7"/>
      <c r="DR12" s="11"/>
      <c r="DS12" s="7"/>
      <c r="DT12" s="7"/>
      <c r="DU12" s="7"/>
      <c r="DV12" s="7"/>
      <c r="DW12" s="11"/>
      <c r="DX12" s="96"/>
      <c r="DY12" s="7"/>
      <c r="DZ12" s="11"/>
      <c r="EA12" s="28"/>
      <c r="EB12" s="10"/>
      <c r="EC12" s="7"/>
      <c r="ED12" s="7"/>
      <c r="EE12" s="11"/>
      <c r="EF12" s="7"/>
      <c r="EG12" s="10"/>
      <c r="EH12" s="7"/>
      <c r="EI12" s="7"/>
      <c r="EJ12" s="11"/>
      <c r="EK12" s="7"/>
      <c r="EL12" s="10"/>
      <c r="EM12" s="7"/>
      <c r="EN12" s="7"/>
      <c r="EO12" s="11"/>
      <c r="EP12" s="7"/>
      <c r="EQ12" s="10"/>
      <c r="ER12" s="7"/>
      <c r="ES12" s="7"/>
      <c r="ET12" s="7"/>
      <c r="EU12" s="11"/>
      <c r="EV12" s="96"/>
      <c r="EW12" s="10"/>
      <c r="EX12" s="7"/>
      <c r="EY12" s="7"/>
      <c r="EZ12" s="7"/>
      <c r="FA12" s="103"/>
      <c r="FB12" s="107"/>
      <c r="FC12" s="10"/>
      <c r="FD12" s="7"/>
      <c r="FE12" s="7"/>
      <c r="FF12" s="7"/>
      <c r="FG12" s="96"/>
      <c r="FH12" s="10"/>
      <c r="FI12" s="7"/>
      <c r="FJ12" s="7"/>
      <c r="FK12" s="7"/>
      <c r="FL12" s="11"/>
      <c r="FM12" s="96"/>
      <c r="FN12" s="10"/>
      <c r="FO12" s="7"/>
      <c r="FP12" s="7"/>
      <c r="FQ12" s="7"/>
      <c r="FR12" s="96"/>
      <c r="FS12" s="10"/>
      <c r="FT12" s="7"/>
      <c r="FU12" s="7"/>
      <c r="FV12" s="7"/>
      <c r="FW12" s="7"/>
      <c r="FX12" s="96"/>
      <c r="FY12" s="114"/>
      <c r="FZ12" s="7"/>
      <c r="GA12" s="7"/>
      <c r="GB12" s="7"/>
      <c r="GC12" s="7"/>
      <c r="GD12" s="96"/>
      <c r="GE12" s="10"/>
      <c r="GF12" s="7"/>
      <c r="GG12" s="7"/>
      <c r="GH12" s="7"/>
      <c r="GI12" s="11"/>
      <c r="GJ12" s="10"/>
      <c r="GK12" s="10"/>
      <c r="GL12" s="7"/>
      <c r="GM12" s="7"/>
      <c r="GN12" s="11"/>
      <c r="GO12" s="96"/>
      <c r="GP12" s="10"/>
      <c r="GQ12" s="7"/>
      <c r="GR12" s="7"/>
      <c r="GS12" s="7"/>
      <c r="GT12" s="11"/>
      <c r="GU12" s="96"/>
      <c r="GV12" s="114"/>
      <c r="GW12" s="7"/>
      <c r="GX12" s="7"/>
      <c r="GY12" s="7"/>
      <c r="GZ12" s="7"/>
      <c r="HA12" s="10"/>
      <c r="HB12" s="10"/>
      <c r="HC12" s="7"/>
      <c r="HD12" s="7"/>
      <c r="HE12" s="7"/>
      <c r="HF12" s="7">
        <v>1</v>
      </c>
      <c r="HG12" s="7">
        <v>1</v>
      </c>
      <c r="HH12" s="96"/>
      <c r="HI12" s="10">
        <v>1</v>
      </c>
      <c r="HJ12" s="7"/>
      <c r="HK12" s="7">
        <v>1</v>
      </c>
      <c r="HL12" s="7"/>
      <c r="HM12" s="7"/>
      <c r="HN12" s="7"/>
      <c r="HO12" s="10"/>
      <c r="HP12" s="10"/>
      <c r="HQ12" s="7"/>
      <c r="HR12" s="7"/>
      <c r="HS12" s="7"/>
      <c r="HT12" s="7"/>
      <c r="HU12" s="11"/>
      <c r="HV12" s="7"/>
      <c r="HW12" s="10"/>
      <c r="HX12" s="7"/>
      <c r="HY12" s="103"/>
      <c r="HZ12" s="7"/>
      <c r="IA12" s="7"/>
      <c r="IB12" s="11"/>
      <c r="IC12" s="11"/>
      <c r="ID12" s="7"/>
      <c r="IE12" s="7"/>
      <c r="IF12" s="7"/>
      <c r="IG12" s="7"/>
      <c r="IH12" s="7"/>
      <c r="II12" s="7"/>
      <c r="IJ12" s="96"/>
      <c r="IK12" s="10"/>
      <c r="IL12" s="7"/>
      <c r="IM12" s="7"/>
      <c r="IN12" s="7"/>
      <c r="IO12" s="7"/>
      <c r="IP12" s="11"/>
      <c r="IQ12" s="96"/>
      <c r="IR12" s="7"/>
      <c r="IS12" s="7"/>
      <c r="IT12" s="7"/>
      <c r="IU12" s="7"/>
      <c r="IV12" s="7"/>
      <c r="IW12" s="7"/>
      <c r="IX12" s="7"/>
      <c r="IY12" s="7"/>
      <c r="IZ12" s="7"/>
      <c r="JA12" s="103"/>
      <c r="JB12" s="7"/>
      <c r="JC12" s="7"/>
      <c r="JD12" s="7"/>
      <c r="JE12" s="7"/>
      <c r="JF12" s="7"/>
      <c r="JG12" s="7"/>
      <c r="JH12" s="7"/>
      <c r="JI12" s="7"/>
      <c r="JJ12" s="7"/>
      <c r="JK12" s="7"/>
      <c r="JL12" s="7"/>
      <c r="JM12" s="7"/>
      <c r="JN12" s="7"/>
      <c r="JO12" s="7"/>
      <c r="JP12" s="7"/>
      <c r="JQ12" s="7"/>
      <c r="JR12" s="7"/>
      <c r="JS12" s="7"/>
      <c r="JT12" s="7"/>
      <c r="JU12" s="7"/>
      <c r="JV12" s="7"/>
      <c r="JW12" s="7"/>
      <c r="JX12" s="103"/>
      <c r="JY12" s="7"/>
      <c r="JZ12" s="7"/>
      <c r="KA12" s="7"/>
      <c r="KB12" s="7"/>
      <c r="KC12" s="7"/>
      <c r="KD12" s="7"/>
      <c r="KE12" s="7"/>
      <c r="KF12" s="7"/>
      <c r="KG12" s="7"/>
      <c r="KH12" s="7"/>
      <c r="KI12" s="7"/>
      <c r="KJ12" s="7"/>
      <c r="KK12" s="7"/>
      <c r="KL12" s="7"/>
      <c r="KM12" s="7"/>
      <c r="KN12" s="7"/>
      <c r="KO12" s="7"/>
      <c r="KP12" s="7"/>
      <c r="KQ12" s="7"/>
      <c r="KR12" s="7"/>
      <c r="KS12" s="7"/>
      <c r="KT12" s="7"/>
      <c r="KU12" s="103"/>
      <c r="KV12" s="7"/>
      <c r="KW12" s="7"/>
      <c r="KX12" s="7"/>
      <c r="KY12" s="7"/>
      <c r="KZ12" s="7"/>
      <c r="LA12" s="7"/>
      <c r="LB12" s="7"/>
      <c r="LC12" s="7"/>
      <c r="LD12" s="7"/>
      <c r="LE12" s="7"/>
      <c r="LF12" s="7"/>
      <c r="LG12" s="7"/>
      <c r="LH12" s="7"/>
      <c r="LI12" s="7"/>
      <c r="LJ12" s="102"/>
      <c r="LK12" s="102"/>
      <c r="LL12" s="102"/>
      <c r="LM12" s="102"/>
      <c r="LN12" s="102"/>
      <c r="LO12" s="102"/>
      <c r="LP12" s="102"/>
      <c r="LQ12" s="102"/>
      <c r="LR12" s="102"/>
    </row>
    <row r="13" spans="1:330" hidden="1" x14ac:dyDescent="0.25">
      <c r="A13" s="5">
        <v>8</v>
      </c>
      <c r="B13" s="66" t="str">
        <f>IFERROR(VLOOKUP(Tabla4[[#This Row],[Prioridad]],Tabla3[#All],2,0),"")</f>
        <v>YhonV</v>
      </c>
      <c r="C13" s="86" t="str">
        <f>IFERROR(VLOOKUP(Tabla4[[#This Row],[Prioridad]],Tabla3[#All],17,0),"")</f>
        <v>Sprint 1</v>
      </c>
      <c r="D13" s="86" t="str">
        <f>IFERROR(VLOOKUP(Tabla4[[#This Row],[Prioridad]],Tabla3[#All],6,0),"")</f>
        <v>T-008</v>
      </c>
      <c r="E13" s="86" t="str">
        <f>+IFERROR(VLOOKUP(Tabla4[[#This Row],[Tarea]],Tabla3[[Num_Ticket]:[Descripción]],2,0),"")</f>
        <v>Documentar Historias de Usuario</v>
      </c>
      <c r="F13" s="47">
        <f>IFERROR(VLOOKUP(Tabla4[[#This Row],[Prioridad]],Tabla3[#All],14,0),"")</f>
        <v>0</v>
      </c>
      <c r="G13" s="47">
        <f>IF(Tabla4[[#This Row],[Prioridad]]&lt;&gt;"",SUM(W13:KT13),"")</f>
        <v>2</v>
      </c>
      <c r="H13" s="47">
        <f>IF(Tabla4[[#This Row],[Prioridad]]&lt;&gt;"",Tabla4[[#This Row],[Horas Estimadas]]-Tabla4[[#This Row],[Ejecutadas]],"")</f>
        <v>-2</v>
      </c>
      <c r="I13" s="46" t="str">
        <f>IFERROR(VLOOKUP(Tabla4[[#This Row],[Prioridad]],Tabla3[#All],18,0),"")</f>
        <v>DESARROLLO APLICACIÓN</v>
      </c>
      <c r="J13" s="32">
        <f>IFERROR(VLOOKUP(Tabla4[[#This Row],[Prioridad]],Tabla3[#All],20,0),"")</f>
        <v>3</v>
      </c>
      <c r="K13" s="62" t="str">
        <f>IFERROR(VLOOKUP(Tabla4[[#This Row],[Prioridad]],Tabla3[#All],19,0),"")</f>
        <v>Análisis - Requerimientos Funcionales</v>
      </c>
      <c r="L13" s="60" t="str">
        <f>IFERROR(VLOOKUP(Tabla4[[#This Row],[Prioridad]],Tabla3[#All],9,0),"")</f>
        <v>Tarea</v>
      </c>
      <c r="M13" s="93">
        <f>+SUMIFS(Tabla4[Avance Hito],Tabla4[Responsable],Tabla4[[#This Row],[Responsable]],Tabla4[Sprint],Tabla4[[#This Row],[Sprint]],Tabla4[Proyecto],Tabla4[[#This Row],[Proyecto]])/COUNTIFS(Tabla4[Responsable],Tabla4[[#This Row],[Responsable]],Tabla4[Sprint],Tabla4[[#This Row],[Sprint]],Tabla4[Proyecto],Tabla4[[#This Row],[Proyecto]])</f>
        <v>1</v>
      </c>
      <c r="N13" s="35">
        <f>+SUMIFS(Tabla4[Avance relativo],Tabla4[Responsable],Tabla4[[#This Row],[Responsable]],Tabla4[Sprint],Tabla4[[#This Row],[Sprint]],Tabla4[Hito],Tabla4[[#This Row],[Hito]])</f>
        <v>1</v>
      </c>
      <c r="O13" s="185">
        <f>VLOOKUP(Tabla4[[#This Row],[Tarea]],Tabla3[[#All],[Num_Ticket]:[Hito]],5,0)</f>
        <v>44452</v>
      </c>
      <c r="P13" s="124">
        <v>44454</v>
      </c>
      <c r="Q13" s="47">
        <f>IF(Tabla4[[#This Row],[Prioridad]]="","",IF(Tabla4[[#This Row],[Hito]]&lt;&gt;"",COUNTIFS(Tabla4[Responsable],Tabla4[[#This Row],[Responsable]],Tabla4[Sprint],Tabla4[[#This Row],[Sprint]],Tabla4[Epica],Tabla4[[#This Row],[Epica]])))</f>
        <v>2</v>
      </c>
      <c r="R13" s="47">
        <f>1*Tabla4[[#This Row],[% Avance]]</f>
        <v>1</v>
      </c>
      <c r="S13" s="47">
        <f>IFERROR(Tabla4[[#This Row],[Total Avance]]/Tabla4[[#This Row],[Conteo_Epica]],0)</f>
        <v>0.5</v>
      </c>
      <c r="T13" s="78">
        <v>1</v>
      </c>
      <c r="U13" s="79">
        <v>3</v>
      </c>
      <c r="V13" s="89" t="s">
        <v>178</v>
      </c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11"/>
      <c r="AQ13" s="10"/>
      <c r="AR13" s="7"/>
      <c r="AS13" s="7"/>
      <c r="AT13" s="7"/>
      <c r="AU13" s="11"/>
      <c r="AV13" s="10"/>
      <c r="AW13" s="7"/>
      <c r="AX13" s="7"/>
      <c r="AY13" s="7"/>
      <c r="AZ13" s="11"/>
      <c r="BA13" s="10"/>
      <c r="BB13" s="7"/>
      <c r="BC13" s="7"/>
      <c r="BD13" s="7"/>
      <c r="BE13" s="11"/>
      <c r="BF13" s="10"/>
      <c r="BG13" s="7"/>
      <c r="BH13" s="7"/>
      <c r="BI13" s="7"/>
      <c r="BJ13" s="11"/>
      <c r="BK13" s="5"/>
      <c r="BL13" s="10"/>
      <c r="BM13" s="7"/>
      <c r="BN13" s="7"/>
      <c r="BO13" s="7"/>
      <c r="BP13" s="7"/>
      <c r="BQ13" s="10"/>
      <c r="BR13" s="7"/>
      <c r="BS13" s="7"/>
      <c r="BT13" s="7"/>
      <c r="BU13" s="11"/>
      <c r="BV13" s="10"/>
      <c r="BW13" s="7"/>
      <c r="BX13" s="7"/>
      <c r="BY13" s="7"/>
      <c r="BZ13" s="11"/>
      <c r="CA13" s="7"/>
      <c r="CB13" s="7"/>
      <c r="CC13" s="7"/>
      <c r="CD13" s="11"/>
      <c r="CE13" s="10"/>
      <c r="CF13" s="7"/>
      <c r="CG13" s="11"/>
      <c r="CH13" s="28"/>
      <c r="CI13" s="10"/>
      <c r="CJ13" s="7"/>
      <c r="CK13" s="7"/>
      <c r="CL13" s="7"/>
      <c r="CM13" s="7"/>
      <c r="CN13" s="10"/>
      <c r="CO13" s="7"/>
      <c r="CP13" s="7"/>
      <c r="CQ13" s="7"/>
      <c r="CR13" s="11"/>
      <c r="CS13" s="10"/>
      <c r="CT13" s="7"/>
      <c r="CU13" s="7"/>
      <c r="CV13" s="7"/>
      <c r="CW13" s="11"/>
      <c r="CX13" s="7"/>
      <c r="CY13" s="7"/>
      <c r="CZ13" s="7"/>
      <c r="DA13" s="7"/>
      <c r="DB13" s="11"/>
      <c r="DC13" s="28"/>
      <c r="DD13" s="10"/>
      <c r="DE13" s="7"/>
      <c r="DF13" s="7"/>
      <c r="DG13" s="7"/>
      <c r="DH13" s="7"/>
      <c r="DI13" s="10"/>
      <c r="DJ13" s="7"/>
      <c r="DK13" s="7"/>
      <c r="DL13" s="7"/>
      <c r="DM13" s="11"/>
      <c r="DN13" s="10"/>
      <c r="DO13" s="7"/>
      <c r="DP13" s="7"/>
      <c r="DQ13" s="7"/>
      <c r="DR13" s="11"/>
      <c r="DS13" s="7"/>
      <c r="DT13" s="7"/>
      <c r="DU13" s="7"/>
      <c r="DV13" s="7"/>
      <c r="DW13" s="11"/>
      <c r="DX13" s="96"/>
      <c r="DY13" s="7"/>
      <c r="DZ13" s="11"/>
      <c r="EA13" s="28"/>
      <c r="EB13" s="10"/>
      <c r="EC13" s="7"/>
      <c r="ED13" s="7"/>
      <c r="EE13" s="11"/>
      <c r="EF13" s="7"/>
      <c r="EG13" s="10"/>
      <c r="EH13" s="7"/>
      <c r="EI13" s="7"/>
      <c r="EJ13" s="11"/>
      <c r="EK13" s="7"/>
      <c r="EL13" s="10"/>
      <c r="EM13" s="7"/>
      <c r="EN13" s="7"/>
      <c r="EO13" s="11"/>
      <c r="EP13" s="7"/>
      <c r="EQ13" s="10"/>
      <c r="ER13" s="7"/>
      <c r="ES13" s="7"/>
      <c r="ET13" s="7"/>
      <c r="EU13" s="11"/>
      <c r="EV13" s="96"/>
      <c r="EW13" s="10"/>
      <c r="EX13" s="7"/>
      <c r="EY13" s="7"/>
      <c r="EZ13" s="7"/>
      <c r="FA13" s="103"/>
      <c r="FB13" s="107"/>
      <c r="FC13" s="10"/>
      <c r="FD13" s="7"/>
      <c r="FE13" s="7"/>
      <c r="FF13" s="7"/>
      <c r="FG13" s="96"/>
      <c r="FH13" s="10"/>
      <c r="FI13" s="7"/>
      <c r="FJ13" s="7"/>
      <c r="FK13" s="7"/>
      <c r="FL13" s="11"/>
      <c r="FM13" s="96"/>
      <c r="FN13" s="10"/>
      <c r="FO13" s="7"/>
      <c r="FP13" s="7"/>
      <c r="FQ13" s="7"/>
      <c r="FR13" s="96"/>
      <c r="FS13" s="10"/>
      <c r="FT13" s="7"/>
      <c r="FU13" s="7"/>
      <c r="FV13" s="7"/>
      <c r="FW13" s="7"/>
      <c r="FX13" s="96"/>
      <c r="FY13" s="114"/>
      <c r="FZ13" s="7"/>
      <c r="GA13" s="7"/>
      <c r="GB13" s="7"/>
      <c r="GC13" s="7"/>
      <c r="GD13" s="96"/>
      <c r="GE13" s="10"/>
      <c r="GF13" s="7"/>
      <c r="GG13" s="7"/>
      <c r="GH13" s="7"/>
      <c r="GI13" s="11"/>
      <c r="GJ13" s="10"/>
      <c r="GK13" s="10"/>
      <c r="GL13" s="7"/>
      <c r="GM13" s="7"/>
      <c r="GN13" s="11"/>
      <c r="GO13" s="96"/>
      <c r="GP13" s="10"/>
      <c r="GQ13" s="7"/>
      <c r="GR13" s="7"/>
      <c r="GS13" s="7"/>
      <c r="GT13" s="11"/>
      <c r="GU13" s="96"/>
      <c r="GV13" s="114"/>
      <c r="GW13" s="7"/>
      <c r="GX13" s="7"/>
      <c r="GY13" s="7"/>
      <c r="GZ13" s="7"/>
      <c r="HA13" s="10"/>
      <c r="HB13" s="10"/>
      <c r="HC13" s="7"/>
      <c r="HD13" s="7"/>
      <c r="HE13" s="7"/>
      <c r="HF13" s="7"/>
      <c r="HG13" s="7"/>
      <c r="HH13" s="96"/>
      <c r="HI13" s="10">
        <v>1</v>
      </c>
      <c r="HJ13" s="7">
        <v>1</v>
      </c>
      <c r="HK13" s="7"/>
      <c r="HL13" s="7"/>
      <c r="HM13" s="7"/>
      <c r="HN13" s="7"/>
      <c r="HO13" s="10"/>
      <c r="HP13" s="10"/>
      <c r="HQ13" s="7"/>
      <c r="HR13" s="7"/>
      <c r="HS13" s="7"/>
      <c r="HT13" s="7"/>
      <c r="HU13" s="11"/>
      <c r="HV13" s="7"/>
      <c r="HW13" s="10"/>
      <c r="HX13" s="7"/>
      <c r="HY13" s="103"/>
      <c r="HZ13" s="7"/>
      <c r="IA13" s="7"/>
      <c r="IB13" s="11"/>
      <c r="IC13" s="11"/>
      <c r="ID13" s="7"/>
      <c r="IE13" s="7"/>
      <c r="IF13" s="7"/>
      <c r="IG13" s="7"/>
      <c r="IH13" s="7"/>
      <c r="II13" s="7"/>
      <c r="IJ13" s="96"/>
      <c r="IK13" s="10"/>
      <c r="IL13" s="7"/>
      <c r="IM13" s="7"/>
      <c r="IN13" s="7"/>
      <c r="IO13" s="7"/>
      <c r="IP13" s="11"/>
      <c r="IQ13" s="96"/>
      <c r="IR13" s="7"/>
      <c r="IS13" s="7"/>
      <c r="IT13" s="7"/>
      <c r="IU13" s="7"/>
      <c r="IV13" s="7"/>
      <c r="IW13" s="7"/>
      <c r="IX13" s="7"/>
      <c r="IY13" s="7"/>
      <c r="IZ13" s="7"/>
      <c r="JA13" s="103"/>
      <c r="JB13" s="7"/>
      <c r="JC13" s="7"/>
      <c r="JD13" s="7"/>
      <c r="JE13" s="7"/>
      <c r="JF13" s="7"/>
      <c r="JG13" s="7"/>
      <c r="JH13" s="7"/>
      <c r="JI13" s="7"/>
      <c r="JJ13" s="7"/>
      <c r="JK13" s="7"/>
      <c r="JL13" s="7"/>
      <c r="JM13" s="7"/>
      <c r="JN13" s="7"/>
      <c r="JO13" s="7"/>
      <c r="JP13" s="7"/>
      <c r="JQ13" s="7"/>
      <c r="JR13" s="7"/>
      <c r="JS13" s="7"/>
      <c r="JT13" s="7"/>
      <c r="JU13" s="7"/>
      <c r="JV13" s="7"/>
      <c r="JW13" s="7"/>
      <c r="JX13" s="103"/>
      <c r="JY13" s="7"/>
      <c r="JZ13" s="7"/>
      <c r="KA13" s="7"/>
      <c r="KB13" s="7"/>
      <c r="KC13" s="7"/>
      <c r="KD13" s="7"/>
      <c r="KE13" s="7"/>
      <c r="KF13" s="7"/>
      <c r="KG13" s="7"/>
      <c r="KH13" s="7"/>
      <c r="KI13" s="7"/>
      <c r="KJ13" s="7"/>
      <c r="KK13" s="7"/>
      <c r="KL13" s="7"/>
      <c r="KM13" s="7"/>
      <c r="KN13" s="7"/>
      <c r="KO13" s="7"/>
      <c r="KP13" s="7"/>
      <c r="KQ13" s="7"/>
      <c r="KR13" s="7"/>
      <c r="KS13" s="7"/>
      <c r="KT13" s="7"/>
      <c r="KU13" s="103"/>
      <c r="KV13" s="7"/>
      <c r="KW13" s="7"/>
      <c r="KX13" s="7"/>
      <c r="KY13" s="7"/>
      <c r="KZ13" s="7"/>
      <c r="LA13" s="7"/>
      <c r="LB13" s="7"/>
      <c r="LC13" s="7"/>
      <c r="LD13" s="7"/>
      <c r="LE13" s="7"/>
      <c r="LF13" s="7"/>
      <c r="LG13" s="7"/>
      <c r="LH13" s="7"/>
      <c r="LI13" s="7"/>
      <c r="LJ13" s="102"/>
      <c r="LK13" s="102"/>
      <c r="LL13" s="102"/>
      <c r="LM13" s="102"/>
      <c r="LN13" s="102"/>
      <c r="LO13" s="102"/>
      <c r="LP13" s="102"/>
      <c r="LQ13" s="102"/>
      <c r="LR13" s="102"/>
    </row>
    <row r="14" spans="1:330" hidden="1" x14ac:dyDescent="0.25">
      <c r="A14" s="5">
        <v>9</v>
      </c>
      <c r="B14" s="66" t="str">
        <f>IFERROR(VLOOKUP(Tabla4[[#This Row],[Prioridad]],Tabla3[#All],2,0),"")</f>
        <v>YhonV</v>
      </c>
      <c r="C14" s="86" t="str">
        <f>IFERROR(VLOOKUP(Tabla4[[#This Row],[Prioridad]],Tabla3[#All],17,0),"")</f>
        <v>Sprint 1</v>
      </c>
      <c r="D14" s="86" t="str">
        <f>IFERROR(VLOOKUP(Tabla4[[#This Row],[Prioridad]],Tabla3[#All],6,0),"")</f>
        <v>T-009</v>
      </c>
      <c r="E14" s="86" t="str">
        <f>+IFERROR(VLOOKUP(Tabla4[[#This Row],[Tarea]],Tabla3[[Num_Ticket]:[Descripción]],2,0),"")</f>
        <v>Documentar Requerimientos Funcionales</v>
      </c>
      <c r="F14" s="47">
        <f>IFERROR(VLOOKUP(Tabla4[[#This Row],[Prioridad]],Tabla3[#All],14,0),"")</f>
        <v>0</v>
      </c>
      <c r="G14" s="47">
        <f>IF(Tabla4[[#This Row],[Prioridad]]&lt;&gt;"",SUM(W14:KT14),"")</f>
        <v>3</v>
      </c>
      <c r="H14" s="47">
        <f>IF(Tabla4[[#This Row],[Prioridad]]&lt;&gt;"",Tabla4[[#This Row],[Horas Estimadas]]-Tabla4[[#This Row],[Ejecutadas]],"")</f>
        <v>-3</v>
      </c>
      <c r="I14" s="66" t="str">
        <f>IFERROR(VLOOKUP(Tabla4[[#This Row],[Prioridad]],Tabla3[#All],18,0),"")</f>
        <v>DESARROLLO APLICACIÓN</v>
      </c>
      <c r="J14" s="32">
        <f>IFERROR(VLOOKUP(Tabla4[[#This Row],[Prioridad]],Tabla3[#All],20,0),"")</f>
        <v>3</v>
      </c>
      <c r="K14" s="62" t="str">
        <f>IFERROR(VLOOKUP(Tabla4[[#This Row],[Prioridad]],Tabla3[#All],19,0),"")</f>
        <v>Análisis - Requerimientos Funcionales</v>
      </c>
      <c r="L14" s="60" t="str">
        <f>IFERROR(VLOOKUP(Tabla4[[#This Row],[Prioridad]],Tabla3[#All],9,0),"")</f>
        <v>Tarea</v>
      </c>
      <c r="M14" s="93">
        <f>+SUMIFS(Tabla4[Avance Hito],Tabla4[Responsable],Tabla4[[#This Row],[Responsable]],Tabla4[Sprint],Tabla4[[#This Row],[Sprint]],Tabla4[Proyecto],Tabla4[[#This Row],[Proyecto]])/COUNTIFS(Tabla4[Responsable],Tabla4[[#This Row],[Responsable]],Tabla4[Sprint],Tabla4[[#This Row],[Sprint]],Tabla4[Proyecto],Tabla4[[#This Row],[Proyecto]])</f>
        <v>1</v>
      </c>
      <c r="N14" s="35">
        <f>+SUMIFS(Tabla4[Avance relativo],Tabla4[Responsable],Tabla4[[#This Row],[Responsable]],Tabla4[Sprint],Tabla4[[#This Row],[Sprint]],Tabla4[Hito],Tabla4[[#This Row],[Hito]])</f>
        <v>1</v>
      </c>
      <c r="O14" s="185">
        <f>VLOOKUP(Tabla4[[#This Row],[Tarea]],Tabla3[[#All],[Num_Ticket]:[Hito]],5,0)</f>
        <v>44452</v>
      </c>
      <c r="P14" s="124">
        <v>44454</v>
      </c>
      <c r="Q14" s="47">
        <f>IF(Tabla4[[#This Row],[Prioridad]]="","",IF(Tabla4[[#This Row],[Hito]]&lt;&gt;"",COUNTIFS(Tabla4[Responsable],Tabla4[[#This Row],[Responsable]],Tabla4[Sprint],Tabla4[[#This Row],[Sprint]],Tabla4[Epica],Tabla4[[#This Row],[Epica]])))</f>
        <v>2</v>
      </c>
      <c r="R14" s="47">
        <f>1*Tabla4[[#This Row],[% Avance]]</f>
        <v>1</v>
      </c>
      <c r="S14" s="47">
        <f>IFERROR(Tabla4[[#This Row],[Total Avance]]/Tabla4[[#This Row],[Conteo_Epica]],0)</f>
        <v>0.5</v>
      </c>
      <c r="T14" s="78">
        <v>1</v>
      </c>
      <c r="U14" s="79">
        <v>3</v>
      </c>
      <c r="V14" s="89" t="s">
        <v>178</v>
      </c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11"/>
      <c r="AQ14" s="10"/>
      <c r="AR14" s="7"/>
      <c r="AS14" s="7"/>
      <c r="AT14" s="7"/>
      <c r="AU14" s="11"/>
      <c r="AV14" s="10"/>
      <c r="AW14" s="7"/>
      <c r="AX14" s="7"/>
      <c r="AY14" s="7"/>
      <c r="AZ14" s="11"/>
      <c r="BA14" s="10"/>
      <c r="BB14" s="7"/>
      <c r="BC14" s="7"/>
      <c r="BD14" s="7"/>
      <c r="BE14" s="11"/>
      <c r="BF14" s="10"/>
      <c r="BG14" s="7"/>
      <c r="BH14" s="7"/>
      <c r="BI14" s="7"/>
      <c r="BJ14" s="11"/>
      <c r="BK14" s="5"/>
      <c r="BL14" s="10"/>
      <c r="BM14" s="7"/>
      <c r="BN14" s="7"/>
      <c r="BO14" s="7"/>
      <c r="BP14" s="7"/>
      <c r="BQ14" s="10"/>
      <c r="BR14" s="7"/>
      <c r="BS14" s="7"/>
      <c r="BT14" s="7"/>
      <c r="BU14" s="11"/>
      <c r="BV14" s="10"/>
      <c r="BW14" s="7"/>
      <c r="BX14" s="7"/>
      <c r="BY14" s="7"/>
      <c r="BZ14" s="11"/>
      <c r="CA14" s="7"/>
      <c r="CB14" s="7"/>
      <c r="CC14" s="7"/>
      <c r="CD14" s="11"/>
      <c r="CE14" s="10"/>
      <c r="CF14" s="7"/>
      <c r="CG14" s="11"/>
      <c r="CH14" s="28"/>
      <c r="CI14" s="10"/>
      <c r="CJ14" s="7"/>
      <c r="CK14" s="7"/>
      <c r="CL14" s="7"/>
      <c r="CM14" s="7"/>
      <c r="CN14" s="10"/>
      <c r="CO14" s="7"/>
      <c r="CP14" s="7"/>
      <c r="CQ14" s="7"/>
      <c r="CR14" s="11"/>
      <c r="CS14" s="10"/>
      <c r="CT14" s="7"/>
      <c r="CU14" s="7"/>
      <c r="CV14" s="7"/>
      <c r="CW14" s="11"/>
      <c r="CX14" s="7"/>
      <c r="CY14" s="7"/>
      <c r="CZ14" s="7"/>
      <c r="DA14" s="7"/>
      <c r="DB14" s="11"/>
      <c r="DC14" s="28"/>
      <c r="DD14" s="10"/>
      <c r="DE14" s="7"/>
      <c r="DF14" s="7"/>
      <c r="DG14" s="7"/>
      <c r="DH14" s="7"/>
      <c r="DI14" s="10"/>
      <c r="DJ14" s="7"/>
      <c r="DK14" s="7"/>
      <c r="DL14" s="7"/>
      <c r="DM14" s="11"/>
      <c r="DN14" s="10"/>
      <c r="DO14" s="7"/>
      <c r="DP14" s="7"/>
      <c r="DQ14" s="7"/>
      <c r="DR14" s="11"/>
      <c r="DS14" s="7"/>
      <c r="DT14" s="7"/>
      <c r="DU14" s="7"/>
      <c r="DV14" s="7"/>
      <c r="DW14" s="11"/>
      <c r="DX14" s="96"/>
      <c r="DY14" s="7"/>
      <c r="DZ14" s="11"/>
      <c r="EA14" s="28"/>
      <c r="EB14" s="10"/>
      <c r="EC14" s="7"/>
      <c r="ED14" s="7"/>
      <c r="EE14" s="11"/>
      <c r="EF14" s="7"/>
      <c r="EG14" s="10"/>
      <c r="EH14" s="7"/>
      <c r="EI14" s="7"/>
      <c r="EJ14" s="11"/>
      <c r="EK14" s="7"/>
      <c r="EL14" s="10"/>
      <c r="EM14" s="7"/>
      <c r="EN14" s="7"/>
      <c r="EO14" s="11"/>
      <c r="EP14" s="7"/>
      <c r="EQ14" s="10"/>
      <c r="ER14" s="7"/>
      <c r="ES14" s="7"/>
      <c r="ET14" s="7"/>
      <c r="EU14" s="11"/>
      <c r="EV14" s="96"/>
      <c r="EW14" s="10"/>
      <c r="EX14" s="7"/>
      <c r="EY14" s="7"/>
      <c r="EZ14" s="7"/>
      <c r="FA14" s="103"/>
      <c r="FB14" s="107"/>
      <c r="FC14" s="10"/>
      <c r="FD14" s="7"/>
      <c r="FE14" s="7"/>
      <c r="FF14" s="7"/>
      <c r="FG14" s="96"/>
      <c r="FH14" s="10"/>
      <c r="FI14" s="7"/>
      <c r="FJ14" s="7"/>
      <c r="FK14" s="7"/>
      <c r="FL14" s="11"/>
      <c r="FM14" s="96"/>
      <c r="FN14" s="10"/>
      <c r="FO14" s="7"/>
      <c r="FP14" s="7"/>
      <c r="FQ14" s="7"/>
      <c r="FR14" s="96"/>
      <c r="FS14" s="10"/>
      <c r="FT14" s="7"/>
      <c r="FU14" s="7"/>
      <c r="FV14" s="7"/>
      <c r="FW14" s="7"/>
      <c r="FX14" s="96"/>
      <c r="FY14" s="114"/>
      <c r="FZ14" s="7"/>
      <c r="GA14" s="7"/>
      <c r="GB14" s="7"/>
      <c r="GC14" s="7"/>
      <c r="GD14" s="96"/>
      <c r="GE14" s="10"/>
      <c r="GF14" s="7"/>
      <c r="GG14" s="7"/>
      <c r="GH14" s="7"/>
      <c r="GI14" s="11"/>
      <c r="GJ14" s="10"/>
      <c r="GK14" s="10"/>
      <c r="GL14" s="7"/>
      <c r="GM14" s="7"/>
      <c r="GN14" s="11"/>
      <c r="GO14" s="96"/>
      <c r="GP14" s="10"/>
      <c r="GQ14" s="7"/>
      <c r="GR14" s="7"/>
      <c r="GS14" s="7"/>
      <c r="GT14" s="11"/>
      <c r="GU14" s="96"/>
      <c r="GV14" s="114"/>
      <c r="GW14" s="7"/>
      <c r="GX14" s="7"/>
      <c r="GY14" s="7"/>
      <c r="GZ14" s="7"/>
      <c r="HA14" s="10"/>
      <c r="HB14" s="10"/>
      <c r="HC14" s="7"/>
      <c r="HD14" s="7"/>
      <c r="HE14" s="7"/>
      <c r="HF14" s="7"/>
      <c r="HG14" s="7"/>
      <c r="HH14" s="96"/>
      <c r="HI14" s="10"/>
      <c r="HJ14" s="7">
        <v>1</v>
      </c>
      <c r="HK14" s="7">
        <v>2</v>
      </c>
      <c r="HL14" s="7"/>
      <c r="HM14" s="7"/>
      <c r="HN14" s="7"/>
      <c r="HO14" s="10"/>
      <c r="HP14" s="10"/>
      <c r="HQ14" s="7"/>
      <c r="HR14" s="7"/>
      <c r="HS14" s="7"/>
      <c r="HT14" s="7"/>
      <c r="HU14" s="11"/>
      <c r="HV14" s="7"/>
      <c r="HW14" s="10"/>
      <c r="HX14" s="7"/>
      <c r="HY14" s="103"/>
      <c r="HZ14" s="7"/>
      <c r="IA14" s="7"/>
      <c r="IB14" s="11"/>
      <c r="IC14" s="11"/>
      <c r="ID14" s="7"/>
      <c r="IE14" s="7"/>
      <c r="IF14" s="7"/>
      <c r="IG14" s="7"/>
      <c r="IH14" s="7"/>
      <c r="II14" s="7"/>
      <c r="IJ14" s="96"/>
      <c r="IK14" s="10"/>
      <c r="IL14" s="7"/>
      <c r="IM14" s="7"/>
      <c r="IN14" s="7"/>
      <c r="IO14" s="7"/>
      <c r="IP14" s="11"/>
      <c r="IQ14" s="96"/>
      <c r="IR14" s="7"/>
      <c r="IS14" s="7"/>
      <c r="IT14" s="7"/>
      <c r="IU14" s="7"/>
      <c r="IV14" s="7"/>
      <c r="IW14" s="7"/>
      <c r="IX14" s="7"/>
      <c r="IY14" s="7"/>
      <c r="IZ14" s="7"/>
      <c r="JA14" s="103"/>
      <c r="JB14" s="7"/>
      <c r="JC14" s="7"/>
      <c r="JD14" s="7"/>
      <c r="JE14" s="7"/>
      <c r="JF14" s="7"/>
      <c r="JG14" s="7"/>
      <c r="JH14" s="7"/>
      <c r="JI14" s="7"/>
      <c r="JJ14" s="7"/>
      <c r="JK14" s="7"/>
      <c r="JL14" s="7"/>
      <c r="JM14" s="7"/>
      <c r="JN14" s="7"/>
      <c r="JO14" s="7"/>
      <c r="JP14" s="7"/>
      <c r="JQ14" s="7"/>
      <c r="JR14" s="7"/>
      <c r="JS14" s="7"/>
      <c r="JT14" s="7"/>
      <c r="JU14" s="7"/>
      <c r="JV14" s="7"/>
      <c r="JW14" s="7"/>
      <c r="JX14" s="103"/>
      <c r="JY14" s="7"/>
      <c r="JZ14" s="7"/>
      <c r="KA14" s="7"/>
      <c r="KB14" s="7"/>
      <c r="KC14" s="7"/>
      <c r="KD14" s="7"/>
      <c r="KE14" s="7"/>
      <c r="KF14" s="7"/>
      <c r="KG14" s="7"/>
      <c r="KH14" s="7"/>
      <c r="KI14" s="7"/>
      <c r="KJ14" s="7"/>
      <c r="KK14" s="7"/>
      <c r="KL14" s="7"/>
      <c r="KM14" s="7"/>
      <c r="KN14" s="7"/>
      <c r="KO14" s="7"/>
      <c r="KP14" s="7"/>
      <c r="KQ14" s="7"/>
      <c r="KR14" s="7"/>
      <c r="KS14" s="7"/>
      <c r="KT14" s="7"/>
      <c r="KU14" s="103"/>
      <c r="KV14" s="7"/>
      <c r="KW14" s="7"/>
      <c r="KX14" s="7"/>
      <c r="KY14" s="7"/>
      <c r="KZ14" s="7"/>
      <c r="LA14" s="7"/>
      <c r="LB14" s="7"/>
      <c r="LC14" s="7"/>
      <c r="LD14" s="7"/>
      <c r="LE14" s="7"/>
      <c r="LF14" s="7"/>
      <c r="LG14" s="7"/>
      <c r="LH14" s="7"/>
      <c r="LI14" s="7"/>
      <c r="LJ14" s="102"/>
      <c r="LK14" s="102"/>
      <c r="LL14" s="102"/>
      <c r="LM14" s="102"/>
      <c r="LN14" s="102"/>
      <c r="LO14" s="102"/>
      <c r="LP14" s="102"/>
      <c r="LQ14" s="102"/>
      <c r="LR14" s="102"/>
    </row>
    <row r="15" spans="1:330" hidden="1" x14ac:dyDescent="0.25">
      <c r="A15" s="5">
        <v>10</v>
      </c>
      <c r="B15" s="66" t="str">
        <f>IFERROR(VLOOKUP(Tabla4[[#This Row],[Prioridad]],Tabla3[#All],2,0),"")</f>
        <v>JuanC</v>
      </c>
      <c r="C15" s="86" t="str">
        <f>IFERROR(VLOOKUP(Tabla4[[#This Row],[Prioridad]],Tabla3[#All],17,0),"")</f>
        <v>Sprint 1</v>
      </c>
      <c r="D15" s="86" t="str">
        <f>IFERROR(VLOOKUP(Tabla4[[#This Row],[Prioridad]],Tabla3[#All],6,0),"")</f>
        <v>T-010</v>
      </c>
      <c r="E15" s="86" t="str">
        <f>+IFERROR(VLOOKUP(Tabla4[[#This Row],[Tarea]],Tabla3[[Num_Ticket]:[Descripción]],2,0),"")</f>
        <v>Documentar Requerimientos No Funcionales</v>
      </c>
      <c r="F15" s="47">
        <f>IFERROR(VLOOKUP(Tabla4[[#This Row],[Prioridad]],Tabla3[#All],14,0),"")</f>
        <v>0</v>
      </c>
      <c r="G15" s="47">
        <f>IF(Tabla4[[#This Row],[Prioridad]]&lt;&gt;"",SUM(W15:KT15),"")</f>
        <v>1</v>
      </c>
      <c r="H15" s="47">
        <f>IF(Tabla4[[#This Row],[Prioridad]]&lt;&gt;"",Tabla4[[#This Row],[Horas Estimadas]]-Tabla4[[#This Row],[Ejecutadas]],"")</f>
        <v>-1</v>
      </c>
      <c r="I15" s="66" t="str">
        <f>IFERROR(VLOOKUP(Tabla4[[#This Row],[Prioridad]],Tabla3[#All],18,0),"")</f>
        <v>DESARROLLO APLICACIÓN</v>
      </c>
      <c r="J15" s="32">
        <f>IFERROR(VLOOKUP(Tabla4[[#This Row],[Prioridad]],Tabla3[#All],20,0),"")</f>
        <v>3</v>
      </c>
      <c r="K15" s="62" t="str">
        <f>IFERROR(VLOOKUP(Tabla4[[#This Row],[Prioridad]],Tabla3[#All],19,0),"")</f>
        <v>Análisis - Requerimientos Funcionales</v>
      </c>
      <c r="L15" s="60" t="str">
        <f>IFERROR(VLOOKUP(Tabla4[[#This Row],[Prioridad]],Tabla3[#All],9,0),"")</f>
        <v>Tarea</v>
      </c>
      <c r="M15" s="93">
        <f>+SUMIFS(Tabla4[Avance Hito],Tabla4[Responsable],Tabla4[[#This Row],[Responsable]],Tabla4[Sprint],Tabla4[[#This Row],[Sprint]],Tabla4[Proyecto],Tabla4[[#This Row],[Proyecto]])/COUNTIFS(Tabla4[Responsable],Tabla4[[#This Row],[Responsable]],Tabla4[Sprint],Tabla4[[#This Row],[Sprint]],Tabla4[Proyecto],Tabla4[[#This Row],[Proyecto]])</f>
        <v>1</v>
      </c>
      <c r="N15" s="35">
        <f>+SUMIFS(Tabla4[Avance relativo],Tabla4[Responsable],Tabla4[[#This Row],[Responsable]],Tabla4[Sprint],Tabla4[[#This Row],[Sprint]],Tabla4[Hito],Tabla4[[#This Row],[Hito]])</f>
        <v>1</v>
      </c>
      <c r="O15" s="185">
        <f>VLOOKUP(Tabla4[[#This Row],[Tarea]],Tabla3[[#All],[Num_Ticket]:[Hito]],5,0)</f>
        <v>44454</v>
      </c>
      <c r="P15" s="124">
        <v>44455</v>
      </c>
      <c r="Q15" s="47">
        <f>IF(Tabla4[[#This Row],[Prioridad]]="","",IF(Tabla4[[#This Row],[Hito]]&lt;&gt;"",COUNTIFS(Tabla4[Responsable],Tabla4[[#This Row],[Responsable]],Tabla4[Sprint],Tabla4[[#This Row],[Sprint]],Tabla4[Epica],Tabla4[[#This Row],[Epica]])))</f>
        <v>1</v>
      </c>
      <c r="R15" s="47">
        <f>1*Tabla4[[#This Row],[% Avance]]</f>
        <v>1</v>
      </c>
      <c r="S15" s="47">
        <f>IFERROR(Tabla4[[#This Row],[Total Avance]]/Tabla4[[#This Row],[Conteo_Epica]],0)</f>
        <v>1</v>
      </c>
      <c r="T15" s="78">
        <v>1</v>
      </c>
      <c r="U15" s="79">
        <v>3</v>
      </c>
      <c r="V15" s="89" t="s">
        <v>178</v>
      </c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11"/>
      <c r="AQ15" s="10"/>
      <c r="AR15" s="7"/>
      <c r="AS15" s="7"/>
      <c r="AT15" s="7"/>
      <c r="AU15" s="11"/>
      <c r="AV15" s="10"/>
      <c r="AW15" s="7"/>
      <c r="AX15" s="7"/>
      <c r="AY15" s="7"/>
      <c r="AZ15" s="11"/>
      <c r="BA15" s="10"/>
      <c r="BB15" s="7"/>
      <c r="BC15" s="7"/>
      <c r="BD15" s="7"/>
      <c r="BE15" s="11"/>
      <c r="BF15" s="10"/>
      <c r="BG15" s="7"/>
      <c r="BH15" s="7"/>
      <c r="BI15" s="7"/>
      <c r="BJ15" s="11"/>
      <c r="BK15" s="5"/>
      <c r="BL15" s="10"/>
      <c r="BM15" s="7"/>
      <c r="BN15" s="7"/>
      <c r="BO15" s="7"/>
      <c r="BP15" s="7"/>
      <c r="BQ15" s="10"/>
      <c r="BR15" s="7"/>
      <c r="BS15" s="7"/>
      <c r="BT15" s="7"/>
      <c r="BU15" s="11"/>
      <c r="BV15" s="10"/>
      <c r="BW15" s="7"/>
      <c r="BX15" s="7"/>
      <c r="BY15" s="7"/>
      <c r="BZ15" s="11"/>
      <c r="CA15" s="7"/>
      <c r="CB15" s="7"/>
      <c r="CC15" s="7"/>
      <c r="CD15" s="11"/>
      <c r="CE15" s="10"/>
      <c r="CF15" s="7"/>
      <c r="CG15" s="11"/>
      <c r="CH15" s="28"/>
      <c r="CI15" s="10"/>
      <c r="CJ15" s="7"/>
      <c r="CK15" s="7"/>
      <c r="CL15" s="7"/>
      <c r="CM15" s="7"/>
      <c r="CN15" s="10"/>
      <c r="CO15" s="7"/>
      <c r="CP15" s="7"/>
      <c r="CQ15" s="7"/>
      <c r="CR15" s="11"/>
      <c r="CS15" s="10"/>
      <c r="CT15" s="7"/>
      <c r="CU15" s="7"/>
      <c r="CV15" s="7"/>
      <c r="CW15" s="11"/>
      <c r="CX15" s="7"/>
      <c r="CY15" s="7"/>
      <c r="CZ15" s="7"/>
      <c r="DA15" s="7"/>
      <c r="DB15" s="11"/>
      <c r="DC15" s="28"/>
      <c r="DD15" s="10"/>
      <c r="DE15" s="7"/>
      <c r="DF15" s="7"/>
      <c r="DG15" s="7"/>
      <c r="DH15" s="7"/>
      <c r="DI15" s="10"/>
      <c r="DJ15" s="7"/>
      <c r="DK15" s="7"/>
      <c r="DL15" s="7"/>
      <c r="DM15" s="11"/>
      <c r="DN15" s="10"/>
      <c r="DO15" s="7"/>
      <c r="DP15" s="7"/>
      <c r="DQ15" s="7"/>
      <c r="DR15" s="11"/>
      <c r="DS15" s="7"/>
      <c r="DT15" s="7"/>
      <c r="DU15" s="7"/>
      <c r="DV15" s="7"/>
      <c r="DW15" s="11"/>
      <c r="DX15" s="96"/>
      <c r="DY15" s="7"/>
      <c r="DZ15" s="11"/>
      <c r="EA15" s="28"/>
      <c r="EB15" s="10"/>
      <c r="EC15" s="7"/>
      <c r="ED15" s="7"/>
      <c r="EE15" s="11"/>
      <c r="EF15" s="7"/>
      <c r="EG15" s="10"/>
      <c r="EH15" s="7"/>
      <c r="EI15" s="7"/>
      <c r="EJ15" s="11"/>
      <c r="EK15" s="7"/>
      <c r="EL15" s="10"/>
      <c r="EM15" s="7"/>
      <c r="EN15" s="7"/>
      <c r="EO15" s="11"/>
      <c r="EP15" s="7"/>
      <c r="EQ15" s="10"/>
      <c r="ER15" s="7"/>
      <c r="ES15" s="7"/>
      <c r="ET15" s="7"/>
      <c r="EU15" s="11"/>
      <c r="EV15" s="96"/>
      <c r="EW15" s="10"/>
      <c r="EX15" s="7"/>
      <c r="EY15" s="7"/>
      <c r="EZ15" s="7"/>
      <c r="FA15" s="103"/>
      <c r="FB15" s="107"/>
      <c r="FC15" s="10"/>
      <c r="FD15" s="7"/>
      <c r="FE15" s="7"/>
      <c r="FF15" s="7"/>
      <c r="FG15" s="96"/>
      <c r="FH15" s="10"/>
      <c r="FI15" s="7"/>
      <c r="FJ15" s="7"/>
      <c r="FK15" s="7"/>
      <c r="FL15" s="11"/>
      <c r="FM15" s="96"/>
      <c r="FN15" s="10"/>
      <c r="FO15" s="7"/>
      <c r="FP15" s="7"/>
      <c r="FQ15" s="7"/>
      <c r="FR15" s="96"/>
      <c r="FS15" s="10"/>
      <c r="FT15" s="7"/>
      <c r="FU15" s="7"/>
      <c r="FV15" s="7"/>
      <c r="FW15" s="7"/>
      <c r="FX15" s="96"/>
      <c r="FY15" s="114"/>
      <c r="FZ15" s="7"/>
      <c r="GA15" s="7"/>
      <c r="GB15" s="7"/>
      <c r="GC15" s="7"/>
      <c r="GD15" s="96"/>
      <c r="GE15" s="10"/>
      <c r="GF15" s="7"/>
      <c r="GG15" s="7"/>
      <c r="GH15" s="7"/>
      <c r="GI15" s="11"/>
      <c r="GJ15" s="10"/>
      <c r="GK15" s="10"/>
      <c r="GL15" s="7"/>
      <c r="GM15" s="7"/>
      <c r="GN15" s="11"/>
      <c r="GO15" s="96"/>
      <c r="GP15" s="10"/>
      <c r="GQ15" s="7"/>
      <c r="GR15" s="7"/>
      <c r="GS15" s="7"/>
      <c r="GT15" s="11"/>
      <c r="GU15" s="96"/>
      <c r="GV15" s="114"/>
      <c r="GW15" s="7"/>
      <c r="GX15" s="7"/>
      <c r="GY15" s="7"/>
      <c r="GZ15" s="7"/>
      <c r="HA15" s="10"/>
      <c r="HB15" s="10"/>
      <c r="HC15" s="7"/>
      <c r="HD15" s="7"/>
      <c r="HE15" s="7"/>
      <c r="HF15" s="7"/>
      <c r="HG15" s="7"/>
      <c r="HH15" s="96"/>
      <c r="HI15" s="10"/>
      <c r="HJ15" s="7"/>
      <c r="HK15" s="7"/>
      <c r="HL15" s="7">
        <v>1</v>
      </c>
      <c r="HM15" s="7"/>
      <c r="HN15" s="7"/>
      <c r="HO15" s="10"/>
      <c r="HP15" s="10"/>
      <c r="HQ15" s="7"/>
      <c r="HR15" s="7"/>
      <c r="HS15" s="7"/>
      <c r="HT15" s="7"/>
      <c r="HU15" s="11"/>
      <c r="HV15" s="7"/>
      <c r="HW15" s="10"/>
      <c r="HX15" s="7"/>
      <c r="HY15" s="103"/>
      <c r="HZ15" s="7"/>
      <c r="IA15" s="7"/>
      <c r="IB15" s="11"/>
      <c r="IC15" s="11"/>
      <c r="ID15" s="7"/>
      <c r="IE15" s="7"/>
      <c r="IF15" s="7"/>
      <c r="IG15" s="7"/>
      <c r="IH15" s="7"/>
      <c r="II15" s="7"/>
      <c r="IJ15" s="96"/>
      <c r="IK15" s="10"/>
      <c r="IL15" s="7"/>
      <c r="IM15" s="7"/>
      <c r="IN15" s="7"/>
      <c r="IO15" s="7"/>
      <c r="IP15" s="11"/>
      <c r="IQ15" s="96"/>
      <c r="IR15" s="7"/>
      <c r="IS15" s="7"/>
      <c r="IT15" s="7"/>
      <c r="IU15" s="7"/>
      <c r="IV15" s="7"/>
      <c r="IW15" s="7"/>
      <c r="IX15" s="7"/>
      <c r="IY15" s="7"/>
      <c r="IZ15" s="7"/>
      <c r="JA15" s="103"/>
      <c r="JB15" s="7"/>
      <c r="JC15" s="7"/>
      <c r="JD15" s="7"/>
      <c r="JE15" s="7"/>
      <c r="JF15" s="7"/>
      <c r="JG15" s="7"/>
      <c r="JH15" s="7"/>
      <c r="JI15" s="7"/>
      <c r="JJ15" s="7"/>
      <c r="JK15" s="7"/>
      <c r="JL15" s="7"/>
      <c r="JM15" s="7"/>
      <c r="JN15" s="7"/>
      <c r="JO15" s="7"/>
      <c r="JP15" s="7"/>
      <c r="JQ15" s="7"/>
      <c r="JR15" s="7"/>
      <c r="JS15" s="7"/>
      <c r="JT15" s="7"/>
      <c r="JU15" s="7"/>
      <c r="JV15" s="7"/>
      <c r="JW15" s="7"/>
      <c r="JX15" s="103"/>
      <c r="JY15" s="7"/>
      <c r="JZ15" s="7"/>
      <c r="KA15" s="7"/>
      <c r="KB15" s="7"/>
      <c r="KC15" s="7"/>
      <c r="KD15" s="7"/>
      <c r="KE15" s="7"/>
      <c r="KF15" s="7"/>
      <c r="KG15" s="7"/>
      <c r="KH15" s="7"/>
      <c r="KI15" s="7"/>
      <c r="KJ15" s="7"/>
      <c r="KK15" s="7"/>
      <c r="KL15" s="7"/>
      <c r="KM15" s="7"/>
      <c r="KN15" s="7"/>
      <c r="KO15" s="7"/>
      <c r="KP15" s="7"/>
      <c r="KQ15" s="7"/>
      <c r="KR15" s="7"/>
      <c r="KS15" s="7"/>
      <c r="KT15" s="7"/>
      <c r="KU15" s="103"/>
      <c r="KV15" s="7"/>
      <c r="KW15" s="7"/>
      <c r="KX15" s="7"/>
      <c r="KY15" s="7"/>
      <c r="KZ15" s="7"/>
      <c r="LA15" s="7"/>
      <c r="LB15" s="7"/>
      <c r="LC15" s="7"/>
      <c r="LD15" s="7"/>
      <c r="LE15" s="7"/>
      <c r="LF15" s="7"/>
      <c r="LG15" s="7"/>
      <c r="LH15" s="7"/>
      <c r="LI15" s="7"/>
      <c r="LJ15" s="102"/>
      <c r="LK15" s="102"/>
      <c r="LL15" s="102"/>
      <c r="LM15" s="102"/>
      <c r="LN15" s="102"/>
      <c r="LO15" s="102"/>
      <c r="LP15" s="102"/>
      <c r="LQ15" s="102"/>
      <c r="LR15" s="102"/>
    </row>
    <row r="16" spans="1:330" hidden="1" x14ac:dyDescent="0.25">
      <c r="A16" s="5">
        <v>11</v>
      </c>
      <c r="B16" s="66" t="str">
        <f>IFERROR(VLOOKUP(Tabla4[[#This Row],[Prioridad]],Tabla3[#All],2,0),"")</f>
        <v>TatianaR</v>
      </c>
      <c r="C16" s="86" t="str">
        <f>IFERROR(VLOOKUP(Tabla4[[#This Row],[Prioridad]],Tabla3[#All],17,0),"")</f>
        <v>Sprint 1</v>
      </c>
      <c r="D16" s="86" t="str">
        <f>IFERROR(VLOOKUP(Tabla4[[#This Row],[Prioridad]],Tabla3[#All],6,0),"")</f>
        <v>T-011</v>
      </c>
      <c r="E16" s="86" t="str">
        <f>+IFERROR(VLOOKUP(Tabla4[[#This Row],[Tarea]],Tabla3[[Num_Ticket]:[Descripción]],2,0),"")</f>
        <v>Consolidar documento entregable</v>
      </c>
      <c r="F16" s="47">
        <f>IFERROR(VLOOKUP(Tabla4[[#This Row],[Prioridad]],Tabla3[#All],14,0),"")</f>
        <v>0</v>
      </c>
      <c r="G16" s="47">
        <f>IF(Tabla4[[#This Row],[Prioridad]]&lt;&gt;"",SUM(W16:KT16),"")</f>
        <v>1</v>
      </c>
      <c r="H16" s="47">
        <f>IF(Tabla4[[#This Row],[Prioridad]]&lt;&gt;"",Tabla4[[#This Row],[Horas Estimadas]]-Tabla4[[#This Row],[Ejecutadas]],"")</f>
        <v>-1</v>
      </c>
      <c r="I16" s="66" t="str">
        <f>IFERROR(VLOOKUP(Tabla4[[#This Row],[Prioridad]],Tabla3[#All],18,0),"")</f>
        <v>DESARROLLO APLICACIÓN</v>
      </c>
      <c r="J16" s="32">
        <f>IFERROR(VLOOKUP(Tabla4[[#This Row],[Prioridad]],Tabla3[#All],20,0),"")</f>
        <v>3</v>
      </c>
      <c r="K16" s="62" t="str">
        <f>IFERROR(VLOOKUP(Tabla4[[#This Row],[Prioridad]],Tabla3[#All],19,0),"")</f>
        <v>Análisis - Requerimientos Funcionales</v>
      </c>
      <c r="L16" s="60" t="str">
        <f>IFERROR(VLOOKUP(Tabla4[[#This Row],[Prioridad]],Tabla3[#All],9,0),"")</f>
        <v>Tarea</v>
      </c>
      <c r="M16" s="93">
        <f>+SUMIFS(Tabla4[Avance Hito],Tabla4[Responsable],Tabla4[[#This Row],[Responsable]],Tabla4[Sprint],Tabla4[[#This Row],[Sprint]],Tabla4[Proyecto],Tabla4[[#This Row],[Proyecto]])/COUNTIFS(Tabla4[Responsable],Tabla4[[#This Row],[Responsable]],Tabla4[Sprint],Tabla4[[#This Row],[Sprint]],Tabla4[Proyecto],Tabla4[[#This Row],[Proyecto]])</f>
        <v>1</v>
      </c>
      <c r="N16" s="35">
        <f>+SUMIFS(Tabla4[Avance relativo],Tabla4[Responsable],Tabla4[[#This Row],[Responsable]],Tabla4[Sprint],Tabla4[[#This Row],[Sprint]],Tabla4[Hito],Tabla4[[#This Row],[Hito]])</f>
        <v>1</v>
      </c>
      <c r="O16" s="185">
        <f>VLOOKUP(Tabla4[[#This Row],[Tarea]],Tabla3[[#All],[Num_Ticket]:[Hito]],5,0)</f>
        <v>44455</v>
      </c>
      <c r="P16" s="124">
        <v>44456</v>
      </c>
      <c r="Q16" s="47">
        <f>IF(Tabla4[[#This Row],[Prioridad]]="","",IF(Tabla4[[#This Row],[Hito]]&lt;&gt;"",COUNTIFS(Tabla4[Responsable],Tabla4[[#This Row],[Responsable]],Tabla4[Sprint],Tabla4[[#This Row],[Sprint]],Tabla4[Epica],Tabla4[[#This Row],[Epica]])))</f>
        <v>1</v>
      </c>
      <c r="R16" s="47">
        <f>1*Tabla4[[#This Row],[% Avance]]</f>
        <v>1</v>
      </c>
      <c r="S16" s="47">
        <f>IFERROR(Tabla4[[#This Row],[Total Avance]]/Tabla4[[#This Row],[Conteo_Epica]],0)</f>
        <v>1</v>
      </c>
      <c r="T16" s="78">
        <v>1</v>
      </c>
      <c r="U16" s="79">
        <v>3</v>
      </c>
      <c r="V16" s="89" t="s">
        <v>178</v>
      </c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11"/>
      <c r="AQ16" s="10"/>
      <c r="AR16" s="7"/>
      <c r="AS16" s="7"/>
      <c r="AT16" s="7"/>
      <c r="AU16" s="11"/>
      <c r="AV16" s="10"/>
      <c r="AW16" s="7"/>
      <c r="AX16" s="7"/>
      <c r="AY16" s="7"/>
      <c r="AZ16" s="11"/>
      <c r="BA16" s="10"/>
      <c r="BB16" s="7"/>
      <c r="BC16" s="7"/>
      <c r="BD16" s="7"/>
      <c r="BE16" s="11"/>
      <c r="BF16" s="10"/>
      <c r="BG16" s="7"/>
      <c r="BH16" s="7"/>
      <c r="BI16" s="7"/>
      <c r="BJ16" s="11"/>
      <c r="BK16" s="5"/>
      <c r="BL16" s="10"/>
      <c r="BM16" s="7"/>
      <c r="BN16" s="7"/>
      <c r="BO16" s="7"/>
      <c r="BP16" s="7"/>
      <c r="BQ16" s="10"/>
      <c r="BR16" s="7"/>
      <c r="BS16" s="7"/>
      <c r="BT16" s="7"/>
      <c r="BU16" s="11"/>
      <c r="BV16" s="10"/>
      <c r="BW16" s="7"/>
      <c r="BX16" s="7"/>
      <c r="BY16" s="7"/>
      <c r="BZ16" s="11"/>
      <c r="CA16" s="7"/>
      <c r="CB16" s="7"/>
      <c r="CC16" s="7"/>
      <c r="CD16" s="11"/>
      <c r="CE16" s="10"/>
      <c r="CF16" s="7"/>
      <c r="CG16" s="11"/>
      <c r="CH16" s="28"/>
      <c r="CI16" s="10"/>
      <c r="CJ16" s="7"/>
      <c r="CK16" s="7"/>
      <c r="CL16" s="7"/>
      <c r="CM16" s="7"/>
      <c r="CN16" s="10"/>
      <c r="CO16" s="7"/>
      <c r="CP16" s="7"/>
      <c r="CQ16" s="7"/>
      <c r="CR16" s="11"/>
      <c r="CS16" s="10"/>
      <c r="CT16" s="7"/>
      <c r="CU16" s="7"/>
      <c r="CV16" s="7"/>
      <c r="CW16" s="11"/>
      <c r="CX16" s="7"/>
      <c r="CY16" s="7"/>
      <c r="CZ16" s="7"/>
      <c r="DA16" s="7"/>
      <c r="DB16" s="11"/>
      <c r="DC16" s="28"/>
      <c r="DD16" s="10"/>
      <c r="DE16" s="7"/>
      <c r="DF16" s="7"/>
      <c r="DG16" s="7"/>
      <c r="DH16" s="7"/>
      <c r="DI16" s="10"/>
      <c r="DJ16" s="7"/>
      <c r="DK16" s="7"/>
      <c r="DL16" s="7"/>
      <c r="DM16" s="11"/>
      <c r="DN16" s="10"/>
      <c r="DO16" s="7"/>
      <c r="DP16" s="7"/>
      <c r="DQ16" s="7"/>
      <c r="DR16" s="11"/>
      <c r="DS16" s="7"/>
      <c r="DT16" s="7"/>
      <c r="DU16" s="7"/>
      <c r="DV16" s="7"/>
      <c r="DW16" s="11"/>
      <c r="DX16" s="96"/>
      <c r="DY16" s="7"/>
      <c r="DZ16" s="11"/>
      <c r="EA16" s="28"/>
      <c r="EB16" s="10"/>
      <c r="EC16" s="7"/>
      <c r="ED16" s="7"/>
      <c r="EE16" s="11"/>
      <c r="EF16" s="7"/>
      <c r="EG16" s="10"/>
      <c r="EH16" s="7"/>
      <c r="EI16" s="7"/>
      <c r="EJ16" s="11"/>
      <c r="EK16" s="7"/>
      <c r="EL16" s="10"/>
      <c r="EM16" s="7"/>
      <c r="EN16" s="7"/>
      <c r="EO16" s="11"/>
      <c r="EP16" s="7"/>
      <c r="EQ16" s="10"/>
      <c r="ER16" s="7"/>
      <c r="ES16" s="7"/>
      <c r="ET16" s="7"/>
      <c r="EU16" s="11"/>
      <c r="EV16" s="96"/>
      <c r="EW16" s="10"/>
      <c r="EX16" s="7"/>
      <c r="EY16" s="7"/>
      <c r="EZ16" s="7"/>
      <c r="FA16" s="103"/>
      <c r="FB16" s="107"/>
      <c r="FC16" s="10"/>
      <c r="FD16" s="7"/>
      <c r="FE16" s="7"/>
      <c r="FF16" s="7"/>
      <c r="FG16" s="96"/>
      <c r="FH16" s="10"/>
      <c r="FI16" s="7"/>
      <c r="FJ16" s="7"/>
      <c r="FK16" s="7"/>
      <c r="FL16" s="11"/>
      <c r="FM16" s="96"/>
      <c r="FN16" s="10"/>
      <c r="FO16" s="7"/>
      <c r="FP16" s="7"/>
      <c r="FQ16" s="7"/>
      <c r="FR16" s="96"/>
      <c r="FS16" s="10"/>
      <c r="FT16" s="7"/>
      <c r="FU16" s="7"/>
      <c r="FV16" s="7"/>
      <c r="FW16" s="7"/>
      <c r="FX16" s="96"/>
      <c r="FY16" s="114"/>
      <c r="FZ16" s="7"/>
      <c r="GA16" s="7"/>
      <c r="GB16" s="7"/>
      <c r="GC16" s="7"/>
      <c r="GD16" s="96"/>
      <c r="GE16" s="10"/>
      <c r="GF16" s="7"/>
      <c r="GG16" s="7"/>
      <c r="GH16" s="7"/>
      <c r="GI16" s="11"/>
      <c r="GJ16" s="10"/>
      <c r="GK16" s="10"/>
      <c r="GL16" s="7"/>
      <c r="GM16" s="7"/>
      <c r="GN16" s="11"/>
      <c r="GO16" s="96"/>
      <c r="GP16" s="10"/>
      <c r="GQ16" s="7"/>
      <c r="GR16" s="7"/>
      <c r="GS16" s="7"/>
      <c r="GT16" s="11"/>
      <c r="GU16" s="96"/>
      <c r="GV16" s="114"/>
      <c r="GW16" s="7"/>
      <c r="GX16" s="7"/>
      <c r="GY16" s="7"/>
      <c r="GZ16" s="7"/>
      <c r="HA16" s="10"/>
      <c r="HB16" s="10"/>
      <c r="HC16" s="7"/>
      <c r="HD16" s="7"/>
      <c r="HE16" s="7"/>
      <c r="HF16" s="7"/>
      <c r="HG16" s="7"/>
      <c r="HH16" s="96"/>
      <c r="HI16" s="10"/>
      <c r="HJ16" s="7"/>
      <c r="HK16" s="7"/>
      <c r="HL16" s="7">
        <v>1</v>
      </c>
      <c r="HM16" s="7"/>
      <c r="HN16" s="7"/>
      <c r="HO16" s="10"/>
      <c r="HP16" s="10"/>
      <c r="HQ16" s="7"/>
      <c r="HR16" s="7"/>
      <c r="HS16" s="7"/>
      <c r="HT16" s="7"/>
      <c r="HU16" s="11"/>
      <c r="HV16" s="7"/>
      <c r="HW16" s="10"/>
      <c r="HX16" s="7"/>
      <c r="HY16" s="103"/>
      <c r="HZ16" s="7"/>
      <c r="IA16" s="7"/>
      <c r="IB16" s="11"/>
      <c r="IC16" s="11"/>
      <c r="ID16" s="7"/>
      <c r="IE16" s="7"/>
      <c r="IF16" s="7"/>
      <c r="IG16" s="7"/>
      <c r="IH16" s="7"/>
      <c r="II16" s="7"/>
      <c r="IJ16" s="96"/>
      <c r="IK16" s="10"/>
      <c r="IL16" s="7"/>
      <c r="IM16" s="7"/>
      <c r="IN16" s="7"/>
      <c r="IO16" s="7"/>
      <c r="IP16" s="11"/>
      <c r="IQ16" s="96"/>
      <c r="IR16" s="7"/>
      <c r="IS16" s="7"/>
      <c r="IT16" s="7"/>
      <c r="IU16" s="7"/>
      <c r="IV16" s="7"/>
      <c r="IW16" s="7"/>
      <c r="IX16" s="7"/>
      <c r="IY16" s="7"/>
      <c r="IZ16" s="7"/>
      <c r="JA16" s="103"/>
      <c r="JB16" s="7"/>
      <c r="JC16" s="7"/>
      <c r="JD16" s="7"/>
      <c r="JE16" s="7"/>
      <c r="JF16" s="7"/>
      <c r="JG16" s="7"/>
      <c r="JH16" s="7"/>
      <c r="JI16" s="7"/>
      <c r="JJ16" s="7"/>
      <c r="JK16" s="7"/>
      <c r="JL16" s="7"/>
      <c r="JM16" s="7"/>
      <c r="JN16" s="7"/>
      <c r="JO16" s="7"/>
      <c r="JP16" s="7"/>
      <c r="JQ16" s="7"/>
      <c r="JR16" s="7"/>
      <c r="JS16" s="7"/>
      <c r="JT16" s="7"/>
      <c r="JU16" s="7"/>
      <c r="JV16" s="7"/>
      <c r="JW16" s="7"/>
      <c r="JX16" s="103"/>
      <c r="JY16" s="7"/>
      <c r="JZ16" s="7"/>
      <c r="KA16" s="7"/>
      <c r="KB16" s="7"/>
      <c r="KC16" s="7"/>
      <c r="KD16" s="7"/>
      <c r="KE16" s="7"/>
      <c r="KF16" s="7"/>
      <c r="KG16" s="7"/>
      <c r="KH16" s="7"/>
      <c r="KI16" s="7"/>
      <c r="KJ16" s="7"/>
      <c r="KK16" s="7"/>
      <c r="KL16" s="7"/>
      <c r="KM16" s="7"/>
      <c r="KN16" s="7"/>
      <c r="KO16" s="7"/>
      <c r="KP16" s="7"/>
      <c r="KQ16" s="7"/>
      <c r="KR16" s="7"/>
      <c r="KS16" s="7"/>
      <c r="KT16" s="7"/>
      <c r="KU16" s="103"/>
      <c r="KV16" s="7"/>
      <c r="KW16" s="7"/>
      <c r="KX16" s="7"/>
      <c r="KY16" s="7"/>
      <c r="KZ16" s="7"/>
      <c r="LA16" s="7"/>
      <c r="LB16" s="7"/>
      <c r="LC16" s="7"/>
      <c r="LD16" s="7"/>
      <c r="LE16" s="7"/>
      <c r="LF16" s="7"/>
      <c r="LG16" s="7"/>
      <c r="LH16" s="7"/>
      <c r="LI16" s="7"/>
      <c r="LJ16" s="102"/>
      <c r="LK16" s="102"/>
      <c r="LL16" s="102"/>
      <c r="LM16" s="102"/>
      <c r="LN16" s="102"/>
      <c r="LO16" s="102"/>
      <c r="LP16" s="102"/>
      <c r="LQ16" s="102"/>
      <c r="LR16" s="102"/>
    </row>
    <row r="17" spans="1:330" hidden="1" x14ac:dyDescent="0.25">
      <c r="A17" s="5">
        <v>12</v>
      </c>
      <c r="B17" s="66" t="str">
        <f>IFERROR(VLOOKUP(Tabla4[[#This Row],[Prioridad]],Tabla3[#All],2,0),"")</f>
        <v>EdwinV</v>
      </c>
      <c r="C17" s="86" t="str">
        <f>IFERROR(VLOOKUP(Tabla4[[#This Row],[Prioridad]],Tabla3[#All],17,0),"")</f>
        <v>Sprint 1</v>
      </c>
      <c r="D17" s="86" t="str">
        <f>IFERROR(VLOOKUP(Tabla4[[#This Row],[Prioridad]],Tabla3[#All],6,0),"")</f>
        <v>T-012</v>
      </c>
      <c r="E17" s="86" t="str">
        <f>+IFERROR(VLOOKUP(Tabla4[[#This Row],[Tarea]],Tabla3[[Num_Ticket]:[Descripción]],2,0),"")</f>
        <v>Cargar documento Sprint 3 - Curso</v>
      </c>
      <c r="F17" s="47">
        <f>IFERROR(VLOOKUP(Tabla4[[#This Row],[Prioridad]],Tabla3[#All],14,0),"")</f>
        <v>0</v>
      </c>
      <c r="G17" s="47">
        <f>IF(Tabla4[[#This Row],[Prioridad]]&lt;&gt;"",SUM(W17:KT17),"")</f>
        <v>0</v>
      </c>
      <c r="H17" s="47">
        <f>IF(Tabla4[[#This Row],[Prioridad]]&lt;&gt;"",Tabla4[[#This Row],[Horas Estimadas]]-Tabla4[[#This Row],[Ejecutadas]],"")</f>
        <v>0</v>
      </c>
      <c r="I17" s="66" t="str">
        <f>IFERROR(VLOOKUP(Tabla4[[#This Row],[Prioridad]],Tabla3[#All],18,0),"")</f>
        <v>CURSO</v>
      </c>
      <c r="J17" s="32">
        <f>IFERROR(VLOOKUP(Tabla4[[#This Row],[Prioridad]],Tabla3[#All],20,0),"")</f>
        <v>14</v>
      </c>
      <c r="K17" s="62" t="str">
        <f>IFERROR(VLOOKUP(Tabla4[[#This Row],[Prioridad]],Tabla3[#All],19,0),"")</f>
        <v>Entregas</v>
      </c>
      <c r="L17" s="60" t="str">
        <f>IFERROR(VLOOKUP(Tabla4[[#This Row],[Prioridad]],Tabla3[#All],9,0),"")</f>
        <v>Tarea</v>
      </c>
      <c r="M17" s="93">
        <f>+SUMIFS(Tabla4[Avance Hito],Tabla4[Responsable],Tabla4[[#This Row],[Responsable]],Tabla4[Sprint],Tabla4[[#This Row],[Sprint]],Tabla4[Proyecto],Tabla4[[#This Row],[Proyecto]])/COUNTIFS(Tabla4[Responsable],Tabla4[[#This Row],[Responsable]],Tabla4[Sprint],Tabla4[[#This Row],[Sprint]],Tabla4[Proyecto],Tabla4[[#This Row],[Proyecto]])</f>
        <v>0.66666666666666663</v>
      </c>
      <c r="N17" s="35">
        <f>+SUMIFS(Tabla4[Avance relativo],Tabla4[Responsable],Tabla4[[#This Row],[Responsable]],Tabla4[Sprint],Tabla4[[#This Row],[Sprint]],Tabla4[Hito],Tabla4[[#This Row],[Hito]])</f>
        <v>0.66666666666666663</v>
      </c>
      <c r="O17" s="185">
        <f>VLOOKUP(Tabla4[[#This Row],[Tarea]],Tabla3[[#All],[Num_Ticket]:[Hito]],5,0)</f>
        <v>44455</v>
      </c>
      <c r="P17" s="124"/>
      <c r="Q17" s="47">
        <f>IF(Tabla4[[#This Row],[Prioridad]]="","",IF(Tabla4[[#This Row],[Hito]]&lt;&gt;"",COUNTIFS(Tabla4[Responsable],Tabla4[[#This Row],[Responsable]],Tabla4[Sprint],Tabla4[[#This Row],[Sprint]],Tabla4[Epica],Tabla4[[#This Row],[Epica]])))</f>
        <v>3</v>
      </c>
      <c r="R17" s="47">
        <f>1*Tabla4[[#This Row],[% Avance]]</f>
        <v>1</v>
      </c>
      <c r="S17" s="47">
        <f>IFERROR(Tabla4[[#This Row],[Total Avance]]/Tabla4[[#This Row],[Conteo_Epica]],0)</f>
        <v>0.33333333333333331</v>
      </c>
      <c r="T17" s="78">
        <v>1</v>
      </c>
      <c r="U17" s="79">
        <v>3</v>
      </c>
      <c r="V17" s="192" t="s">
        <v>224</v>
      </c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11"/>
      <c r="AQ17" s="10"/>
      <c r="AR17" s="7"/>
      <c r="AS17" s="7"/>
      <c r="AT17" s="7"/>
      <c r="AU17" s="11"/>
      <c r="AV17" s="10"/>
      <c r="AW17" s="7"/>
      <c r="AX17" s="7"/>
      <c r="AY17" s="7"/>
      <c r="AZ17" s="11"/>
      <c r="BA17" s="10"/>
      <c r="BB17" s="7"/>
      <c r="BC17" s="7"/>
      <c r="BD17" s="7"/>
      <c r="BE17" s="11"/>
      <c r="BF17" s="10"/>
      <c r="BG17" s="7"/>
      <c r="BH17" s="7"/>
      <c r="BI17" s="7"/>
      <c r="BJ17" s="11"/>
      <c r="BK17" s="5"/>
      <c r="BL17" s="10"/>
      <c r="BM17" s="7"/>
      <c r="BN17" s="7"/>
      <c r="BO17" s="7"/>
      <c r="BP17" s="7"/>
      <c r="BQ17" s="10"/>
      <c r="BR17" s="7"/>
      <c r="BS17" s="7"/>
      <c r="BT17" s="7"/>
      <c r="BU17" s="11"/>
      <c r="BV17" s="10"/>
      <c r="BW17" s="7"/>
      <c r="BX17" s="7"/>
      <c r="BY17" s="7"/>
      <c r="BZ17" s="11"/>
      <c r="CA17" s="7"/>
      <c r="CB17" s="7"/>
      <c r="CC17" s="7"/>
      <c r="CD17" s="11"/>
      <c r="CE17" s="10"/>
      <c r="CF17" s="7"/>
      <c r="CG17" s="11"/>
      <c r="CH17" s="28"/>
      <c r="CI17" s="10"/>
      <c r="CJ17" s="7"/>
      <c r="CK17" s="7"/>
      <c r="CL17" s="7"/>
      <c r="CM17" s="7"/>
      <c r="CN17" s="10"/>
      <c r="CO17" s="7"/>
      <c r="CP17" s="7"/>
      <c r="CQ17" s="7"/>
      <c r="CR17" s="11"/>
      <c r="CS17" s="10"/>
      <c r="CT17" s="7"/>
      <c r="CU17" s="7"/>
      <c r="CV17" s="7"/>
      <c r="CW17" s="11"/>
      <c r="CX17" s="7"/>
      <c r="CY17" s="7"/>
      <c r="CZ17" s="7"/>
      <c r="DA17" s="7"/>
      <c r="DB17" s="11"/>
      <c r="DC17" s="28"/>
      <c r="DD17" s="10"/>
      <c r="DE17" s="7"/>
      <c r="DF17" s="7"/>
      <c r="DG17" s="7"/>
      <c r="DH17" s="7"/>
      <c r="DI17" s="10"/>
      <c r="DJ17" s="7"/>
      <c r="DK17" s="7"/>
      <c r="DL17" s="7"/>
      <c r="DM17" s="11"/>
      <c r="DN17" s="10"/>
      <c r="DO17" s="7"/>
      <c r="DP17" s="7"/>
      <c r="DQ17" s="7"/>
      <c r="DR17" s="11"/>
      <c r="DS17" s="7"/>
      <c r="DT17" s="7"/>
      <c r="DU17" s="7"/>
      <c r="DV17" s="7"/>
      <c r="DW17" s="11"/>
      <c r="DX17" s="96"/>
      <c r="DY17" s="7"/>
      <c r="DZ17" s="11"/>
      <c r="EA17" s="28"/>
      <c r="EB17" s="10"/>
      <c r="EC17" s="7"/>
      <c r="ED17" s="7"/>
      <c r="EE17" s="11"/>
      <c r="EF17" s="7"/>
      <c r="EG17" s="10"/>
      <c r="EH17" s="7"/>
      <c r="EI17" s="7"/>
      <c r="EJ17" s="11"/>
      <c r="EK17" s="7"/>
      <c r="EL17" s="10"/>
      <c r="EM17" s="7"/>
      <c r="EN17" s="7"/>
      <c r="EO17" s="11"/>
      <c r="EP17" s="7"/>
      <c r="EQ17" s="10"/>
      <c r="ER17" s="7"/>
      <c r="ES17" s="7"/>
      <c r="ET17" s="7"/>
      <c r="EU17" s="11"/>
      <c r="EV17" s="96"/>
      <c r="EW17" s="10"/>
      <c r="EX17" s="7"/>
      <c r="EY17" s="7"/>
      <c r="EZ17" s="7"/>
      <c r="FA17" s="103"/>
      <c r="FB17" s="107"/>
      <c r="FC17" s="10"/>
      <c r="FD17" s="7"/>
      <c r="FE17" s="7"/>
      <c r="FF17" s="7"/>
      <c r="FG17" s="96"/>
      <c r="FH17" s="10"/>
      <c r="FI17" s="7"/>
      <c r="FJ17" s="7"/>
      <c r="FK17" s="7"/>
      <c r="FL17" s="11"/>
      <c r="FM17" s="96"/>
      <c r="FN17" s="10"/>
      <c r="FO17" s="7"/>
      <c r="FP17" s="7"/>
      <c r="FQ17" s="7"/>
      <c r="FR17" s="96"/>
      <c r="FS17" s="10"/>
      <c r="FT17" s="7"/>
      <c r="FU17" s="7"/>
      <c r="FV17" s="7"/>
      <c r="FW17" s="7"/>
      <c r="FX17" s="96"/>
      <c r="FY17" s="114"/>
      <c r="FZ17" s="7"/>
      <c r="GA17" s="7"/>
      <c r="GB17" s="7"/>
      <c r="GC17" s="7"/>
      <c r="GD17" s="96"/>
      <c r="GE17" s="10"/>
      <c r="GF17" s="7"/>
      <c r="GG17" s="7"/>
      <c r="GH17" s="7"/>
      <c r="GI17" s="11"/>
      <c r="GJ17" s="10"/>
      <c r="GK17" s="10"/>
      <c r="GL17" s="7"/>
      <c r="GM17" s="7"/>
      <c r="GN17" s="11"/>
      <c r="GO17" s="96"/>
      <c r="GP17" s="10"/>
      <c r="GQ17" s="7"/>
      <c r="GR17" s="7"/>
      <c r="GS17" s="7"/>
      <c r="GT17" s="11"/>
      <c r="GU17" s="96"/>
      <c r="GV17" s="114"/>
      <c r="GW17" s="7"/>
      <c r="GX17" s="7"/>
      <c r="GY17" s="7"/>
      <c r="GZ17" s="7"/>
      <c r="HA17" s="10"/>
      <c r="HB17" s="10"/>
      <c r="HC17" s="7"/>
      <c r="HD17" s="7"/>
      <c r="HE17" s="7"/>
      <c r="HF17" s="7"/>
      <c r="HG17" s="7"/>
      <c r="HH17" s="96"/>
      <c r="HI17" s="10"/>
      <c r="HJ17" s="7"/>
      <c r="HK17" s="7"/>
      <c r="HL17" s="7"/>
      <c r="HM17" s="7"/>
      <c r="HN17" s="7"/>
      <c r="HO17" s="10"/>
      <c r="HP17" s="10"/>
      <c r="HQ17" s="7"/>
      <c r="HR17" s="7"/>
      <c r="HS17" s="7"/>
      <c r="HT17" s="7"/>
      <c r="HU17" s="11"/>
      <c r="HV17" s="7"/>
      <c r="HW17" s="10"/>
      <c r="HX17" s="7"/>
      <c r="HY17" s="103"/>
      <c r="HZ17" s="7"/>
      <c r="IA17" s="7"/>
      <c r="IB17" s="11"/>
      <c r="IC17" s="11"/>
      <c r="ID17" s="7"/>
      <c r="IE17" s="7"/>
      <c r="IF17" s="7"/>
      <c r="IG17" s="7"/>
      <c r="IH17" s="7"/>
      <c r="II17" s="7"/>
      <c r="IJ17" s="96"/>
      <c r="IK17" s="10"/>
      <c r="IL17" s="7"/>
      <c r="IM17" s="7"/>
      <c r="IN17" s="7"/>
      <c r="IO17" s="7"/>
      <c r="IP17" s="11"/>
      <c r="IQ17" s="96"/>
      <c r="IR17" s="7"/>
      <c r="IS17" s="7"/>
      <c r="IT17" s="7"/>
      <c r="IU17" s="7"/>
      <c r="IV17" s="7"/>
      <c r="IW17" s="7"/>
      <c r="IX17" s="7"/>
      <c r="IY17" s="7"/>
      <c r="IZ17" s="7"/>
      <c r="JA17" s="103"/>
      <c r="JB17" s="7"/>
      <c r="JC17" s="7"/>
      <c r="JD17" s="7"/>
      <c r="JE17" s="7"/>
      <c r="JF17" s="7"/>
      <c r="JG17" s="7"/>
      <c r="JH17" s="7"/>
      <c r="JI17" s="7"/>
      <c r="JJ17" s="7"/>
      <c r="JK17" s="7"/>
      <c r="JL17" s="7"/>
      <c r="JM17" s="7"/>
      <c r="JN17" s="7"/>
      <c r="JO17" s="7"/>
      <c r="JP17" s="7"/>
      <c r="JQ17" s="7"/>
      <c r="JR17" s="7"/>
      <c r="JS17" s="7"/>
      <c r="JT17" s="7"/>
      <c r="JU17" s="7"/>
      <c r="JV17" s="7"/>
      <c r="JW17" s="7"/>
      <c r="JX17" s="103"/>
      <c r="JY17" s="7"/>
      <c r="JZ17" s="7"/>
      <c r="KA17" s="7"/>
      <c r="KB17" s="7"/>
      <c r="KC17" s="7"/>
      <c r="KD17" s="7"/>
      <c r="KE17" s="7"/>
      <c r="KF17" s="7"/>
      <c r="KG17" s="7"/>
      <c r="KH17" s="7"/>
      <c r="KI17" s="7"/>
      <c r="KJ17" s="7"/>
      <c r="KK17" s="7"/>
      <c r="KL17" s="7"/>
      <c r="KM17" s="7"/>
      <c r="KN17" s="7"/>
      <c r="KO17" s="7"/>
      <c r="KP17" s="7"/>
      <c r="KQ17" s="7"/>
      <c r="KR17" s="7"/>
      <c r="KS17" s="7"/>
      <c r="KT17" s="7"/>
      <c r="KU17" s="103"/>
      <c r="KV17" s="7"/>
      <c r="KW17" s="7"/>
      <c r="KX17" s="7"/>
      <c r="KY17" s="7"/>
      <c r="KZ17" s="7"/>
      <c r="LA17" s="7"/>
      <c r="LB17" s="7"/>
      <c r="LC17" s="7"/>
      <c r="LD17" s="7"/>
      <c r="LE17" s="7"/>
      <c r="LF17" s="7"/>
      <c r="LG17" s="7"/>
      <c r="LH17" s="7"/>
      <c r="LI17" s="7"/>
      <c r="LJ17" s="102"/>
      <c r="LK17" s="102"/>
      <c r="LL17" s="102"/>
      <c r="LM17" s="102"/>
      <c r="LN17" s="102"/>
      <c r="LO17" s="102"/>
      <c r="LP17" s="102"/>
      <c r="LQ17" s="102"/>
      <c r="LR17" s="102"/>
    </row>
    <row r="18" spans="1:330" hidden="1" x14ac:dyDescent="0.25">
      <c r="A18" s="5">
        <v>13</v>
      </c>
      <c r="B18" s="66" t="str">
        <f>IFERROR(VLOOKUP(Tabla4[[#This Row],[Prioridad]],Tabla3[#All],2,0),"")</f>
        <v>EdwinV</v>
      </c>
      <c r="C18" s="86" t="str">
        <f>IFERROR(VLOOKUP(Tabla4[[#This Row],[Prioridad]],Tabla3[#All],17,0),"")</f>
        <v>Sprint 1</v>
      </c>
      <c r="D18" s="86" t="str">
        <f>IFERROR(VLOOKUP(Tabla4[[#This Row],[Prioridad]],Tabla3[#All],6,0),"")</f>
        <v>T-013</v>
      </c>
      <c r="E18" s="86" t="str">
        <f>+IFERROR(VLOOKUP(Tabla4[[#This Row],[Tarea]],Tabla3[[Num_Ticket]:[Descripción]],2,0),"")</f>
        <v>Consolidar documento seguimiento Sprint 3</v>
      </c>
      <c r="F18" s="47">
        <f>IFERROR(VLOOKUP(Tabla4[[#This Row],[Prioridad]],Tabla3[#All],14,0),"")</f>
        <v>0</v>
      </c>
      <c r="G18" s="47">
        <f>IF(Tabla4[[#This Row],[Prioridad]]&lt;&gt;"",SUM(W18:KT18),"")</f>
        <v>1</v>
      </c>
      <c r="H18" s="47">
        <f>IF(Tabla4[[#This Row],[Prioridad]]&lt;&gt;"",Tabla4[[#This Row],[Horas Estimadas]]-Tabla4[[#This Row],[Ejecutadas]],"")</f>
        <v>-1</v>
      </c>
      <c r="I18" s="66" t="str">
        <f>IFERROR(VLOOKUP(Tabla4[[#This Row],[Prioridad]],Tabla3[#All],18,0),"")</f>
        <v>TUTORIA</v>
      </c>
      <c r="J18" s="32">
        <f>IFERROR(VLOOKUP(Tabla4[[#This Row],[Prioridad]],Tabla3[#All],20,0),"")</f>
        <v>14</v>
      </c>
      <c r="K18" s="62" t="str">
        <f>IFERROR(VLOOKUP(Tabla4[[#This Row],[Prioridad]],Tabla3[#All],19,0),"")</f>
        <v>Entregas</v>
      </c>
      <c r="L18" s="60" t="str">
        <f>IFERROR(VLOOKUP(Tabla4[[#This Row],[Prioridad]],Tabla3[#All],9,0),"")</f>
        <v>Tarea</v>
      </c>
      <c r="M18" s="93">
        <f>+SUMIFS(Tabla4[Avance Hito],Tabla4[Responsable],Tabla4[[#This Row],[Responsable]],Tabla4[Sprint],Tabla4[[#This Row],[Sprint]],Tabla4[Proyecto],Tabla4[[#This Row],[Proyecto]])/COUNTIFS(Tabla4[Responsable],Tabla4[[#This Row],[Responsable]],Tabla4[Sprint],Tabla4[[#This Row],[Sprint]],Tabla4[Proyecto],Tabla4[[#This Row],[Proyecto]])</f>
        <v>0.66666666666666663</v>
      </c>
      <c r="N18" s="35">
        <f>+SUMIFS(Tabla4[Avance relativo],Tabla4[Responsable],Tabla4[[#This Row],[Responsable]],Tabla4[Sprint],Tabla4[[#This Row],[Sprint]],Tabla4[Hito],Tabla4[[#This Row],[Hito]])</f>
        <v>0.66666666666666663</v>
      </c>
      <c r="O18" s="185">
        <f>VLOOKUP(Tabla4[[#This Row],[Tarea]],Tabla3[[#All],[Num_Ticket]:[Hito]],5,0)</f>
        <v>44456</v>
      </c>
      <c r="P18" s="124">
        <v>44456</v>
      </c>
      <c r="Q18" s="47">
        <f>IF(Tabla4[[#This Row],[Prioridad]]="","",IF(Tabla4[[#This Row],[Hito]]&lt;&gt;"",COUNTIFS(Tabla4[Responsable],Tabla4[[#This Row],[Responsable]],Tabla4[Sprint],Tabla4[[#This Row],[Sprint]],Tabla4[Epica],Tabla4[[#This Row],[Epica]])))</f>
        <v>3</v>
      </c>
      <c r="R18" s="47">
        <f>1*Tabla4[[#This Row],[% Avance]]</f>
        <v>1</v>
      </c>
      <c r="S18" s="47">
        <f>IFERROR(Tabla4[[#This Row],[Total Avance]]/Tabla4[[#This Row],[Conteo_Epica]],0)</f>
        <v>0.33333333333333331</v>
      </c>
      <c r="T18" s="78">
        <v>1</v>
      </c>
      <c r="U18" s="79">
        <v>3</v>
      </c>
      <c r="V18" s="89" t="s">
        <v>178</v>
      </c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11"/>
      <c r="AQ18" s="10"/>
      <c r="AR18" s="7"/>
      <c r="AS18" s="7"/>
      <c r="AT18" s="7"/>
      <c r="AU18" s="11"/>
      <c r="AV18" s="10"/>
      <c r="AW18" s="7"/>
      <c r="AX18" s="7"/>
      <c r="AY18" s="7"/>
      <c r="AZ18" s="11"/>
      <c r="BA18" s="10"/>
      <c r="BB18" s="7"/>
      <c r="BC18" s="7"/>
      <c r="BD18" s="7"/>
      <c r="BE18" s="11"/>
      <c r="BF18" s="10"/>
      <c r="BG18" s="7"/>
      <c r="BH18" s="7"/>
      <c r="BI18" s="7"/>
      <c r="BJ18" s="11"/>
      <c r="BK18" s="5"/>
      <c r="BL18" s="10"/>
      <c r="BM18" s="7"/>
      <c r="BN18" s="7"/>
      <c r="BO18" s="7"/>
      <c r="BP18" s="7"/>
      <c r="BQ18" s="10"/>
      <c r="BR18" s="7"/>
      <c r="BS18" s="7"/>
      <c r="BT18" s="7"/>
      <c r="BU18" s="11"/>
      <c r="BV18" s="10"/>
      <c r="BW18" s="7"/>
      <c r="BX18" s="7"/>
      <c r="BY18" s="7"/>
      <c r="BZ18" s="11"/>
      <c r="CA18" s="7"/>
      <c r="CB18" s="7"/>
      <c r="CC18" s="7"/>
      <c r="CD18" s="11"/>
      <c r="CE18" s="10"/>
      <c r="CF18" s="7"/>
      <c r="CG18" s="11"/>
      <c r="CH18" s="28"/>
      <c r="CI18" s="10"/>
      <c r="CJ18" s="7"/>
      <c r="CK18" s="7"/>
      <c r="CL18" s="7"/>
      <c r="CM18" s="7"/>
      <c r="CN18" s="10"/>
      <c r="CO18" s="7"/>
      <c r="CP18" s="7"/>
      <c r="CQ18" s="7"/>
      <c r="CR18" s="11"/>
      <c r="CS18" s="10"/>
      <c r="CT18" s="7"/>
      <c r="CU18" s="7"/>
      <c r="CV18" s="7"/>
      <c r="CW18" s="11"/>
      <c r="CX18" s="7"/>
      <c r="CY18" s="7"/>
      <c r="CZ18" s="7"/>
      <c r="DA18" s="7"/>
      <c r="DB18" s="11"/>
      <c r="DC18" s="28"/>
      <c r="DD18" s="10"/>
      <c r="DE18" s="7"/>
      <c r="DF18" s="7"/>
      <c r="DG18" s="7"/>
      <c r="DH18" s="7"/>
      <c r="DI18" s="10"/>
      <c r="DJ18" s="7"/>
      <c r="DK18" s="7"/>
      <c r="DL18" s="7"/>
      <c r="DM18" s="11"/>
      <c r="DN18" s="10"/>
      <c r="DO18" s="7"/>
      <c r="DP18" s="7"/>
      <c r="DQ18" s="7"/>
      <c r="DR18" s="11"/>
      <c r="DS18" s="7"/>
      <c r="DT18" s="7"/>
      <c r="DU18" s="7"/>
      <c r="DV18" s="7"/>
      <c r="DW18" s="11"/>
      <c r="DX18" s="96"/>
      <c r="DY18" s="7"/>
      <c r="DZ18" s="11"/>
      <c r="EA18" s="28"/>
      <c r="EB18" s="10"/>
      <c r="EC18" s="7"/>
      <c r="ED18" s="7"/>
      <c r="EE18" s="11"/>
      <c r="EF18" s="7"/>
      <c r="EG18" s="10"/>
      <c r="EH18" s="7"/>
      <c r="EI18" s="7"/>
      <c r="EJ18" s="11"/>
      <c r="EK18" s="7"/>
      <c r="EL18" s="10"/>
      <c r="EM18" s="7"/>
      <c r="EN18" s="7"/>
      <c r="EO18" s="11"/>
      <c r="EP18" s="7"/>
      <c r="EQ18" s="10"/>
      <c r="ER18" s="7"/>
      <c r="ES18" s="7"/>
      <c r="ET18" s="7"/>
      <c r="EU18" s="11"/>
      <c r="EV18" s="96"/>
      <c r="EW18" s="10"/>
      <c r="EX18" s="7"/>
      <c r="EY18" s="7"/>
      <c r="EZ18" s="7"/>
      <c r="FA18" s="103"/>
      <c r="FB18" s="107"/>
      <c r="FC18" s="10"/>
      <c r="FD18" s="7"/>
      <c r="FE18" s="7"/>
      <c r="FF18" s="7"/>
      <c r="FG18" s="96"/>
      <c r="FH18" s="10"/>
      <c r="FI18" s="7"/>
      <c r="FJ18" s="7"/>
      <c r="FK18" s="7"/>
      <c r="FL18" s="11"/>
      <c r="FM18" s="96"/>
      <c r="FN18" s="10"/>
      <c r="FO18" s="7"/>
      <c r="FP18" s="7"/>
      <c r="FQ18" s="7"/>
      <c r="FR18" s="96"/>
      <c r="FS18" s="10"/>
      <c r="FT18" s="7"/>
      <c r="FU18" s="7"/>
      <c r="FV18" s="7"/>
      <c r="FW18" s="7"/>
      <c r="FX18" s="96"/>
      <c r="FY18" s="114"/>
      <c r="FZ18" s="7"/>
      <c r="GA18" s="7"/>
      <c r="GB18" s="7"/>
      <c r="GC18" s="7"/>
      <c r="GD18" s="96"/>
      <c r="GE18" s="10"/>
      <c r="GF18" s="7"/>
      <c r="GG18" s="7"/>
      <c r="GH18" s="7"/>
      <c r="GI18" s="11"/>
      <c r="GJ18" s="10"/>
      <c r="GK18" s="10"/>
      <c r="GL18" s="7"/>
      <c r="GM18" s="7"/>
      <c r="GN18" s="11"/>
      <c r="GO18" s="96"/>
      <c r="GP18" s="10"/>
      <c r="GQ18" s="7"/>
      <c r="GR18" s="7"/>
      <c r="GS18" s="7"/>
      <c r="GT18" s="11"/>
      <c r="GU18" s="96"/>
      <c r="GV18" s="114"/>
      <c r="GW18" s="7"/>
      <c r="GX18" s="7"/>
      <c r="GY18" s="7"/>
      <c r="GZ18" s="7"/>
      <c r="HA18" s="10"/>
      <c r="HB18" s="10"/>
      <c r="HC18" s="7"/>
      <c r="HD18" s="7"/>
      <c r="HE18" s="7"/>
      <c r="HF18" s="7"/>
      <c r="HG18" s="7"/>
      <c r="HH18" s="96"/>
      <c r="HI18" s="10"/>
      <c r="HJ18" s="7"/>
      <c r="HK18" s="7"/>
      <c r="HL18" s="7"/>
      <c r="HM18" s="7">
        <v>1</v>
      </c>
      <c r="HN18" s="7"/>
      <c r="HO18" s="10"/>
      <c r="HP18" s="10"/>
      <c r="HQ18" s="7"/>
      <c r="HR18" s="7"/>
      <c r="HS18" s="7"/>
      <c r="HT18" s="7"/>
      <c r="HU18" s="11"/>
      <c r="HV18" s="7"/>
      <c r="HW18" s="10"/>
      <c r="HX18" s="7"/>
      <c r="HY18" s="103"/>
      <c r="HZ18" s="7"/>
      <c r="IA18" s="7"/>
      <c r="IB18" s="11"/>
      <c r="IC18" s="11"/>
      <c r="ID18" s="7"/>
      <c r="IE18" s="7"/>
      <c r="IF18" s="7"/>
      <c r="IG18" s="7"/>
      <c r="IH18" s="7"/>
      <c r="II18" s="7"/>
      <c r="IJ18" s="96"/>
      <c r="IK18" s="10"/>
      <c r="IL18" s="7"/>
      <c r="IM18" s="7"/>
      <c r="IN18" s="7"/>
      <c r="IO18" s="7"/>
      <c r="IP18" s="11"/>
      <c r="IQ18" s="96"/>
      <c r="IR18" s="7"/>
      <c r="IS18" s="7"/>
      <c r="IT18" s="7"/>
      <c r="IU18" s="7"/>
      <c r="IV18" s="7"/>
      <c r="IW18" s="7"/>
      <c r="IX18" s="7"/>
      <c r="IY18" s="7"/>
      <c r="IZ18" s="7"/>
      <c r="JA18" s="103"/>
      <c r="JB18" s="7"/>
      <c r="JC18" s="7"/>
      <c r="JD18" s="7"/>
      <c r="JE18" s="7"/>
      <c r="JF18" s="7"/>
      <c r="JG18" s="7"/>
      <c r="JH18" s="7"/>
      <c r="JI18" s="7"/>
      <c r="JJ18" s="7"/>
      <c r="JK18" s="7"/>
      <c r="JL18" s="7"/>
      <c r="JM18" s="7"/>
      <c r="JN18" s="7"/>
      <c r="JO18" s="7"/>
      <c r="JP18" s="7"/>
      <c r="JQ18" s="7"/>
      <c r="JR18" s="7"/>
      <c r="JS18" s="7"/>
      <c r="JT18" s="7"/>
      <c r="JU18" s="7"/>
      <c r="JV18" s="7"/>
      <c r="JW18" s="7"/>
      <c r="JX18" s="103"/>
      <c r="JY18" s="7"/>
      <c r="JZ18" s="7"/>
      <c r="KA18" s="7"/>
      <c r="KB18" s="7"/>
      <c r="KC18" s="7"/>
      <c r="KD18" s="7"/>
      <c r="KE18" s="7"/>
      <c r="KF18" s="7"/>
      <c r="KG18" s="7"/>
      <c r="KH18" s="7"/>
      <c r="KI18" s="7"/>
      <c r="KJ18" s="7"/>
      <c r="KK18" s="7"/>
      <c r="KL18" s="7"/>
      <c r="KM18" s="7"/>
      <c r="KN18" s="7"/>
      <c r="KO18" s="7"/>
      <c r="KP18" s="7"/>
      <c r="KQ18" s="7"/>
      <c r="KR18" s="7"/>
      <c r="KS18" s="7"/>
      <c r="KT18" s="7"/>
      <c r="KU18" s="103"/>
      <c r="KV18" s="7"/>
      <c r="KW18" s="7"/>
      <c r="KX18" s="7"/>
      <c r="KY18" s="7"/>
      <c r="KZ18" s="7"/>
      <c r="LA18" s="7"/>
      <c r="LB18" s="7"/>
      <c r="LC18" s="7"/>
      <c r="LD18" s="7"/>
      <c r="LE18" s="7"/>
      <c r="LF18" s="7"/>
      <c r="LG18" s="7"/>
      <c r="LH18" s="7"/>
      <c r="LI18" s="7"/>
      <c r="LJ18" s="102"/>
      <c r="LK18" s="102"/>
      <c r="LL18" s="102"/>
      <c r="LM18" s="102"/>
      <c r="LN18" s="102"/>
      <c r="LO18" s="102"/>
      <c r="LP18" s="102"/>
      <c r="LQ18" s="102"/>
      <c r="LR18" s="102"/>
    </row>
    <row r="19" spans="1:330" hidden="1" x14ac:dyDescent="0.25">
      <c r="A19" s="5">
        <v>14</v>
      </c>
      <c r="B19" s="66" t="str">
        <f>IFERROR(VLOOKUP(Tabla4[[#This Row],[Prioridad]],Tabla3[#All],2,0),"")</f>
        <v>EdwinV</v>
      </c>
      <c r="C19" s="86" t="str">
        <f>IFERROR(VLOOKUP(Tabla4[[#This Row],[Prioridad]],Tabla3[#All],17,0),"")</f>
        <v>Sprint 1</v>
      </c>
      <c r="D19" s="86" t="str">
        <f>IFERROR(VLOOKUP(Tabla4[[#This Row],[Prioridad]],Tabla3[#All],6,0),"")</f>
        <v>T-014</v>
      </c>
      <c r="E19" s="86" t="str">
        <f>+IFERROR(VLOOKUP(Tabla4[[#This Row],[Tarea]],Tabla3[[Num_Ticket]:[Descripción]],2,0),"")</f>
        <v>Cargar evidencia para seguimiento</v>
      </c>
      <c r="F19" s="47">
        <f>IFERROR(VLOOKUP(Tabla4[[#This Row],[Prioridad]],Tabla3[#All],14,0),"")</f>
        <v>0</v>
      </c>
      <c r="G19" s="47">
        <f>IF(Tabla4[[#This Row],[Prioridad]]&lt;&gt;"",SUM(W19:KT19),"")</f>
        <v>1</v>
      </c>
      <c r="H19" s="47">
        <f>IF(Tabla4[[#This Row],[Prioridad]]&lt;&gt;"",Tabla4[[#This Row],[Horas Estimadas]]-Tabla4[[#This Row],[Ejecutadas]],"")</f>
        <v>-1</v>
      </c>
      <c r="I19" s="66" t="str">
        <f>IFERROR(VLOOKUP(Tabla4[[#This Row],[Prioridad]],Tabla3[#All],18,0),"")</f>
        <v>TUTORIA</v>
      </c>
      <c r="J19" s="32">
        <f>IFERROR(VLOOKUP(Tabla4[[#This Row],[Prioridad]],Tabla3[#All],20,0),"")</f>
        <v>14</v>
      </c>
      <c r="K19" s="62" t="str">
        <f>IFERROR(VLOOKUP(Tabla4[[#This Row],[Prioridad]],Tabla3[#All],19,0),"")</f>
        <v>Entregas</v>
      </c>
      <c r="L19" s="60" t="str">
        <f>IFERROR(VLOOKUP(Tabla4[[#This Row],[Prioridad]],Tabla3[#All],9,0),"")</f>
        <v>Tarea</v>
      </c>
      <c r="M19" s="93">
        <f>+SUMIFS(Tabla4[Avance Hito],Tabla4[Responsable],Tabla4[[#This Row],[Responsable]],Tabla4[Sprint],Tabla4[[#This Row],[Sprint]],Tabla4[Proyecto],Tabla4[[#This Row],[Proyecto]])/COUNTIFS(Tabla4[Responsable],Tabla4[[#This Row],[Responsable]],Tabla4[Sprint],Tabla4[[#This Row],[Sprint]],Tabla4[Proyecto],Tabla4[[#This Row],[Proyecto]])</f>
        <v>0.66666666666666663</v>
      </c>
      <c r="N19" s="35">
        <f>+SUMIFS(Tabla4[Avance relativo],Tabla4[Responsable],Tabla4[[#This Row],[Responsable]],Tabla4[Sprint],Tabla4[[#This Row],[Sprint]],Tabla4[Hito],Tabla4[[#This Row],[Hito]])</f>
        <v>0.66666666666666663</v>
      </c>
      <c r="O19" s="185">
        <f>VLOOKUP(Tabla4[[#This Row],[Tarea]],Tabla3[[#All],[Num_Ticket]:[Hito]],5,0)</f>
        <v>44456</v>
      </c>
      <c r="P19" s="124">
        <v>44456</v>
      </c>
      <c r="Q19" s="47">
        <f>IF(Tabla4[[#This Row],[Prioridad]]="","",IF(Tabla4[[#This Row],[Hito]]&lt;&gt;"",COUNTIFS(Tabla4[Responsable],Tabla4[[#This Row],[Responsable]],Tabla4[Sprint],Tabla4[[#This Row],[Sprint]],Tabla4[Epica],Tabla4[[#This Row],[Epica]])))</f>
        <v>3</v>
      </c>
      <c r="R19" s="47">
        <f>1*Tabla4[[#This Row],[% Avance]]</f>
        <v>0</v>
      </c>
      <c r="S19" s="47">
        <f>IFERROR(Tabla4[[#This Row],[Total Avance]]/Tabla4[[#This Row],[Conteo_Epica]],0)</f>
        <v>0</v>
      </c>
      <c r="T19" s="78">
        <v>0</v>
      </c>
      <c r="U19" s="79">
        <v>3</v>
      </c>
      <c r="V19" s="89" t="s">
        <v>178</v>
      </c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11"/>
      <c r="AQ19" s="10"/>
      <c r="AR19" s="7"/>
      <c r="AS19" s="7"/>
      <c r="AT19" s="7"/>
      <c r="AU19" s="11"/>
      <c r="AV19" s="10"/>
      <c r="AW19" s="7"/>
      <c r="AX19" s="7"/>
      <c r="AY19" s="7"/>
      <c r="AZ19" s="11"/>
      <c r="BA19" s="10"/>
      <c r="BB19" s="7"/>
      <c r="BC19" s="7"/>
      <c r="BD19" s="7"/>
      <c r="BE19" s="11"/>
      <c r="BF19" s="10"/>
      <c r="BG19" s="7"/>
      <c r="BH19" s="7"/>
      <c r="BI19" s="7"/>
      <c r="BJ19" s="11"/>
      <c r="BK19" s="5"/>
      <c r="BL19" s="10"/>
      <c r="BM19" s="7"/>
      <c r="BN19" s="7"/>
      <c r="BO19" s="7"/>
      <c r="BP19" s="7"/>
      <c r="BQ19" s="10"/>
      <c r="BR19" s="7"/>
      <c r="BS19" s="7"/>
      <c r="BT19" s="7"/>
      <c r="BU19" s="11"/>
      <c r="BV19" s="10"/>
      <c r="BW19" s="7"/>
      <c r="BX19" s="7"/>
      <c r="BY19" s="7"/>
      <c r="BZ19" s="11"/>
      <c r="CA19" s="7"/>
      <c r="CB19" s="7"/>
      <c r="CC19" s="7"/>
      <c r="CD19" s="11"/>
      <c r="CE19" s="10"/>
      <c r="CF19" s="7"/>
      <c r="CG19" s="11"/>
      <c r="CH19" s="28"/>
      <c r="CI19" s="10"/>
      <c r="CJ19" s="7"/>
      <c r="CK19" s="7"/>
      <c r="CL19" s="7"/>
      <c r="CM19" s="7"/>
      <c r="CN19" s="10"/>
      <c r="CO19" s="7"/>
      <c r="CP19" s="7"/>
      <c r="CQ19" s="7"/>
      <c r="CR19" s="11"/>
      <c r="CS19" s="10"/>
      <c r="CT19" s="7"/>
      <c r="CU19" s="7"/>
      <c r="CV19" s="7"/>
      <c r="CW19" s="11"/>
      <c r="CX19" s="7"/>
      <c r="CY19" s="7"/>
      <c r="CZ19" s="7"/>
      <c r="DA19" s="7"/>
      <c r="DB19" s="11"/>
      <c r="DC19" s="28"/>
      <c r="DD19" s="10"/>
      <c r="DE19" s="7"/>
      <c r="DF19" s="7"/>
      <c r="DG19" s="7"/>
      <c r="DH19" s="7"/>
      <c r="DI19" s="10"/>
      <c r="DJ19" s="7"/>
      <c r="DK19" s="7"/>
      <c r="DL19" s="7"/>
      <c r="DM19" s="11"/>
      <c r="DN19" s="10"/>
      <c r="DO19" s="7"/>
      <c r="DP19" s="7"/>
      <c r="DQ19" s="7"/>
      <c r="DR19" s="11"/>
      <c r="DS19" s="7"/>
      <c r="DT19" s="7"/>
      <c r="DU19" s="7"/>
      <c r="DV19" s="7"/>
      <c r="DW19" s="11"/>
      <c r="DX19" s="96"/>
      <c r="DY19" s="7"/>
      <c r="DZ19" s="11"/>
      <c r="EA19" s="28"/>
      <c r="EB19" s="10"/>
      <c r="EC19" s="7"/>
      <c r="ED19" s="7"/>
      <c r="EE19" s="11"/>
      <c r="EF19" s="7"/>
      <c r="EG19" s="10"/>
      <c r="EH19" s="7"/>
      <c r="EI19" s="7"/>
      <c r="EJ19" s="11"/>
      <c r="EK19" s="7"/>
      <c r="EL19" s="10"/>
      <c r="EM19" s="7"/>
      <c r="EN19" s="7"/>
      <c r="EO19" s="11"/>
      <c r="EP19" s="7"/>
      <c r="EQ19" s="10"/>
      <c r="ER19" s="7"/>
      <c r="ES19" s="7"/>
      <c r="ET19" s="7"/>
      <c r="EU19" s="11"/>
      <c r="EV19" s="96"/>
      <c r="EW19" s="10"/>
      <c r="EX19" s="7"/>
      <c r="EY19" s="7"/>
      <c r="EZ19" s="7"/>
      <c r="FA19" s="103"/>
      <c r="FB19" s="107"/>
      <c r="FC19" s="10"/>
      <c r="FD19" s="7"/>
      <c r="FE19" s="7"/>
      <c r="FF19" s="7"/>
      <c r="FG19" s="96"/>
      <c r="FH19" s="10"/>
      <c r="FI19" s="7"/>
      <c r="FJ19" s="7"/>
      <c r="FK19" s="7"/>
      <c r="FL19" s="11"/>
      <c r="FM19" s="96"/>
      <c r="FN19" s="10"/>
      <c r="FO19" s="7"/>
      <c r="FP19" s="7"/>
      <c r="FQ19" s="7"/>
      <c r="FR19" s="96"/>
      <c r="FS19" s="10"/>
      <c r="FT19" s="7"/>
      <c r="FU19" s="7"/>
      <c r="FV19" s="7"/>
      <c r="FW19" s="7"/>
      <c r="FX19" s="96"/>
      <c r="FY19" s="114"/>
      <c r="FZ19" s="7"/>
      <c r="GA19" s="7"/>
      <c r="GB19" s="7"/>
      <c r="GC19" s="7"/>
      <c r="GD19" s="96"/>
      <c r="GE19" s="10"/>
      <c r="GF19" s="7"/>
      <c r="GG19" s="7"/>
      <c r="GH19" s="7"/>
      <c r="GI19" s="11"/>
      <c r="GJ19" s="10"/>
      <c r="GK19" s="10"/>
      <c r="GL19" s="7"/>
      <c r="GM19" s="7"/>
      <c r="GN19" s="11"/>
      <c r="GO19" s="96"/>
      <c r="GP19" s="10"/>
      <c r="GQ19" s="7"/>
      <c r="GR19" s="7"/>
      <c r="GS19" s="7"/>
      <c r="GT19" s="11"/>
      <c r="GU19" s="96"/>
      <c r="GV19" s="114"/>
      <c r="GW19" s="7"/>
      <c r="GX19" s="7"/>
      <c r="GY19" s="7"/>
      <c r="GZ19" s="7"/>
      <c r="HA19" s="10"/>
      <c r="HB19" s="10"/>
      <c r="HC19" s="7"/>
      <c r="HD19" s="7"/>
      <c r="HE19" s="7"/>
      <c r="HF19" s="7"/>
      <c r="HG19" s="7"/>
      <c r="HH19" s="96"/>
      <c r="HI19" s="10"/>
      <c r="HJ19" s="7"/>
      <c r="HK19" s="7"/>
      <c r="HL19" s="7"/>
      <c r="HM19" s="7">
        <v>1</v>
      </c>
      <c r="HN19" s="7"/>
      <c r="HO19" s="10"/>
      <c r="HP19" s="10"/>
      <c r="HQ19" s="7"/>
      <c r="HR19" s="7"/>
      <c r="HS19" s="7"/>
      <c r="HT19" s="7"/>
      <c r="HU19" s="11"/>
      <c r="HV19" s="7"/>
      <c r="HW19" s="10"/>
      <c r="HX19" s="7"/>
      <c r="HY19" s="103"/>
      <c r="HZ19" s="7"/>
      <c r="IA19" s="7"/>
      <c r="IB19" s="11"/>
      <c r="IC19" s="11"/>
      <c r="ID19" s="7"/>
      <c r="IE19" s="7"/>
      <c r="IF19" s="7"/>
      <c r="IG19" s="7"/>
      <c r="IH19" s="7"/>
      <c r="II19" s="7"/>
      <c r="IJ19" s="96"/>
      <c r="IK19" s="10"/>
      <c r="IL19" s="7"/>
      <c r="IM19" s="7"/>
      <c r="IN19" s="7"/>
      <c r="IO19" s="7"/>
      <c r="IP19" s="11"/>
      <c r="IQ19" s="96"/>
      <c r="IR19" s="7"/>
      <c r="IS19" s="7"/>
      <c r="IT19" s="7"/>
      <c r="IU19" s="7"/>
      <c r="IV19" s="7"/>
      <c r="IW19" s="7"/>
      <c r="IX19" s="7"/>
      <c r="IY19" s="7"/>
      <c r="IZ19" s="7"/>
      <c r="JA19" s="103"/>
      <c r="JB19" s="7"/>
      <c r="JC19" s="7"/>
      <c r="JD19" s="7"/>
      <c r="JE19" s="7"/>
      <c r="JF19" s="7"/>
      <c r="JG19" s="7"/>
      <c r="JH19" s="7"/>
      <c r="JI19" s="7"/>
      <c r="JJ19" s="7"/>
      <c r="JK19" s="7"/>
      <c r="JL19" s="7"/>
      <c r="JM19" s="7"/>
      <c r="JN19" s="7"/>
      <c r="JO19" s="7"/>
      <c r="JP19" s="7"/>
      <c r="JQ19" s="7"/>
      <c r="JR19" s="7"/>
      <c r="JS19" s="7"/>
      <c r="JT19" s="7"/>
      <c r="JU19" s="7"/>
      <c r="JV19" s="7"/>
      <c r="JW19" s="7"/>
      <c r="JX19" s="103"/>
      <c r="JY19" s="7"/>
      <c r="JZ19" s="7"/>
      <c r="KA19" s="7"/>
      <c r="KB19" s="7"/>
      <c r="KC19" s="7"/>
      <c r="KD19" s="7"/>
      <c r="KE19" s="7"/>
      <c r="KF19" s="7"/>
      <c r="KG19" s="7"/>
      <c r="KH19" s="7"/>
      <c r="KI19" s="7"/>
      <c r="KJ19" s="7"/>
      <c r="KK19" s="7"/>
      <c r="KL19" s="7"/>
      <c r="KM19" s="7"/>
      <c r="KN19" s="7"/>
      <c r="KO19" s="7"/>
      <c r="KP19" s="7"/>
      <c r="KQ19" s="7"/>
      <c r="KR19" s="7"/>
      <c r="KS19" s="7"/>
      <c r="KT19" s="7"/>
      <c r="KU19" s="103"/>
      <c r="KV19" s="7"/>
      <c r="KW19" s="7"/>
      <c r="KX19" s="7"/>
      <c r="KY19" s="7"/>
      <c r="KZ19" s="7"/>
      <c r="LA19" s="7"/>
      <c r="LB19" s="7"/>
      <c r="LC19" s="7"/>
      <c r="LD19" s="7"/>
      <c r="LE19" s="7"/>
      <c r="LF19" s="7"/>
      <c r="LG19" s="7"/>
      <c r="LH19" s="7"/>
      <c r="LI19" s="7"/>
      <c r="LJ19" s="102"/>
      <c r="LK19" s="102"/>
      <c r="LL19" s="102"/>
      <c r="LM19" s="102"/>
      <c r="LN19" s="102"/>
      <c r="LO19" s="102"/>
      <c r="LP19" s="102"/>
      <c r="LQ19" s="102"/>
      <c r="LR19" s="102"/>
    </row>
    <row r="20" spans="1:330" hidden="1" x14ac:dyDescent="0.25">
      <c r="A20" s="5">
        <v>15</v>
      </c>
      <c r="B20" s="66" t="str">
        <f>IFERROR(VLOOKUP(Tabla4[[#This Row],[Prioridad]],Tabla3[#All],2,0),"")</f>
        <v>EQUIPO</v>
      </c>
      <c r="C20" s="86" t="str">
        <f>IFERROR(VLOOKUP(Tabla4[[#This Row],[Prioridad]],Tabla3[#All],17,0),"")</f>
        <v>Sprint 2</v>
      </c>
      <c r="D20" s="86" t="str">
        <f>IFERROR(VLOOKUP(Tabla4[[#This Row],[Prioridad]],Tabla3[#All],6,0),"")</f>
        <v>T-019</v>
      </c>
      <c r="E20" s="86" t="str">
        <f>+IFERROR(VLOOKUP(Tabla4[[#This Row],[Tarea]],Tabla3[[Num_Ticket]:[Descripción]],2,0),"")</f>
        <v>Planeación Sprint 4 -Diseños</v>
      </c>
      <c r="F20" s="47">
        <f>IFERROR(VLOOKUP(Tabla4[[#This Row],[Prioridad]],Tabla3[#All],14,0),"")</f>
        <v>0</v>
      </c>
      <c r="G20" s="47">
        <f>IF(Tabla4[[#This Row],[Prioridad]]&lt;&gt;"",SUM(W20:KT20),"")</f>
        <v>1</v>
      </c>
      <c r="H20" s="47">
        <f>IF(Tabla4[[#This Row],[Prioridad]]&lt;&gt;"",Tabla4[[#This Row],[Horas Estimadas]]-Tabla4[[#This Row],[Ejecutadas]],"")</f>
        <v>-1</v>
      </c>
      <c r="I20" s="66" t="str">
        <f>IFERROR(VLOOKUP(Tabla4[[#This Row],[Prioridad]],Tabla3[#All],18,0),"")</f>
        <v>DESARROLLO APLICACIÓN</v>
      </c>
      <c r="J20" s="32">
        <f>IFERROR(VLOOKUP(Tabla4[[#This Row],[Prioridad]],Tabla3[#All],20,0),"")</f>
        <v>1</v>
      </c>
      <c r="K20" s="62" t="str">
        <f>IFERROR(VLOOKUP(Tabla4[[#This Row],[Prioridad]],Tabla3[#All],19,0),"")</f>
        <v>Planeación</v>
      </c>
      <c r="L20" s="60" t="str">
        <f>IFERROR(VLOOKUP(Tabla4[[#This Row],[Prioridad]],Tabla3[#All],9,0),"")</f>
        <v>Reunión</v>
      </c>
      <c r="M20" s="93">
        <f>+SUMIFS(Tabla4[Avance Hito],Tabla4[Responsable],Tabla4[[#This Row],[Responsable]],Tabla4[Sprint],Tabla4[[#This Row],[Sprint]],Tabla4[Proyecto],Tabla4[[#This Row],[Proyecto]])/COUNTIFS(Tabla4[Responsable],Tabla4[[#This Row],[Responsable]],Tabla4[Sprint],Tabla4[[#This Row],[Sprint]],Tabla4[Proyecto],Tabla4[[#This Row],[Proyecto]])</f>
        <v>1</v>
      </c>
      <c r="N20" s="35">
        <f>+SUMIFS(Tabla4[Avance relativo],Tabla4[Responsable],Tabla4[[#This Row],[Responsable]],Tabla4[Sprint],Tabla4[[#This Row],[Sprint]],Tabla4[Hito],Tabla4[[#This Row],[Hito]])</f>
        <v>1</v>
      </c>
      <c r="O20" s="185">
        <f>VLOOKUP(Tabla4[[#This Row],[Tarea]],Tabla3[[#All],[Num_Ticket]:[Hito]],5,0)</f>
        <v>44459</v>
      </c>
      <c r="P20" s="124">
        <v>44459</v>
      </c>
      <c r="Q20" s="47">
        <f>IF(Tabla4[[#This Row],[Prioridad]]="","",IF(Tabla4[[#This Row],[Hito]]&lt;&gt;"",COUNTIFS(Tabla4[Responsable],Tabla4[[#This Row],[Responsable]],Tabla4[Sprint],Tabla4[[#This Row],[Sprint]],Tabla4[Epica],Tabla4[[#This Row],[Epica]])))</f>
        <v>1</v>
      </c>
      <c r="R20" s="47">
        <f>1*Tabla4[[#This Row],[% Avance]]</f>
        <v>1</v>
      </c>
      <c r="S20" s="47">
        <f>IFERROR(Tabla4[[#This Row],[Total Avance]]/Tabla4[[#This Row],[Conteo_Epica]],0)</f>
        <v>1</v>
      </c>
      <c r="T20" s="78">
        <v>1</v>
      </c>
      <c r="U20" s="79">
        <v>4</v>
      </c>
      <c r="V20" s="89" t="s">
        <v>176</v>
      </c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11"/>
      <c r="AQ20" s="10"/>
      <c r="AR20" s="7"/>
      <c r="AS20" s="7"/>
      <c r="AT20" s="7"/>
      <c r="AU20" s="11"/>
      <c r="AV20" s="10"/>
      <c r="AW20" s="7"/>
      <c r="AX20" s="7"/>
      <c r="AY20" s="7"/>
      <c r="AZ20" s="11"/>
      <c r="BA20" s="10"/>
      <c r="BB20" s="7"/>
      <c r="BC20" s="7"/>
      <c r="BD20" s="7"/>
      <c r="BE20" s="11"/>
      <c r="BF20" s="10"/>
      <c r="BG20" s="7"/>
      <c r="BH20" s="7"/>
      <c r="BI20" s="7"/>
      <c r="BJ20" s="11"/>
      <c r="BK20" s="5"/>
      <c r="BL20" s="10"/>
      <c r="BM20" s="7"/>
      <c r="BN20" s="7"/>
      <c r="BO20" s="7"/>
      <c r="BP20" s="7"/>
      <c r="BQ20" s="10"/>
      <c r="BR20" s="7"/>
      <c r="BS20" s="7"/>
      <c r="BT20" s="7"/>
      <c r="BU20" s="11"/>
      <c r="BV20" s="10"/>
      <c r="BW20" s="7"/>
      <c r="BX20" s="7"/>
      <c r="BY20" s="7"/>
      <c r="BZ20" s="11"/>
      <c r="CA20" s="7"/>
      <c r="CB20" s="7"/>
      <c r="CC20" s="7"/>
      <c r="CD20" s="11"/>
      <c r="CE20" s="10"/>
      <c r="CF20" s="7"/>
      <c r="CG20" s="11"/>
      <c r="CH20" s="28"/>
      <c r="CI20" s="10"/>
      <c r="CJ20" s="7"/>
      <c r="CK20" s="7"/>
      <c r="CL20" s="7"/>
      <c r="CM20" s="7"/>
      <c r="CN20" s="10"/>
      <c r="CO20" s="7"/>
      <c r="CP20" s="7"/>
      <c r="CQ20" s="7"/>
      <c r="CR20" s="11"/>
      <c r="CS20" s="10"/>
      <c r="CT20" s="7"/>
      <c r="CU20" s="7"/>
      <c r="CV20" s="7"/>
      <c r="CW20" s="11"/>
      <c r="CX20" s="7"/>
      <c r="CY20" s="7"/>
      <c r="CZ20" s="7"/>
      <c r="DA20" s="7"/>
      <c r="DB20" s="11"/>
      <c r="DC20" s="28"/>
      <c r="DD20" s="10"/>
      <c r="DE20" s="7"/>
      <c r="DF20" s="7"/>
      <c r="DG20" s="7"/>
      <c r="DH20" s="7"/>
      <c r="DI20" s="10"/>
      <c r="DJ20" s="7"/>
      <c r="DK20" s="7"/>
      <c r="DL20" s="7"/>
      <c r="DM20" s="11"/>
      <c r="DN20" s="10"/>
      <c r="DO20" s="7"/>
      <c r="DP20" s="7"/>
      <c r="DQ20" s="7"/>
      <c r="DR20" s="11"/>
      <c r="DS20" s="7"/>
      <c r="DT20" s="7"/>
      <c r="DU20" s="7"/>
      <c r="DV20" s="7"/>
      <c r="DW20" s="11"/>
      <c r="DX20" s="96"/>
      <c r="DY20" s="7"/>
      <c r="DZ20" s="11"/>
      <c r="EA20" s="28"/>
      <c r="EB20" s="10"/>
      <c r="EC20" s="7"/>
      <c r="ED20" s="7"/>
      <c r="EE20" s="11"/>
      <c r="EF20" s="7"/>
      <c r="EG20" s="10"/>
      <c r="EH20" s="7"/>
      <c r="EI20" s="7"/>
      <c r="EJ20" s="11"/>
      <c r="EK20" s="7"/>
      <c r="EL20" s="10"/>
      <c r="EM20" s="7"/>
      <c r="EN20" s="7"/>
      <c r="EO20" s="11"/>
      <c r="EP20" s="7"/>
      <c r="EQ20" s="10"/>
      <c r="ER20" s="7"/>
      <c r="ES20" s="7"/>
      <c r="ET20" s="7"/>
      <c r="EU20" s="11"/>
      <c r="EV20" s="96"/>
      <c r="EW20" s="10"/>
      <c r="EX20" s="7"/>
      <c r="EY20" s="7"/>
      <c r="EZ20" s="7"/>
      <c r="FA20" s="103"/>
      <c r="FB20" s="107"/>
      <c r="FC20" s="10"/>
      <c r="FD20" s="7"/>
      <c r="FE20" s="7"/>
      <c r="FF20" s="7"/>
      <c r="FG20" s="96"/>
      <c r="FH20" s="10"/>
      <c r="FI20" s="7"/>
      <c r="FJ20" s="7"/>
      <c r="FK20" s="7"/>
      <c r="FL20" s="11"/>
      <c r="FM20" s="96"/>
      <c r="FN20" s="10"/>
      <c r="FO20" s="7"/>
      <c r="FP20" s="7"/>
      <c r="FQ20" s="7"/>
      <c r="FR20" s="96"/>
      <c r="FS20" s="10"/>
      <c r="FT20" s="7"/>
      <c r="FU20" s="7"/>
      <c r="FV20" s="7"/>
      <c r="FW20" s="7"/>
      <c r="FX20" s="96"/>
      <c r="FY20" s="114"/>
      <c r="FZ20" s="7"/>
      <c r="GA20" s="7"/>
      <c r="GB20" s="7"/>
      <c r="GC20" s="7"/>
      <c r="GD20" s="96"/>
      <c r="GE20" s="10"/>
      <c r="GF20" s="7"/>
      <c r="GG20" s="7"/>
      <c r="GH20" s="7"/>
      <c r="GI20" s="11"/>
      <c r="GJ20" s="10"/>
      <c r="GK20" s="10"/>
      <c r="GL20" s="7"/>
      <c r="GM20" s="7"/>
      <c r="GN20" s="11"/>
      <c r="GO20" s="96"/>
      <c r="GP20" s="10"/>
      <c r="GQ20" s="7"/>
      <c r="GR20" s="7"/>
      <c r="GS20" s="7"/>
      <c r="GT20" s="11"/>
      <c r="GU20" s="96"/>
      <c r="GV20" s="114"/>
      <c r="GW20" s="7"/>
      <c r="GX20" s="7"/>
      <c r="GY20" s="7"/>
      <c r="GZ20" s="7"/>
      <c r="HA20" s="10"/>
      <c r="HB20" s="10"/>
      <c r="HC20" s="7"/>
      <c r="HD20" s="7"/>
      <c r="HE20" s="7"/>
      <c r="HF20" s="7"/>
      <c r="HG20" s="7"/>
      <c r="HH20" s="96"/>
      <c r="HI20" s="10"/>
      <c r="HJ20" s="7"/>
      <c r="HK20" s="7"/>
      <c r="HL20" s="7"/>
      <c r="HM20" s="7"/>
      <c r="HN20" s="7"/>
      <c r="HO20" s="10"/>
      <c r="HP20" s="10">
        <v>1</v>
      </c>
      <c r="HQ20" s="7"/>
      <c r="HR20" s="7"/>
      <c r="HS20" s="7"/>
      <c r="HT20" s="7"/>
      <c r="HU20" s="11"/>
      <c r="HV20" s="7"/>
      <c r="HW20" s="10"/>
      <c r="HX20" s="7"/>
      <c r="HY20" s="103"/>
      <c r="HZ20" s="7"/>
      <c r="IA20" s="7"/>
      <c r="IB20" s="11"/>
      <c r="IC20" s="11"/>
      <c r="ID20" s="7"/>
      <c r="IE20" s="7"/>
      <c r="IF20" s="7"/>
      <c r="IG20" s="7"/>
      <c r="IH20" s="7"/>
      <c r="II20" s="7"/>
      <c r="IJ20" s="96"/>
      <c r="IK20" s="10"/>
      <c r="IL20" s="7"/>
      <c r="IM20" s="7"/>
      <c r="IN20" s="7"/>
      <c r="IO20" s="7"/>
      <c r="IP20" s="11"/>
      <c r="IQ20" s="96"/>
      <c r="IR20" s="7"/>
      <c r="IS20" s="7"/>
      <c r="IT20" s="7"/>
      <c r="IU20" s="7"/>
      <c r="IV20" s="7"/>
      <c r="IW20" s="7"/>
      <c r="IX20" s="7"/>
      <c r="IY20" s="7"/>
      <c r="IZ20" s="7"/>
      <c r="JA20" s="103"/>
      <c r="JB20" s="7"/>
      <c r="JC20" s="7"/>
      <c r="JD20" s="7"/>
      <c r="JE20" s="7"/>
      <c r="JF20" s="7"/>
      <c r="JG20" s="7"/>
      <c r="JH20" s="7"/>
      <c r="JI20" s="7"/>
      <c r="JJ20" s="7"/>
      <c r="JK20" s="7"/>
      <c r="JL20" s="7"/>
      <c r="JM20" s="7"/>
      <c r="JN20" s="7"/>
      <c r="JO20" s="7"/>
      <c r="JP20" s="7"/>
      <c r="JQ20" s="7"/>
      <c r="JR20" s="7"/>
      <c r="JS20" s="7"/>
      <c r="JT20" s="7"/>
      <c r="JU20" s="7"/>
      <c r="JV20" s="7"/>
      <c r="JW20" s="7"/>
      <c r="JX20" s="103"/>
      <c r="JY20" s="7"/>
      <c r="JZ20" s="7"/>
      <c r="KA20" s="7"/>
      <c r="KB20" s="7"/>
      <c r="KC20" s="7"/>
      <c r="KD20" s="7"/>
      <c r="KE20" s="7"/>
      <c r="KF20" s="7"/>
      <c r="KG20" s="7"/>
      <c r="KH20" s="7"/>
      <c r="KI20" s="7"/>
      <c r="KJ20" s="7"/>
      <c r="KK20" s="7"/>
      <c r="KL20" s="7"/>
      <c r="KM20" s="7"/>
      <c r="KN20" s="7"/>
      <c r="KO20" s="7"/>
      <c r="KP20" s="7"/>
      <c r="KQ20" s="7"/>
      <c r="KR20" s="7"/>
      <c r="KS20" s="7"/>
      <c r="KT20" s="7"/>
      <c r="KU20" s="103"/>
      <c r="KV20" s="7"/>
      <c r="KW20" s="7"/>
      <c r="KX20" s="7"/>
      <c r="KY20" s="7"/>
      <c r="KZ20" s="7"/>
      <c r="LA20" s="7"/>
      <c r="LB20" s="7"/>
      <c r="LC20" s="7"/>
      <c r="LD20" s="7"/>
      <c r="LE20" s="7"/>
      <c r="LF20" s="7"/>
      <c r="LG20" s="7"/>
      <c r="LH20" s="7"/>
      <c r="LI20" s="7"/>
      <c r="LJ20" s="102"/>
      <c r="LK20" s="102"/>
      <c r="LL20" s="102"/>
      <c r="LM20" s="102"/>
      <c r="LN20" s="102"/>
      <c r="LO20" s="102"/>
      <c r="LP20" s="102"/>
      <c r="LQ20" s="102"/>
      <c r="LR20" s="102"/>
    </row>
    <row r="21" spans="1:330" hidden="1" x14ac:dyDescent="0.25">
      <c r="A21" s="5">
        <v>16</v>
      </c>
      <c r="B21" s="66" t="str">
        <f>IFERROR(VLOOKUP(Tabla4[[#This Row],[Prioridad]],Tabla3[#All],2,0),"")</f>
        <v>JhonB</v>
      </c>
      <c r="C21" s="86" t="str">
        <f>IFERROR(VLOOKUP(Tabla4[[#This Row],[Prioridad]],Tabla3[#All],17,0),"")</f>
        <v>Sprint 2</v>
      </c>
      <c r="D21" s="86" t="str">
        <f>IFERROR(VLOOKUP(Tabla4[[#This Row],[Prioridad]],Tabla3[#All],6,0),"")</f>
        <v>T-015</v>
      </c>
      <c r="E21" s="86" t="str">
        <f>+IFERROR(VLOOKUP(Tabla4[[#This Row],[Tarea]],Tabla3[[Num_Ticket]:[Descripción]],2,0),"")</f>
        <v>Crear Diagrama Entidad -Relación</v>
      </c>
      <c r="F21" s="47">
        <f>IFERROR(VLOOKUP(Tabla4[[#This Row],[Prioridad]],Tabla3[#All],14,0),"")</f>
        <v>0</v>
      </c>
      <c r="G21" s="47">
        <f>IF(Tabla4[[#This Row],[Prioridad]]&lt;&gt;"",SUM(W21:KT21),"")</f>
        <v>3</v>
      </c>
      <c r="H21" s="47">
        <f>IF(Tabla4[[#This Row],[Prioridad]]&lt;&gt;"",Tabla4[[#This Row],[Horas Estimadas]]-Tabla4[[#This Row],[Ejecutadas]],"")</f>
        <v>-3</v>
      </c>
      <c r="I21" s="66" t="str">
        <f>IFERROR(VLOOKUP(Tabla4[[#This Row],[Prioridad]],Tabla3[#All],18,0),"")</f>
        <v>DESARROLLO APLICACIÓN</v>
      </c>
      <c r="J21" s="32">
        <f>IFERROR(VLOOKUP(Tabla4[[#This Row],[Prioridad]],Tabla3[#All],20,0),"")</f>
        <v>5</v>
      </c>
      <c r="K21" s="62" t="str">
        <f>IFERROR(VLOOKUP(Tabla4[[#This Row],[Prioridad]],Tabla3[#All],19,0),"")</f>
        <v>Diseño Modelo Entidad Relación</v>
      </c>
      <c r="L21" s="60" t="str">
        <f>IFERROR(VLOOKUP(Tabla4[[#This Row],[Prioridad]],Tabla3[#All],9,0),"")</f>
        <v>Tarea</v>
      </c>
      <c r="M21" s="93">
        <f>+SUMIFS(Tabla4[Avance Hito],Tabla4[Responsable],Tabla4[[#This Row],[Responsable]],Tabla4[Sprint],Tabla4[[#This Row],[Sprint]],Tabla4[Proyecto],Tabla4[[#This Row],[Proyecto]])/COUNTIFS(Tabla4[Responsable],Tabla4[[#This Row],[Responsable]],Tabla4[Sprint],Tabla4[[#This Row],[Sprint]],Tabla4[Proyecto],Tabla4[[#This Row],[Proyecto]])</f>
        <v>1</v>
      </c>
      <c r="N21" s="35">
        <f>+SUMIFS(Tabla4[Avance relativo],Tabla4[Responsable],Tabla4[[#This Row],[Responsable]],Tabla4[Sprint],Tabla4[[#This Row],[Sprint]],Tabla4[Hito],Tabla4[[#This Row],[Hito]])</f>
        <v>1</v>
      </c>
      <c r="O21" s="185">
        <f>VLOOKUP(Tabla4[[#This Row],[Tarea]],Tabla3[[#All],[Num_Ticket]:[Hito]],5,0)</f>
        <v>44459</v>
      </c>
      <c r="P21" s="124">
        <v>44462</v>
      </c>
      <c r="Q21" s="47">
        <f>IF(Tabla4[[#This Row],[Prioridad]]="","",IF(Tabla4[[#This Row],[Hito]]&lt;&gt;"",COUNTIFS(Tabla4[Responsable],Tabla4[[#This Row],[Responsable]],Tabla4[Sprint],Tabla4[[#This Row],[Sprint]],Tabla4[Epica],Tabla4[[#This Row],[Epica]])))</f>
        <v>1</v>
      </c>
      <c r="R21" s="47">
        <f>1*Tabla4[[#This Row],[% Avance]]</f>
        <v>1</v>
      </c>
      <c r="S21" s="47">
        <f>IFERROR(Tabla4[[#This Row],[Total Avance]]/Tabla4[[#This Row],[Conteo_Epica]],0)</f>
        <v>1</v>
      </c>
      <c r="T21" s="78">
        <v>1</v>
      </c>
      <c r="U21" s="79">
        <v>4</v>
      </c>
      <c r="V21" s="89" t="s">
        <v>176</v>
      </c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11"/>
      <c r="AQ21" s="10"/>
      <c r="AR21" s="7"/>
      <c r="AS21" s="7"/>
      <c r="AT21" s="7"/>
      <c r="AU21" s="11"/>
      <c r="AV21" s="10"/>
      <c r="AW21" s="7"/>
      <c r="AX21" s="7"/>
      <c r="AY21" s="7"/>
      <c r="AZ21" s="11"/>
      <c r="BA21" s="10"/>
      <c r="BB21" s="7"/>
      <c r="BC21" s="7"/>
      <c r="BD21" s="7"/>
      <c r="BE21" s="11"/>
      <c r="BF21" s="10"/>
      <c r="BG21" s="7"/>
      <c r="BH21" s="7"/>
      <c r="BI21" s="7"/>
      <c r="BJ21" s="11"/>
      <c r="BK21" s="5"/>
      <c r="BL21" s="10"/>
      <c r="BM21" s="7"/>
      <c r="BN21" s="7"/>
      <c r="BO21" s="7"/>
      <c r="BP21" s="7"/>
      <c r="BQ21" s="10"/>
      <c r="BR21" s="7"/>
      <c r="BS21" s="7"/>
      <c r="BT21" s="7"/>
      <c r="BU21" s="11"/>
      <c r="BV21" s="10"/>
      <c r="BW21" s="7"/>
      <c r="BX21" s="7"/>
      <c r="BY21" s="7"/>
      <c r="BZ21" s="11"/>
      <c r="CA21" s="7"/>
      <c r="CB21" s="7"/>
      <c r="CC21" s="7"/>
      <c r="CD21" s="11"/>
      <c r="CE21" s="10"/>
      <c r="CF21" s="7"/>
      <c r="CG21" s="11"/>
      <c r="CH21" s="28"/>
      <c r="CI21" s="10"/>
      <c r="CJ21" s="7"/>
      <c r="CK21" s="7"/>
      <c r="CL21" s="7"/>
      <c r="CM21" s="7"/>
      <c r="CN21" s="10"/>
      <c r="CO21" s="7"/>
      <c r="CP21" s="7"/>
      <c r="CQ21" s="7"/>
      <c r="CR21" s="11"/>
      <c r="CS21" s="10"/>
      <c r="CT21" s="7"/>
      <c r="CU21" s="7"/>
      <c r="CV21" s="7"/>
      <c r="CW21" s="11"/>
      <c r="CX21" s="7"/>
      <c r="CY21" s="7"/>
      <c r="CZ21" s="7"/>
      <c r="DA21" s="7"/>
      <c r="DB21" s="11"/>
      <c r="DC21" s="28"/>
      <c r="DD21" s="10"/>
      <c r="DE21" s="7"/>
      <c r="DF21" s="7"/>
      <c r="DG21" s="7"/>
      <c r="DH21" s="7"/>
      <c r="DI21" s="10"/>
      <c r="DJ21" s="7"/>
      <c r="DK21" s="7"/>
      <c r="DL21" s="7"/>
      <c r="DM21" s="11"/>
      <c r="DN21" s="10"/>
      <c r="DO21" s="7"/>
      <c r="DP21" s="7"/>
      <c r="DQ21" s="7"/>
      <c r="DR21" s="11"/>
      <c r="DS21" s="7"/>
      <c r="DT21" s="7"/>
      <c r="DU21" s="7"/>
      <c r="DV21" s="7"/>
      <c r="DW21" s="11"/>
      <c r="DX21" s="96"/>
      <c r="DY21" s="7"/>
      <c r="DZ21" s="11"/>
      <c r="EA21" s="28"/>
      <c r="EB21" s="10"/>
      <c r="EC21" s="7"/>
      <c r="ED21" s="7"/>
      <c r="EE21" s="11"/>
      <c r="EF21" s="7"/>
      <c r="EG21" s="10"/>
      <c r="EH21" s="7"/>
      <c r="EI21" s="7"/>
      <c r="EJ21" s="11"/>
      <c r="EK21" s="7"/>
      <c r="EL21" s="10"/>
      <c r="EM21" s="7"/>
      <c r="EN21" s="7"/>
      <c r="EO21" s="11"/>
      <c r="EP21" s="7"/>
      <c r="EQ21" s="10"/>
      <c r="ER21" s="7"/>
      <c r="ES21" s="7"/>
      <c r="ET21" s="7"/>
      <c r="EU21" s="11"/>
      <c r="EV21" s="96"/>
      <c r="EW21" s="10"/>
      <c r="EX21" s="7"/>
      <c r="EY21" s="7"/>
      <c r="EZ21" s="7"/>
      <c r="FA21" s="103"/>
      <c r="FB21" s="107"/>
      <c r="FC21" s="10"/>
      <c r="FD21" s="7"/>
      <c r="FE21" s="7"/>
      <c r="FF21" s="7"/>
      <c r="FG21" s="96"/>
      <c r="FH21" s="10"/>
      <c r="FI21" s="7"/>
      <c r="FJ21" s="7"/>
      <c r="FK21" s="7"/>
      <c r="FL21" s="11"/>
      <c r="FM21" s="96"/>
      <c r="FN21" s="10"/>
      <c r="FO21" s="7"/>
      <c r="FP21" s="7"/>
      <c r="FQ21" s="7"/>
      <c r="FR21" s="96"/>
      <c r="FS21" s="10"/>
      <c r="FT21" s="7"/>
      <c r="FU21" s="7"/>
      <c r="FV21" s="7"/>
      <c r="FW21" s="7"/>
      <c r="FX21" s="96"/>
      <c r="FY21" s="114"/>
      <c r="FZ21" s="7"/>
      <c r="GA21" s="7"/>
      <c r="GB21" s="7"/>
      <c r="GC21" s="7"/>
      <c r="GD21" s="96"/>
      <c r="GE21" s="10"/>
      <c r="GF21" s="7"/>
      <c r="GG21" s="7"/>
      <c r="GH21" s="7"/>
      <c r="GI21" s="11"/>
      <c r="GJ21" s="10"/>
      <c r="GK21" s="10"/>
      <c r="GL21" s="7"/>
      <c r="GM21" s="7"/>
      <c r="GN21" s="11"/>
      <c r="GO21" s="96"/>
      <c r="GP21" s="10"/>
      <c r="GQ21" s="7"/>
      <c r="GR21" s="7"/>
      <c r="GS21" s="7"/>
      <c r="GT21" s="11"/>
      <c r="GU21" s="96"/>
      <c r="GV21" s="114"/>
      <c r="GW21" s="7"/>
      <c r="GX21" s="7"/>
      <c r="GY21" s="7"/>
      <c r="GZ21" s="7"/>
      <c r="HA21" s="10"/>
      <c r="HB21" s="10"/>
      <c r="HC21" s="7"/>
      <c r="HD21" s="7"/>
      <c r="HE21" s="7"/>
      <c r="HF21" s="7"/>
      <c r="HG21" s="7"/>
      <c r="HH21" s="96"/>
      <c r="HI21" s="10"/>
      <c r="HJ21" s="7"/>
      <c r="HK21" s="7"/>
      <c r="HL21" s="7"/>
      <c r="HM21" s="7"/>
      <c r="HN21" s="7"/>
      <c r="HO21" s="10"/>
      <c r="HP21" s="10"/>
      <c r="HQ21" s="7">
        <v>1</v>
      </c>
      <c r="HR21" s="7">
        <v>1</v>
      </c>
      <c r="HS21" s="7">
        <v>1</v>
      </c>
      <c r="HT21" s="7"/>
      <c r="HU21" s="11"/>
      <c r="HV21" s="7"/>
      <c r="HW21" s="10"/>
      <c r="HX21" s="7"/>
      <c r="HY21" s="103"/>
      <c r="HZ21" s="7"/>
      <c r="IA21" s="7"/>
      <c r="IB21" s="11"/>
      <c r="IC21" s="11"/>
      <c r="ID21" s="7"/>
      <c r="IE21" s="7"/>
      <c r="IF21" s="7"/>
      <c r="IG21" s="7"/>
      <c r="IH21" s="7"/>
      <c r="II21" s="7"/>
      <c r="IJ21" s="96"/>
      <c r="IK21" s="10"/>
      <c r="IL21" s="7"/>
      <c r="IM21" s="7"/>
      <c r="IN21" s="7"/>
      <c r="IO21" s="7"/>
      <c r="IP21" s="11"/>
      <c r="IQ21" s="96"/>
      <c r="IR21" s="7"/>
      <c r="IS21" s="7"/>
      <c r="IT21" s="7"/>
      <c r="IU21" s="7"/>
      <c r="IV21" s="7"/>
      <c r="IW21" s="7"/>
      <c r="IX21" s="7"/>
      <c r="IY21" s="7"/>
      <c r="IZ21" s="7"/>
      <c r="JA21" s="103"/>
      <c r="JB21" s="7"/>
      <c r="JC21" s="7"/>
      <c r="JD21" s="7"/>
      <c r="JE21" s="7"/>
      <c r="JF21" s="7"/>
      <c r="JG21" s="7"/>
      <c r="JH21" s="7"/>
      <c r="JI21" s="7"/>
      <c r="JJ21" s="7"/>
      <c r="JK21" s="7"/>
      <c r="JL21" s="7"/>
      <c r="JM21" s="7"/>
      <c r="JN21" s="7"/>
      <c r="JO21" s="7"/>
      <c r="JP21" s="7"/>
      <c r="JQ21" s="7"/>
      <c r="JR21" s="7"/>
      <c r="JS21" s="7"/>
      <c r="JT21" s="7"/>
      <c r="JU21" s="7"/>
      <c r="JV21" s="7"/>
      <c r="JW21" s="7"/>
      <c r="JX21" s="103"/>
      <c r="JY21" s="7"/>
      <c r="JZ21" s="7"/>
      <c r="KA21" s="7"/>
      <c r="KB21" s="7"/>
      <c r="KC21" s="7"/>
      <c r="KD21" s="7"/>
      <c r="KE21" s="7"/>
      <c r="KF21" s="7"/>
      <c r="KG21" s="7"/>
      <c r="KH21" s="7"/>
      <c r="KI21" s="7"/>
      <c r="KJ21" s="7"/>
      <c r="KK21" s="7"/>
      <c r="KL21" s="7"/>
      <c r="KM21" s="7"/>
      <c r="KN21" s="7"/>
      <c r="KO21" s="7"/>
      <c r="KP21" s="7"/>
      <c r="KQ21" s="7"/>
      <c r="KR21" s="7"/>
      <c r="KS21" s="7"/>
      <c r="KT21" s="7"/>
      <c r="KU21" s="103"/>
      <c r="KV21" s="7"/>
      <c r="KW21" s="7"/>
      <c r="KX21" s="7"/>
      <c r="KY21" s="7"/>
      <c r="KZ21" s="7"/>
      <c r="LA21" s="7"/>
      <c r="LB21" s="7"/>
      <c r="LC21" s="7"/>
      <c r="LD21" s="7"/>
      <c r="LE21" s="7"/>
      <c r="LF21" s="7"/>
      <c r="LG21" s="7"/>
      <c r="LH21" s="7"/>
      <c r="LI21" s="7"/>
      <c r="LJ21" s="102"/>
      <c r="LK21" s="102"/>
      <c r="LL21" s="102"/>
      <c r="LM21" s="102"/>
      <c r="LN21" s="102"/>
      <c r="LO21" s="102"/>
      <c r="LP21" s="102"/>
      <c r="LQ21" s="102"/>
      <c r="LR21" s="102"/>
    </row>
    <row r="22" spans="1:330" hidden="1" x14ac:dyDescent="0.25">
      <c r="A22" s="5">
        <v>17</v>
      </c>
      <c r="B22" s="66" t="str">
        <f>IFERROR(VLOOKUP(Tabla4[[#This Row],[Prioridad]],Tabla3[#All],2,0),"")</f>
        <v>JuanC</v>
      </c>
      <c r="C22" s="86" t="str">
        <f>IFERROR(VLOOKUP(Tabla4[[#This Row],[Prioridad]],Tabla3[#All],17,0),"")</f>
        <v>Sprint 2</v>
      </c>
      <c r="D22" s="86" t="str">
        <f>IFERROR(VLOOKUP(Tabla4[[#This Row],[Prioridad]],Tabla3[#All],6,0),"")</f>
        <v>T-017</v>
      </c>
      <c r="E22" s="86" t="str">
        <f>+IFERROR(VLOOKUP(Tabla4[[#This Row],[Tarea]],Tabla3[[Num_Ticket]:[Descripción]],2,0),"")</f>
        <v>Generar Script creación base de datos</v>
      </c>
      <c r="F22" s="47">
        <f>IFERROR(VLOOKUP(Tabla4[[#This Row],[Prioridad]],Tabla3[#All],14,0),"")</f>
        <v>0</v>
      </c>
      <c r="G22" s="47">
        <f>IF(Tabla4[[#This Row],[Prioridad]]&lt;&gt;"",SUM(W22:KT22),"")</f>
        <v>2</v>
      </c>
      <c r="H22" s="47">
        <f>IF(Tabla4[[#This Row],[Prioridad]]&lt;&gt;"",Tabla4[[#This Row],[Horas Estimadas]]-Tabla4[[#This Row],[Ejecutadas]],"")</f>
        <v>-2</v>
      </c>
      <c r="I22" s="66" t="str">
        <f>IFERROR(VLOOKUP(Tabla4[[#This Row],[Prioridad]],Tabla3[#All],18,0),"")</f>
        <v>DESARROLLO APLICACIÓN</v>
      </c>
      <c r="J22" s="32">
        <f>IFERROR(VLOOKUP(Tabla4[[#This Row],[Prioridad]],Tabla3[#All],20,0),"")</f>
        <v>5</v>
      </c>
      <c r="K22" s="62" t="str">
        <f>IFERROR(VLOOKUP(Tabla4[[#This Row],[Prioridad]],Tabla3[#All],19,0),"")</f>
        <v>Diseño Modelo Entidad Relación</v>
      </c>
      <c r="L22" s="60" t="str">
        <f>IFERROR(VLOOKUP(Tabla4[[#This Row],[Prioridad]],Tabla3[#All],9,0),"")</f>
        <v>Tarea</v>
      </c>
      <c r="M22" s="93">
        <f>+SUMIFS(Tabla4[Avance Hito],Tabla4[Responsable],Tabla4[[#This Row],[Responsable]],Tabla4[Sprint],Tabla4[[#This Row],[Sprint]],Tabla4[Proyecto],Tabla4[[#This Row],[Proyecto]])/COUNTIFS(Tabla4[Responsable],Tabla4[[#This Row],[Responsable]],Tabla4[Sprint],Tabla4[[#This Row],[Sprint]],Tabla4[Proyecto],Tabla4[[#This Row],[Proyecto]])</f>
        <v>1</v>
      </c>
      <c r="N22" s="35">
        <f>+SUMIFS(Tabla4[Avance relativo],Tabla4[Responsable],Tabla4[[#This Row],[Responsable]],Tabla4[Sprint],Tabla4[[#This Row],[Sprint]],Tabla4[Hito],Tabla4[[#This Row],[Hito]])</f>
        <v>1</v>
      </c>
      <c r="O22" s="185">
        <f>VLOOKUP(Tabla4[[#This Row],[Tarea]],Tabla3[[#All],[Num_Ticket]:[Hito]],5,0)</f>
        <v>44459</v>
      </c>
      <c r="P22" s="124">
        <v>44463</v>
      </c>
      <c r="Q22" s="47">
        <f>IF(Tabla4[[#This Row],[Prioridad]]="","",IF(Tabla4[[#This Row],[Hito]]&lt;&gt;"",COUNTIFS(Tabla4[Responsable],Tabla4[[#This Row],[Responsable]],Tabla4[Sprint],Tabla4[[#This Row],[Sprint]],Tabla4[Epica],Tabla4[[#This Row],[Epica]])))</f>
        <v>1</v>
      </c>
      <c r="R22" s="47">
        <f>1*Tabla4[[#This Row],[% Avance]]</f>
        <v>1</v>
      </c>
      <c r="S22" s="47">
        <f>IFERROR(Tabla4[[#This Row],[Total Avance]]/Tabla4[[#This Row],[Conteo_Epica]],0)</f>
        <v>1</v>
      </c>
      <c r="T22" s="78">
        <v>1</v>
      </c>
      <c r="U22" s="79">
        <v>4</v>
      </c>
      <c r="V22" s="89" t="s">
        <v>176</v>
      </c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11"/>
      <c r="AQ22" s="10"/>
      <c r="AR22" s="7"/>
      <c r="AS22" s="7"/>
      <c r="AT22" s="7"/>
      <c r="AU22" s="11"/>
      <c r="AV22" s="10"/>
      <c r="AW22" s="7"/>
      <c r="AX22" s="7"/>
      <c r="AY22" s="7"/>
      <c r="AZ22" s="11"/>
      <c r="BA22" s="10"/>
      <c r="BB22" s="7"/>
      <c r="BC22" s="7"/>
      <c r="BD22" s="7"/>
      <c r="BE22" s="11"/>
      <c r="BF22" s="10"/>
      <c r="BG22" s="7"/>
      <c r="BH22" s="7"/>
      <c r="BI22" s="7"/>
      <c r="BJ22" s="11"/>
      <c r="BK22" s="5"/>
      <c r="BL22" s="10"/>
      <c r="BM22" s="7"/>
      <c r="BN22" s="7"/>
      <c r="BO22" s="7"/>
      <c r="BP22" s="7"/>
      <c r="BQ22" s="10"/>
      <c r="BR22" s="7"/>
      <c r="BS22" s="7"/>
      <c r="BT22" s="7"/>
      <c r="BU22" s="11"/>
      <c r="BV22" s="10"/>
      <c r="BW22" s="7"/>
      <c r="BX22" s="7"/>
      <c r="BY22" s="7"/>
      <c r="BZ22" s="11"/>
      <c r="CA22" s="7"/>
      <c r="CB22" s="7"/>
      <c r="CC22" s="7"/>
      <c r="CD22" s="11"/>
      <c r="CE22" s="10"/>
      <c r="CF22" s="7"/>
      <c r="CG22" s="11"/>
      <c r="CH22" s="28"/>
      <c r="CI22" s="10"/>
      <c r="CJ22" s="7"/>
      <c r="CK22" s="7"/>
      <c r="CL22" s="7"/>
      <c r="CM22" s="7"/>
      <c r="CN22" s="10"/>
      <c r="CO22" s="7"/>
      <c r="CP22" s="7"/>
      <c r="CQ22" s="7"/>
      <c r="CR22" s="11"/>
      <c r="CS22" s="10"/>
      <c r="CT22" s="7"/>
      <c r="CU22" s="7"/>
      <c r="CV22" s="7"/>
      <c r="CW22" s="11"/>
      <c r="CX22" s="7"/>
      <c r="CY22" s="7"/>
      <c r="CZ22" s="7"/>
      <c r="DA22" s="7"/>
      <c r="DB22" s="11"/>
      <c r="DC22" s="28"/>
      <c r="DD22" s="10"/>
      <c r="DE22" s="7"/>
      <c r="DF22" s="7"/>
      <c r="DG22" s="7"/>
      <c r="DH22" s="7"/>
      <c r="DI22" s="10"/>
      <c r="DJ22" s="7"/>
      <c r="DK22" s="7"/>
      <c r="DL22" s="7"/>
      <c r="DM22" s="11"/>
      <c r="DN22" s="10"/>
      <c r="DO22" s="7"/>
      <c r="DP22" s="7"/>
      <c r="DQ22" s="7"/>
      <c r="DR22" s="11"/>
      <c r="DS22" s="7"/>
      <c r="DT22" s="7"/>
      <c r="DU22" s="7"/>
      <c r="DV22" s="7"/>
      <c r="DW22" s="11"/>
      <c r="DX22" s="96"/>
      <c r="DY22" s="7"/>
      <c r="DZ22" s="11"/>
      <c r="EA22" s="28"/>
      <c r="EB22" s="10"/>
      <c r="EC22" s="7"/>
      <c r="ED22" s="7"/>
      <c r="EE22" s="11"/>
      <c r="EF22" s="7"/>
      <c r="EG22" s="10"/>
      <c r="EH22" s="7"/>
      <c r="EI22" s="7"/>
      <c r="EJ22" s="11"/>
      <c r="EK22" s="7"/>
      <c r="EL22" s="10"/>
      <c r="EM22" s="7"/>
      <c r="EN22" s="7"/>
      <c r="EO22" s="11"/>
      <c r="EP22" s="7"/>
      <c r="EQ22" s="10"/>
      <c r="ER22" s="7"/>
      <c r="ES22" s="7"/>
      <c r="ET22" s="7"/>
      <c r="EU22" s="11"/>
      <c r="EV22" s="96"/>
      <c r="EW22" s="10"/>
      <c r="EX22" s="7"/>
      <c r="EY22" s="7"/>
      <c r="EZ22" s="7"/>
      <c r="FA22" s="103"/>
      <c r="FB22" s="107"/>
      <c r="FC22" s="10"/>
      <c r="FD22" s="7"/>
      <c r="FE22" s="7"/>
      <c r="FF22" s="7"/>
      <c r="FG22" s="96"/>
      <c r="FH22" s="10"/>
      <c r="FI22" s="7"/>
      <c r="FJ22" s="7"/>
      <c r="FK22" s="7"/>
      <c r="FL22" s="11"/>
      <c r="FM22" s="96"/>
      <c r="FN22" s="10"/>
      <c r="FO22" s="7"/>
      <c r="FP22" s="7"/>
      <c r="FQ22" s="7"/>
      <c r="FR22" s="96"/>
      <c r="FS22" s="10"/>
      <c r="FT22" s="7"/>
      <c r="FU22" s="7"/>
      <c r="FV22" s="7"/>
      <c r="FW22" s="7"/>
      <c r="FX22" s="96"/>
      <c r="FY22" s="114"/>
      <c r="FZ22" s="7"/>
      <c r="GA22" s="7"/>
      <c r="GB22" s="7"/>
      <c r="GC22" s="7"/>
      <c r="GD22" s="96"/>
      <c r="GE22" s="10"/>
      <c r="GF22" s="7"/>
      <c r="GG22" s="7"/>
      <c r="GH22" s="7"/>
      <c r="GI22" s="11"/>
      <c r="GJ22" s="10"/>
      <c r="GK22" s="10"/>
      <c r="GL22" s="7"/>
      <c r="GM22" s="7"/>
      <c r="GN22" s="11"/>
      <c r="GO22" s="96"/>
      <c r="GP22" s="10"/>
      <c r="GQ22" s="7"/>
      <c r="GR22" s="7"/>
      <c r="GS22" s="7"/>
      <c r="GT22" s="11"/>
      <c r="GU22" s="96"/>
      <c r="GV22" s="114"/>
      <c r="GW22" s="7"/>
      <c r="GX22" s="7"/>
      <c r="GY22" s="7"/>
      <c r="GZ22" s="7"/>
      <c r="HA22" s="10"/>
      <c r="HB22" s="10"/>
      <c r="HC22" s="7"/>
      <c r="HD22" s="7"/>
      <c r="HE22" s="7"/>
      <c r="HF22" s="7"/>
      <c r="HG22" s="7"/>
      <c r="HH22" s="96"/>
      <c r="HI22" s="10"/>
      <c r="HJ22" s="7"/>
      <c r="HK22" s="7"/>
      <c r="HL22" s="7"/>
      <c r="HM22" s="7"/>
      <c r="HN22" s="7"/>
      <c r="HO22" s="10"/>
      <c r="HP22" s="10"/>
      <c r="HQ22" s="7"/>
      <c r="HR22" s="7"/>
      <c r="HS22" s="7">
        <v>1</v>
      </c>
      <c r="HT22" s="7">
        <v>1</v>
      </c>
      <c r="HU22" s="11"/>
      <c r="HV22" s="7"/>
      <c r="HW22" s="10"/>
      <c r="HX22" s="7"/>
      <c r="HY22" s="103"/>
      <c r="HZ22" s="7"/>
      <c r="IA22" s="7"/>
      <c r="IB22" s="11"/>
      <c r="IC22" s="11"/>
      <c r="ID22" s="7"/>
      <c r="IE22" s="7"/>
      <c r="IF22" s="7"/>
      <c r="IG22" s="7"/>
      <c r="IH22" s="7"/>
      <c r="II22" s="7"/>
      <c r="IJ22" s="96"/>
      <c r="IK22" s="10"/>
      <c r="IL22" s="7"/>
      <c r="IM22" s="7"/>
      <c r="IN22" s="7"/>
      <c r="IO22" s="7"/>
      <c r="IP22" s="11"/>
      <c r="IQ22" s="96"/>
      <c r="IR22" s="7"/>
      <c r="IS22" s="7"/>
      <c r="IT22" s="7"/>
      <c r="IU22" s="7"/>
      <c r="IV22" s="7"/>
      <c r="IW22" s="7"/>
      <c r="IX22" s="7"/>
      <c r="IY22" s="7"/>
      <c r="IZ22" s="7"/>
      <c r="JA22" s="103"/>
      <c r="JB22" s="7"/>
      <c r="JC22" s="7"/>
      <c r="JD22" s="7"/>
      <c r="JE22" s="7"/>
      <c r="JF22" s="7"/>
      <c r="JG22" s="7"/>
      <c r="JH22" s="7"/>
      <c r="JI22" s="7"/>
      <c r="JJ22" s="7"/>
      <c r="JK22" s="7"/>
      <c r="JL22" s="7"/>
      <c r="JM22" s="7"/>
      <c r="JN22" s="7"/>
      <c r="JO22" s="7"/>
      <c r="JP22" s="7"/>
      <c r="JQ22" s="7"/>
      <c r="JR22" s="7"/>
      <c r="JS22" s="7"/>
      <c r="JT22" s="7"/>
      <c r="JU22" s="7"/>
      <c r="JV22" s="7"/>
      <c r="JW22" s="7"/>
      <c r="JX22" s="103"/>
      <c r="JY22" s="7"/>
      <c r="JZ22" s="7"/>
      <c r="KA22" s="7"/>
      <c r="KB22" s="7"/>
      <c r="KC22" s="7"/>
      <c r="KD22" s="7"/>
      <c r="KE22" s="7"/>
      <c r="KF22" s="7"/>
      <c r="KG22" s="7"/>
      <c r="KH22" s="7"/>
      <c r="KI22" s="7"/>
      <c r="KJ22" s="7"/>
      <c r="KK22" s="7"/>
      <c r="KL22" s="7"/>
      <c r="KM22" s="7"/>
      <c r="KN22" s="7"/>
      <c r="KO22" s="7"/>
      <c r="KP22" s="7"/>
      <c r="KQ22" s="7"/>
      <c r="KR22" s="7"/>
      <c r="KS22" s="7"/>
      <c r="KT22" s="7"/>
      <c r="KU22" s="103"/>
      <c r="KV22" s="7"/>
      <c r="KW22" s="7"/>
      <c r="KX22" s="7"/>
      <c r="KY22" s="7"/>
      <c r="KZ22" s="7"/>
      <c r="LA22" s="7"/>
      <c r="LB22" s="7"/>
      <c r="LC22" s="7"/>
      <c r="LD22" s="7"/>
      <c r="LE22" s="7"/>
      <c r="LF22" s="7"/>
      <c r="LG22" s="7"/>
      <c r="LH22" s="7"/>
      <c r="LI22" s="7"/>
      <c r="LJ22" s="102"/>
      <c r="LK22" s="102"/>
      <c r="LL22" s="102"/>
      <c r="LM22" s="102"/>
      <c r="LN22" s="102"/>
      <c r="LO22" s="102"/>
      <c r="LP22" s="102"/>
      <c r="LQ22" s="102"/>
      <c r="LR22" s="102"/>
    </row>
    <row r="23" spans="1:330" hidden="1" x14ac:dyDescent="0.25">
      <c r="A23" s="5">
        <v>18</v>
      </c>
      <c r="B23" s="66" t="str">
        <f>IFERROR(VLOOKUP(Tabla4[[#This Row],[Prioridad]],Tabla3[#All],2,0),"")</f>
        <v>YhonV</v>
      </c>
      <c r="C23" s="86" t="str">
        <f>IFERROR(VLOOKUP(Tabla4[[#This Row],[Prioridad]],Tabla3[#All],17,0),"")</f>
        <v>Sprint 2</v>
      </c>
      <c r="D23" s="86" t="str">
        <f>IFERROR(VLOOKUP(Tabla4[[#This Row],[Prioridad]],Tabla3[#All],6,0),"")</f>
        <v>T-018</v>
      </c>
      <c r="E23" s="86" t="str">
        <f>+IFERROR(VLOOKUP(Tabla4[[#This Row],[Tarea]],Tabla3[[Num_Ticket]:[Descripción]],2,0),"")</f>
        <v>Diseñar formato de reportes</v>
      </c>
      <c r="F23" s="47">
        <f>IFERROR(VLOOKUP(Tabla4[[#This Row],[Prioridad]],Tabla3[#All],14,0),"")</f>
        <v>0</v>
      </c>
      <c r="G23" s="47">
        <f>IF(Tabla4[[#This Row],[Prioridad]]&lt;&gt;"",SUM(W23:KT23),"")</f>
        <v>2</v>
      </c>
      <c r="H23" s="47">
        <f>IF(Tabla4[[#This Row],[Prioridad]]&lt;&gt;"",Tabla4[[#This Row],[Horas Estimadas]]-Tabla4[[#This Row],[Ejecutadas]],"")</f>
        <v>-2</v>
      </c>
      <c r="I23" s="66" t="str">
        <f>IFERROR(VLOOKUP(Tabla4[[#This Row],[Prioridad]],Tabla3[#All],18,0),"")</f>
        <v>DESARROLLO APLICACIÓN</v>
      </c>
      <c r="J23" s="32">
        <f>IFERROR(VLOOKUP(Tabla4[[#This Row],[Prioridad]],Tabla3[#All],20,0),"")</f>
        <v>6</v>
      </c>
      <c r="K23" s="62" t="str">
        <f>IFERROR(VLOOKUP(Tabla4[[#This Row],[Prioridad]],Tabla3[#All],19,0),"")</f>
        <v>Diseño funcionales</v>
      </c>
      <c r="L23" s="60">
        <f>IFERROR(VLOOKUP(Tabla4[[#This Row],[Prioridad]],Tabla3[#All],9,0),"")</f>
        <v>0</v>
      </c>
      <c r="M23" s="93">
        <f>+SUMIFS(Tabla4[Avance Hito],Tabla4[Responsable],Tabla4[[#This Row],[Responsable]],Tabla4[Sprint],Tabla4[[#This Row],[Sprint]],Tabla4[Proyecto],Tabla4[[#This Row],[Proyecto]])/COUNTIFS(Tabla4[Responsable],Tabla4[[#This Row],[Responsable]],Tabla4[Sprint],Tabla4[[#This Row],[Sprint]],Tabla4[Proyecto],Tabla4[[#This Row],[Proyecto]])</f>
        <v>1</v>
      </c>
      <c r="N23" s="35">
        <f>+SUMIFS(Tabla4[Avance relativo],Tabla4[Responsable],Tabla4[[#This Row],[Responsable]],Tabla4[Sprint],Tabla4[[#This Row],[Sprint]],Tabla4[Hito],Tabla4[[#This Row],[Hito]])</f>
        <v>1</v>
      </c>
      <c r="O23" s="185">
        <f>VLOOKUP(Tabla4[[#This Row],[Tarea]],Tabla3[[#All],[Num_Ticket]:[Hito]],5,0)</f>
        <v>44460</v>
      </c>
      <c r="P23" s="124">
        <v>44461</v>
      </c>
      <c r="Q23" s="47">
        <f>IF(Tabla4[[#This Row],[Prioridad]]="","",IF(Tabla4[[#This Row],[Hito]]&lt;&gt;"",COUNTIFS(Tabla4[Responsable],Tabla4[[#This Row],[Responsable]],Tabla4[Sprint],Tabla4[[#This Row],[Sprint]],Tabla4[Epica],Tabla4[[#This Row],[Epica]])))</f>
        <v>1</v>
      </c>
      <c r="R23" s="47">
        <f>1*Tabla4[[#This Row],[% Avance]]</f>
        <v>1</v>
      </c>
      <c r="S23" s="47">
        <f>IFERROR(Tabla4[[#This Row],[Total Avance]]/Tabla4[[#This Row],[Conteo_Epica]],0)</f>
        <v>1</v>
      </c>
      <c r="T23" s="78">
        <v>1</v>
      </c>
      <c r="U23" s="79">
        <v>4</v>
      </c>
      <c r="V23" s="89" t="s">
        <v>176</v>
      </c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11"/>
      <c r="AQ23" s="10"/>
      <c r="AR23" s="7"/>
      <c r="AS23" s="7"/>
      <c r="AT23" s="7"/>
      <c r="AU23" s="11"/>
      <c r="AV23" s="10"/>
      <c r="AW23" s="7"/>
      <c r="AX23" s="7"/>
      <c r="AY23" s="7"/>
      <c r="AZ23" s="11"/>
      <c r="BA23" s="10"/>
      <c r="BB23" s="7"/>
      <c r="BC23" s="7"/>
      <c r="BD23" s="7"/>
      <c r="BE23" s="11"/>
      <c r="BF23" s="10"/>
      <c r="BG23" s="7"/>
      <c r="BH23" s="7"/>
      <c r="BI23" s="7"/>
      <c r="BJ23" s="11"/>
      <c r="BK23" s="5"/>
      <c r="BL23" s="10"/>
      <c r="BM23" s="7"/>
      <c r="BN23" s="7"/>
      <c r="BO23" s="7"/>
      <c r="BP23" s="7"/>
      <c r="BQ23" s="10"/>
      <c r="BR23" s="7"/>
      <c r="BS23" s="7"/>
      <c r="BT23" s="7"/>
      <c r="BU23" s="11"/>
      <c r="BV23" s="10"/>
      <c r="BW23" s="7"/>
      <c r="BX23" s="7"/>
      <c r="BY23" s="7"/>
      <c r="BZ23" s="11"/>
      <c r="CA23" s="7"/>
      <c r="CB23" s="7"/>
      <c r="CC23" s="7"/>
      <c r="CD23" s="11"/>
      <c r="CE23" s="10"/>
      <c r="CF23" s="7"/>
      <c r="CG23" s="11"/>
      <c r="CH23" s="28"/>
      <c r="CI23" s="10"/>
      <c r="CJ23" s="7"/>
      <c r="CK23" s="7"/>
      <c r="CL23" s="7"/>
      <c r="CM23" s="7"/>
      <c r="CN23" s="10"/>
      <c r="CO23" s="7"/>
      <c r="CP23" s="7"/>
      <c r="CQ23" s="7"/>
      <c r="CR23" s="11"/>
      <c r="CS23" s="10"/>
      <c r="CT23" s="7"/>
      <c r="CU23" s="7"/>
      <c r="CV23" s="7"/>
      <c r="CW23" s="11"/>
      <c r="CX23" s="7"/>
      <c r="CY23" s="7"/>
      <c r="CZ23" s="7"/>
      <c r="DA23" s="7"/>
      <c r="DB23" s="11"/>
      <c r="DC23" s="28"/>
      <c r="DD23" s="10"/>
      <c r="DE23" s="7"/>
      <c r="DF23" s="7"/>
      <c r="DG23" s="7"/>
      <c r="DH23" s="7"/>
      <c r="DI23" s="10"/>
      <c r="DJ23" s="7"/>
      <c r="DK23" s="7"/>
      <c r="DL23" s="7"/>
      <c r="DM23" s="11"/>
      <c r="DN23" s="10"/>
      <c r="DO23" s="7"/>
      <c r="DP23" s="7"/>
      <c r="DQ23" s="7"/>
      <c r="DR23" s="11"/>
      <c r="DS23" s="7"/>
      <c r="DT23" s="7"/>
      <c r="DU23" s="7"/>
      <c r="DV23" s="7"/>
      <c r="DW23" s="11"/>
      <c r="DX23" s="96"/>
      <c r="DY23" s="7"/>
      <c r="DZ23" s="11"/>
      <c r="EA23" s="28"/>
      <c r="EB23" s="10"/>
      <c r="EC23" s="7"/>
      <c r="ED23" s="7"/>
      <c r="EE23" s="11"/>
      <c r="EF23" s="7"/>
      <c r="EG23" s="10"/>
      <c r="EH23" s="7"/>
      <c r="EI23" s="7"/>
      <c r="EJ23" s="11"/>
      <c r="EK23" s="7"/>
      <c r="EL23" s="10"/>
      <c r="EM23" s="7"/>
      <c r="EN23" s="7"/>
      <c r="EO23" s="11"/>
      <c r="EP23" s="7"/>
      <c r="EQ23" s="10"/>
      <c r="ER23" s="7"/>
      <c r="ES23" s="7"/>
      <c r="ET23" s="7"/>
      <c r="EU23" s="11"/>
      <c r="EV23" s="96"/>
      <c r="EW23" s="10"/>
      <c r="EX23" s="7"/>
      <c r="EY23" s="7"/>
      <c r="EZ23" s="7"/>
      <c r="FA23" s="103"/>
      <c r="FB23" s="107"/>
      <c r="FC23" s="10"/>
      <c r="FD23" s="7"/>
      <c r="FE23" s="7"/>
      <c r="FF23" s="7"/>
      <c r="FG23" s="96"/>
      <c r="FH23" s="10"/>
      <c r="FI23" s="7"/>
      <c r="FJ23" s="7"/>
      <c r="FK23" s="7"/>
      <c r="FL23" s="11"/>
      <c r="FM23" s="96"/>
      <c r="FN23" s="10"/>
      <c r="FO23" s="7"/>
      <c r="FP23" s="7"/>
      <c r="FQ23" s="7"/>
      <c r="FR23" s="96"/>
      <c r="FS23" s="10"/>
      <c r="FT23" s="7"/>
      <c r="FU23" s="7"/>
      <c r="FV23" s="7"/>
      <c r="FW23" s="7"/>
      <c r="FX23" s="96"/>
      <c r="FY23" s="114"/>
      <c r="FZ23" s="7"/>
      <c r="GA23" s="7"/>
      <c r="GB23" s="7"/>
      <c r="GC23" s="7"/>
      <c r="GD23" s="96"/>
      <c r="GE23" s="10"/>
      <c r="GF23" s="7"/>
      <c r="GG23" s="7"/>
      <c r="GH23" s="7"/>
      <c r="GI23" s="11"/>
      <c r="GJ23" s="10"/>
      <c r="GK23" s="10"/>
      <c r="GL23" s="7"/>
      <c r="GM23" s="7"/>
      <c r="GN23" s="11"/>
      <c r="GO23" s="96"/>
      <c r="GP23" s="10"/>
      <c r="GQ23" s="7"/>
      <c r="GR23" s="7"/>
      <c r="GS23" s="7"/>
      <c r="GT23" s="11"/>
      <c r="GU23" s="96"/>
      <c r="GV23" s="114"/>
      <c r="GW23" s="7"/>
      <c r="GX23" s="7"/>
      <c r="GY23" s="7"/>
      <c r="GZ23" s="7"/>
      <c r="HA23" s="10"/>
      <c r="HB23" s="10"/>
      <c r="HC23" s="7"/>
      <c r="HD23" s="7"/>
      <c r="HE23" s="7"/>
      <c r="HF23" s="7"/>
      <c r="HG23" s="7"/>
      <c r="HH23" s="96"/>
      <c r="HI23" s="10"/>
      <c r="HJ23" s="7"/>
      <c r="HK23" s="7"/>
      <c r="HL23" s="7"/>
      <c r="HM23" s="7"/>
      <c r="HN23" s="7"/>
      <c r="HO23" s="10"/>
      <c r="HP23" s="10"/>
      <c r="HQ23" s="7"/>
      <c r="HR23" s="7">
        <v>2</v>
      </c>
      <c r="HS23" s="7"/>
      <c r="HT23" s="7"/>
      <c r="HU23" s="11"/>
      <c r="HV23" s="7"/>
      <c r="HW23" s="10"/>
      <c r="HX23" s="7"/>
      <c r="HY23" s="103"/>
      <c r="HZ23" s="7"/>
      <c r="IA23" s="7"/>
      <c r="IB23" s="11"/>
      <c r="IC23" s="11"/>
      <c r="ID23" s="7"/>
      <c r="IE23" s="7"/>
      <c r="IF23" s="7"/>
      <c r="IG23" s="7"/>
      <c r="IH23" s="7"/>
      <c r="II23" s="7"/>
      <c r="IJ23" s="96"/>
      <c r="IK23" s="10"/>
      <c r="IL23" s="7"/>
      <c r="IM23" s="7"/>
      <c r="IN23" s="7"/>
      <c r="IO23" s="7"/>
      <c r="IP23" s="11"/>
      <c r="IQ23" s="96"/>
      <c r="IR23" s="7"/>
      <c r="IS23" s="7"/>
      <c r="IT23" s="7"/>
      <c r="IU23" s="7"/>
      <c r="IV23" s="7"/>
      <c r="IW23" s="7"/>
      <c r="IX23" s="7"/>
      <c r="IY23" s="7"/>
      <c r="IZ23" s="7"/>
      <c r="JA23" s="103"/>
      <c r="JB23" s="7"/>
      <c r="JC23" s="7"/>
      <c r="JD23" s="7"/>
      <c r="JE23" s="7"/>
      <c r="JF23" s="7"/>
      <c r="JG23" s="7"/>
      <c r="JH23" s="7"/>
      <c r="JI23" s="7"/>
      <c r="JJ23" s="7"/>
      <c r="JK23" s="7"/>
      <c r="JL23" s="7"/>
      <c r="JM23" s="7"/>
      <c r="JN23" s="7"/>
      <c r="JO23" s="7"/>
      <c r="JP23" s="7"/>
      <c r="JQ23" s="7"/>
      <c r="JR23" s="7"/>
      <c r="JS23" s="7"/>
      <c r="JT23" s="7"/>
      <c r="JU23" s="7"/>
      <c r="JV23" s="7"/>
      <c r="JW23" s="7"/>
      <c r="JX23" s="103"/>
      <c r="JY23" s="7"/>
      <c r="JZ23" s="7"/>
      <c r="KA23" s="7"/>
      <c r="KB23" s="7"/>
      <c r="KC23" s="7"/>
      <c r="KD23" s="7"/>
      <c r="KE23" s="7"/>
      <c r="KF23" s="7"/>
      <c r="KG23" s="7"/>
      <c r="KH23" s="7"/>
      <c r="KI23" s="7"/>
      <c r="KJ23" s="7"/>
      <c r="KK23" s="7"/>
      <c r="KL23" s="7"/>
      <c r="KM23" s="7"/>
      <c r="KN23" s="7"/>
      <c r="KO23" s="7"/>
      <c r="KP23" s="7"/>
      <c r="KQ23" s="7"/>
      <c r="KR23" s="7"/>
      <c r="KS23" s="7"/>
      <c r="KT23" s="7"/>
      <c r="KU23" s="103"/>
      <c r="KV23" s="7"/>
      <c r="KW23" s="7"/>
      <c r="KX23" s="7"/>
      <c r="KY23" s="7"/>
      <c r="KZ23" s="7"/>
      <c r="LA23" s="7"/>
      <c r="LB23" s="7"/>
      <c r="LC23" s="7"/>
      <c r="LD23" s="7"/>
      <c r="LE23" s="7"/>
      <c r="LF23" s="7"/>
      <c r="LG23" s="7"/>
      <c r="LH23" s="7"/>
      <c r="LI23" s="7"/>
      <c r="LJ23" s="102"/>
      <c r="LK23" s="102"/>
      <c r="LL23" s="102"/>
      <c r="LM23" s="102"/>
      <c r="LN23" s="102"/>
      <c r="LO23" s="102"/>
      <c r="LP23" s="102"/>
      <c r="LQ23" s="102"/>
      <c r="LR23" s="102"/>
    </row>
    <row r="24" spans="1:330" hidden="1" x14ac:dyDescent="0.25">
      <c r="A24" s="5">
        <v>19</v>
      </c>
      <c r="B24" s="66" t="str">
        <f>IFERROR(VLOOKUP(Tabla4[[#This Row],[Prioridad]],Tabla3[#All],2,0),"")</f>
        <v>EdwinV</v>
      </c>
      <c r="C24" s="86" t="str">
        <f>IFERROR(VLOOKUP(Tabla4[[#This Row],[Prioridad]],Tabla3[#All],17,0),"")</f>
        <v>Sprint 2</v>
      </c>
      <c r="D24" s="86" t="str">
        <f>IFERROR(VLOOKUP(Tabla4[[#This Row],[Prioridad]],Tabla3[#All],6,0),"")</f>
        <v>T-020</v>
      </c>
      <c r="E24" s="86" t="str">
        <f>+IFERROR(VLOOKUP(Tabla4[[#This Row],[Tarea]],Tabla3[[Num_Ticket]:[Descripción]],2,0),"")</f>
        <v>Consolidar documento seguimiento Sprint 2</v>
      </c>
      <c r="F24" s="47">
        <f>IFERROR(VLOOKUP(Tabla4[[#This Row],[Prioridad]],Tabla3[#All],14,0),"")</f>
        <v>0</v>
      </c>
      <c r="G24" s="47">
        <f>IF(Tabla4[[#This Row],[Prioridad]]&lt;&gt;"",SUM(W24:KT24),"")</f>
        <v>1</v>
      </c>
      <c r="H24" s="47">
        <f>IF(Tabla4[[#This Row],[Prioridad]]&lt;&gt;"",Tabla4[[#This Row],[Horas Estimadas]]-Tabla4[[#This Row],[Ejecutadas]],"")</f>
        <v>-1</v>
      </c>
      <c r="I24" s="66" t="str">
        <f>IFERROR(VLOOKUP(Tabla4[[#This Row],[Prioridad]],Tabla3[#All],18,0),"")</f>
        <v>TUTORIA</v>
      </c>
      <c r="J24" s="32">
        <f>IFERROR(VLOOKUP(Tabla4[[#This Row],[Prioridad]],Tabla3[#All],20,0),"")</f>
        <v>14</v>
      </c>
      <c r="K24" s="60" t="str">
        <f>IFERROR(VLOOKUP(Tabla4[[#This Row],[Prioridad]],Tabla3[#All],19,0),"")</f>
        <v>Entregas</v>
      </c>
      <c r="L24" s="60">
        <f>IFERROR(VLOOKUP(Tabla4[[#This Row],[Prioridad]],Tabla3[#All],9,0),"")</f>
        <v>0</v>
      </c>
      <c r="M24" s="93">
        <f>+SUMIFS(Tabla4[Avance Hito],Tabla4[Responsable],Tabla4[[#This Row],[Responsable]],Tabla4[Sprint],Tabla4[[#This Row],[Sprint]],Tabla4[Proyecto],Tabla4[[#This Row],[Proyecto]])/COUNTIFS(Tabla4[Responsable],Tabla4[[#This Row],[Responsable]],Tabla4[Sprint],Tabla4[[#This Row],[Sprint]],Tabla4[Proyecto],Tabla4[[#This Row],[Proyecto]])</f>
        <v>1</v>
      </c>
      <c r="N24" s="35">
        <f>+SUMIFS(Tabla4[Avance relativo],Tabla4[Responsable],Tabla4[[#This Row],[Responsable]],Tabla4[Sprint],Tabla4[[#This Row],[Sprint]],Tabla4[Hito],Tabla4[[#This Row],[Hito]])</f>
        <v>1</v>
      </c>
      <c r="O24" s="185">
        <f>VLOOKUP(Tabla4[[#This Row],[Tarea]],Tabla3[[#All],[Num_Ticket]:[Hito]],5,0)</f>
        <v>44459</v>
      </c>
      <c r="P24" s="124">
        <v>44464</v>
      </c>
      <c r="Q24" s="47">
        <f>IF(Tabla4[[#This Row],[Prioridad]]="","",IF(Tabla4[[#This Row],[Hito]]&lt;&gt;"",COUNTIFS(Tabla4[Responsable],Tabla4[[#This Row],[Responsable]],Tabla4[Sprint],Tabla4[[#This Row],[Sprint]],Tabla4[Epica],Tabla4[[#This Row],[Epica]])))</f>
        <v>2</v>
      </c>
      <c r="R24" s="47">
        <f>1*Tabla4[[#This Row],[% Avance]]</f>
        <v>1</v>
      </c>
      <c r="S24" s="47">
        <f>IFERROR(Tabla4[[#This Row],[Total Avance]]/Tabla4[[#This Row],[Conteo_Epica]],0)</f>
        <v>0.5</v>
      </c>
      <c r="T24" s="78">
        <v>1</v>
      </c>
      <c r="U24" s="79">
        <v>4</v>
      </c>
      <c r="V24" s="89" t="s">
        <v>176</v>
      </c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11"/>
      <c r="AQ24" s="10"/>
      <c r="AR24" s="7"/>
      <c r="AS24" s="7"/>
      <c r="AT24" s="7"/>
      <c r="AU24" s="11"/>
      <c r="AV24" s="10"/>
      <c r="AW24" s="7"/>
      <c r="AX24" s="7"/>
      <c r="AY24" s="7"/>
      <c r="AZ24" s="11"/>
      <c r="BA24" s="10"/>
      <c r="BB24" s="7"/>
      <c r="BC24" s="7"/>
      <c r="BD24" s="7"/>
      <c r="BE24" s="11"/>
      <c r="BF24" s="10"/>
      <c r="BG24" s="7"/>
      <c r="BH24" s="7"/>
      <c r="BI24" s="7"/>
      <c r="BJ24" s="11"/>
      <c r="BK24" s="5"/>
      <c r="BL24" s="10"/>
      <c r="BM24" s="7"/>
      <c r="BN24" s="7"/>
      <c r="BO24" s="7"/>
      <c r="BP24" s="7"/>
      <c r="BQ24" s="10"/>
      <c r="BR24" s="7"/>
      <c r="BS24" s="7"/>
      <c r="BT24" s="7"/>
      <c r="BU24" s="11"/>
      <c r="BV24" s="10"/>
      <c r="BW24" s="7"/>
      <c r="BX24" s="7"/>
      <c r="BY24" s="7"/>
      <c r="BZ24" s="11"/>
      <c r="CA24" s="7"/>
      <c r="CB24" s="7"/>
      <c r="CC24" s="7"/>
      <c r="CD24" s="11"/>
      <c r="CE24" s="10"/>
      <c r="CF24" s="7"/>
      <c r="CG24" s="11"/>
      <c r="CH24" s="28"/>
      <c r="CI24" s="10"/>
      <c r="CJ24" s="7"/>
      <c r="CK24" s="7"/>
      <c r="CL24" s="7"/>
      <c r="CM24" s="7"/>
      <c r="CN24" s="10"/>
      <c r="CO24" s="7"/>
      <c r="CP24" s="7"/>
      <c r="CQ24" s="7"/>
      <c r="CR24" s="11"/>
      <c r="CS24" s="10"/>
      <c r="CT24" s="7"/>
      <c r="CU24" s="7"/>
      <c r="CV24" s="7"/>
      <c r="CW24" s="11"/>
      <c r="CX24" s="7"/>
      <c r="CY24" s="7"/>
      <c r="CZ24" s="7"/>
      <c r="DA24" s="7"/>
      <c r="DB24" s="11"/>
      <c r="DC24" s="28"/>
      <c r="DD24" s="10"/>
      <c r="DE24" s="7"/>
      <c r="DF24" s="7"/>
      <c r="DG24" s="7"/>
      <c r="DH24" s="7"/>
      <c r="DI24" s="10"/>
      <c r="DJ24" s="7"/>
      <c r="DK24" s="7"/>
      <c r="DL24" s="7"/>
      <c r="DM24" s="11"/>
      <c r="DN24" s="10"/>
      <c r="DO24" s="7"/>
      <c r="DP24" s="7"/>
      <c r="DQ24" s="7"/>
      <c r="DR24" s="11"/>
      <c r="DS24" s="7"/>
      <c r="DT24" s="7"/>
      <c r="DU24" s="7"/>
      <c r="DV24" s="7"/>
      <c r="DW24" s="11"/>
      <c r="DX24" s="96"/>
      <c r="DY24" s="7"/>
      <c r="DZ24" s="11"/>
      <c r="EA24" s="28"/>
      <c r="EB24" s="10"/>
      <c r="EC24" s="7"/>
      <c r="ED24" s="7"/>
      <c r="EE24" s="11"/>
      <c r="EF24" s="7"/>
      <c r="EG24" s="10"/>
      <c r="EH24" s="7"/>
      <c r="EI24" s="7"/>
      <c r="EJ24" s="11"/>
      <c r="EK24" s="7"/>
      <c r="EL24" s="10"/>
      <c r="EM24" s="7"/>
      <c r="EN24" s="7"/>
      <c r="EO24" s="11"/>
      <c r="EP24" s="7"/>
      <c r="EQ24" s="10"/>
      <c r="ER24" s="7"/>
      <c r="ES24" s="7"/>
      <c r="ET24" s="7"/>
      <c r="EU24" s="11"/>
      <c r="EV24" s="96"/>
      <c r="EW24" s="10"/>
      <c r="EX24" s="7"/>
      <c r="EY24" s="7"/>
      <c r="EZ24" s="7"/>
      <c r="FA24" s="103"/>
      <c r="FB24" s="107"/>
      <c r="FC24" s="10"/>
      <c r="FD24" s="7"/>
      <c r="FE24" s="7"/>
      <c r="FF24" s="7"/>
      <c r="FG24" s="96"/>
      <c r="FH24" s="10"/>
      <c r="FI24" s="7"/>
      <c r="FJ24" s="7"/>
      <c r="FK24" s="7"/>
      <c r="FL24" s="11"/>
      <c r="FM24" s="96"/>
      <c r="FN24" s="10"/>
      <c r="FO24" s="7"/>
      <c r="FP24" s="7"/>
      <c r="FQ24" s="7"/>
      <c r="FR24" s="96"/>
      <c r="FS24" s="10"/>
      <c r="FT24" s="7"/>
      <c r="FU24" s="7"/>
      <c r="FV24" s="7"/>
      <c r="FW24" s="7"/>
      <c r="FX24" s="96"/>
      <c r="FY24" s="114"/>
      <c r="FZ24" s="7"/>
      <c r="GA24" s="7"/>
      <c r="GB24" s="7"/>
      <c r="GC24" s="7"/>
      <c r="GD24" s="96"/>
      <c r="GE24" s="10"/>
      <c r="GF24" s="7"/>
      <c r="GG24" s="7"/>
      <c r="GH24" s="7"/>
      <c r="GI24" s="11"/>
      <c r="GJ24" s="10"/>
      <c r="GK24" s="10"/>
      <c r="GL24" s="7"/>
      <c r="GM24" s="7"/>
      <c r="GN24" s="11"/>
      <c r="GO24" s="96"/>
      <c r="GP24" s="10"/>
      <c r="GQ24" s="7"/>
      <c r="GR24" s="7"/>
      <c r="GS24" s="7"/>
      <c r="GT24" s="11"/>
      <c r="GU24" s="96"/>
      <c r="GV24" s="114"/>
      <c r="GW24" s="7"/>
      <c r="GX24" s="7"/>
      <c r="GY24" s="7"/>
      <c r="GZ24" s="7"/>
      <c r="HA24" s="10"/>
      <c r="HB24" s="10"/>
      <c r="HC24" s="7"/>
      <c r="HD24" s="7"/>
      <c r="HE24" s="7"/>
      <c r="HF24" s="7"/>
      <c r="HG24" s="7"/>
      <c r="HH24" s="96"/>
      <c r="HI24" s="10"/>
      <c r="HJ24" s="7"/>
      <c r="HK24" s="7"/>
      <c r="HL24" s="7"/>
      <c r="HM24" s="7"/>
      <c r="HN24" s="7"/>
      <c r="HO24" s="10"/>
      <c r="HP24" s="10"/>
      <c r="HQ24" s="7"/>
      <c r="HR24" s="7"/>
      <c r="HS24" s="7"/>
      <c r="HT24" s="7"/>
      <c r="HU24" s="11">
        <v>1</v>
      </c>
      <c r="HV24" s="7"/>
      <c r="HW24" s="10"/>
      <c r="HX24" s="7"/>
      <c r="HY24" s="103"/>
      <c r="HZ24" s="7"/>
      <c r="IA24" s="7"/>
      <c r="IB24" s="11"/>
      <c r="IC24" s="11"/>
      <c r="ID24" s="7"/>
      <c r="IE24" s="7"/>
      <c r="IF24" s="7"/>
      <c r="IG24" s="7"/>
      <c r="IH24" s="7"/>
      <c r="II24" s="7"/>
      <c r="IJ24" s="96"/>
      <c r="IK24" s="10"/>
      <c r="IL24" s="7"/>
      <c r="IM24" s="7"/>
      <c r="IN24" s="7"/>
      <c r="IO24" s="7"/>
      <c r="IP24" s="11"/>
      <c r="IQ24" s="96"/>
      <c r="IR24" s="7"/>
      <c r="IS24" s="7"/>
      <c r="IT24" s="7"/>
      <c r="IU24" s="7"/>
      <c r="IV24" s="7"/>
      <c r="IW24" s="7"/>
      <c r="IX24" s="7"/>
      <c r="IY24" s="7"/>
      <c r="IZ24" s="7"/>
      <c r="JA24" s="103"/>
      <c r="JB24" s="7"/>
      <c r="JC24" s="7"/>
      <c r="JD24" s="7"/>
      <c r="JE24" s="7"/>
      <c r="JF24" s="7"/>
      <c r="JG24" s="7"/>
      <c r="JH24" s="7"/>
      <c r="JI24" s="7"/>
      <c r="JJ24" s="7"/>
      <c r="JK24" s="7"/>
      <c r="JL24" s="7"/>
      <c r="JM24" s="7"/>
      <c r="JN24" s="7"/>
      <c r="JO24" s="7"/>
      <c r="JP24" s="7"/>
      <c r="JQ24" s="7"/>
      <c r="JR24" s="7"/>
      <c r="JS24" s="7"/>
      <c r="JT24" s="7"/>
      <c r="JU24" s="7"/>
      <c r="JV24" s="7"/>
      <c r="JW24" s="7"/>
      <c r="JX24" s="103"/>
      <c r="JY24" s="7"/>
      <c r="JZ24" s="7"/>
      <c r="KA24" s="7"/>
      <c r="KB24" s="7"/>
      <c r="KC24" s="7"/>
      <c r="KD24" s="7"/>
      <c r="KE24" s="7"/>
      <c r="KF24" s="7"/>
      <c r="KG24" s="7"/>
      <c r="KH24" s="7"/>
      <c r="KI24" s="7"/>
      <c r="KJ24" s="7"/>
      <c r="KK24" s="7"/>
      <c r="KL24" s="7"/>
      <c r="KM24" s="7"/>
      <c r="KN24" s="7"/>
      <c r="KO24" s="7"/>
      <c r="KP24" s="7"/>
      <c r="KQ24" s="7"/>
      <c r="KR24" s="7"/>
      <c r="KS24" s="7"/>
      <c r="KT24" s="7"/>
      <c r="KU24" s="103"/>
      <c r="KV24" s="7"/>
      <c r="KW24" s="7"/>
      <c r="KX24" s="7"/>
      <c r="KY24" s="7"/>
      <c r="KZ24" s="7"/>
      <c r="LA24" s="7"/>
      <c r="LB24" s="7"/>
      <c r="LC24" s="7"/>
      <c r="LD24" s="7"/>
      <c r="LE24" s="7"/>
      <c r="LF24" s="7"/>
      <c r="LG24" s="7"/>
      <c r="LH24" s="7"/>
      <c r="LI24" s="7"/>
      <c r="LJ24" s="102"/>
      <c r="LK24" s="102"/>
      <c r="LL24" s="102"/>
      <c r="LM24" s="102"/>
      <c r="LN24" s="102"/>
      <c r="LO24" s="102"/>
      <c r="LP24" s="102"/>
      <c r="LQ24" s="102"/>
      <c r="LR24" s="102"/>
    </row>
    <row r="25" spans="1:330" hidden="1" x14ac:dyDescent="0.25">
      <c r="A25" s="5">
        <v>20</v>
      </c>
      <c r="B25" s="66" t="str">
        <f>IFERROR(VLOOKUP(Tabla4[[#This Row],[Prioridad]],Tabla3[#All],2,0),"")</f>
        <v>EdwinV</v>
      </c>
      <c r="C25" s="86" t="str">
        <f>IFERROR(VLOOKUP(Tabla4[[#This Row],[Prioridad]],Tabla3[#All],17,0),"")</f>
        <v>Sprint 2</v>
      </c>
      <c r="D25" s="86" t="str">
        <f>IFERROR(VLOOKUP(Tabla4[[#This Row],[Prioridad]],Tabla3[#All],6,0),"")</f>
        <v>T-021_0</v>
      </c>
      <c r="E25" s="86" t="str">
        <f>+IFERROR(VLOOKUP(Tabla4[[#This Row],[Tarea]],Tabla3[[Num_Ticket]:[Descripción]],2,0),"")</f>
        <v>Cargar evidencia para seguimiento</v>
      </c>
      <c r="F25" s="47">
        <f>IFERROR(VLOOKUP(Tabla4[[#This Row],[Prioridad]],Tabla3[#All],14,0),"")</f>
        <v>0</v>
      </c>
      <c r="G25" s="47">
        <f>IF(Tabla4[[#This Row],[Prioridad]]&lt;&gt;"",SUM(W25:KT25),"")</f>
        <v>1</v>
      </c>
      <c r="H25" s="47">
        <f>IF(Tabla4[[#This Row],[Prioridad]]&lt;&gt;"",Tabla4[[#This Row],[Horas Estimadas]]-Tabla4[[#This Row],[Ejecutadas]],"")</f>
        <v>-1</v>
      </c>
      <c r="I25" s="66" t="str">
        <f>IFERROR(VLOOKUP(Tabla4[[#This Row],[Prioridad]],Tabla3[#All],18,0),"")</f>
        <v>TUTORIA</v>
      </c>
      <c r="J25" s="32">
        <f>IFERROR(VLOOKUP(Tabla4[[#This Row],[Prioridad]],Tabla3[#All],20,0),"")</f>
        <v>14</v>
      </c>
      <c r="K25" s="60" t="str">
        <f>IFERROR(VLOOKUP(Tabla4[[#This Row],[Prioridad]],Tabla3[#All],19,0),"")</f>
        <v>Entregas</v>
      </c>
      <c r="L25" s="60">
        <f>IFERROR(VLOOKUP(Tabla4[[#This Row],[Prioridad]],Tabla3[#All],9,0),"")</f>
        <v>0</v>
      </c>
      <c r="M25" s="93">
        <f>+SUMIFS(Tabla4[Avance Hito],Tabla4[Responsable],Tabla4[[#This Row],[Responsable]],Tabla4[Sprint],Tabla4[[#This Row],[Sprint]],Tabla4[Proyecto],Tabla4[[#This Row],[Proyecto]])/COUNTIFS(Tabla4[Responsable],Tabla4[[#This Row],[Responsable]],Tabla4[Sprint],Tabla4[[#This Row],[Sprint]],Tabla4[Proyecto],Tabla4[[#This Row],[Proyecto]])</f>
        <v>1</v>
      </c>
      <c r="N25" s="35">
        <f>+SUMIFS(Tabla4[Avance relativo],Tabla4[Responsable],Tabla4[[#This Row],[Responsable]],Tabla4[Sprint],Tabla4[[#This Row],[Sprint]],Tabla4[Hito],Tabla4[[#This Row],[Hito]])</f>
        <v>1</v>
      </c>
      <c r="O25" s="185">
        <f>VLOOKUP(Tabla4[[#This Row],[Tarea]],Tabla3[[#All],[Num_Ticket]:[Hito]],5,0)</f>
        <v>44459</v>
      </c>
      <c r="P25" s="124">
        <v>44464</v>
      </c>
      <c r="Q25" s="47">
        <f>IF(Tabla4[[#This Row],[Prioridad]]="","",IF(Tabla4[[#This Row],[Hito]]&lt;&gt;"",COUNTIFS(Tabla4[Responsable],Tabla4[[#This Row],[Responsable]],Tabla4[Sprint],Tabla4[[#This Row],[Sprint]],Tabla4[Epica],Tabla4[[#This Row],[Epica]])))</f>
        <v>2</v>
      </c>
      <c r="R25" s="47">
        <f>1*Tabla4[[#This Row],[% Avance]]</f>
        <v>1</v>
      </c>
      <c r="S25" s="47">
        <f>IFERROR(Tabla4[[#This Row],[Total Avance]]/Tabla4[[#This Row],[Conteo_Epica]],0)</f>
        <v>0.5</v>
      </c>
      <c r="T25" s="78">
        <v>1</v>
      </c>
      <c r="U25" s="79">
        <v>4</v>
      </c>
      <c r="V25" s="89" t="s">
        <v>176</v>
      </c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11"/>
      <c r="AQ25" s="10"/>
      <c r="AR25" s="7"/>
      <c r="AS25" s="7"/>
      <c r="AT25" s="7"/>
      <c r="AU25" s="11"/>
      <c r="AV25" s="10"/>
      <c r="AW25" s="7"/>
      <c r="AX25" s="7"/>
      <c r="AY25" s="7"/>
      <c r="AZ25" s="11"/>
      <c r="BA25" s="10"/>
      <c r="BB25" s="7"/>
      <c r="BC25" s="7"/>
      <c r="BD25" s="7"/>
      <c r="BE25" s="11"/>
      <c r="BF25" s="10"/>
      <c r="BG25" s="7"/>
      <c r="BH25" s="7"/>
      <c r="BI25" s="7"/>
      <c r="BJ25" s="11"/>
      <c r="BK25" s="5"/>
      <c r="BL25" s="10"/>
      <c r="BM25" s="7"/>
      <c r="BN25" s="7"/>
      <c r="BO25" s="7"/>
      <c r="BP25" s="7"/>
      <c r="BQ25" s="10"/>
      <c r="BR25" s="7"/>
      <c r="BS25" s="7"/>
      <c r="BT25" s="7"/>
      <c r="BU25" s="11"/>
      <c r="BV25" s="10"/>
      <c r="BW25" s="7"/>
      <c r="BX25" s="7"/>
      <c r="BY25" s="7"/>
      <c r="BZ25" s="11"/>
      <c r="CA25" s="7"/>
      <c r="CB25" s="7"/>
      <c r="CC25" s="7"/>
      <c r="CD25" s="11"/>
      <c r="CE25" s="10"/>
      <c r="CF25" s="7"/>
      <c r="CG25" s="11"/>
      <c r="CH25" s="28"/>
      <c r="CI25" s="10"/>
      <c r="CJ25" s="7"/>
      <c r="CK25" s="7"/>
      <c r="CL25" s="7"/>
      <c r="CM25" s="7"/>
      <c r="CN25" s="10"/>
      <c r="CO25" s="7"/>
      <c r="CP25" s="7"/>
      <c r="CQ25" s="7"/>
      <c r="CR25" s="11"/>
      <c r="CS25" s="10"/>
      <c r="CT25" s="7"/>
      <c r="CU25" s="7"/>
      <c r="CV25" s="7"/>
      <c r="CW25" s="11"/>
      <c r="CX25" s="7"/>
      <c r="CY25" s="7"/>
      <c r="CZ25" s="7"/>
      <c r="DA25" s="7"/>
      <c r="DB25" s="11"/>
      <c r="DC25" s="28"/>
      <c r="DD25" s="10"/>
      <c r="DE25" s="7"/>
      <c r="DF25" s="7"/>
      <c r="DG25" s="7"/>
      <c r="DH25" s="7"/>
      <c r="DI25" s="10"/>
      <c r="DJ25" s="7"/>
      <c r="DK25" s="7"/>
      <c r="DL25" s="7"/>
      <c r="DM25" s="11"/>
      <c r="DN25" s="10"/>
      <c r="DO25" s="7"/>
      <c r="DP25" s="7"/>
      <c r="DQ25" s="7"/>
      <c r="DR25" s="11"/>
      <c r="DS25" s="7"/>
      <c r="DT25" s="7"/>
      <c r="DU25" s="7"/>
      <c r="DV25" s="7"/>
      <c r="DW25" s="11"/>
      <c r="DX25" s="96"/>
      <c r="DY25" s="7"/>
      <c r="DZ25" s="11"/>
      <c r="EA25" s="28"/>
      <c r="EB25" s="10"/>
      <c r="EC25" s="7"/>
      <c r="ED25" s="7"/>
      <c r="EE25" s="11"/>
      <c r="EF25" s="7"/>
      <c r="EG25" s="10"/>
      <c r="EH25" s="7"/>
      <c r="EI25" s="7"/>
      <c r="EJ25" s="11"/>
      <c r="EK25" s="7"/>
      <c r="EL25" s="10"/>
      <c r="EM25" s="7"/>
      <c r="EN25" s="7"/>
      <c r="EO25" s="11"/>
      <c r="EP25" s="7"/>
      <c r="EQ25" s="10"/>
      <c r="ER25" s="7"/>
      <c r="ES25" s="7"/>
      <c r="ET25" s="7"/>
      <c r="EU25" s="11"/>
      <c r="EV25" s="96"/>
      <c r="EW25" s="10"/>
      <c r="EX25" s="7"/>
      <c r="EY25" s="7"/>
      <c r="EZ25" s="7"/>
      <c r="FA25" s="103"/>
      <c r="FB25" s="107"/>
      <c r="FC25" s="10"/>
      <c r="FD25" s="7"/>
      <c r="FE25" s="7"/>
      <c r="FF25" s="7"/>
      <c r="FG25" s="96"/>
      <c r="FH25" s="10"/>
      <c r="FI25" s="7"/>
      <c r="FJ25" s="7"/>
      <c r="FK25" s="7"/>
      <c r="FL25" s="11"/>
      <c r="FM25" s="96"/>
      <c r="FN25" s="10"/>
      <c r="FO25" s="7"/>
      <c r="FP25" s="7"/>
      <c r="FQ25" s="7"/>
      <c r="FR25" s="96"/>
      <c r="FS25" s="10"/>
      <c r="FT25" s="7"/>
      <c r="FU25" s="7"/>
      <c r="FV25" s="7"/>
      <c r="FW25" s="7"/>
      <c r="FX25" s="96"/>
      <c r="FY25" s="114"/>
      <c r="FZ25" s="7"/>
      <c r="GA25" s="7"/>
      <c r="GB25" s="7"/>
      <c r="GC25" s="7"/>
      <c r="GD25" s="96"/>
      <c r="GE25" s="10"/>
      <c r="GF25" s="7"/>
      <c r="GG25" s="7"/>
      <c r="GH25" s="7"/>
      <c r="GI25" s="11"/>
      <c r="GJ25" s="10"/>
      <c r="GK25" s="10"/>
      <c r="GL25" s="7"/>
      <c r="GM25" s="7"/>
      <c r="GN25" s="11"/>
      <c r="GO25" s="96"/>
      <c r="GP25" s="10"/>
      <c r="GQ25" s="7"/>
      <c r="GR25" s="7"/>
      <c r="GS25" s="7"/>
      <c r="GT25" s="11"/>
      <c r="GU25" s="96"/>
      <c r="GV25" s="114"/>
      <c r="GW25" s="7"/>
      <c r="GX25" s="7"/>
      <c r="GY25" s="7"/>
      <c r="GZ25" s="7"/>
      <c r="HA25" s="10"/>
      <c r="HB25" s="10"/>
      <c r="HC25" s="7"/>
      <c r="HD25" s="7"/>
      <c r="HE25" s="7"/>
      <c r="HF25" s="7"/>
      <c r="HG25" s="7"/>
      <c r="HH25" s="96"/>
      <c r="HI25" s="10"/>
      <c r="HJ25" s="7"/>
      <c r="HK25" s="7"/>
      <c r="HL25" s="7"/>
      <c r="HM25" s="7"/>
      <c r="HN25" s="7"/>
      <c r="HO25" s="10"/>
      <c r="HP25" s="10"/>
      <c r="HQ25" s="7"/>
      <c r="HR25" s="7"/>
      <c r="HS25" s="7"/>
      <c r="HT25" s="7"/>
      <c r="HU25" s="11">
        <v>1</v>
      </c>
      <c r="HV25" s="7"/>
      <c r="HW25" s="10"/>
      <c r="HX25" s="7"/>
      <c r="HY25" s="103"/>
      <c r="HZ25" s="7"/>
      <c r="IA25" s="7"/>
      <c r="IB25" s="11"/>
      <c r="IC25" s="11"/>
      <c r="ID25" s="7"/>
      <c r="IE25" s="7"/>
      <c r="IF25" s="7"/>
      <c r="IG25" s="7"/>
      <c r="IH25" s="7"/>
      <c r="II25" s="7"/>
      <c r="IJ25" s="96"/>
      <c r="IK25" s="10"/>
      <c r="IL25" s="7"/>
      <c r="IM25" s="7"/>
      <c r="IN25" s="7"/>
      <c r="IO25" s="7"/>
      <c r="IP25" s="11"/>
      <c r="IQ25" s="96"/>
      <c r="IR25" s="7"/>
      <c r="IS25" s="7"/>
      <c r="IT25" s="7"/>
      <c r="IU25" s="7"/>
      <c r="IV25" s="7"/>
      <c r="IW25" s="7"/>
      <c r="IX25" s="7"/>
      <c r="IY25" s="7"/>
      <c r="IZ25" s="7"/>
      <c r="JA25" s="103"/>
      <c r="JB25" s="7"/>
      <c r="JC25" s="7"/>
      <c r="JD25" s="7"/>
      <c r="JE25" s="7"/>
      <c r="JF25" s="7"/>
      <c r="JG25" s="7"/>
      <c r="JH25" s="7"/>
      <c r="JI25" s="7"/>
      <c r="JJ25" s="7"/>
      <c r="JK25" s="7"/>
      <c r="JL25" s="7"/>
      <c r="JM25" s="7"/>
      <c r="JN25" s="7"/>
      <c r="JO25" s="7"/>
      <c r="JP25" s="7"/>
      <c r="JQ25" s="7"/>
      <c r="JR25" s="7"/>
      <c r="JS25" s="7"/>
      <c r="JT25" s="7"/>
      <c r="JU25" s="7"/>
      <c r="JV25" s="7"/>
      <c r="JW25" s="7"/>
      <c r="JX25" s="103"/>
      <c r="JY25" s="7"/>
      <c r="JZ25" s="7"/>
      <c r="KA25" s="7"/>
      <c r="KB25" s="7"/>
      <c r="KC25" s="7"/>
      <c r="KD25" s="7"/>
      <c r="KE25" s="7"/>
      <c r="KF25" s="7"/>
      <c r="KG25" s="7"/>
      <c r="KH25" s="7"/>
      <c r="KI25" s="7"/>
      <c r="KJ25" s="7"/>
      <c r="KK25" s="7"/>
      <c r="KL25" s="7"/>
      <c r="KM25" s="7"/>
      <c r="KN25" s="7"/>
      <c r="KO25" s="7"/>
      <c r="KP25" s="7"/>
      <c r="KQ25" s="7"/>
      <c r="KR25" s="7"/>
      <c r="KS25" s="7"/>
      <c r="KT25" s="7"/>
      <c r="KU25" s="103"/>
      <c r="KV25" s="7"/>
      <c r="KW25" s="7"/>
      <c r="KX25" s="7"/>
      <c r="KY25" s="7"/>
      <c r="KZ25" s="7"/>
      <c r="LA25" s="7"/>
      <c r="LB25" s="7"/>
      <c r="LC25" s="7"/>
      <c r="LD25" s="7"/>
      <c r="LE25" s="7"/>
      <c r="LF25" s="7"/>
      <c r="LG25" s="7"/>
      <c r="LH25" s="7"/>
      <c r="LI25" s="7"/>
      <c r="LJ25" s="102"/>
      <c r="LK25" s="102"/>
      <c r="LL25" s="102"/>
      <c r="LM25" s="102"/>
      <c r="LN25" s="102"/>
      <c r="LO25" s="102"/>
      <c r="LP25" s="102"/>
      <c r="LQ25" s="102"/>
      <c r="LR25" s="102"/>
    </row>
    <row r="26" spans="1:330" x14ac:dyDescent="0.25">
      <c r="A26" s="5">
        <v>21</v>
      </c>
      <c r="B26" s="66" t="str">
        <f>IFERROR(VLOOKUP(Tabla4[[#This Row],[Prioridad]],Tabla3[#All],2,0),"")</f>
        <v>EQUIPO</v>
      </c>
      <c r="C26" s="86" t="str">
        <f>IFERROR(VLOOKUP(Tabla4[[#This Row],[Prioridad]],Tabla3[#All],17,0),"")</f>
        <v>Sprint 3</v>
      </c>
      <c r="D26" s="86" t="str">
        <f>IFERROR(VLOOKUP(Tabla4[[#This Row],[Prioridad]],Tabla3[#All],6,0),"")</f>
        <v>T-021</v>
      </c>
      <c r="E26" s="86" t="str">
        <f>+IFERROR(VLOOKUP(Tabla4[[#This Row],[Tarea]],Tabla3[[Num_Ticket]:[Descripción]],2,0),"")</f>
        <v>Planeación Sprint 3 - Interfaz Gráfica y Capa de Dominio</v>
      </c>
      <c r="F26" s="47">
        <f>IFERROR(VLOOKUP(Tabla4[[#This Row],[Prioridad]],Tabla3[#All],14,0),"")</f>
        <v>2</v>
      </c>
      <c r="G26" s="47">
        <f>IF(Tabla4[[#This Row],[Prioridad]]&lt;&gt;"",SUM(W26:KT26),"")</f>
        <v>1</v>
      </c>
      <c r="H26" s="47">
        <f>IF(Tabla4[[#This Row],[Prioridad]]&lt;&gt;"",Tabla4[[#This Row],[Horas Estimadas]]-Tabla4[[#This Row],[Ejecutadas]],"")</f>
        <v>1</v>
      </c>
      <c r="I26" s="66" t="str">
        <f>IFERROR(VLOOKUP(Tabla4[[#This Row],[Prioridad]],Tabla3[#All],18,0),"")</f>
        <v>DESARROLLO APLICACIÓN</v>
      </c>
      <c r="J26" s="32">
        <f>IFERROR(VLOOKUP(Tabla4[[#This Row],[Prioridad]],Tabla3[#All],20,0),"")</f>
        <v>1</v>
      </c>
      <c r="K26" s="60" t="str">
        <f>IFERROR(VLOOKUP(Tabla4[[#This Row],[Prioridad]],Tabla3[#All],19,0),"")</f>
        <v>Planeación</v>
      </c>
      <c r="L26" s="60" t="str">
        <f>IFERROR(VLOOKUP(Tabla4[[#This Row],[Prioridad]],Tabla3[#All],9,0),"")</f>
        <v>Reunión</v>
      </c>
      <c r="M26" s="93">
        <f>+SUMIFS(Tabla4[Avance Hito],Tabla4[Responsable],Tabla4[[#This Row],[Responsable]],Tabla4[Sprint],Tabla4[[#This Row],[Sprint]],Tabla4[Proyecto],Tabla4[[#This Row],[Proyecto]])/COUNTIFS(Tabla4[Responsable],Tabla4[[#This Row],[Responsable]],Tabla4[Sprint],Tabla4[[#This Row],[Sprint]],Tabla4[Proyecto],Tabla4[[#This Row],[Proyecto]])</f>
        <v>1</v>
      </c>
      <c r="N26" s="35">
        <f>+SUMIFS(Tabla4[Avance relativo],Tabla4[Responsable],Tabla4[[#This Row],[Responsable]],Tabla4[Sprint],Tabla4[[#This Row],[Sprint]],Tabla4[Hito],Tabla4[[#This Row],[Hito]])</f>
        <v>1</v>
      </c>
      <c r="O26" s="196">
        <f>VLOOKUP(Tabla4[[#This Row],[Tarea]],Tabla3[[#All],[Num_Ticket]:[Hito]],5,0)</f>
        <v>44464</v>
      </c>
      <c r="P26" s="199">
        <v>44464</v>
      </c>
      <c r="Q26" s="47">
        <f>IF(Tabla4[[#This Row],[Prioridad]]="","",IF(Tabla4[[#This Row],[Hito]]&lt;&gt;"",COUNTIFS(Tabla4[Responsable],Tabla4[[#This Row],[Responsable]],Tabla4[Sprint],Tabla4[[#This Row],[Sprint]],Tabla4[Epica],Tabla4[[#This Row],[Epica]])))</f>
        <v>1</v>
      </c>
      <c r="R26" s="47">
        <f>1*Tabla4[[#This Row],[% Avance]]</f>
        <v>1</v>
      </c>
      <c r="S26" s="47">
        <f>IFERROR(Tabla4[[#This Row],[Total Avance]]/Tabla4[[#This Row],[Conteo_Epica]],0)</f>
        <v>1</v>
      </c>
      <c r="T26" s="35">
        <v>1</v>
      </c>
      <c r="U26" s="197">
        <v>5</v>
      </c>
      <c r="V26" s="198" t="s">
        <v>178</v>
      </c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11"/>
      <c r="AQ26" s="10"/>
      <c r="AR26" s="7"/>
      <c r="AS26" s="7"/>
      <c r="AT26" s="7"/>
      <c r="AU26" s="11"/>
      <c r="AV26" s="10"/>
      <c r="AW26" s="7"/>
      <c r="AX26" s="7"/>
      <c r="AY26" s="7"/>
      <c r="AZ26" s="11"/>
      <c r="BA26" s="10"/>
      <c r="BB26" s="7"/>
      <c r="BC26" s="7"/>
      <c r="BD26" s="7"/>
      <c r="BE26" s="11"/>
      <c r="BF26" s="10"/>
      <c r="BG26" s="7"/>
      <c r="BH26" s="7"/>
      <c r="BI26" s="7"/>
      <c r="BJ26" s="11"/>
      <c r="BK26" s="5"/>
      <c r="BL26" s="10"/>
      <c r="BM26" s="7"/>
      <c r="BN26" s="7"/>
      <c r="BO26" s="7"/>
      <c r="BP26" s="7"/>
      <c r="BQ26" s="10"/>
      <c r="BR26" s="7"/>
      <c r="BS26" s="7"/>
      <c r="BT26" s="7"/>
      <c r="BU26" s="11"/>
      <c r="BV26" s="10"/>
      <c r="BW26" s="7"/>
      <c r="BX26" s="7"/>
      <c r="BY26" s="7"/>
      <c r="BZ26" s="11"/>
      <c r="CA26" s="7"/>
      <c r="CB26" s="7"/>
      <c r="CC26" s="7"/>
      <c r="CD26" s="11"/>
      <c r="CE26" s="10"/>
      <c r="CF26" s="7"/>
      <c r="CG26" s="11"/>
      <c r="CH26" s="28"/>
      <c r="CI26" s="10"/>
      <c r="CJ26" s="7"/>
      <c r="CK26" s="7"/>
      <c r="CL26" s="7"/>
      <c r="CM26" s="7"/>
      <c r="CN26" s="10"/>
      <c r="CO26" s="7"/>
      <c r="CP26" s="7"/>
      <c r="CQ26" s="7"/>
      <c r="CR26" s="11"/>
      <c r="CS26" s="10"/>
      <c r="CT26" s="7"/>
      <c r="CU26" s="7"/>
      <c r="CV26" s="7"/>
      <c r="CW26" s="11"/>
      <c r="CX26" s="7"/>
      <c r="CY26" s="7"/>
      <c r="CZ26" s="7"/>
      <c r="DA26" s="7"/>
      <c r="DB26" s="11"/>
      <c r="DC26" s="28"/>
      <c r="DD26" s="10"/>
      <c r="DE26" s="7"/>
      <c r="DF26" s="7"/>
      <c r="DG26" s="7"/>
      <c r="DH26" s="7"/>
      <c r="DI26" s="10"/>
      <c r="DJ26" s="7"/>
      <c r="DK26" s="7"/>
      <c r="DL26" s="7"/>
      <c r="DM26" s="11"/>
      <c r="DN26" s="10"/>
      <c r="DO26" s="7"/>
      <c r="DP26" s="7"/>
      <c r="DQ26" s="7"/>
      <c r="DR26" s="11"/>
      <c r="DS26" s="7"/>
      <c r="DT26" s="7"/>
      <c r="DU26" s="7"/>
      <c r="DV26" s="7"/>
      <c r="DW26" s="11"/>
      <c r="DX26" s="96"/>
      <c r="DY26" s="7"/>
      <c r="DZ26" s="11"/>
      <c r="EA26" s="28"/>
      <c r="EB26" s="10"/>
      <c r="EC26" s="7"/>
      <c r="ED26" s="7"/>
      <c r="EE26" s="11"/>
      <c r="EF26" s="7"/>
      <c r="EG26" s="10"/>
      <c r="EH26" s="7"/>
      <c r="EI26" s="7"/>
      <c r="EJ26" s="11"/>
      <c r="EK26" s="7"/>
      <c r="EL26" s="10"/>
      <c r="EM26" s="7"/>
      <c r="EN26" s="7"/>
      <c r="EO26" s="11"/>
      <c r="EP26" s="7"/>
      <c r="EQ26" s="10"/>
      <c r="ER26" s="7"/>
      <c r="ES26" s="7"/>
      <c r="ET26" s="7"/>
      <c r="EU26" s="11"/>
      <c r="EV26" s="96"/>
      <c r="EW26" s="10"/>
      <c r="EX26" s="7"/>
      <c r="EY26" s="7"/>
      <c r="EZ26" s="7"/>
      <c r="FA26" s="103"/>
      <c r="FB26" s="107"/>
      <c r="FC26" s="10"/>
      <c r="FD26" s="7"/>
      <c r="FE26" s="7"/>
      <c r="FF26" s="7"/>
      <c r="FG26" s="96"/>
      <c r="FH26" s="10"/>
      <c r="FI26" s="7"/>
      <c r="FJ26" s="7"/>
      <c r="FK26" s="7"/>
      <c r="FL26" s="11"/>
      <c r="FM26" s="96"/>
      <c r="FN26" s="10"/>
      <c r="FO26" s="7"/>
      <c r="FP26" s="7"/>
      <c r="FQ26" s="7"/>
      <c r="FR26" s="96"/>
      <c r="FS26" s="10"/>
      <c r="FT26" s="7"/>
      <c r="FU26" s="7"/>
      <c r="FV26" s="7"/>
      <c r="FW26" s="7"/>
      <c r="FX26" s="96"/>
      <c r="FY26" s="114"/>
      <c r="FZ26" s="7"/>
      <c r="GA26" s="7"/>
      <c r="GB26" s="7"/>
      <c r="GC26" s="7"/>
      <c r="GD26" s="96"/>
      <c r="GE26" s="10"/>
      <c r="GF26" s="7"/>
      <c r="GG26" s="7"/>
      <c r="GH26" s="7"/>
      <c r="GI26" s="11"/>
      <c r="GJ26" s="10"/>
      <c r="GK26" s="10"/>
      <c r="GL26" s="7"/>
      <c r="GM26" s="7"/>
      <c r="GN26" s="11"/>
      <c r="GO26" s="96"/>
      <c r="GP26" s="10"/>
      <c r="GQ26" s="7"/>
      <c r="GR26" s="7"/>
      <c r="GS26" s="7"/>
      <c r="GT26" s="11"/>
      <c r="GU26" s="96"/>
      <c r="GV26" s="114"/>
      <c r="GW26" s="7"/>
      <c r="GX26" s="7"/>
      <c r="GY26" s="7"/>
      <c r="GZ26" s="7"/>
      <c r="HA26" s="10"/>
      <c r="HB26" s="10"/>
      <c r="HC26" s="7"/>
      <c r="HD26" s="7"/>
      <c r="HE26" s="7"/>
      <c r="HF26" s="7"/>
      <c r="HG26" s="7"/>
      <c r="HH26" s="96"/>
      <c r="HI26" s="10"/>
      <c r="HJ26" s="7"/>
      <c r="HK26" s="7"/>
      <c r="HL26" s="7"/>
      <c r="HM26" s="7"/>
      <c r="HN26" s="7"/>
      <c r="HO26" s="10"/>
      <c r="HP26" s="10"/>
      <c r="HQ26" s="7"/>
      <c r="HR26" s="7"/>
      <c r="HS26" s="7"/>
      <c r="HT26" s="7"/>
      <c r="HU26" s="11">
        <v>1</v>
      </c>
      <c r="HV26" s="7"/>
      <c r="HW26" s="10"/>
      <c r="HX26" s="7"/>
      <c r="HY26" s="103"/>
      <c r="HZ26" s="7"/>
      <c r="IA26" s="7"/>
      <c r="IB26" s="11"/>
      <c r="IC26" s="11"/>
      <c r="ID26" s="7"/>
      <c r="IE26" s="7"/>
      <c r="IF26" s="7"/>
      <c r="IG26" s="7"/>
      <c r="IH26" s="7"/>
      <c r="II26" s="7"/>
      <c r="IJ26" s="96"/>
      <c r="IK26" s="10"/>
      <c r="IL26" s="7"/>
      <c r="IM26" s="7"/>
      <c r="IN26" s="7"/>
      <c r="IO26" s="7"/>
      <c r="IP26" s="11"/>
      <c r="IQ26" s="96"/>
      <c r="IR26" s="7"/>
      <c r="IS26" s="7"/>
      <c r="IT26" s="7"/>
      <c r="IU26" s="7"/>
      <c r="IV26" s="7"/>
      <c r="IW26" s="7"/>
      <c r="IX26" s="7"/>
      <c r="IY26" s="7"/>
      <c r="IZ26" s="7"/>
      <c r="JA26" s="103"/>
      <c r="JB26" s="7"/>
      <c r="JC26" s="7"/>
      <c r="JD26" s="7"/>
      <c r="JE26" s="7"/>
      <c r="JF26" s="7"/>
      <c r="JG26" s="7"/>
      <c r="JH26" s="7"/>
      <c r="JI26" s="7"/>
      <c r="JJ26" s="7"/>
      <c r="JK26" s="7"/>
      <c r="JL26" s="7"/>
      <c r="JM26" s="7"/>
      <c r="JN26" s="7"/>
      <c r="JO26" s="7"/>
      <c r="JP26" s="7"/>
      <c r="JQ26" s="7"/>
      <c r="JR26" s="7"/>
      <c r="JS26" s="7"/>
      <c r="JT26" s="7"/>
      <c r="JU26" s="7"/>
      <c r="JV26" s="7"/>
      <c r="JW26" s="7"/>
      <c r="JX26" s="103"/>
      <c r="JY26" s="7"/>
      <c r="JZ26" s="7"/>
      <c r="KA26" s="7"/>
      <c r="KB26" s="7"/>
      <c r="KC26" s="7"/>
      <c r="KD26" s="7"/>
      <c r="KE26" s="7"/>
      <c r="KF26" s="7"/>
      <c r="KG26" s="7"/>
      <c r="KH26" s="7"/>
      <c r="KI26" s="7"/>
      <c r="KJ26" s="7"/>
      <c r="KK26" s="7"/>
      <c r="KL26" s="7"/>
      <c r="KM26" s="7"/>
      <c r="KN26" s="7"/>
      <c r="KO26" s="7"/>
      <c r="KP26" s="7"/>
      <c r="KQ26" s="7"/>
      <c r="KR26" s="7"/>
      <c r="KS26" s="7"/>
      <c r="KT26" s="7"/>
      <c r="KU26" s="103"/>
      <c r="KV26" s="7"/>
      <c r="KW26" s="7"/>
      <c r="KX26" s="7"/>
      <c r="KY26" s="7"/>
      <c r="KZ26" s="7"/>
      <c r="LA26" s="7"/>
      <c r="LB26" s="7"/>
      <c r="LC26" s="7"/>
      <c r="LD26" s="7"/>
      <c r="LE26" s="7"/>
      <c r="LF26" s="7"/>
      <c r="LG26" s="7"/>
      <c r="LH26" s="7"/>
      <c r="LI26" s="7"/>
      <c r="LJ26" s="102"/>
      <c r="LK26" s="102"/>
      <c r="LL26" s="102"/>
      <c r="LM26" s="102"/>
      <c r="LN26" s="102"/>
      <c r="LO26" s="102"/>
      <c r="LP26" s="102"/>
      <c r="LQ26" s="102"/>
      <c r="LR26" s="102"/>
    </row>
    <row r="27" spans="1:330" x14ac:dyDescent="0.25">
      <c r="A27" s="5">
        <v>22</v>
      </c>
      <c r="B27" s="66" t="str">
        <f>IFERROR(VLOOKUP(Tabla4[[#This Row],[Prioridad]],Tabla3[#All],2,0),"")</f>
        <v>EQUIPO</v>
      </c>
      <c r="C27" s="86" t="str">
        <f>IFERROR(VLOOKUP(Tabla4[[#This Row],[Prioridad]],Tabla3[#All],17,0),"")</f>
        <v>Sprint 3</v>
      </c>
      <c r="D27" s="86" t="str">
        <f>IFERROR(VLOOKUP(Tabla4[[#This Row],[Prioridad]],Tabla3[#All],6,0),"")</f>
        <v>T-022</v>
      </c>
      <c r="E27" s="86" t="str">
        <f>+IFERROR(VLOOKUP(Tabla4[[#This Row],[Tarea]],Tabla3[[Num_Ticket]:[Descripción]],2,0),"")</f>
        <v>Crear prototipos de las funcionalidades</v>
      </c>
      <c r="F27" s="47">
        <f>IFERROR(VLOOKUP(Tabla4[[#This Row],[Prioridad]],Tabla3[#All],14,0),"")</f>
        <v>4</v>
      </c>
      <c r="G27" s="47">
        <f>IF(Tabla4[[#This Row],[Prioridad]]&lt;&gt;"",SUM(W27:KT27),"")</f>
        <v>2</v>
      </c>
      <c r="H27" s="47">
        <f>IF(Tabla4[[#This Row],[Prioridad]]&lt;&gt;"",Tabla4[[#This Row],[Horas Estimadas]]-Tabla4[[#This Row],[Ejecutadas]],"")</f>
        <v>2</v>
      </c>
      <c r="I27" s="66" t="str">
        <f>IFERROR(VLOOKUP(Tabla4[[#This Row],[Prioridad]],Tabla3[#All],18,0),"")</f>
        <v>DESARROLLO APLICACIÓN</v>
      </c>
      <c r="J27" s="32">
        <f>IFERROR(VLOOKUP(Tabla4[[#This Row],[Prioridad]],Tabla3[#All],20,0),"")</f>
        <v>6</v>
      </c>
      <c r="K27" s="60" t="str">
        <f>IFERROR(VLOOKUP(Tabla4[[#This Row],[Prioridad]],Tabla3[#All],19,0),"")</f>
        <v>Diseño funcionales</v>
      </c>
      <c r="L27" s="60" t="str">
        <f>IFERROR(VLOOKUP(Tabla4[[#This Row],[Prioridad]],Tabla3[#All],9,0),"")</f>
        <v>Tarea</v>
      </c>
      <c r="M27" s="93">
        <f>+SUMIFS(Tabla4[Avance Hito],Tabla4[Responsable],Tabla4[[#This Row],[Responsable]],Tabla4[Sprint],Tabla4[[#This Row],[Sprint]],Tabla4[Proyecto],Tabla4[[#This Row],[Proyecto]])/COUNTIFS(Tabla4[Responsable],Tabla4[[#This Row],[Responsable]],Tabla4[Sprint],Tabla4[[#This Row],[Sprint]],Tabla4[Proyecto],Tabla4[[#This Row],[Proyecto]])</f>
        <v>1</v>
      </c>
      <c r="N27" s="35">
        <f>+SUMIFS(Tabla4[Avance relativo],Tabla4[Responsable],Tabla4[[#This Row],[Responsable]],Tabla4[Sprint],Tabla4[[#This Row],[Sprint]],Tabla4[Hito],Tabla4[[#This Row],[Hito]])</f>
        <v>1</v>
      </c>
      <c r="O27" s="196">
        <f>VLOOKUP(Tabla4[[#This Row],[Tarea]],Tabla3[[#All],[Num_Ticket]:[Hito]],5,0)</f>
        <v>44466</v>
      </c>
      <c r="P27" s="199">
        <v>44466</v>
      </c>
      <c r="Q27" s="47">
        <f>IF(Tabla4[[#This Row],[Prioridad]]="","",IF(Tabla4[[#This Row],[Hito]]&lt;&gt;"",COUNTIFS(Tabla4[Responsable],Tabla4[[#This Row],[Responsable]],Tabla4[Sprint],Tabla4[[#This Row],[Sprint]],Tabla4[Epica],Tabla4[[#This Row],[Epica]])))</f>
        <v>1</v>
      </c>
      <c r="R27" s="47">
        <f>1*Tabla4[[#This Row],[% Avance]]</f>
        <v>1</v>
      </c>
      <c r="S27" s="47">
        <f>IFERROR(Tabla4[[#This Row],[Total Avance]]/Tabla4[[#This Row],[Conteo_Epica]],0)</f>
        <v>1</v>
      </c>
      <c r="T27" s="35">
        <v>1</v>
      </c>
      <c r="U27" s="197">
        <v>5</v>
      </c>
      <c r="V27" s="198" t="s">
        <v>178</v>
      </c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11"/>
      <c r="AQ27" s="10"/>
      <c r="AR27" s="7"/>
      <c r="AS27" s="7"/>
      <c r="AT27" s="7"/>
      <c r="AU27" s="11"/>
      <c r="AV27" s="10"/>
      <c r="AW27" s="7"/>
      <c r="AX27" s="7"/>
      <c r="AY27" s="7"/>
      <c r="AZ27" s="11"/>
      <c r="BA27" s="10"/>
      <c r="BB27" s="7"/>
      <c r="BC27" s="7"/>
      <c r="BD27" s="7"/>
      <c r="BE27" s="11"/>
      <c r="BF27" s="10"/>
      <c r="BG27" s="7"/>
      <c r="BH27" s="7"/>
      <c r="BI27" s="7"/>
      <c r="BJ27" s="11"/>
      <c r="BK27" s="5"/>
      <c r="BL27" s="10"/>
      <c r="BM27" s="7"/>
      <c r="BN27" s="7"/>
      <c r="BO27" s="7"/>
      <c r="BP27" s="7"/>
      <c r="BQ27" s="10"/>
      <c r="BR27" s="7"/>
      <c r="BS27" s="7"/>
      <c r="BT27" s="7"/>
      <c r="BU27" s="11"/>
      <c r="BV27" s="10"/>
      <c r="BW27" s="7"/>
      <c r="BX27" s="7"/>
      <c r="BY27" s="7"/>
      <c r="BZ27" s="11"/>
      <c r="CA27" s="7"/>
      <c r="CB27" s="7"/>
      <c r="CC27" s="7"/>
      <c r="CD27" s="11"/>
      <c r="CE27" s="10"/>
      <c r="CF27" s="7"/>
      <c r="CG27" s="11"/>
      <c r="CH27" s="28"/>
      <c r="CI27" s="10"/>
      <c r="CJ27" s="7"/>
      <c r="CK27" s="7"/>
      <c r="CL27" s="7"/>
      <c r="CM27" s="7"/>
      <c r="CN27" s="10"/>
      <c r="CO27" s="7"/>
      <c r="CP27" s="7"/>
      <c r="CQ27" s="7"/>
      <c r="CR27" s="11"/>
      <c r="CS27" s="10"/>
      <c r="CT27" s="7"/>
      <c r="CU27" s="7"/>
      <c r="CV27" s="7"/>
      <c r="CW27" s="11"/>
      <c r="CX27" s="7"/>
      <c r="CY27" s="7"/>
      <c r="CZ27" s="7"/>
      <c r="DA27" s="7"/>
      <c r="DB27" s="11"/>
      <c r="DC27" s="28"/>
      <c r="DD27" s="10"/>
      <c r="DE27" s="7"/>
      <c r="DF27" s="7"/>
      <c r="DG27" s="7"/>
      <c r="DH27" s="7"/>
      <c r="DI27" s="10"/>
      <c r="DJ27" s="7"/>
      <c r="DK27" s="7"/>
      <c r="DL27" s="7"/>
      <c r="DM27" s="11"/>
      <c r="DN27" s="10"/>
      <c r="DO27" s="7"/>
      <c r="DP27" s="7"/>
      <c r="DQ27" s="7"/>
      <c r="DR27" s="11"/>
      <c r="DS27" s="7"/>
      <c r="DT27" s="7"/>
      <c r="DU27" s="7"/>
      <c r="DV27" s="7"/>
      <c r="DW27" s="11"/>
      <c r="DX27" s="96"/>
      <c r="DY27" s="7"/>
      <c r="DZ27" s="11"/>
      <c r="EA27" s="28"/>
      <c r="EB27" s="10"/>
      <c r="EC27" s="7"/>
      <c r="ED27" s="7"/>
      <c r="EE27" s="11"/>
      <c r="EF27" s="7"/>
      <c r="EG27" s="10"/>
      <c r="EH27" s="7"/>
      <c r="EI27" s="7"/>
      <c r="EJ27" s="11"/>
      <c r="EK27" s="7"/>
      <c r="EL27" s="10"/>
      <c r="EM27" s="7"/>
      <c r="EN27" s="7"/>
      <c r="EO27" s="11"/>
      <c r="EP27" s="7"/>
      <c r="EQ27" s="10"/>
      <c r="ER27" s="7"/>
      <c r="ES27" s="7"/>
      <c r="ET27" s="7"/>
      <c r="EU27" s="11"/>
      <c r="EV27" s="96"/>
      <c r="EW27" s="10"/>
      <c r="EX27" s="7"/>
      <c r="EY27" s="7"/>
      <c r="EZ27" s="7"/>
      <c r="FA27" s="103"/>
      <c r="FB27" s="107"/>
      <c r="FC27" s="10"/>
      <c r="FD27" s="7"/>
      <c r="FE27" s="7"/>
      <c r="FF27" s="7"/>
      <c r="FG27" s="96"/>
      <c r="FH27" s="10"/>
      <c r="FI27" s="7"/>
      <c r="FJ27" s="7"/>
      <c r="FK27" s="7"/>
      <c r="FL27" s="11"/>
      <c r="FM27" s="96"/>
      <c r="FN27" s="10"/>
      <c r="FO27" s="7"/>
      <c r="FP27" s="7"/>
      <c r="FQ27" s="7"/>
      <c r="FR27" s="96"/>
      <c r="FS27" s="10"/>
      <c r="FT27" s="7"/>
      <c r="FU27" s="7"/>
      <c r="FV27" s="7"/>
      <c r="FW27" s="7"/>
      <c r="FX27" s="96"/>
      <c r="FY27" s="114"/>
      <c r="FZ27" s="7"/>
      <c r="GA27" s="7"/>
      <c r="GB27" s="7"/>
      <c r="GC27" s="7"/>
      <c r="GD27" s="96"/>
      <c r="GE27" s="10"/>
      <c r="GF27" s="7"/>
      <c r="GG27" s="7"/>
      <c r="GH27" s="7"/>
      <c r="GI27" s="11"/>
      <c r="GJ27" s="10"/>
      <c r="GK27" s="10"/>
      <c r="GL27" s="7"/>
      <c r="GM27" s="7"/>
      <c r="GN27" s="11"/>
      <c r="GO27" s="96"/>
      <c r="GP27" s="10"/>
      <c r="GQ27" s="7"/>
      <c r="GR27" s="7"/>
      <c r="GS27" s="7"/>
      <c r="GT27" s="11"/>
      <c r="GU27" s="96"/>
      <c r="GV27" s="114"/>
      <c r="GW27" s="7"/>
      <c r="GX27" s="7"/>
      <c r="GY27" s="7"/>
      <c r="GZ27" s="7"/>
      <c r="HA27" s="10"/>
      <c r="HB27" s="10"/>
      <c r="HC27" s="7"/>
      <c r="HD27" s="7"/>
      <c r="HE27" s="7"/>
      <c r="HF27" s="7"/>
      <c r="HG27" s="7"/>
      <c r="HH27" s="96"/>
      <c r="HI27" s="10"/>
      <c r="HJ27" s="7"/>
      <c r="HK27" s="7"/>
      <c r="HL27" s="7"/>
      <c r="HM27" s="7"/>
      <c r="HN27" s="7"/>
      <c r="HO27" s="10"/>
      <c r="HP27" s="10"/>
      <c r="HQ27" s="7"/>
      <c r="HR27" s="7"/>
      <c r="HS27" s="7"/>
      <c r="HT27" s="7"/>
      <c r="HU27" s="11">
        <v>1</v>
      </c>
      <c r="HV27" s="7"/>
      <c r="HW27" s="10">
        <v>1</v>
      </c>
      <c r="HX27" s="7"/>
      <c r="HY27" s="103"/>
      <c r="HZ27" s="7"/>
      <c r="IA27" s="7"/>
      <c r="IB27" s="11"/>
      <c r="IC27" s="11"/>
      <c r="ID27" s="7"/>
      <c r="IE27" s="7"/>
      <c r="IF27" s="7"/>
      <c r="IG27" s="7"/>
      <c r="IH27" s="7"/>
      <c r="II27" s="7"/>
      <c r="IJ27" s="96"/>
      <c r="IK27" s="10"/>
      <c r="IL27" s="7"/>
      <c r="IM27" s="7"/>
      <c r="IN27" s="7"/>
      <c r="IO27" s="7"/>
      <c r="IP27" s="11"/>
      <c r="IQ27" s="96"/>
      <c r="IR27" s="7"/>
      <c r="IS27" s="7"/>
      <c r="IT27" s="7"/>
      <c r="IU27" s="7"/>
      <c r="IV27" s="7"/>
      <c r="IW27" s="7"/>
      <c r="IX27" s="7"/>
      <c r="IY27" s="7"/>
      <c r="IZ27" s="7"/>
      <c r="JA27" s="103"/>
      <c r="JB27" s="7"/>
      <c r="JC27" s="7"/>
      <c r="JD27" s="7"/>
      <c r="JE27" s="7"/>
      <c r="JF27" s="7"/>
      <c r="JG27" s="7"/>
      <c r="JH27" s="7"/>
      <c r="JI27" s="7"/>
      <c r="JJ27" s="7"/>
      <c r="JK27" s="7"/>
      <c r="JL27" s="7"/>
      <c r="JM27" s="7"/>
      <c r="JN27" s="7"/>
      <c r="JO27" s="7"/>
      <c r="JP27" s="7"/>
      <c r="JQ27" s="7"/>
      <c r="JR27" s="7"/>
      <c r="JS27" s="7"/>
      <c r="JT27" s="7"/>
      <c r="JU27" s="7"/>
      <c r="JV27" s="7"/>
      <c r="JW27" s="7"/>
      <c r="JX27" s="103"/>
      <c r="JY27" s="7"/>
      <c r="JZ27" s="7"/>
      <c r="KA27" s="7"/>
      <c r="KB27" s="7"/>
      <c r="KC27" s="7"/>
      <c r="KD27" s="7"/>
      <c r="KE27" s="7"/>
      <c r="KF27" s="7"/>
      <c r="KG27" s="7"/>
      <c r="KH27" s="7"/>
      <c r="KI27" s="7"/>
      <c r="KJ27" s="7"/>
      <c r="KK27" s="7"/>
      <c r="KL27" s="7"/>
      <c r="KM27" s="7"/>
      <c r="KN27" s="7"/>
      <c r="KO27" s="7"/>
      <c r="KP27" s="7"/>
      <c r="KQ27" s="7"/>
      <c r="KR27" s="7"/>
      <c r="KS27" s="7"/>
      <c r="KT27" s="7"/>
      <c r="KU27" s="103"/>
      <c r="KV27" s="7"/>
      <c r="KW27" s="7"/>
      <c r="KX27" s="7"/>
      <c r="KY27" s="7"/>
      <c r="KZ27" s="7"/>
      <c r="LA27" s="7"/>
      <c r="LB27" s="7"/>
      <c r="LC27" s="7"/>
      <c r="LD27" s="7"/>
      <c r="LE27" s="7"/>
      <c r="LF27" s="7"/>
      <c r="LG27" s="7"/>
      <c r="LH27" s="7"/>
      <c r="LI27" s="7"/>
      <c r="LJ27" s="102"/>
      <c r="LK27" s="102"/>
      <c r="LL27" s="102"/>
      <c r="LM27" s="102"/>
      <c r="LN27" s="102"/>
      <c r="LO27" s="102"/>
      <c r="LP27" s="102"/>
      <c r="LQ27" s="102"/>
      <c r="LR27" s="102"/>
    </row>
    <row r="28" spans="1:330" x14ac:dyDescent="0.25">
      <c r="A28" s="5">
        <v>23</v>
      </c>
      <c r="B28" s="66" t="str">
        <f>IFERROR(VLOOKUP(Tabla4[[#This Row],[Prioridad]],Tabla3[#All],2,0),"")</f>
        <v>EQUIPO</v>
      </c>
      <c r="C28" s="86" t="str">
        <f>IFERROR(VLOOKUP(Tabla4[[#This Row],[Prioridad]],Tabla3[#All],17,0),"")</f>
        <v>Sprint 3</v>
      </c>
      <c r="D28" s="86" t="str">
        <f>IFERROR(VLOOKUP(Tabla4[[#This Row],[Prioridad]],Tabla3[#All],6,0),"")</f>
        <v>T-023</v>
      </c>
      <c r="E28" s="86" t="str">
        <f>+IFERROR(VLOOKUP(Tabla4[[#This Row],[Tarea]],Tabla3[[Num_Ticket]:[Descripción]],2,0),"")</f>
        <v>Crear repositorio del código para Interfaz Gráfica</v>
      </c>
      <c r="F28" s="47">
        <f>IFERROR(VLOOKUP(Tabla4[[#This Row],[Prioridad]],Tabla3[#All],14,0),"")</f>
        <v>1</v>
      </c>
      <c r="G28" s="47">
        <f>IF(Tabla4[[#This Row],[Prioridad]]&lt;&gt;"",SUM(W28:KT28),"")</f>
        <v>0</v>
      </c>
      <c r="H28" s="47">
        <f>IF(Tabla4[[#This Row],[Prioridad]]&lt;&gt;"",Tabla4[[#This Row],[Horas Estimadas]]-Tabla4[[#This Row],[Ejecutadas]],"")</f>
        <v>1</v>
      </c>
      <c r="I28" s="66" t="str">
        <f>IFERROR(VLOOKUP(Tabla4[[#This Row],[Prioridad]],Tabla3[#All],18,0),"")</f>
        <v>DESARROLLO APLICACIÓN</v>
      </c>
      <c r="J28" s="32">
        <f>IFERROR(VLOOKUP(Tabla4[[#This Row],[Prioridad]],Tabla3[#All],20,0),"")</f>
        <v>8</v>
      </c>
      <c r="K28" s="60" t="str">
        <f>IFERROR(VLOOKUP(Tabla4[[#This Row],[Prioridad]],Tabla3[#All],19,0),"")</f>
        <v>Construcción - Codigo estructuras</v>
      </c>
      <c r="L28" s="60" t="str">
        <f>IFERROR(VLOOKUP(Tabla4[[#This Row],[Prioridad]],Tabla3[#All],9,0),"")</f>
        <v>Tarea</v>
      </c>
      <c r="M28" s="93">
        <f>+SUMIFS(Tabla4[Avance Hito],Tabla4[Responsable],Tabla4[[#This Row],[Responsable]],Tabla4[Sprint],Tabla4[[#This Row],[Sprint]],Tabla4[Proyecto],Tabla4[[#This Row],[Proyecto]])/COUNTIFS(Tabla4[Responsable],Tabla4[[#This Row],[Responsable]],Tabla4[Sprint],Tabla4[[#This Row],[Sprint]],Tabla4[Proyecto],Tabla4[[#This Row],[Proyecto]])</f>
        <v>1</v>
      </c>
      <c r="N28" s="35">
        <f>+SUMIFS(Tabla4[Avance relativo],Tabla4[Responsable],Tabla4[[#This Row],[Responsable]],Tabla4[Sprint],Tabla4[[#This Row],[Sprint]],Tabla4[Hito],Tabla4[[#This Row],[Hito]])</f>
        <v>0.99999999999999989</v>
      </c>
      <c r="O28" s="196">
        <f>VLOOKUP(Tabla4[[#This Row],[Tarea]],Tabla3[[#All],[Num_Ticket]:[Hito]],5,0)</f>
        <v>44464</v>
      </c>
      <c r="P28" s="199">
        <v>44464</v>
      </c>
      <c r="Q28" s="47">
        <f>IF(Tabla4[[#This Row],[Prioridad]]="","",IF(Tabla4[[#This Row],[Hito]]&lt;&gt;"",COUNTIFS(Tabla4[Responsable],Tabla4[[#This Row],[Responsable]],Tabla4[Sprint],Tabla4[[#This Row],[Sprint]],Tabla4[Epica],Tabla4[[#This Row],[Epica]])))</f>
        <v>6</v>
      </c>
      <c r="R28" s="47">
        <f>1*Tabla4[[#This Row],[% Avance]]</f>
        <v>1</v>
      </c>
      <c r="S28" s="47">
        <f>IFERROR(Tabla4[[#This Row],[Total Avance]]/Tabla4[[#This Row],[Conteo_Epica]],0)</f>
        <v>0.16666666666666666</v>
      </c>
      <c r="T28" s="35">
        <v>1</v>
      </c>
      <c r="U28" s="197">
        <v>5</v>
      </c>
      <c r="V28" s="198" t="s">
        <v>178</v>
      </c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11"/>
      <c r="AQ28" s="10"/>
      <c r="AR28" s="7"/>
      <c r="AS28" s="7"/>
      <c r="AT28" s="7"/>
      <c r="AU28" s="11"/>
      <c r="AV28" s="10"/>
      <c r="AW28" s="7"/>
      <c r="AX28" s="7"/>
      <c r="AY28" s="7"/>
      <c r="AZ28" s="11"/>
      <c r="BA28" s="10"/>
      <c r="BB28" s="7"/>
      <c r="BC28" s="7"/>
      <c r="BD28" s="7"/>
      <c r="BE28" s="11"/>
      <c r="BF28" s="10"/>
      <c r="BG28" s="7"/>
      <c r="BH28" s="7"/>
      <c r="BI28" s="7"/>
      <c r="BJ28" s="11"/>
      <c r="BK28" s="5"/>
      <c r="BL28" s="10"/>
      <c r="BM28" s="7"/>
      <c r="BN28" s="7"/>
      <c r="BO28" s="7"/>
      <c r="BP28" s="7"/>
      <c r="BQ28" s="10"/>
      <c r="BR28" s="7"/>
      <c r="BS28" s="7"/>
      <c r="BT28" s="7"/>
      <c r="BU28" s="11"/>
      <c r="BV28" s="10"/>
      <c r="BW28" s="7"/>
      <c r="BX28" s="7"/>
      <c r="BY28" s="7"/>
      <c r="BZ28" s="11"/>
      <c r="CA28" s="7"/>
      <c r="CB28" s="7"/>
      <c r="CC28" s="7"/>
      <c r="CD28" s="11"/>
      <c r="CE28" s="10"/>
      <c r="CF28" s="7"/>
      <c r="CG28" s="11"/>
      <c r="CH28" s="28"/>
      <c r="CI28" s="10"/>
      <c r="CJ28" s="7"/>
      <c r="CK28" s="7"/>
      <c r="CL28" s="7"/>
      <c r="CM28" s="7"/>
      <c r="CN28" s="10"/>
      <c r="CO28" s="7"/>
      <c r="CP28" s="7"/>
      <c r="CQ28" s="7"/>
      <c r="CR28" s="11"/>
      <c r="CS28" s="10"/>
      <c r="CT28" s="7"/>
      <c r="CU28" s="7"/>
      <c r="CV28" s="7"/>
      <c r="CW28" s="11"/>
      <c r="CX28" s="7"/>
      <c r="CY28" s="7"/>
      <c r="CZ28" s="7"/>
      <c r="DA28" s="7"/>
      <c r="DB28" s="11"/>
      <c r="DC28" s="28"/>
      <c r="DD28" s="10"/>
      <c r="DE28" s="7"/>
      <c r="DF28" s="7"/>
      <c r="DG28" s="7"/>
      <c r="DH28" s="7"/>
      <c r="DI28" s="10"/>
      <c r="DJ28" s="7"/>
      <c r="DK28" s="7"/>
      <c r="DL28" s="7"/>
      <c r="DM28" s="11"/>
      <c r="DN28" s="10"/>
      <c r="DO28" s="7"/>
      <c r="DP28" s="7"/>
      <c r="DQ28" s="7"/>
      <c r="DR28" s="11"/>
      <c r="DS28" s="7"/>
      <c r="DT28" s="7"/>
      <c r="DU28" s="7"/>
      <c r="DV28" s="7"/>
      <c r="DW28" s="11"/>
      <c r="DX28" s="96"/>
      <c r="DY28" s="7"/>
      <c r="DZ28" s="11"/>
      <c r="EA28" s="28"/>
      <c r="EB28" s="10"/>
      <c r="EC28" s="7"/>
      <c r="ED28" s="7"/>
      <c r="EE28" s="11"/>
      <c r="EF28" s="7"/>
      <c r="EG28" s="10"/>
      <c r="EH28" s="7"/>
      <c r="EI28" s="7"/>
      <c r="EJ28" s="11"/>
      <c r="EK28" s="7"/>
      <c r="EL28" s="10"/>
      <c r="EM28" s="7"/>
      <c r="EN28" s="7"/>
      <c r="EO28" s="11"/>
      <c r="EP28" s="7"/>
      <c r="EQ28" s="10"/>
      <c r="ER28" s="7"/>
      <c r="ES28" s="7"/>
      <c r="ET28" s="7"/>
      <c r="EU28" s="11"/>
      <c r="EV28" s="96"/>
      <c r="EW28" s="10"/>
      <c r="EX28" s="7"/>
      <c r="EY28" s="7"/>
      <c r="EZ28" s="7"/>
      <c r="FA28" s="103"/>
      <c r="FB28" s="107"/>
      <c r="FC28" s="10"/>
      <c r="FD28" s="7"/>
      <c r="FE28" s="7"/>
      <c r="FF28" s="7"/>
      <c r="FG28" s="96"/>
      <c r="FH28" s="10"/>
      <c r="FI28" s="7"/>
      <c r="FJ28" s="7"/>
      <c r="FK28" s="7"/>
      <c r="FL28" s="11"/>
      <c r="FM28" s="96"/>
      <c r="FN28" s="10"/>
      <c r="FO28" s="7"/>
      <c r="FP28" s="7"/>
      <c r="FQ28" s="7"/>
      <c r="FR28" s="96"/>
      <c r="FS28" s="10"/>
      <c r="FT28" s="7"/>
      <c r="FU28" s="7"/>
      <c r="FV28" s="7"/>
      <c r="FW28" s="7"/>
      <c r="FX28" s="96"/>
      <c r="FY28" s="114"/>
      <c r="FZ28" s="7"/>
      <c r="GA28" s="7"/>
      <c r="GB28" s="7"/>
      <c r="GC28" s="7"/>
      <c r="GD28" s="96"/>
      <c r="GE28" s="10"/>
      <c r="GF28" s="7"/>
      <c r="GG28" s="7"/>
      <c r="GH28" s="7"/>
      <c r="GI28" s="11"/>
      <c r="GJ28" s="10"/>
      <c r="GK28" s="10"/>
      <c r="GL28" s="7"/>
      <c r="GM28" s="7"/>
      <c r="GN28" s="11"/>
      <c r="GO28" s="96"/>
      <c r="GP28" s="10"/>
      <c r="GQ28" s="7"/>
      <c r="GR28" s="7"/>
      <c r="GS28" s="7"/>
      <c r="GT28" s="11"/>
      <c r="GU28" s="96"/>
      <c r="GV28" s="114"/>
      <c r="GW28" s="7"/>
      <c r="GX28" s="7"/>
      <c r="GY28" s="7"/>
      <c r="GZ28" s="7"/>
      <c r="HA28" s="10"/>
      <c r="HB28" s="10"/>
      <c r="HC28" s="7"/>
      <c r="HD28" s="7"/>
      <c r="HE28" s="7"/>
      <c r="HF28" s="7"/>
      <c r="HG28" s="7"/>
      <c r="HH28" s="96"/>
      <c r="HI28" s="10"/>
      <c r="HJ28" s="7"/>
      <c r="HK28" s="7"/>
      <c r="HL28" s="7"/>
      <c r="HM28" s="7"/>
      <c r="HN28" s="7"/>
      <c r="HO28" s="10"/>
      <c r="HP28" s="10"/>
      <c r="HQ28" s="7"/>
      <c r="HR28" s="7"/>
      <c r="HS28" s="7"/>
      <c r="HT28" s="7"/>
      <c r="HU28" s="11"/>
      <c r="HV28" s="7"/>
      <c r="HW28" s="10"/>
      <c r="HX28" s="7"/>
      <c r="HY28" s="103"/>
      <c r="HZ28" s="7"/>
      <c r="IA28" s="7"/>
      <c r="IB28" s="11"/>
      <c r="IC28" s="11"/>
      <c r="ID28" s="7"/>
      <c r="IE28" s="7"/>
      <c r="IF28" s="7"/>
      <c r="IG28" s="7"/>
      <c r="IH28" s="7"/>
      <c r="II28" s="7"/>
      <c r="IJ28" s="96"/>
      <c r="IK28" s="10"/>
      <c r="IL28" s="7"/>
      <c r="IM28" s="7"/>
      <c r="IN28" s="7"/>
      <c r="IO28" s="7"/>
      <c r="IP28" s="11"/>
      <c r="IQ28" s="96"/>
      <c r="IR28" s="7"/>
      <c r="IS28" s="7"/>
      <c r="IT28" s="7"/>
      <c r="IU28" s="7"/>
      <c r="IV28" s="7"/>
      <c r="IW28" s="7"/>
      <c r="IX28" s="7"/>
      <c r="IY28" s="7"/>
      <c r="IZ28" s="7"/>
      <c r="JA28" s="103"/>
      <c r="JB28" s="7"/>
      <c r="JC28" s="7"/>
      <c r="JD28" s="7"/>
      <c r="JE28" s="7"/>
      <c r="JF28" s="7"/>
      <c r="JG28" s="7"/>
      <c r="JH28" s="7"/>
      <c r="JI28" s="7"/>
      <c r="JJ28" s="7"/>
      <c r="JK28" s="7"/>
      <c r="JL28" s="7"/>
      <c r="JM28" s="7"/>
      <c r="JN28" s="7"/>
      <c r="JO28" s="7"/>
      <c r="JP28" s="7"/>
      <c r="JQ28" s="7"/>
      <c r="JR28" s="7"/>
      <c r="JS28" s="7"/>
      <c r="JT28" s="7"/>
      <c r="JU28" s="7"/>
      <c r="JV28" s="7"/>
      <c r="JW28" s="7"/>
      <c r="JX28" s="103"/>
      <c r="JY28" s="7"/>
      <c r="JZ28" s="7"/>
      <c r="KA28" s="7"/>
      <c r="KB28" s="7"/>
      <c r="KC28" s="7"/>
      <c r="KD28" s="7"/>
      <c r="KE28" s="7"/>
      <c r="KF28" s="7"/>
      <c r="KG28" s="7"/>
      <c r="KH28" s="7"/>
      <c r="KI28" s="7"/>
      <c r="KJ28" s="7"/>
      <c r="KK28" s="7"/>
      <c r="KL28" s="7"/>
      <c r="KM28" s="7"/>
      <c r="KN28" s="7"/>
      <c r="KO28" s="7"/>
      <c r="KP28" s="7"/>
      <c r="KQ28" s="7"/>
      <c r="KR28" s="7"/>
      <c r="KS28" s="7"/>
      <c r="KT28" s="7"/>
      <c r="KU28" s="103"/>
      <c r="KV28" s="7"/>
      <c r="KW28" s="7"/>
      <c r="KX28" s="7"/>
      <c r="KY28" s="7"/>
      <c r="KZ28" s="7"/>
      <c r="LA28" s="7"/>
      <c r="LB28" s="7"/>
      <c r="LC28" s="7"/>
      <c r="LD28" s="7"/>
      <c r="LE28" s="7"/>
      <c r="LF28" s="7"/>
      <c r="LG28" s="7"/>
      <c r="LH28" s="7"/>
      <c r="LI28" s="7"/>
      <c r="LJ28" s="102"/>
      <c r="LK28" s="102"/>
      <c r="LL28" s="102"/>
      <c r="LM28" s="102"/>
      <c r="LN28" s="102"/>
      <c r="LO28" s="102"/>
      <c r="LP28" s="102"/>
      <c r="LQ28" s="102"/>
      <c r="LR28" s="102"/>
    </row>
    <row r="29" spans="1:330" x14ac:dyDescent="0.25">
      <c r="A29" s="5">
        <v>24</v>
      </c>
      <c r="B29" s="66" t="str">
        <f>IFERROR(VLOOKUP(Tabla4[[#This Row],[Prioridad]],Tabla3[#All],2,0),"")</f>
        <v>EQUIPO</v>
      </c>
      <c r="C29" s="86" t="str">
        <f>IFERROR(VLOOKUP(Tabla4[[#This Row],[Prioridad]],Tabla3[#All],17,0),"")</f>
        <v>Sprint 3</v>
      </c>
      <c r="D29" s="86" t="str">
        <f>IFERROR(VLOOKUP(Tabla4[[#This Row],[Prioridad]],Tabla3[#All],6,0),"")</f>
        <v>T-024</v>
      </c>
      <c r="E29" s="86" t="str">
        <f>+IFERROR(VLOOKUP(Tabla4[[#This Row],[Tarea]],Tabla3[[Num_Ticket]:[Descripción]],2,0),"")</f>
        <v>Crear repositorio del código para Capa de Dominio</v>
      </c>
      <c r="F29" s="47">
        <f>IFERROR(VLOOKUP(Tabla4[[#This Row],[Prioridad]],Tabla3[#All],14,0),"")</f>
        <v>1</v>
      </c>
      <c r="G29" s="47">
        <f>IF(Tabla4[[#This Row],[Prioridad]]&lt;&gt;"",SUM(W29:KT29),"")</f>
        <v>1</v>
      </c>
      <c r="H29" s="47">
        <f>IF(Tabla4[[#This Row],[Prioridad]]&lt;&gt;"",Tabla4[[#This Row],[Horas Estimadas]]-Tabla4[[#This Row],[Ejecutadas]],"")</f>
        <v>0</v>
      </c>
      <c r="I29" s="66" t="str">
        <f>IFERROR(VLOOKUP(Tabla4[[#This Row],[Prioridad]],Tabla3[#All],18,0),"")</f>
        <v>DESARROLLO APLICACIÓN</v>
      </c>
      <c r="J29" s="32">
        <f>IFERROR(VLOOKUP(Tabla4[[#This Row],[Prioridad]],Tabla3[#All],20,0),"")</f>
        <v>8</v>
      </c>
      <c r="K29" s="60" t="str">
        <f>IFERROR(VLOOKUP(Tabla4[[#This Row],[Prioridad]],Tabla3[#All],19,0),"")</f>
        <v>Construcción - Codigo estructuras</v>
      </c>
      <c r="L29" s="60" t="str">
        <f>IFERROR(VLOOKUP(Tabla4[[#This Row],[Prioridad]],Tabla3[#All],9,0),"")</f>
        <v>Tarea</v>
      </c>
      <c r="M29" s="93">
        <f>+SUMIFS(Tabla4[Avance Hito],Tabla4[Responsable],Tabla4[[#This Row],[Responsable]],Tabla4[Sprint],Tabla4[[#This Row],[Sprint]],Tabla4[Proyecto],Tabla4[[#This Row],[Proyecto]])/COUNTIFS(Tabla4[Responsable],Tabla4[[#This Row],[Responsable]],Tabla4[Sprint],Tabla4[[#This Row],[Sprint]],Tabla4[Proyecto],Tabla4[[#This Row],[Proyecto]])</f>
        <v>1</v>
      </c>
      <c r="N29" s="35">
        <f>+SUMIFS(Tabla4[Avance relativo],Tabla4[Responsable],Tabla4[[#This Row],[Responsable]],Tabla4[Sprint],Tabla4[[#This Row],[Sprint]],Tabla4[Hito],Tabla4[[#This Row],[Hito]])</f>
        <v>0.99999999999999989</v>
      </c>
      <c r="O29" s="196">
        <f>VLOOKUP(Tabla4[[#This Row],[Tarea]],Tabla3[[#All],[Num_Ticket]:[Hito]],5,0)</f>
        <v>44464</v>
      </c>
      <c r="P29" s="199">
        <v>44468</v>
      </c>
      <c r="Q29" s="47">
        <f>IF(Tabla4[[#This Row],[Prioridad]]="","",IF(Tabla4[[#This Row],[Hito]]&lt;&gt;"",COUNTIFS(Tabla4[Responsable],Tabla4[[#This Row],[Responsable]],Tabla4[Sprint],Tabla4[[#This Row],[Sprint]],Tabla4[Epica],Tabla4[[#This Row],[Epica]])))</f>
        <v>6</v>
      </c>
      <c r="R29" s="47">
        <f>1*Tabla4[[#This Row],[% Avance]]</f>
        <v>1</v>
      </c>
      <c r="S29" s="47">
        <f>IFERROR(Tabla4[[#This Row],[Total Avance]]/Tabla4[[#This Row],[Conteo_Epica]],0)</f>
        <v>0.16666666666666666</v>
      </c>
      <c r="T29" s="35">
        <v>1</v>
      </c>
      <c r="U29" s="197">
        <v>5</v>
      </c>
      <c r="V29" s="198" t="s">
        <v>178</v>
      </c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11"/>
      <c r="AQ29" s="10"/>
      <c r="AR29" s="7"/>
      <c r="AS29" s="7"/>
      <c r="AT29" s="7"/>
      <c r="AU29" s="11"/>
      <c r="AV29" s="10"/>
      <c r="AW29" s="7"/>
      <c r="AX29" s="7"/>
      <c r="AY29" s="7"/>
      <c r="AZ29" s="11"/>
      <c r="BA29" s="10"/>
      <c r="BB29" s="7"/>
      <c r="BC29" s="7"/>
      <c r="BD29" s="7"/>
      <c r="BE29" s="11"/>
      <c r="BF29" s="10"/>
      <c r="BG29" s="7"/>
      <c r="BH29" s="7"/>
      <c r="BI29" s="7"/>
      <c r="BJ29" s="11"/>
      <c r="BK29" s="5"/>
      <c r="BL29" s="10"/>
      <c r="BM29" s="7"/>
      <c r="BN29" s="7"/>
      <c r="BO29" s="7"/>
      <c r="BP29" s="7"/>
      <c r="BQ29" s="10"/>
      <c r="BR29" s="7"/>
      <c r="BS29" s="7"/>
      <c r="BT29" s="7"/>
      <c r="BU29" s="11"/>
      <c r="BV29" s="10"/>
      <c r="BW29" s="7"/>
      <c r="BX29" s="7"/>
      <c r="BY29" s="7"/>
      <c r="BZ29" s="11"/>
      <c r="CA29" s="7"/>
      <c r="CB29" s="7"/>
      <c r="CC29" s="7"/>
      <c r="CD29" s="11"/>
      <c r="CE29" s="10"/>
      <c r="CF29" s="7"/>
      <c r="CG29" s="11"/>
      <c r="CH29" s="28"/>
      <c r="CI29" s="10"/>
      <c r="CJ29" s="7"/>
      <c r="CK29" s="7"/>
      <c r="CL29" s="7"/>
      <c r="CM29" s="7"/>
      <c r="CN29" s="10"/>
      <c r="CO29" s="7"/>
      <c r="CP29" s="7"/>
      <c r="CQ29" s="7"/>
      <c r="CR29" s="11"/>
      <c r="CS29" s="10"/>
      <c r="CT29" s="7"/>
      <c r="CU29" s="7"/>
      <c r="CV29" s="7"/>
      <c r="CW29" s="11"/>
      <c r="CX29" s="7"/>
      <c r="CY29" s="7"/>
      <c r="CZ29" s="7"/>
      <c r="DA29" s="7"/>
      <c r="DB29" s="11"/>
      <c r="DC29" s="28"/>
      <c r="DD29" s="10"/>
      <c r="DE29" s="7"/>
      <c r="DF29" s="7"/>
      <c r="DG29" s="7"/>
      <c r="DH29" s="7"/>
      <c r="DI29" s="10"/>
      <c r="DJ29" s="7"/>
      <c r="DK29" s="7"/>
      <c r="DL29" s="7"/>
      <c r="DM29" s="11"/>
      <c r="DN29" s="10"/>
      <c r="DO29" s="7"/>
      <c r="DP29" s="7"/>
      <c r="DQ29" s="7"/>
      <c r="DR29" s="11"/>
      <c r="DS29" s="7"/>
      <c r="DT29" s="7"/>
      <c r="DU29" s="7"/>
      <c r="DV29" s="7"/>
      <c r="DW29" s="11"/>
      <c r="DX29" s="96"/>
      <c r="DY29" s="7"/>
      <c r="DZ29" s="11"/>
      <c r="EA29" s="28"/>
      <c r="EB29" s="10"/>
      <c r="EC29" s="7"/>
      <c r="ED29" s="7"/>
      <c r="EE29" s="11"/>
      <c r="EF29" s="7"/>
      <c r="EG29" s="10"/>
      <c r="EH29" s="7"/>
      <c r="EI29" s="7"/>
      <c r="EJ29" s="11"/>
      <c r="EK29" s="7"/>
      <c r="EL29" s="10"/>
      <c r="EM29" s="7"/>
      <c r="EN29" s="7"/>
      <c r="EO29" s="11"/>
      <c r="EP29" s="7"/>
      <c r="EQ29" s="10"/>
      <c r="ER29" s="7"/>
      <c r="ES29" s="7"/>
      <c r="ET29" s="7"/>
      <c r="EU29" s="11"/>
      <c r="EV29" s="96"/>
      <c r="EW29" s="10"/>
      <c r="EX29" s="7"/>
      <c r="EY29" s="7"/>
      <c r="EZ29" s="7"/>
      <c r="FA29" s="103"/>
      <c r="FB29" s="107"/>
      <c r="FC29" s="10"/>
      <c r="FD29" s="7"/>
      <c r="FE29" s="7"/>
      <c r="FF29" s="7"/>
      <c r="FG29" s="96"/>
      <c r="FH29" s="10"/>
      <c r="FI29" s="7"/>
      <c r="FJ29" s="7"/>
      <c r="FK29" s="7"/>
      <c r="FL29" s="11"/>
      <c r="FM29" s="96"/>
      <c r="FN29" s="10"/>
      <c r="FO29" s="7"/>
      <c r="FP29" s="7"/>
      <c r="FQ29" s="7"/>
      <c r="FR29" s="96"/>
      <c r="FS29" s="10"/>
      <c r="FT29" s="7"/>
      <c r="FU29" s="7"/>
      <c r="FV29" s="7"/>
      <c r="FW29" s="7"/>
      <c r="FX29" s="96"/>
      <c r="FY29" s="114"/>
      <c r="FZ29" s="7"/>
      <c r="GA29" s="7"/>
      <c r="GB29" s="7"/>
      <c r="GC29" s="7"/>
      <c r="GD29" s="96"/>
      <c r="GE29" s="10"/>
      <c r="GF29" s="7"/>
      <c r="GG29" s="7"/>
      <c r="GH29" s="7"/>
      <c r="GI29" s="11"/>
      <c r="GJ29" s="10"/>
      <c r="GK29" s="10"/>
      <c r="GL29" s="7"/>
      <c r="GM29" s="7"/>
      <c r="GN29" s="11"/>
      <c r="GO29" s="96"/>
      <c r="GP29" s="10"/>
      <c r="GQ29" s="7"/>
      <c r="GR29" s="7"/>
      <c r="GS29" s="7"/>
      <c r="GT29" s="11"/>
      <c r="GU29" s="96"/>
      <c r="GV29" s="114"/>
      <c r="GW29" s="7"/>
      <c r="GX29" s="7"/>
      <c r="GY29" s="7"/>
      <c r="GZ29" s="7"/>
      <c r="HA29" s="10"/>
      <c r="HB29" s="10"/>
      <c r="HC29" s="7"/>
      <c r="HD29" s="7"/>
      <c r="HE29" s="7"/>
      <c r="HF29" s="7"/>
      <c r="HG29" s="7"/>
      <c r="HH29" s="96"/>
      <c r="HI29" s="10"/>
      <c r="HJ29" s="7"/>
      <c r="HK29" s="7"/>
      <c r="HL29" s="7"/>
      <c r="HM29" s="7"/>
      <c r="HN29" s="7"/>
      <c r="HO29" s="10"/>
      <c r="HP29" s="10"/>
      <c r="HQ29" s="7"/>
      <c r="HR29" s="7"/>
      <c r="HS29" s="7"/>
      <c r="HT29" s="7"/>
      <c r="HU29" s="11"/>
      <c r="HV29" s="7"/>
      <c r="HW29" s="10"/>
      <c r="HX29" s="7"/>
      <c r="HY29" s="103">
        <v>1</v>
      </c>
      <c r="HZ29" s="7"/>
      <c r="IA29" s="7"/>
      <c r="IB29" s="11"/>
      <c r="IC29" s="11"/>
      <c r="ID29" s="7"/>
      <c r="IE29" s="7"/>
      <c r="IF29" s="7"/>
      <c r="IG29" s="7"/>
      <c r="IH29" s="7"/>
      <c r="II29" s="7"/>
      <c r="IJ29" s="96"/>
      <c r="IK29" s="10"/>
      <c r="IL29" s="7"/>
      <c r="IM29" s="7"/>
      <c r="IN29" s="7"/>
      <c r="IO29" s="7"/>
      <c r="IP29" s="11"/>
      <c r="IQ29" s="96"/>
      <c r="IR29" s="7"/>
      <c r="IS29" s="7"/>
      <c r="IT29" s="7"/>
      <c r="IU29" s="7"/>
      <c r="IV29" s="7"/>
      <c r="IW29" s="7"/>
      <c r="IX29" s="7"/>
      <c r="IY29" s="7"/>
      <c r="IZ29" s="7"/>
      <c r="JA29" s="103"/>
      <c r="JB29" s="7"/>
      <c r="JC29" s="7"/>
      <c r="JD29" s="7"/>
      <c r="JE29" s="7"/>
      <c r="JF29" s="7"/>
      <c r="JG29" s="7"/>
      <c r="JH29" s="7"/>
      <c r="JI29" s="7"/>
      <c r="JJ29" s="7"/>
      <c r="JK29" s="7"/>
      <c r="JL29" s="7"/>
      <c r="JM29" s="7"/>
      <c r="JN29" s="7"/>
      <c r="JO29" s="7"/>
      <c r="JP29" s="7"/>
      <c r="JQ29" s="7"/>
      <c r="JR29" s="7"/>
      <c r="JS29" s="7"/>
      <c r="JT29" s="7"/>
      <c r="JU29" s="7"/>
      <c r="JV29" s="7"/>
      <c r="JW29" s="7"/>
      <c r="JX29" s="103"/>
      <c r="JY29" s="7"/>
      <c r="JZ29" s="7"/>
      <c r="KA29" s="7"/>
      <c r="KB29" s="7"/>
      <c r="KC29" s="7"/>
      <c r="KD29" s="7"/>
      <c r="KE29" s="7"/>
      <c r="KF29" s="7"/>
      <c r="KG29" s="7"/>
      <c r="KH29" s="7"/>
      <c r="KI29" s="7"/>
      <c r="KJ29" s="7"/>
      <c r="KK29" s="7"/>
      <c r="KL29" s="7"/>
      <c r="KM29" s="7"/>
      <c r="KN29" s="7"/>
      <c r="KO29" s="7"/>
      <c r="KP29" s="7"/>
      <c r="KQ29" s="7"/>
      <c r="KR29" s="7"/>
      <c r="KS29" s="7"/>
      <c r="KT29" s="7"/>
      <c r="KU29" s="103"/>
      <c r="KV29" s="7"/>
      <c r="KW29" s="7"/>
      <c r="KX29" s="7"/>
      <c r="KY29" s="7"/>
      <c r="KZ29" s="7"/>
      <c r="LA29" s="7"/>
      <c r="LB29" s="7"/>
      <c r="LC29" s="7"/>
      <c r="LD29" s="7"/>
      <c r="LE29" s="7"/>
      <c r="LF29" s="7"/>
      <c r="LG29" s="7"/>
      <c r="LH29" s="7"/>
      <c r="LI29" s="7"/>
      <c r="LJ29" s="102"/>
      <c r="LK29" s="102"/>
      <c r="LL29" s="102"/>
      <c r="LM29" s="102"/>
      <c r="LN29" s="102"/>
      <c r="LO29" s="102"/>
      <c r="LP29" s="102"/>
      <c r="LQ29" s="102"/>
      <c r="LR29" s="102"/>
    </row>
    <row r="30" spans="1:330" x14ac:dyDescent="0.25">
      <c r="A30" s="5">
        <v>25</v>
      </c>
      <c r="B30" s="66" t="str">
        <f>IFERROR(VLOOKUP(Tabla4[[#This Row],[Prioridad]],Tabla3[#All],2,0),"")</f>
        <v>EQUIPO</v>
      </c>
      <c r="C30" s="86" t="str">
        <f>IFERROR(VLOOKUP(Tabla4[[#This Row],[Prioridad]],Tabla3[#All],17,0),"")</f>
        <v>Sprint 3</v>
      </c>
      <c r="D30" s="86" t="str">
        <f>IFERROR(VLOOKUP(Tabla4[[#This Row],[Prioridad]],Tabla3[#All],6,0),"")</f>
        <v>T-025</v>
      </c>
      <c r="E30" s="86" t="str">
        <f>+IFERROR(VLOOKUP(Tabla4[[#This Row],[Tarea]],Tabla3[[Num_Ticket]:[Descripción]],2,0),"")</f>
        <v>Asegurar integridad de Datos</v>
      </c>
      <c r="F30" s="47">
        <f>IFERROR(VLOOKUP(Tabla4[[#This Row],[Prioridad]],Tabla3[#All],14,0),"")</f>
        <v>2</v>
      </c>
      <c r="G30" s="47">
        <f>IF(Tabla4[[#This Row],[Prioridad]]&lt;&gt;"",SUM(W30:KT30),"")</f>
        <v>0</v>
      </c>
      <c r="H30" s="47">
        <f>IF(Tabla4[[#This Row],[Prioridad]]&lt;&gt;"",Tabla4[[#This Row],[Horas Estimadas]]-Tabla4[[#This Row],[Ejecutadas]],"")</f>
        <v>2</v>
      </c>
      <c r="I30" s="66" t="str">
        <f>IFERROR(VLOOKUP(Tabla4[[#This Row],[Prioridad]],Tabla3[#All],18,0),"")</f>
        <v>DESARROLLO APLICACIÓN</v>
      </c>
      <c r="J30" s="32">
        <f>IFERROR(VLOOKUP(Tabla4[[#This Row],[Prioridad]],Tabla3[#All],20,0),"")</f>
        <v>9</v>
      </c>
      <c r="K30" s="60" t="str">
        <f>IFERROR(VLOOKUP(Tabla4[[#This Row],[Prioridad]],Tabla3[#All],19,0),"")</f>
        <v>Construcción - Base de Datos</v>
      </c>
      <c r="L30" s="60" t="str">
        <f>IFERROR(VLOOKUP(Tabla4[[#This Row],[Prioridad]],Tabla3[#All],9,0),"")</f>
        <v>Tarea</v>
      </c>
      <c r="M30" s="93">
        <f>+SUMIFS(Tabla4[Avance Hito],Tabla4[Responsable],Tabla4[[#This Row],[Responsable]],Tabla4[Sprint],Tabla4[[#This Row],[Sprint]],Tabla4[Proyecto],Tabla4[[#This Row],[Proyecto]])/COUNTIFS(Tabla4[Responsable],Tabla4[[#This Row],[Responsable]],Tabla4[Sprint],Tabla4[[#This Row],[Sprint]],Tabla4[Proyecto],Tabla4[[#This Row],[Proyecto]])</f>
        <v>1</v>
      </c>
      <c r="N30" s="35">
        <f>+SUMIFS(Tabla4[Avance relativo],Tabla4[Responsable],Tabla4[[#This Row],[Responsable]],Tabla4[Sprint],Tabla4[[#This Row],[Sprint]],Tabla4[Hito],Tabla4[[#This Row],[Hito]])</f>
        <v>1</v>
      </c>
      <c r="O30" s="196">
        <f>VLOOKUP(Tabla4[[#This Row],[Tarea]],Tabla3[[#All],[Num_Ticket]:[Hito]],5,0)</f>
        <v>44464</v>
      </c>
      <c r="P30" s="199">
        <v>44469</v>
      </c>
      <c r="Q30" s="47">
        <f>IF(Tabla4[[#This Row],[Prioridad]]="","",IF(Tabla4[[#This Row],[Hito]]&lt;&gt;"",COUNTIFS(Tabla4[Responsable],Tabla4[[#This Row],[Responsable]],Tabla4[Sprint],Tabla4[[#This Row],[Sprint]],Tabla4[Epica],Tabla4[[#This Row],[Epica]])))</f>
        <v>3</v>
      </c>
      <c r="R30" s="47">
        <f>1*Tabla4[[#This Row],[% Avance]]</f>
        <v>1</v>
      </c>
      <c r="S30" s="47">
        <f>IFERROR(Tabla4[[#This Row],[Total Avance]]/Tabla4[[#This Row],[Conteo_Epica]],0)</f>
        <v>0.33333333333333331</v>
      </c>
      <c r="T30" s="35">
        <v>1</v>
      </c>
      <c r="U30" s="197">
        <v>5</v>
      </c>
      <c r="V30" s="198" t="s">
        <v>178</v>
      </c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11"/>
      <c r="AQ30" s="10"/>
      <c r="AR30" s="7"/>
      <c r="AS30" s="7"/>
      <c r="AT30" s="7"/>
      <c r="AU30" s="11"/>
      <c r="AV30" s="10"/>
      <c r="AW30" s="7"/>
      <c r="AX30" s="7"/>
      <c r="AY30" s="7"/>
      <c r="AZ30" s="11"/>
      <c r="BA30" s="10"/>
      <c r="BB30" s="7"/>
      <c r="BC30" s="7"/>
      <c r="BD30" s="7"/>
      <c r="BE30" s="11"/>
      <c r="BF30" s="10"/>
      <c r="BG30" s="7"/>
      <c r="BH30" s="7"/>
      <c r="BI30" s="7"/>
      <c r="BJ30" s="11"/>
      <c r="BK30" s="5"/>
      <c r="BL30" s="10"/>
      <c r="BM30" s="7"/>
      <c r="BN30" s="7"/>
      <c r="BO30" s="7"/>
      <c r="BP30" s="7"/>
      <c r="BQ30" s="10"/>
      <c r="BR30" s="7"/>
      <c r="BS30" s="7"/>
      <c r="BT30" s="7"/>
      <c r="BU30" s="11"/>
      <c r="BV30" s="10"/>
      <c r="BW30" s="7"/>
      <c r="BX30" s="7"/>
      <c r="BY30" s="7"/>
      <c r="BZ30" s="11"/>
      <c r="CA30" s="7"/>
      <c r="CB30" s="7"/>
      <c r="CC30" s="7"/>
      <c r="CD30" s="11"/>
      <c r="CE30" s="10"/>
      <c r="CF30" s="7"/>
      <c r="CG30" s="11"/>
      <c r="CH30" s="28"/>
      <c r="CI30" s="10"/>
      <c r="CJ30" s="7"/>
      <c r="CK30" s="7"/>
      <c r="CL30" s="7"/>
      <c r="CM30" s="7"/>
      <c r="CN30" s="10"/>
      <c r="CO30" s="7"/>
      <c r="CP30" s="7"/>
      <c r="CQ30" s="7"/>
      <c r="CR30" s="11"/>
      <c r="CS30" s="10"/>
      <c r="CT30" s="7"/>
      <c r="CU30" s="7"/>
      <c r="CV30" s="7"/>
      <c r="CW30" s="11"/>
      <c r="CX30" s="7"/>
      <c r="CY30" s="7"/>
      <c r="CZ30" s="7"/>
      <c r="DA30" s="7"/>
      <c r="DB30" s="11"/>
      <c r="DC30" s="28"/>
      <c r="DD30" s="10"/>
      <c r="DE30" s="7"/>
      <c r="DF30" s="7"/>
      <c r="DG30" s="7"/>
      <c r="DH30" s="7"/>
      <c r="DI30" s="10"/>
      <c r="DJ30" s="7"/>
      <c r="DK30" s="7"/>
      <c r="DL30" s="7"/>
      <c r="DM30" s="11"/>
      <c r="DN30" s="10"/>
      <c r="DO30" s="7"/>
      <c r="DP30" s="7"/>
      <c r="DQ30" s="7"/>
      <c r="DR30" s="11"/>
      <c r="DS30" s="7"/>
      <c r="DT30" s="7"/>
      <c r="DU30" s="7"/>
      <c r="DV30" s="7"/>
      <c r="DW30" s="11"/>
      <c r="DX30" s="96"/>
      <c r="DY30" s="7"/>
      <c r="DZ30" s="11"/>
      <c r="EA30" s="28"/>
      <c r="EB30" s="10"/>
      <c r="EC30" s="7"/>
      <c r="ED30" s="7"/>
      <c r="EE30" s="11"/>
      <c r="EF30" s="7"/>
      <c r="EG30" s="10"/>
      <c r="EH30" s="7"/>
      <c r="EI30" s="7"/>
      <c r="EJ30" s="11"/>
      <c r="EK30" s="7"/>
      <c r="EL30" s="10"/>
      <c r="EM30" s="7"/>
      <c r="EN30" s="7"/>
      <c r="EO30" s="11"/>
      <c r="EP30" s="7"/>
      <c r="EQ30" s="10"/>
      <c r="ER30" s="7"/>
      <c r="ES30" s="7"/>
      <c r="ET30" s="7"/>
      <c r="EU30" s="11"/>
      <c r="EV30" s="96"/>
      <c r="EW30" s="10"/>
      <c r="EX30" s="7"/>
      <c r="EY30" s="7"/>
      <c r="EZ30" s="7"/>
      <c r="FA30" s="103"/>
      <c r="FB30" s="107"/>
      <c r="FC30" s="10"/>
      <c r="FD30" s="7"/>
      <c r="FE30" s="7"/>
      <c r="FF30" s="7"/>
      <c r="FG30" s="96"/>
      <c r="FH30" s="10"/>
      <c r="FI30" s="7"/>
      <c r="FJ30" s="7"/>
      <c r="FK30" s="7"/>
      <c r="FL30" s="11"/>
      <c r="FM30" s="96"/>
      <c r="FN30" s="10"/>
      <c r="FO30" s="7"/>
      <c r="FP30" s="7"/>
      <c r="FQ30" s="7"/>
      <c r="FR30" s="96"/>
      <c r="FS30" s="10"/>
      <c r="FT30" s="7"/>
      <c r="FU30" s="7"/>
      <c r="FV30" s="7"/>
      <c r="FW30" s="7"/>
      <c r="FX30" s="96"/>
      <c r="FY30" s="114"/>
      <c r="FZ30" s="7"/>
      <c r="GA30" s="7"/>
      <c r="GB30" s="7"/>
      <c r="GC30" s="7"/>
      <c r="GD30" s="96"/>
      <c r="GE30" s="10"/>
      <c r="GF30" s="7"/>
      <c r="GG30" s="7"/>
      <c r="GH30" s="7"/>
      <c r="GI30" s="11"/>
      <c r="GJ30" s="10"/>
      <c r="GK30" s="10"/>
      <c r="GL30" s="7"/>
      <c r="GM30" s="7"/>
      <c r="GN30" s="11"/>
      <c r="GO30" s="96"/>
      <c r="GP30" s="10"/>
      <c r="GQ30" s="7"/>
      <c r="GR30" s="7"/>
      <c r="GS30" s="7"/>
      <c r="GT30" s="11"/>
      <c r="GU30" s="96"/>
      <c r="GV30" s="114"/>
      <c r="GW30" s="7"/>
      <c r="GX30" s="7"/>
      <c r="GY30" s="7"/>
      <c r="GZ30" s="7"/>
      <c r="HA30" s="10"/>
      <c r="HB30" s="10"/>
      <c r="HC30" s="7"/>
      <c r="HD30" s="7"/>
      <c r="HE30" s="7"/>
      <c r="HF30" s="7"/>
      <c r="HG30" s="7"/>
      <c r="HH30" s="96"/>
      <c r="HI30" s="10"/>
      <c r="HJ30" s="7"/>
      <c r="HK30" s="7"/>
      <c r="HL30" s="7"/>
      <c r="HM30" s="7"/>
      <c r="HN30" s="7"/>
      <c r="HO30" s="10"/>
      <c r="HP30" s="10"/>
      <c r="HQ30" s="7"/>
      <c r="HR30" s="7"/>
      <c r="HS30" s="7"/>
      <c r="HT30" s="7"/>
      <c r="HU30" s="11"/>
      <c r="HV30" s="7"/>
      <c r="HW30" s="10"/>
      <c r="HX30" s="7"/>
      <c r="HY30" s="103"/>
      <c r="HZ30" s="7"/>
      <c r="IA30" s="7"/>
      <c r="IB30" s="11"/>
      <c r="IC30" s="11"/>
      <c r="ID30" s="7"/>
      <c r="IE30" s="7"/>
      <c r="IF30" s="7"/>
      <c r="IG30" s="7"/>
      <c r="IH30" s="7"/>
      <c r="II30" s="7"/>
      <c r="IJ30" s="96"/>
      <c r="IK30" s="10"/>
      <c r="IL30" s="7"/>
      <c r="IM30" s="7"/>
      <c r="IN30" s="7"/>
      <c r="IO30" s="7"/>
      <c r="IP30" s="11"/>
      <c r="IQ30" s="96"/>
      <c r="IR30" s="7"/>
      <c r="IS30" s="7"/>
      <c r="IT30" s="7"/>
      <c r="IU30" s="7"/>
      <c r="IV30" s="7"/>
      <c r="IW30" s="7"/>
      <c r="IX30" s="7"/>
      <c r="IY30" s="7"/>
      <c r="IZ30" s="7"/>
      <c r="JA30" s="103"/>
      <c r="JB30" s="7"/>
      <c r="JC30" s="7"/>
      <c r="JD30" s="7"/>
      <c r="JE30" s="7"/>
      <c r="JF30" s="7"/>
      <c r="JG30" s="7"/>
      <c r="JH30" s="7"/>
      <c r="JI30" s="7"/>
      <c r="JJ30" s="7"/>
      <c r="JK30" s="7"/>
      <c r="JL30" s="7"/>
      <c r="JM30" s="7"/>
      <c r="JN30" s="7"/>
      <c r="JO30" s="7"/>
      <c r="JP30" s="7"/>
      <c r="JQ30" s="7"/>
      <c r="JR30" s="7"/>
      <c r="JS30" s="7"/>
      <c r="JT30" s="7"/>
      <c r="JU30" s="7"/>
      <c r="JV30" s="7"/>
      <c r="JW30" s="7"/>
      <c r="JX30" s="103"/>
      <c r="JY30" s="7"/>
      <c r="JZ30" s="7"/>
      <c r="KA30" s="7"/>
      <c r="KB30" s="7"/>
      <c r="KC30" s="7"/>
      <c r="KD30" s="7"/>
      <c r="KE30" s="7"/>
      <c r="KF30" s="7"/>
      <c r="KG30" s="7"/>
      <c r="KH30" s="7"/>
      <c r="KI30" s="7"/>
      <c r="KJ30" s="7"/>
      <c r="KK30" s="7"/>
      <c r="KL30" s="7"/>
      <c r="KM30" s="7"/>
      <c r="KN30" s="7"/>
      <c r="KO30" s="7"/>
      <c r="KP30" s="7"/>
      <c r="KQ30" s="7"/>
      <c r="KR30" s="7"/>
      <c r="KS30" s="7"/>
      <c r="KT30" s="7"/>
      <c r="KU30" s="103"/>
      <c r="KV30" s="7"/>
      <c r="KW30" s="7"/>
      <c r="KX30" s="7"/>
      <c r="KY30" s="7"/>
      <c r="KZ30" s="7"/>
      <c r="LA30" s="7"/>
      <c r="LB30" s="7"/>
      <c r="LC30" s="7"/>
      <c r="LD30" s="7"/>
      <c r="LE30" s="7"/>
      <c r="LF30" s="7"/>
      <c r="LG30" s="7"/>
      <c r="LH30" s="7"/>
      <c r="LI30" s="7"/>
      <c r="LJ30" s="102"/>
      <c r="LK30" s="102"/>
      <c r="LL30" s="102"/>
      <c r="LM30" s="102"/>
      <c r="LN30" s="102"/>
      <c r="LO30" s="102"/>
      <c r="LP30" s="102"/>
      <c r="LQ30" s="102"/>
      <c r="LR30" s="102"/>
    </row>
    <row r="31" spans="1:330" x14ac:dyDescent="0.25">
      <c r="A31" s="5">
        <v>26</v>
      </c>
      <c r="B31" s="66" t="str">
        <f>IFERROR(VLOOKUP(Tabla4[[#This Row],[Prioridad]],Tabla3[#All],2,0),"")</f>
        <v>EQUIPO</v>
      </c>
      <c r="C31" s="86" t="str">
        <f>IFERROR(VLOOKUP(Tabla4[[#This Row],[Prioridad]],Tabla3[#All],17,0),"")</f>
        <v>Sprint 3</v>
      </c>
      <c r="D31" s="86" t="str">
        <f>IFERROR(VLOOKUP(Tabla4[[#This Row],[Prioridad]],Tabla3[#All],6,0),"")</f>
        <v>T-026</v>
      </c>
      <c r="E31" s="86" t="str">
        <f>+IFERROR(VLOOKUP(Tabla4[[#This Row],[Tarea]],Tabla3[[Num_Ticket]:[Descripción]],2,0),"")</f>
        <v>Generar Insert a la Base de Datos</v>
      </c>
      <c r="F31" s="47">
        <f>IFERROR(VLOOKUP(Tabla4[[#This Row],[Prioridad]],Tabla3[#All],14,0),"")</f>
        <v>1</v>
      </c>
      <c r="G31" s="47">
        <f>IF(Tabla4[[#This Row],[Prioridad]]&lt;&gt;"",SUM(W31:KT31),"")</f>
        <v>0</v>
      </c>
      <c r="H31" s="47">
        <f>IF(Tabla4[[#This Row],[Prioridad]]&lt;&gt;"",Tabla4[[#This Row],[Horas Estimadas]]-Tabla4[[#This Row],[Ejecutadas]],"")</f>
        <v>1</v>
      </c>
      <c r="I31" s="66" t="str">
        <f>IFERROR(VLOOKUP(Tabla4[[#This Row],[Prioridad]],Tabla3[#All],18,0),"")</f>
        <v>DESARROLLO APLICACIÓN</v>
      </c>
      <c r="J31" s="32">
        <f>IFERROR(VLOOKUP(Tabla4[[#This Row],[Prioridad]],Tabla3[#All],20,0),"")</f>
        <v>9</v>
      </c>
      <c r="K31" s="60" t="str">
        <f>IFERROR(VLOOKUP(Tabla4[[#This Row],[Prioridad]],Tabla3[#All],19,0),"")</f>
        <v>Construcción - Base de Datos</v>
      </c>
      <c r="L31" s="60" t="str">
        <f>IFERROR(VLOOKUP(Tabla4[[#This Row],[Prioridad]],Tabla3[#All],9,0),"")</f>
        <v>Tarea</v>
      </c>
      <c r="M31" s="93">
        <f>+SUMIFS(Tabla4[Avance Hito],Tabla4[Responsable],Tabla4[[#This Row],[Responsable]],Tabla4[Sprint],Tabla4[[#This Row],[Sprint]],Tabla4[Proyecto],Tabla4[[#This Row],[Proyecto]])/COUNTIFS(Tabla4[Responsable],Tabla4[[#This Row],[Responsable]],Tabla4[Sprint],Tabla4[[#This Row],[Sprint]],Tabla4[Proyecto],Tabla4[[#This Row],[Proyecto]])</f>
        <v>1</v>
      </c>
      <c r="N31" s="35">
        <f>+SUMIFS(Tabla4[Avance relativo],Tabla4[Responsable],Tabla4[[#This Row],[Responsable]],Tabla4[Sprint],Tabla4[[#This Row],[Sprint]],Tabla4[Hito],Tabla4[[#This Row],[Hito]])</f>
        <v>1</v>
      </c>
      <c r="O31" s="196">
        <f>VLOOKUP(Tabla4[[#This Row],[Tarea]],Tabla3[[#All],[Num_Ticket]:[Hito]],5,0)</f>
        <v>44464</v>
      </c>
      <c r="P31" s="199">
        <v>44469</v>
      </c>
      <c r="Q31" s="47">
        <f>IF(Tabla4[[#This Row],[Prioridad]]="","",IF(Tabla4[[#This Row],[Hito]]&lt;&gt;"",COUNTIFS(Tabla4[Responsable],Tabla4[[#This Row],[Responsable]],Tabla4[Sprint],Tabla4[[#This Row],[Sprint]],Tabla4[Epica],Tabla4[[#This Row],[Epica]])))</f>
        <v>3</v>
      </c>
      <c r="R31" s="47">
        <f>1*Tabla4[[#This Row],[% Avance]]</f>
        <v>1</v>
      </c>
      <c r="S31" s="47">
        <f>IFERROR(Tabla4[[#This Row],[Total Avance]]/Tabla4[[#This Row],[Conteo_Epica]],0)</f>
        <v>0.33333333333333331</v>
      </c>
      <c r="T31" s="35">
        <v>1</v>
      </c>
      <c r="U31" s="197">
        <v>5</v>
      </c>
      <c r="V31" s="198" t="s">
        <v>178</v>
      </c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11"/>
      <c r="AQ31" s="10"/>
      <c r="AR31" s="7"/>
      <c r="AS31" s="7"/>
      <c r="AT31" s="7"/>
      <c r="AU31" s="11"/>
      <c r="AV31" s="10"/>
      <c r="AW31" s="7"/>
      <c r="AX31" s="7"/>
      <c r="AY31" s="7"/>
      <c r="AZ31" s="11"/>
      <c r="BA31" s="10"/>
      <c r="BB31" s="7"/>
      <c r="BC31" s="7"/>
      <c r="BD31" s="7"/>
      <c r="BE31" s="11"/>
      <c r="BF31" s="10"/>
      <c r="BG31" s="7"/>
      <c r="BH31" s="7"/>
      <c r="BI31" s="7"/>
      <c r="BJ31" s="11"/>
      <c r="BK31" s="5"/>
      <c r="BL31" s="10"/>
      <c r="BM31" s="7"/>
      <c r="BN31" s="7"/>
      <c r="BO31" s="7"/>
      <c r="BP31" s="7"/>
      <c r="BQ31" s="10"/>
      <c r="BR31" s="7"/>
      <c r="BS31" s="7"/>
      <c r="BT31" s="7"/>
      <c r="BU31" s="11"/>
      <c r="BV31" s="10"/>
      <c r="BW31" s="7"/>
      <c r="BX31" s="7"/>
      <c r="BY31" s="7"/>
      <c r="BZ31" s="11"/>
      <c r="CA31" s="7"/>
      <c r="CB31" s="7"/>
      <c r="CC31" s="7"/>
      <c r="CD31" s="11"/>
      <c r="CE31" s="10"/>
      <c r="CF31" s="7"/>
      <c r="CG31" s="11"/>
      <c r="CH31" s="28"/>
      <c r="CI31" s="10"/>
      <c r="CJ31" s="7"/>
      <c r="CK31" s="7"/>
      <c r="CL31" s="7"/>
      <c r="CM31" s="7"/>
      <c r="CN31" s="10"/>
      <c r="CO31" s="7"/>
      <c r="CP31" s="7"/>
      <c r="CQ31" s="7"/>
      <c r="CR31" s="11"/>
      <c r="CS31" s="10"/>
      <c r="CT31" s="7"/>
      <c r="CU31" s="7"/>
      <c r="CV31" s="7"/>
      <c r="CW31" s="11"/>
      <c r="CX31" s="7"/>
      <c r="CY31" s="7"/>
      <c r="CZ31" s="7"/>
      <c r="DA31" s="7"/>
      <c r="DB31" s="11"/>
      <c r="DC31" s="28"/>
      <c r="DD31" s="10"/>
      <c r="DE31" s="7"/>
      <c r="DF31" s="7"/>
      <c r="DG31" s="7"/>
      <c r="DH31" s="7"/>
      <c r="DI31" s="10"/>
      <c r="DJ31" s="7"/>
      <c r="DK31" s="7"/>
      <c r="DL31" s="7"/>
      <c r="DM31" s="11"/>
      <c r="DN31" s="10"/>
      <c r="DO31" s="7"/>
      <c r="DP31" s="7"/>
      <c r="DQ31" s="7"/>
      <c r="DR31" s="11"/>
      <c r="DS31" s="7"/>
      <c r="DT31" s="7"/>
      <c r="DU31" s="7"/>
      <c r="DV31" s="7"/>
      <c r="DW31" s="11"/>
      <c r="DX31" s="96"/>
      <c r="DY31" s="7"/>
      <c r="DZ31" s="11"/>
      <c r="EA31" s="28"/>
      <c r="EB31" s="10"/>
      <c r="EC31" s="7"/>
      <c r="ED31" s="7"/>
      <c r="EE31" s="11"/>
      <c r="EF31" s="7"/>
      <c r="EG31" s="10"/>
      <c r="EH31" s="7"/>
      <c r="EI31" s="7"/>
      <c r="EJ31" s="11"/>
      <c r="EK31" s="7"/>
      <c r="EL31" s="10"/>
      <c r="EM31" s="7"/>
      <c r="EN31" s="7"/>
      <c r="EO31" s="11"/>
      <c r="EP31" s="7"/>
      <c r="EQ31" s="10"/>
      <c r="ER31" s="7"/>
      <c r="ES31" s="7"/>
      <c r="ET31" s="7"/>
      <c r="EU31" s="11"/>
      <c r="EV31" s="96"/>
      <c r="EW31" s="10"/>
      <c r="EX31" s="7"/>
      <c r="EY31" s="7"/>
      <c r="EZ31" s="7"/>
      <c r="FA31" s="103"/>
      <c r="FB31" s="107"/>
      <c r="FC31" s="10"/>
      <c r="FD31" s="7"/>
      <c r="FE31" s="7"/>
      <c r="FF31" s="7"/>
      <c r="FG31" s="96"/>
      <c r="FH31" s="10"/>
      <c r="FI31" s="7"/>
      <c r="FJ31" s="7"/>
      <c r="FK31" s="7"/>
      <c r="FL31" s="11"/>
      <c r="FM31" s="96"/>
      <c r="FN31" s="10"/>
      <c r="FO31" s="7"/>
      <c r="FP31" s="7"/>
      <c r="FQ31" s="7"/>
      <c r="FR31" s="96"/>
      <c r="FS31" s="10"/>
      <c r="FT31" s="7"/>
      <c r="FU31" s="7"/>
      <c r="FV31" s="7"/>
      <c r="FW31" s="7"/>
      <c r="FX31" s="96"/>
      <c r="FY31" s="114"/>
      <c r="FZ31" s="7"/>
      <c r="GA31" s="7"/>
      <c r="GB31" s="7"/>
      <c r="GC31" s="7"/>
      <c r="GD31" s="96"/>
      <c r="GE31" s="10"/>
      <c r="GF31" s="7"/>
      <c r="GG31" s="7"/>
      <c r="GH31" s="7"/>
      <c r="GI31" s="11"/>
      <c r="GJ31" s="10"/>
      <c r="GK31" s="10"/>
      <c r="GL31" s="7"/>
      <c r="GM31" s="7"/>
      <c r="GN31" s="11"/>
      <c r="GO31" s="96"/>
      <c r="GP31" s="10"/>
      <c r="GQ31" s="7"/>
      <c r="GR31" s="7"/>
      <c r="GS31" s="7"/>
      <c r="GT31" s="11"/>
      <c r="GU31" s="96"/>
      <c r="GV31" s="114"/>
      <c r="GW31" s="7"/>
      <c r="GX31" s="7"/>
      <c r="GY31" s="7"/>
      <c r="GZ31" s="7"/>
      <c r="HA31" s="10"/>
      <c r="HB31" s="10"/>
      <c r="HC31" s="7"/>
      <c r="HD31" s="7"/>
      <c r="HE31" s="7"/>
      <c r="HF31" s="7"/>
      <c r="HG31" s="7"/>
      <c r="HH31" s="96"/>
      <c r="HI31" s="10"/>
      <c r="HJ31" s="7"/>
      <c r="HK31" s="7"/>
      <c r="HL31" s="7"/>
      <c r="HM31" s="7"/>
      <c r="HN31" s="7"/>
      <c r="HO31" s="10"/>
      <c r="HP31" s="10"/>
      <c r="HQ31" s="7"/>
      <c r="HR31" s="7"/>
      <c r="HS31" s="7"/>
      <c r="HT31" s="7"/>
      <c r="HU31" s="11"/>
      <c r="HV31" s="7"/>
      <c r="HW31" s="10"/>
      <c r="HX31" s="7"/>
      <c r="HY31" s="103"/>
      <c r="HZ31" s="7"/>
      <c r="IA31" s="7"/>
      <c r="IB31" s="11"/>
      <c r="IC31" s="11"/>
      <c r="ID31" s="7"/>
      <c r="IE31" s="7"/>
      <c r="IF31" s="7"/>
      <c r="IG31" s="7"/>
      <c r="IH31" s="7"/>
      <c r="II31" s="7"/>
      <c r="IJ31" s="96"/>
      <c r="IK31" s="10"/>
      <c r="IL31" s="7"/>
      <c r="IM31" s="7"/>
      <c r="IN31" s="7"/>
      <c r="IO31" s="7"/>
      <c r="IP31" s="11"/>
      <c r="IQ31" s="96"/>
      <c r="IR31" s="7"/>
      <c r="IS31" s="7"/>
      <c r="IT31" s="7"/>
      <c r="IU31" s="7"/>
      <c r="IV31" s="7"/>
      <c r="IW31" s="7"/>
      <c r="IX31" s="7"/>
      <c r="IY31" s="7"/>
      <c r="IZ31" s="7"/>
      <c r="JA31" s="103"/>
      <c r="JB31" s="7"/>
      <c r="JC31" s="7"/>
      <c r="JD31" s="7"/>
      <c r="JE31" s="7"/>
      <c r="JF31" s="7"/>
      <c r="JG31" s="7"/>
      <c r="JH31" s="7"/>
      <c r="JI31" s="7"/>
      <c r="JJ31" s="7"/>
      <c r="JK31" s="7"/>
      <c r="JL31" s="7"/>
      <c r="JM31" s="7"/>
      <c r="JN31" s="7"/>
      <c r="JO31" s="7"/>
      <c r="JP31" s="7"/>
      <c r="JQ31" s="7"/>
      <c r="JR31" s="7"/>
      <c r="JS31" s="7"/>
      <c r="JT31" s="7"/>
      <c r="JU31" s="7"/>
      <c r="JV31" s="7"/>
      <c r="JW31" s="7"/>
      <c r="JX31" s="103"/>
      <c r="JY31" s="7"/>
      <c r="JZ31" s="7"/>
      <c r="KA31" s="7"/>
      <c r="KB31" s="7"/>
      <c r="KC31" s="7"/>
      <c r="KD31" s="7"/>
      <c r="KE31" s="7"/>
      <c r="KF31" s="7"/>
      <c r="KG31" s="7"/>
      <c r="KH31" s="7"/>
      <c r="KI31" s="7"/>
      <c r="KJ31" s="7"/>
      <c r="KK31" s="7"/>
      <c r="KL31" s="7"/>
      <c r="KM31" s="7"/>
      <c r="KN31" s="7"/>
      <c r="KO31" s="7"/>
      <c r="KP31" s="7"/>
      <c r="KQ31" s="7"/>
      <c r="KR31" s="7"/>
      <c r="KS31" s="7"/>
      <c r="KT31" s="7"/>
      <c r="KU31" s="103"/>
      <c r="KV31" s="7"/>
      <c r="KW31" s="7"/>
      <c r="KX31" s="7"/>
      <c r="KY31" s="7"/>
      <c r="KZ31" s="7"/>
      <c r="LA31" s="7"/>
      <c r="LB31" s="7"/>
      <c r="LC31" s="7"/>
      <c r="LD31" s="7"/>
      <c r="LE31" s="7"/>
      <c r="LF31" s="7"/>
      <c r="LG31" s="7"/>
      <c r="LH31" s="7"/>
      <c r="LI31" s="7"/>
      <c r="LJ31" s="102"/>
      <c r="LK31" s="102"/>
      <c r="LL31" s="102"/>
      <c r="LM31" s="102"/>
      <c r="LN31" s="102"/>
      <c r="LO31" s="102"/>
      <c r="LP31" s="102"/>
      <c r="LQ31" s="102"/>
      <c r="LR31" s="102"/>
    </row>
    <row r="32" spans="1:330" x14ac:dyDescent="0.25">
      <c r="A32" s="5">
        <v>27</v>
      </c>
      <c r="B32" s="66" t="str">
        <f>IFERROR(VLOOKUP(Tabla4[[#This Row],[Prioridad]],Tabla3[#All],2,0),"")</f>
        <v>EQUIPO</v>
      </c>
      <c r="C32" s="86" t="str">
        <f>IFERROR(VLOOKUP(Tabla4[[#This Row],[Prioridad]],Tabla3[#All],17,0),"")</f>
        <v>Sprint 3</v>
      </c>
      <c r="D32" s="86" t="str">
        <f>IFERROR(VLOOKUP(Tabla4[[#This Row],[Prioridad]],Tabla3[#All],6,0),"")</f>
        <v>T-027</v>
      </c>
      <c r="E32" s="86" t="str">
        <f>+IFERROR(VLOOKUP(Tabla4[[#This Row],[Tarea]],Tabla3[[Num_Ticket]:[Descripción]],2,0),"")</f>
        <v>Generar Consultas a la Base de Datos</v>
      </c>
      <c r="F32" s="47">
        <f>IFERROR(VLOOKUP(Tabla4[[#This Row],[Prioridad]],Tabla3[#All],14,0),"")</f>
        <v>1</v>
      </c>
      <c r="G32" s="47">
        <f>IF(Tabla4[[#This Row],[Prioridad]]&lt;&gt;"",SUM(W32:KT32),"")</f>
        <v>0</v>
      </c>
      <c r="H32" s="47">
        <f>IF(Tabla4[[#This Row],[Prioridad]]&lt;&gt;"",Tabla4[[#This Row],[Horas Estimadas]]-Tabla4[[#This Row],[Ejecutadas]],"")</f>
        <v>1</v>
      </c>
      <c r="I32" s="66" t="str">
        <f>IFERROR(VLOOKUP(Tabla4[[#This Row],[Prioridad]],Tabla3[#All],18,0),"")</f>
        <v>DESARROLLO APLICACIÓN</v>
      </c>
      <c r="J32" s="32">
        <f>IFERROR(VLOOKUP(Tabla4[[#This Row],[Prioridad]],Tabla3[#All],20,0),"")</f>
        <v>9</v>
      </c>
      <c r="K32" s="60" t="str">
        <f>IFERROR(VLOOKUP(Tabla4[[#This Row],[Prioridad]],Tabla3[#All],19,0),"")</f>
        <v>Construcción - Base de Datos</v>
      </c>
      <c r="L32" s="60" t="str">
        <f>IFERROR(VLOOKUP(Tabla4[[#This Row],[Prioridad]],Tabla3[#All],9,0),"")</f>
        <v>Tarea</v>
      </c>
      <c r="M32" s="93">
        <f>+SUMIFS(Tabla4[Avance Hito],Tabla4[Responsable],Tabla4[[#This Row],[Responsable]],Tabla4[Sprint],Tabla4[[#This Row],[Sprint]],Tabla4[Proyecto],Tabla4[[#This Row],[Proyecto]])/COUNTIFS(Tabla4[Responsable],Tabla4[[#This Row],[Responsable]],Tabla4[Sprint],Tabla4[[#This Row],[Sprint]],Tabla4[Proyecto],Tabla4[[#This Row],[Proyecto]])</f>
        <v>1</v>
      </c>
      <c r="N32" s="35">
        <f>+SUMIFS(Tabla4[Avance relativo],Tabla4[Responsable],Tabla4[[#This Row],[Responsable]],Tabla4[Sprint],Tabla4[[#This Row],[Sprint]],Tabla4[Hito],Tabla4[[#This Row],[Hito]])</f>
        <v>1</v>
      </c>
      <c r="O32" s="196">
        <f>VLOOKUP(Tabla4[[#This Row],[Tarea]],Tabla3[[#All],[Num_Ticket]:[Hito]],5,0)</f>
        <v>44464</v>
      </c>
      <c r="P32" s="199">
        <v>44469</v>
      </c>
      <c r="Q32" s="47">
        <f>IF(Tabla4[[#This Row],[Prioridad]]="","",IF(Tabla4[[#This Row],[Hito]]&lt;&gt;"",COUNTIFS(Tabla4[Responsable],Tabla4[[#This Row],[Responsable]],Tabla4[Sprint],Tabla4[[#This Row],[Sprint]],Tabla4[Epica],Tabla4[[#This Row],[Epica]])))</f>
        <v>3</v>
      </c>
      <c r="R32" s="47">
        <f>1*Tabla4[[#This Row],[% Avance]]</f>
        <v>1</v>
      </c>
      <c r="S32" s="47">
        <f>IFERROR(Tabla4[[#This Row],[Total Avance]]/Tabla4[[#This Row],[Conteo_Epica]],0)</f>
        <v>0.33333333333333331</v>
      </c>
      <c r="T32" s="35">
        <v>1</v>
      </c>
      <c r="U32" s="197">
        <v>5</v>
      </c>
      <c r="V32" s="198" t="s">
        <v>178</v>
      </c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11"/>
      <c r="AQ32" s="10"/>
      <c r="AR32" s="7"/>
      <c r="AS32" s="7"/>
      <c r="AT32" s="7"/>
      <c r="AU32" s="11"/>
      <c r="AV32" s="10"/>
      <c r="AW32" s="7"/>
      <c r="AX32" s="7"/>
      <c r="AY32" s="7"/>
      <c r="AZ32" s="11"/>
      <c r="BA32" s="10"/>
      <c r="BB32" s="7"/>
      <c r="BC32" s="7"/>
      <c r="BD32" s="7"/>
      <c r="BE32" s="11"/>
      <c r="BF32" s="10"/>
      <c r="BG32" s="7"/>
      <c r="BH32" s="7"/>
      <c r="BI32" s="7"/>
      <c r="BJ32" s="11"/>
      <c r="BK32" s="5"/>
      <c r="BL32" s="10"/>
      <c r="BM32" s="7"/>
      <c r="BN32" s="7"/>
      <c r="BO32" s="7"/>
      <c r="BP32" s="7"/>
      <c r="BQ32" s="10"/>
      <c r="BR32" s="7"/>
      <c r="BS32" s="7"/>
      <c r="BT32" s="7"/>
      <c r="BU32" s="11"/>
      <c r="BV32" s="10"/>
      <c r="BW32" s="7"/>
      <c r="BX32" s="7"/>
      <c r="BY32" s="7"/>
      <c r="BZ32" s="11"/>
      <c r="CA32" s="7"/>
      <c r="CB32" s="7"/>
      <c r="CC32" s="7"/>
      <c r="CD32" s="11"/>
      <c r="CE32" s="10"/>
      <c r="CF32" s="7"/>
      <c r="CG32" s="11"/>
      <c r="CH32" s="28"/>
      <c r="CI32" s="10"/>
      <c r="CJ32" s="7"/>
      <c r="CK32" s="7"/>
      <c r="CL32" s="7"/>
      <c r="CM32" s="7"/>
      <c r="CN32" s="10"/>
      <c r="CO32" s="7"/>
      <c r="CP32" s="7"/>
      <c r="CQ32" s="7"/>
      <c r="CR32" s="11"/>
      <c r="CS32" s="10"/>
      <c r="CT32" s="7"/>
      <c r="CU32" s="7"/>
      <c r="CV32" s="7"/>
      <c r="CW32" s="11"/>
      <c r="CX32" s="7"/>
      <c r="CY32" s="7"/>
      <c r="CZ32" s="7"/>
      <c r="DA32" s="7"/>
      <c r="DB32" s="11"/>
      <c r="DC32" s="28"/>
      <c r="DD32" s="10"/>
      <c r="DE32" s="7"/>
      <c r="DF32" s="7"/>
      <c r="DG32" s="7"/>
      <c r="DH32" s="7"/>
      <c r="DI32" s="10"/>
      <c r="DJ32" s="7"/>
      <c r="DK32" s="7"/>
      <c r="DL32" s="7"/>
      <c r="DM32" s="11"/>
      <c r="DN32" s="10"/>
      <c r="DO32" s="7"/>
      <c r="DP32" s="7"/>
      <c r="DQ32" s="7"/>
      <c r="DR32" s="11"/>
      <c r="DS32" s="7"/>
      <c r="DT32" s="7"/>
      <c r="DU32" s="7"/>
      <c r="DV32" s="7"/>
      <c r="DW32" s="11"/>
      <c r="DX32" s="96"/>
      <c r="DY32" s="7"/>
      <c r="DZ32" s="11"/>
      <c r="EA32" s="28"/>
      <c r="EB32" s="10"/>
      <c r="EC32" s="7"/>
      <c r="ED32" s="7"/>
      <c r="EE32" s="11"/>
      <c r="EF32" s="7"/>
      <c r="EG32" s="10"/>
      <c r="EH32" s="7"/>
      <c r="EI32" s="7"/>
      <c r="EJ32" s="11"/>
      <c r="EK32" s="7"/>
      <c r="EL32" s="10"/>
      <c r="EM32" s="7"/>
      <c r="EN32" s="7"/>
      <c r="EO32" s="11"/>
      <c r="EP32" s="7"/>
      <c r="EQ32" s="10"/>
      <c r="ER32" s="7"/>
      <c r="ES32" s="7"/>
      <c r="ET32" s="7"/>
      <c r="EU32" s="11"/>
      <c r="EV32" s="96"/>
      <c r="EW32" s="10"/>
      <c r="EX32" s="7"/>
      <c r="EY32" s="7"/>
      <c r="EZ32" s="7"/>
      <c r="FA32" s="103"/>
      <c r="FB32" s="107"/>
      <c r="FC32" s="10"/>
      <c r="FD32" s="7"/>
      <c r="FE32" s="7"/>
      <c r="FF32" s="7"/>
      <c r="FG32" s="96"/>
      <c r="FH32" s="10"/>
      <c r="FI32" s="7"/>
      <c r="FJ32" s="7"/>
      <c r="FK32" s="7"/>
      <c r="FL32" s="11"/>
      <c r="FM32" s="96"/>
      <c r="FN32" s="10"/>
      <c r="FO32" s="7"/>
      <c r="FP32" s="7"/>
      <c r="FQ32" s="7"/>
      <c r="FR32" s="96"/>
      <c r="FS32" s="10"/>
      <c r="FT32" s="7"/>
      <c r="FU32" s="7"/>
      <c r="FV32" s="7"/>
      <c r="FW32" s="7"/>
      <c r="FX32" s="96"/>
      <c r="FY32" s="114"/>
      <c r="FZ32" s="7"/>
      <c r="GA32" s="7"/>
      <c r="GB32" s="7"/>
      <c r="GC32" s="7"/>
      <c r="GD32" s="96"/>
      <c r="GE32" s="10"/>
      <c r="GF32" s="7"/>
      <c r="GG32" s="7"/>
      <c r="GH32" s="7"/>
      <c r="GI32" s="11"/>
      <c r="GJ32" s="10"/>
      <c r="GK32" s="10"/>
      <c r="GL32" s="7"/>
      <c r="GM32" s="7"/>
      <c r="GN32" s="11"/>
      <c r="GO32" s="96"/>
      <c r="GP32" s="10"/>
      <c r="GQ32" s="7"/>
      <c r="GR32" s="7"/>
      <c r="GS32" s="7"/>
      <c r="GT32" s="11"/>
      <c r="GU32" s="96"/>
      <c r="GV32" s="114"/>
      <c r="GW32" s="7"/>
      <c r="GX32" s="7"/>
      <c r="GY32" s="7"/>
      <c r="GZ32" s="7"/>
      <c r="HA32" s="10"/>
      <c r="HB32" s="10"/>
      <c r="HC32" s="7"/>
      <c r="HD32" s="7"/>
      <c r="HE32" s="7"/>
      <c r="HF32" s="7"/>
      <c r="HG32" s="7"/>
      <c r="HH32" s="96"/>
      <c r="HI32" s="10"/>
      <c r="HJ32" s="7"/>
      <c r="HK32" s="7"/>
      <c r="HL32" s="7"/>
      <c r="HM32" s="7"/>
      <c r="HN32" s="7"/>
      <c r="HO32" s="10"/>
      <c r="HP32" s="10"/>
      <c r="HQ32" s="7"/>
      <c r="HR32" s="7"/>
      <c r="HS32" s="7"/>
      <c r="HT32" s="7"/>
      <c r="HU32" s="11"/>
      <c r="HV32" s="7"/>
      <c r="HW32" s="10"/>
      <c r="HX32" s="7"/>
      <c r="HY32" s="103"/>
      <c r="HZ32" s="7"/>
      <c r="IA32" s="7"/>
      <c r="IB32" s="11"/>
      <c r="IC32" s="11"/>
      <c r="ID32" s="7"/>
      <c r="IE32" s="7"/>
      <c r="IF32" s="7"/>
      <c r="IG32" s="7"/>
      <c r="IH32" s="7"/>
      <c r="II32" s="7"/>
      <c r="IJ32" s="96"/>
      <c r="IK32" s="10"/>
      <c r="IL32" s="7"/>
      <c r="IM32" s="7"/>
      <c r="IN32" s="7"/>
      <c r="IO32" s="7"/>
      <c r="IP32" s="11"/>
      <c r="IQ32" s="96"/>
      <c r="IR32" s="7"/>
      <c r="IS32" s="7"/>
      <c r="IT32" s="7"/>
      <c r="IU32" s="7"/>
      <c r="IV32" s="7"/>
      <c r="IW32" s="7"/>
      <c r="IX32" s="7"/>
      <c r="IY32" s="7"/>
      <c r="IZ32" s="7"/>
      <c r="JA32" s="103"/>
      <c r="JB32" s="7"/>
      <c r="JC32" s="7"/>
      <c r="JD32" s="7"/>
      <c r="JE32" s="7"/>
      <c r="JF32" s="7"/>
      <c r="JG32" s="7"/>
      <c r="JH32" s="7"/>
      <c r="JI32" s="7"/>
      <c r="JJ32" s="7"/>
      <c r="JK32" s="7"/>
      <c r="JL32" s="7"/>
      <c r="JM32" s="7"/>
      <c r="JN32" s="7"/>
      <c r="JO32" s="7"/>
      <c r="JP32" s="7"/>
      <c r="JQ32" s="7"/>
      <c r="JR32" s="7"/>
      <c r="JS32" s="7"/>
      <c r="JT32" s="7"/>
      <c r="JU32" s="7"/>
      <c r="JV32" s="7"/>
      <c r="JW32" s="7"/>
      <c r="JX32" s="103"/>
      <c r="JY32" s="7"/>
      <c r="JZ32" s="7"/>
      <c r="KA32" s="7"/>
      <c r="KB32" s="7"/>
      <c r="KC32" s="7"/>
      <c r="KD32" s="7"/>
      <c r="KE32" s="7"/>
      <c r="KF32" s="7"/>
      <c r="KG32" s="7"/>
      <c r="KH32" s="7"/>
      <c r="KI32" s="7"/>
      <c r="KJ32" s="7"/>
      <c r="KK32" s="7"/>
      <c r="KL32" s="7"/>
      <c r="KM32" s="7"/>
      <c r="KN32" s="7"/>
      <c r="KO32" s="7"/>
      <c r="KP32" s="7"/>
      <c r="KQ32" s="7"/>
      <c r="KR32" s="7"/>
      <c r="KS32" s="7"/>
      <c r="KT32" s="7"/>
      <c r="KU32" s="103"/>
      <c r="KV32" s="7"/>
      <c r="KW32" s="7"/>
      <c r="KX32" s="7"/>
      <c r="KY32" s="7"/>
      <c r="KZ32" s="7"/>
      <c r="LA32" s="7"/>
      <c r="LB32" s="7"/>
      <c r="LC32" s="7"/>
      <c r="LD32" s="7"/>
      <c r="LE32" s="7"/>
      <c r="LF32" s="7"/>
      <c r="LG32" s="7"/>
      <c r="LH32" s="7"/>
      <c r="LI32" s="7"/>
      <c r="LJ32" s="102"/>
      <c r="LK32" s="102"/>
      <c r="LL32" s="102"/>
      <c r="LM32" s="102"/>
      <c r="LN32" s="102"/>
      <c r="LO32" s="102"/>
      <c r="LP32" s="102"/>
      <c r="LQ32" s="102"/>
      <c r="LR32" s="102"/>
    </row>
    <row r="33" spans="1:330" x14ac:dyDescent="0.25">
      <c r="A33" s="5">
        <v>28</v>
      </c>
      <c r="B33" s="66" t="str">
        <f>IFERROR(VLOOKUP(Tabla4[[#This Row],[Prioridad]],Tabla3[#All],2,0),"")</f>
        <v>EQUIPO</v>
      </c>
      <c r="C33" s="86" t="str">
        <f>IFERROR(VLOOKUP(Tabla4[[#This Row],[Prioridad]],Tabla3[#All],17,0),"")</f>
        <v>Sprint 3</v>
      </c>
      <c r="D33" s="86" t="str">
        <f>IFERROR(VLOOKUP(Tabla4[[#This Row],[Prioridad]],Tabla3[#All],6,0),"")</f>
        <v>T-028</v>
      </c>
      <c r="E33" s="86" t="str">
        <f>+IFERROR(VLOOKUP(Tabla4[[#This Row],[Tarea]],Tabla3[[Num_Ticket]:[Descripción]],2,0),"")</f>
        <v>Crear documento líneamientos para diseñar y construir Interfaz Gráfica</v>
      </c>
      <c r="F33" s="47">
        <f>IFERROR(VLOOKUP(Tabla4[[#This Row],[Prioridad]],Tabla3[#All],14,0),"")</f>
        <v>2</v>
      </c>
      <c r="G33" s="47">
        <f>IF(Tabla4[[#This Row],[Prioridad]]&lt;&gt;"",SUM(W33:KT33),"")</f>
        <v>1</v>
      </c>
      <c r="H33" s="47">
        <f>IF(Tabla4[[#This Row],[Prioridad]]&lt;&gt;"",Tabla4[[#This Row],[Horas Estimadas]]-Tabla4[[#This Row],[Ejecutadas]],"")</f>
        <v>1</v>
      </c>
      <c r="I33" s="66" t="str">
        <f>IFERROR(VLOOKUP(Tabla4[[#This Row],[Prioridad]],Tabla3[#All],18,0),"")</f>
        <v>DESARROLLO APLICACIÓN</v>
      </c>
      <c r="J33" s="32">
        <f>IFERROR(VLOOKUP(Tabla4[[#This Row],[Prioridad]],Tabla3[#All],20,0),"")</f>
        <v>8</v>
      </c>
      <c r="K33" s="60" t="str">
        <f>IFERROR(VLOOKUP(Tabla4[[#This Row],[Prioridad]],Tabla3[#All],19,0),"")</f>
        <v>Construcción - Codigo estructuras</v>
      </c>
      <c r="L33" s="60" t="str">
        <f>IFERROR(VLOOKUP(Tabla4[[#This Row],[Prioridad]],Tabla3[#All],9,0),"")</f>
        <v>Tarea</v>
      </c>
      <c r="M33" s="93">
        <f>+SUMIFS(Tabla4[Avance Hito],Tabla4[Responsable],Tabla4[[#This Row],[Responsable]],Tabla4[Sprint],Tabla4[[#This Row],[Sprint]],Tabla4[Proyecto],Tabla4[[#This Row],[Proyecto]])/COUNTIFS(Tabla4[Responsable],Tabla4[[#This Row],[Responsable]],Tabla4[Sprint],Tabla4[[#This Row],[Sprint]],Tabla4[Proyecto],Tabla4[[#This Row],[Proyecto]])</f>
        <v>1</v>
      </c>
      <c r="N33" s="35">
        <f>+SUMIFS(Tabla4[Avance relativo],Tabla4[Responsable],Tabla4[[#This Row],[Responsable]],Tabla4[Sprint],Tabla4[[#This Row],[Sprint]],Tabla4[Hito],Tabla4[[#This Row],[Hito]])</f>
        <v>0.99999999999999989</v>
      </c>
      <c r="O33" s="196">
        <f>VLOOKUP(Tabla4[[#This Row],[Tarea]],Tabla3[[#All],[Num_Ticket]:[Hito]],5,0)</f>
        <v>44466</v>
      </c>
      <c r="P33" s="199">
        <v>44467</v>
      </c>
      <c r="Q33" s="47">
        <f>IF(Tabla4[[#This Row],[Prioridad]]="","",IF(Tabla4[[#This Row],[Hito]]&lt;&gt;"",COUNTIFS(Tabla4[Responsable],Tabla4[[#This Row],[Responsable]],Tabla4[Sprint],Tabla4[[#This Row],[Sprint]],Tabla4[Epica],Tabla4[[#This Row],[Epica]])))</f>
        <v>6</v>
      </c>
      <c r="R33" s="47">
        <f>1*Tabla4[[#This Row],[% Avance]]</f>
        <v>1</v>
      </c>
      <c r="S33" s="47">
        <f>IFERROR(Tabla4[[#This Row],[Total Avance]]/Tabla4[[#This Row],[Conteo_Epica]],0)</f>
        <v>0.16666666666666666</v>
      </c>
      <c r="T33" s="35">
        <v>1</v>
      </c>
      <c r="U33" s="197">
        <v>5</v>
      </c>
      <c r="V33" s="198" t="s">
        <v>178</v>
      </c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11"/>
      <c r="AQ33" s="10"/>
      <c r="AR33" s="7"/>
      <c r="AS33" s="7"/>
      <c r="AT33" s="7"/>
      <c r="AU33" s="11"/>
      <c r="AV33" s="10"/>
      <c r="AW33" s="7"/>
      <c r="AX33" s="7"/>
      <c r="AY33" s="7"/>
      <c r="AZ33" s="11"/>
      <c r="BA33" s="10"/>
      <c r="BB33" s="7"/>
      <c r="BC33" s="7"/>
      <c r="BD33" s="7"/>
      <c r="BE33" s="11"/>
      <c r="BF33" s="10"/>
      <c r="BG33" s="7"/>
      <c r="BH33" s="7"/>
      <c r="BI33" s="7"/>
      <c r="BJ33" s="11"/>
      <c r="BK33" s="5"/>
      <c r="BL33" s="10"/>
      <c r="BM33" s="7"/>
      <c r="BN33" s="7"/>
      <c r="BO33" s="7"/>
      <c r="BP33" s="7"/>
      <c r="BQ33" s="10"/>
      <c r="BR33" s="7"/>
      <c r="BS33" s="7"/>
      <c r="BT33" s="7"/>
      <c r="BU33" s="11"/>
      <c r="BV33" s="10"/>
      <c r="BW33" s="7"/>
      <c r="BX33" s="7"/>
      <c r="BY33" s="7"/>
      <c r="BZ33" s="11"/>
      <c r="CA33" s="7"/>
      <c r="CB33" s="7"/>
      <c r="CC33" s="7"/>
      <c r="CD33" s="11"/>
      <c r="CE33" s="10"/>
      <c r="CF33" s="7"/>
      <c r="CG33" s="11"/>
      <c r="CH33" s="28"/>
      <c r="CI33" s="10"/>
      <c r="CJ33" s="7"/>
      <c r="CK33" s="7"/>
      <c r="CL33" s="7"/>
      <c r="CM33" s="7"/>
      <c r="CN33" s="10"/>
      <c r="CO33" s="7"/>
      <c r="CP33" s="7"/>
      <c r="CQ33" s="7"/>
      <c r="CR33" s="11"/>
      <c r="CS33" s="10"/>
      <c r="CT33" s="7"/>
      <c r="CU33" s="7"/>
      <c r="CV33" s="7"/>
      <c r="CW33" s="11"/>
      <c r="CX33" s="7"/>
      <c r="CY33" s="7"/>
      <c r="CZ33" s="7"/>
      <c r="DA33" s="7"/>
      <c r="DB33" s="11"/>
      <c r="DC33" s="28"/>
      <c r="DD33" s="10"/>
      <c r="DE33" s="7"/>
      <c r="DF33" s="7"/>
      <c r="DG33" s="7"/>
      <c r="DH33" s="7"/>
      <c r="DI33" s="10"/>
      <c r="DJ33" s="7"/>
      <c r="DK33" s="7"/>
      <c r="DL33" s="7"/>
      <c r="DM33" s="11"/>
      <c r="DN33" s="10"/>
      <c r="DO33" s="7"/>
      <c r="DP33" s="7"/>
      <c r="DQ33" s="7"/>
      <c r="DR33" s="11"/>
      <c r="DS33" s="7"/>
      <c r="DT33" s="7"/>
      <c r="DU33" s="7"/>
      <c r="DV33" s="7"/>
      <c r="DW33" s="11"/>
      <c r="DX33" s="96"/>
      <c r="DY33" s="7"/>
      <c r="DZ33" s="11"/>
      <c r="EA33" s="28"/>
      <c r="EB33" s="10"/>
      <c r="EC33" s="7"/>
      <c r="ED33" s="7"/>
      <c r="EE33" s="11"/>
      <c r="EF33" s="7"/>
      <c r="EG33" s="10"/>
      <c r="EH33" s="7"/>
      <c r="EI33" s="7"/>
      <c r="EJ33" s="11"/>
      <c r="EK33" s="7"/>
      <c r="EL33" s="10"/>
      <c r="EM33" s="7"/>
      <c r="EN33" s="7"/>
      <c r="EO33" s="11"/>
      <c r="EP33" s="7"/>
      <c r="EQ33" s="10"/>
      <c r="ER33" s="7"/>
      <c r="ES33" s="7"/>
      <c r="ET33" s="7"/>
      <c r="EU33" s="11"/>
      <c r="EV33" s="96"/>
      <c r="EW33" s="10"/>
      <c r="EX33" s="7"/>
      <c r="EY33" s="7"/>
      <c r="EZ33" s="7"/>
      <c r="FA33" s="103"/>
      <c r="FB33" s="107"/>
      <c r="FC33" s="10"/>
      <c r="FD33" s="7"/>
      <c r="FE33" s="7"/>
      <c r="FF33" s="7"/>
      <c r="FG33" s="96"/>
      <c r="FH33" s="10"/>
      <c r="FI33" s="7"/>
      <c r="FJ33" s="7"/>
      <c r="FK33" s="7"/>
      <c r="FL33" s="11"/>
      <c r="FM33" s="96"/>
      <c r="FN33" s="10"/>
      <c r="FO33" s="7"/>
      <c r="FP33" s="7"/>
      <c r="FQ33" s="7"/>
      <c r="FR33" s="96"/>
      <c r="FS33" s="10"/>
      <c r="FT33" s="7"/>
      <c r="FU33" s="7"/>
      <c r="FV33" s="7"/>
      <c r="FW33" s="7"/>
      <c r="FX33" s="96"/>
      <c r="FY33" s="114"/>
      <c r="FZ33" s="7"/>
      <c r="GA33" s="7"/>
      <c r="GB33" s="7"/>
      <c r="GC33" s="7"/>
      <c r="GD33" s="96"/>
      <c r="GE33" s="10"/>
      <c r="GF33" s="7"/>
      <c r="GG33" s="7"/>
      <c r="GH33" s="7"/>
      <c r="GI33" s="11"/>
      <c r="GJ33" s="10"/>
      <c r="GK33" s="10"/>
      <c r="GL33" s="7"/>
      <c r="GM33" s="7"/>
      <c r="GN33" s="11"/>
      <c r="GO33" s="96"/>
      <c r="GP33" s="10"/>
      <c r="GQ33" s="7"/>
      <c r="GR33" s="7"/>
      <c r="GS33" s="7"/>
      <c r="GT33" s="11"/>
      <c r="GU33" s="96"/>
      <c r="GV33" s="114"/>
      <c r="GW33" s="7"/>
      <c r="GX33" s="7"/>
      <c r="GY33" s="7"/>
      <c r="GZ33" s="7"/>
      <c r="HA33" s="10"/>
      <c r="HB33" s="10"/>
      <c r="HC33" s="7"/>
      <c r="HD33" s="7"/>
      <c r="HE33" s="7"/>
      <c r="HF33" s="7"/>
      <c r="HG33" s="7"/>
      <c r="HH33" s="96"/>
      <c r="HI33" s="10"/>
      <c r="HJ33" s="7"/>
      <c r="HK33" s="7"/>
      <c r="HL33" s="7"/>
      <c r="HM33" s="7"/>
      <c r="HN33" s="7"/>
      <c r="HO33" s="10"/>
      <c r="HP33" s="10"/>
      <c r="HQ33" s="7"/>
      <c r="HR33" s="7"/>
      <c r="HS33" s="7"/>
      <c r="HT33" s="7"/>
      <c r="HU33" s="11"/>
      <c r="HV33" s="7"/>
      <c r="HW33" s="10"/>
      <c r="HX33" s="7">
        <v>1</v>
      </c>
      <c r="HY33" s="103"/>
      <c r="HZ33" s="7"/>
      <c r="IA33" s="7"/>
      <c r="IB33" s="11"/>
      <c r="IC33" s="11"/>
      <c r="ID33" s="7"/>
      <c r="IE33" s="7"/>
      <c r="IF33" s="7"/>
      <c r="IG33" s="7"/>
      <c r="IH33" s="7"/>
      <c r="II33" s="7"/>
      <c r="IJ33" s="96"/>
      <c r="IK33" s="10"/>
      <c r="IL33" s="7"/>
      <c r="IM33" s="7"/>
      <c r="IN33" s="7"/>
      <c r="IO33" s="7"/>
      <c r="IP33" s="11"/>
      <c r="IQ33" s="96"/>
      <c r="IR33" s="7"/>
      <c r="IS33" s="7"/>
      <c r="IT33" s="7"/>
      <c r="IU33" s="7"/>
      <c r="IV33" s="7"/>
      <c r="IW33" s="7"/>
      <c r="IX33" s="7"/>
      <c r="IY33" s="7"/>
      <c r="IZ33" s="7"/>
      <c r="JA33" s="103"/>
      <c r="JB33" s="7"/>
      <c r="JC33" s="7"/>
      <c r="JD33" s="7"/>
      <c r="JE33" s="7"/>
      <c r="JF33" s="7"/>
      <c r="JG33" s="7"/>
      <c r="JH33" s="7"/>
      <c r="JI33" s="7"/>
      <c r="JJ33" s="7"/>
      <c r="JK33" s="7"/>
      <c r="JL33" s="7"/>
      <c r="JM33" s="7"/>
      <c r="JN33" s="7"/>
      <c r="JO33" s="7"/>
      <c r="JP33" s="7"/>
      <c r="JQ33" s="7"/>
      <c r="JR33" s="7"/>
      <c r="JS33" s="7"/>
      <c r="JT33" s="7"/>
      <c r="JU33" s="7"/>
      <c r="JV33" s="7"/>
      <c r="JW33" s="7"/>
      <c r="JX33" s="103"/>
      <c r="JY33" s="7"/>
      <c r="JZ33" s="7"/>
      <c r="KA33" s="7"/>
      <c r="KB33" s="7"/>
      <c r="KC33" s="7"/>
      <c r="KD33" s="7"/>
      <c r="KE33" s="7"/>
      <c r="KF33" s="7"/>
      <c r="KG33" s="7"/>
      <c r="KH33" s="7"/>
      <c r="KI33" s="7"/>
      <c r="KJ33" s="7"/>
      <c r="KK33" s="7"/>
      <c r="KL33" s="7"/>
      <c r="KM33" s="7"/>
      <c r="KN33" s="7"/>
      <c r="KO33" s="7"/>
      <c r="KP33" s="7"/>
      <c r="KQ33" s="7"/>
      <c r="KR33" s="7"/>
      <c r="KS33" s="7"/>
      <c r="KT33" s="7"/>
      <c r="KU33" s="103"/>
      <c r="KV33" s="7"/>
      <c r="KW33" s="7"/>
      <c r="KX33" s="7"/>
      <c r="KY33" s="7"/>
      <c r="KZ33" s="7"/>
      <c r="LA33" s="7"/>
      <c r="LB33" s="7"/>
      <c r="LC33" s="7"/>
      <c r="LD33" s="7"/>
      <c r="LE33" s="7"/>
      <c r="LF33" s="7"/>
      <c r="LG33" s="7"/>
      <c r="LH33" s="7"/>
      <c r="LI33" s="7"/>
      <c r="LJ33" s="102"/>
      <c r="LK33" s="102"/>
      <c r="LL33" s="102"/>
      <c r="LM33" s="102"/>
      <c r="LN33" s="102"/>
      <c r="LO33" s="102"/>
      <c r="LP33" s="102"/>
      <c r="LQ33" s="102"/>
      <c r="LR33" s="102"/>
    </row>
    <row r="34" spans="1:330" x14ac:dyDescent="0.25">
      <c r="A34" s="5">
        <v>29</v>
      </c>
      <c r="B34" s="66" t="str">
        <f>IFERROR(VLOOKUP(Tabla4[[#This Row],[Prioridad]],Tabla3[#All],2,0),"")</f>
        <v>EQUIPO</v>
      </c>
      <c r="C34" s="86" t="str">
        <f>IFERROR(VLOOKUP(Tabla4[[#This Row],[Prioridad]],Tabla3[#All],17,0),"")</f>
        <v>Sprint 3</v>
      </c>
      <c r="D34" s="86" t="str">
        <f>IFERROR(VLOOKUP(Tabla4[[#This Row],[Prioridad]],Tabla3[#All],6,0),"")</f>
        <v>T-029</v>
      </c>
      <c r="E34" s="86" t="str">
        <f>+IFERROR(VLOOKUP(Tabla4[[#This Row],[Tarea]],Tabla3[[Num_Ticket]:[Descripción]],2,0),"")</f>
        <v>Crear documento líneamientos para diseñar y construir Capa de Dominio</v>
      </c>
      <c r="F34" s="47">
        <f>IFERROR(VLOOKUP(Tabla4[[#This Row],[Prioridad]],Tabla3[#All],14,0),"")</f>
        <v>2</v>
      </c>
      <c r="G34" s="47">
        <f>IF(Tabla4[[#This Row],[Prioridad]]&lt;&gt;"",SUM(W34:KT34),"")</f>
        <v>1</v>
      </c>
      <c r="H34" s="47">
        <f>IF(Tabla4[[#This Row],[Prioridad]]&lt;&gt;"",Tabla4[[#This Row],[Horas Estimadas]]-Tabla4[[#This Row],[Ejecutadas]],"")</f>
        <v>1</v>
      </c>
      <c r="I34" s="66" t="str">
        <f>IFERROR(VLOOKUP(Tabla4[[#This Row],[Prioridad]],Tabla3[#All],18,0),"")</f>
        <v>DESARROLLO APLICACIÓN</v>
      </c>
      <c r="J34" s="32">
        <f>IFERROR(VLOOKUP(Tabla4[[#This Row],[Prioridad]],Tabla3[#All],20,0),"")</f>
        <v>8</v>
      </c>
      <c r="K34" s="60" t="str">
        <f>IFERROR(VLOOKUP(Tabla4[[#This Row],[Prioridad]],Tabla3[#All],19,0),"")</f>
        <v>Construcción - Codigo estructuras</v>
      </c>
      <c r="L34" s="60" t="str">
        <f>IFERROR(VLOOKUP(Tabla4[[#This Row],[Prioridad]],Tabla3[#All],9,0),"")</f>
        <v>Tarea</v>
      </c>
      <c r="M34" s="93">
        <f>+SUMIFS(Tabla4[Avance Hito],Tabla4[Responsable],Tabla4[[#This Row],[Responsable]],Tabla4[Sprint],Tabla4[[#This Row],[Sprint]],Tabla4[Proyecto],Tabla4[[#This Row],[Proyecto]])/COUNTIFS(Tabla4[Responsable],Tabla4[[#This Row],[Responsable]],Tabla4[Sprint],Tabla4[[#This Row],[Sprint]],Tabla4[Proyecto],Tabla4[[#This Row],[Proyecto]])</f>
        <v>1</v>
      </c>
      <c r="N34" s="35">
        <f>+SUMIFS(Tabla4[Avance relativo],Tabla4[Responsable],Tabla4[[#This Row],[Responsable]],Tabla4[Sprint],Tabla4[[#This Row],[Sprint]],Tabla4[Hito],Tabla4[[#This Row],[Hito]])</f>
        <v>0.99999999999999989</v>
      </c>
      <c r="O34" s="196">
        <f>VLOOKUP(Tabla4[[#This Row],[Tarea]],Tabla3[[#All],[Num_Ticket]:[Hito]],5,0)</f>
        <v>44466</v>
      </c>
      <c r="P34" s="199">
        <v>44470</v>
      </c>
      <c r="Q34" s="47">
        <f>IF(Tabla4[[#This Row],[Prioridad]]="","",IF(Tabla4[[#This Row],[Hito]]&lt;&gt;"",COUNTIFS(Tabla4[Responsable],Tabla4[[#This Row],[Responsable]],Tabla4[Sprint],Tabla4[[#This Row],[Sprint]],Tabla4[Epica],Tabla4[[#This Row],[Epica]])))</f>
        <v>6</v>
      </c>
      <c r="R34" s="47">
        <f>1*Tabla4[[#This Row],[% Avance]]</f>
        <v>1</v>
      </c>
      <c r="S34" s="47">
        <f>IFERROR(Tabla4[[#This Row],[Total Avance]]/Tabla4[[#This Row],[Conteo_Epica]],0)</f>
        <v>0.16666666666666666</v>
      </c>
      <c r="T34" s="35">
        <v>1</v>
      </c>
      <c r="U34" s="197">
        <v>5</v>
      </c>
      <c r="V34" s="198" t="s">
        <v>178</v>
      </c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11"/>
      <c r="AQ34" s="10"/>
      <c r="AR34" s="7"/>
      <c r="AS34" s="7"/>
      <c r="AT34" s="7"/>
      <c r="AU34" s="11"/>
      <c r="AV34" s="10"/>
      <c r="AW34" s="7"/>
      <c r="AX34" s="7"/>
      <c r="AY34" s="7"/>
      <c r="AZ34" s="11"/>
      <c r="BA34" s="10"/>
      <c r="BB34" s="7"/>
      <c r="BC34" s="7"/>
      <c r="BD34" s="7"/>
      <c r="BE34" s="11"/>
      <c r="BF34" s="10"/>
      <c r="BG34" s="7"/>
      <c r="BH34" s="7"/>
      <c r="BI34" s="7"/>
      <c r="BJ34" s="11"/>
      <c r="BK34" s="5"/>
      <c r="BL34" s="10"/>
      <c r="BM34" s="7"/>
      <c r="BN34" s="7"/>
      <c r="BO34" s="7"/>
      <c r="BP34" s="7"/>
      <c r="BQ34" s="10"/>
      <c r="BR34" s="7"/>
      <c r="BS34" s="7"/>
      <c r="BT34" s="7"/>
      <c r="BU34" s="11"/>
      <c r="BV34" s="10"/>
      <c r="BW34" s="7"/>
      <c r="BX34" s="7"/>
      <c r="BY34" s="7"/>
      <c r="BZ34" s="11"/>
      <c r="CA34" s="7"/>
      <c r="CB34" s="7"/>
      <c r="CC34" s="7"/>
      <c r="CD34" s="11"/>
      <c r="CE34" s="10"/>
      <c r="CF34" s="7"/>
      <c r="CG34" s="11"/>
      <c r="CH34" s="28"/>
      <c r="CI34" s="10"/>
      <c r="CJ34" s="7"/>
      <c r="CK34" s="7"/>
      <c r="CL34" s="7"/>
      <c r="CM34" s="7"/>
      <c r="CN34" s="10"/>
      <c r="CO34" s="7"/>
      <c r="CP34" s="7"/>
      <c r="CQ34" s="7"/>
      <c r="CR34" s="11"/>
      <c r="CS34" s="10"/>
      <c r="CT34" s="7"/>
      <c r="CU34" s="7"/>
      <c r="CV34" s="7"/>
      <c r="CW34" s="11"/>
      <c r="CX34" s="7"/>
      <c r="CY34" s="7"/>
      <c r="CZ34" s="7"/>
      <c r="DA34" s="7"/>
      <c r="DB34" s="11"/>
      <c r="DC34" s="28"/>
      <c r="DD34" s="10"/>
      <c r="DE34" s="7"/>
      <c r="DF34" s="7"/>
      <c r="DG34" s="7"/>
      <c r="DH34" s="7"/>
      <c r="DI34" s="10"/>
      <c r="DJ34" s="7"/>
      <c r="DK34" s="7"/>
      <c r="DL34" s="7"/>
      <c r="DM34" s="11"/>
      <c r="DN34" s="10"/>
      <c r="DO34" s="7"/>
      <c r="DP34" s="7"/>
      <c r="DQ34" s="7"/>
      <c r="DR34" s="11"/>
      <c r="DS34" s="7"/>
      <c r="DT34" s="7"/>
      <c r="DU34" s="7"/>
      <c r="DV34" s="7"/>
      <c r="DW34" s="11"/>
      <c r="DX34" s="96"/>
      <c r="DY34" s="7"/>
      <c r="DZ34" s="11"/>
      <c r="EA34" s="28"/>
      <c r="EB34" s="10"/>
      <c r="EC34" s="7"/>
      <c r="ED34" s="7"/>
      <c r="EE34" s="11"/>
      <c r="EF34" s="7"/>
      <c r="EG34" s="10"/>
      <c r="EH34" s="7"/>
      <c r="EI34" s="7"/>
      <c r="EJ34" s="11"/>
      <c r="EK34" s="7"/>
      <c r="EL34" s="10"/>
      <c r="EM34" s="7"/>
      <c r="EN34" s="7"/>
      <c r="EO34" s="11"/>
      <c r="EP34" s="7"/>
      <c r="EQ34" s="10"/>
      <c r="ER34" s="7"/>
      <c r="ES34" s="7"/>
      <c r="ET34" s="7"/>
      <c r="EU34" s="11"/>
      <c r="EV34" s="96"/>
      <c r="EW34" s="10"/>
      <c r="EX34" s="7"/>
      <c r="EY34" s="7"/>
      <c r="EZ34" s="7"/>
      <c r="FA34" s="103"/>
      <c r="FB34" s="107"/>
      <c r="FC34" s="10"/>
      <c r="FD34" s="7"/>
      <c r="FE34" s="7"/>
      <c r="FF34" s="7"/>
      <c r="FG34" s="96"/>
      <c r="FH34" s="10"/>
      <c r="FI34" s="7"/>
      <c r="FJ34" s="7"/>
      <c r="FK34" s="7"/>
      <c r="FL34" s="11"/>
      <c r="FM34" s="96"/>
      <c r="FN34" s="10"/>
      <c r="FO34" s="7"/>
      <c r="FP34" s="7"/>
      <c r="FQ34" s="7"/>
      <c r="FR34" s="96"/>
      <c r="FS34" s="10"/>
      <c r="FT34" s="7"/>
      <c r="FU34" s="7"/>
      <c r="FV34" s="7"/>
      <c r="FW34" s="7"/>
      <c r="FX34" s="96"/>
      <c r="FY34" s="114"/>
      <c r="FZ34" s="7"/>
      <c r="GA34" s="7"/>
      <c r="GB34" s="7"/>
      <c r="GC34" s="7"/>
      <c r="GD34" s="96"/>
      <c r="GE34" s="10"/>
      <c r="GF34" s="7"/>
      <c r="GG34" s="7"/>
      <c r="GH34" s="7"/>
      <c r="GI34" s="11"/>
      <c r="GJ34" s="10"/>
      <c r="GK34" s="10"/>
      <c r="GL34" s="7"/>
      <c r="GM34" s="7"/>
      <c r="GN34" s="11"/>
      <c r="GO34" s="96"/>
      <c r="GP34" s="10"/>
      <c r="GQ34" s="7"/>
      <c r="GR34" s="7"/>
      <c r="GS34" s="7"/>
      <c r="GT34" s="11"/>
      <c r="GU34" s="96"/>
      <c r="GV34" s="114"/>
      <c r="GW34" s="7"/>
      <c r="GX34" s="7"/>
      <c r="GY34" s="7"/>
      <c r="GZ34" s="7"/>
      <c r="HA34" s="10"/>
      <c r="HB34" s="10"/>
      <c r="HC34" s="7"/>
      <c r="HD34" s="7"/>
      <c r="HE34" s="7"/>
      <c r="HF34" s="7"/>
      <c r="HG34" s="7"/>
      <c r="HH34" s="96"/>
      <c r="HI34" s="10"/>
      <c r="HJ34" s="7"/>
      <c r="HK34" s="7"/>
      <c r="HL34" s="7"/>
      <c r="HM34" s="7"/>
      <c r="HN34" s="7"/>
      <c r="HO34" s="10"/>
      <c r="HP34" s="10"/>
      <c r="HQ34" s="7"/>
      <c r="HR34" s="7"/>
      <c r="HS34" s="7"/>
      <c r="HT34" s="7"/>
      <c r="HU34" s="11"/>
      <c r="HV34" s="7"/>
      <c r="HW34" s="10"/>
      <c r="HX34" s="7"/>
      <c r="HY34" s="103"/>
      <c r="HZ34" s="7"/>
      <c r="IA34" s="7">
        <v>1</v>
      </c>
      <c r="IB34" s="11"/>
      <c r="IC34" s="11"/>
      <c r="ID34" s="7"/>
      <c r="IE34" s="7"/>
      <c r="IF34" s="7"/>
      <c r="IG34" s="7"/>
      <c r="IH34" s="7"/>
      <c r="II34" s="7"/>
      <c r="IJ34" s="96"/>
      <c r="IK34" s="10"/>
      <c r="IL34" s="7"/>
      <c r="IM34" s="7"/>
      <c r="IN34" s="7"/>
      <c r="IO34" s="7"/>
      <c r="IP34" s="11"/>
      <c r="IQ34" s="96"/>
      <c r="IR34" s="7"/>
      <c r="IS34" s="7"/>
      <c r="IT34" s="7"/>
      <c r="IU34" s="7"/>
      <c r="IV34" s="7"/>
      <c r="IW34" s="7"/>
      <c r="IX34" s="7"/>
      <c r="IY34" s="7"/>
      <c r="IZ34" s="7"/>
      <c r="JA34" s="103"/>
      <c r="JB34" s="7"/>
      <c r="JC34" s="7"/>
      <c r="JD34" s="7"/>
      <c r="JE34" s="7"/>
      <c r="JF34" s="7"/>
      <c r="JG34" s="7"/>
      <c r="JH34" s="7"/>
      <c r="JI34" s="7"/>
      <c r="JJ34" s="7"/>
      <c r="JK34" s="7"/>
      <c r="JL34" s="7"/>
      <c r="JM34" s="7"/>
      <c r="JN34" s="7"/>
      <c r="JO34" s="7"/>
      <c r="JP34" s="7"/>
      <c r="JQ34" s="7"/>
      <c r="JR34" s="7"/>
      <c r="JS34" s="7"/>
      <c r="JT34" s="7"/>
      <c r="JU34" s="7"/>
      <c r="JV34" s="7"/>
      <c r="JW34" s="7"/>
      <c r="JX34" s="103"/>
      <c r="JY34" s="7"/>
      <c r="JZ34" s="7"/>
      <c r="KA34" s="7"/>
      <c r="KB34" s="7"/>
      <c r="KC34" s="7"/>
      <c r="KD34" s="7"/>
      <c r="KE34" s="7"/>
      <c r="KF34" s="7"/>
      <c r="KG34" s="7"/>
      <c r="KH34" s="7"/>
      <c r="KI34" s="7"/>
      <c r="KJ34" s="7"/>
      <c r="KK34" s="7"/>
      <c r="KL34" s="7"/>
      <c r="KM34" s="7"/>
      <c r="KN34" s="7"/>
      <c r="KO34" s="7"/>
      <c r="KP34" s="7"/>
      <c r="KQ34" s="7"/>
      <c r="KR34" s="7"/>
      <c r="KS34" s="7"/>
      <c r="KT34" s="7"/>
      <c r="KU34" s="103"/>
      <c r="KV34" s="7"/>
      <c r="KW34" s="7"/>
      <c r="KX34" s="7"/>
      <c r="KY34" s="7"/>
      <c r="KZ34" s="7"/>
      <c r="LA34" s="7"/>
      <c r="LB34" s="7"/>
      <c r="LC34" s="7"/>
      <c r="LD34" s="7"/>
      <c r="LE34" s="7"/>
      <c r="LF34" s="7"/>
      <c r="LG34" s="7"/>
      <c r="LH34" s="7"/>
      <c r="LI34" s="7"/>
      <c r="LJ34" s="102"/>
      <c r="LK34" s="102"/>
      <c r="LL34" s="102"/>
      <c r="LM34" s="102"/>
      <c r="LN34" s="102"/>
      <c r="LO34" s="102"/>
      <c r="LP34" s="102"/>
      <c r="LQ34" s="102"/>
      <c r="LR34" s="102"/>
    </row>
    <row r="35" spans="1:330" x14ac:dyDescent="0.25">
      <c r="A35" s="5">
        <v>30</v>
      </c>
      <c r="B35" s="66" t="str">
        <f>IFERROR(VLOOKUP(Tabla4[[#This Row],[Prioridad]],Tabla3[#All],2,0),"")</f>
        <v>EQUIPO</v>
      </c>
      <c r="C35" s="86" t="str">
        <f>IFERROR(VLOOKUP(Tabla4[[#This Row],[Prioridad]],Tabla3[#All],17,0),"")</f>
        <v>Sprint 3</v>
      </c>
      <c r="D35" s="86" t="str">
        <f>IFERROR(VLOOKUP(Tabla4[[#This Row],[Prioridad]],Tabla3[#All],6,0),"")</f>
        <v>T-030</v>
      </c>
      <c r="E35" s="86" t="str">
        <f>+IFERROR(VLOOKUP(Tabla4[[#This Row],[Tarea]],Tabla3[[Num_Ticket]:[Descripción]],2,0),"")</f>
        <v>Construcción Interfeces Gráficas</v>
      </c>
      <c r="F35" s="47">
        <f>IFERROR(VLOOKUP(Tabla4[[#This Row],[Prioridad]],Tabla3[#All],14,0),"")</f>
        <v>5</v>
      </c>
      <c r="G35" s="47">
        <f>IF(Tabla4[[#This Row],[Prioridad]]&lt;&gt;"",SUM(W35:KT35),"")</f>
        <v>5</v>
      </c>
      <c r="H35" s="47">
        <f>IF(Tabla4[[#This Row],[Prioridad]]&lt;&gt;"",Tabla4[[#This Row],[Horas Estimadas]]-Tabla4[[#This Row],[Ejecutadas]],"")</f>
        <v>0</v>
      </c>
      <c r="I35" s="66" t="str">
        <f>IFERROR(VLOOKUP(Tabla4[[#This Row],[Prioridad]],Tabla3[#All],18,0),"")</f>
        <v>DESARROLLO APLICACIÓN</v>
      </c>
      <c r="J35" s="32">
        <f>IFERROR(VLOOKUP(Tabla4[[#This Row],[Prioridad]],Tabla3[#All],20,0),"")</f>
        <v>8</v>
      </c>
      <c r="K35" s="60" t="str">
        <f>IFERROR(VLOOKUP(Tabla4[[#This Row],[Prioridad]],Tabla3[#All],19,0),"")</f>
        <v>Construcción - Codigo estructuras</v>
      </c>
      <c r="L35" s="60" t="str">
        <f>IFERROR(VLOOKUP(Tabla4[[#This Row],[Prioridad]],Tabla3[#All],9,0),"")</f>
        <v>Tarea</v>
      </c>
      <c r="M35" s="93">
        <f>+SUMIFS(Tabla4[Avance Hito],Tabla4[Responsable],Tabla4[[#This Row],[Responsable]],Tabla4[Sprint],Tabla4[[#This Row],[Sprint]],Tabla4[Proyecto],Tabla4[[#This Row],[Proyecto]])/COUNTIFS(Tabla4[Responsable],Tabla4[[#This Row],[Responsable]],Tabla4[Sprint],Tabla4[[#This Row],[Sprint]],Tabla4[Proyecto],Tabla4[[#This Row],[Proyecto]])</f>
        <v>1</v>
      </c>
      <c r="N35" s="35">
        <f>+SUMIFS(Tabla4[Avance relativo],Tabla4[Responsable],Tabla4[[#This Row],[Responsable]],Tabla4[Sprint],Tabla4[[#This Row],[Sprint]],Tabla4[Hito],Tabla4[[#This Row],[Hito]])</f>
        <v>0.99999999999999989</v>
      </c>
      <c r="O35" s="196">
        <f>VLOOKUP(Tabla4[[#This Row],[Tarea]],Tabla3[[#All],[Num_Ticket]:[Hito]],5,0)</f>
        <v>44467</v>
      </c>
      <c r="P35" s="199">
        <v>44470</v>
      </c>
      <c r="Q35" s="47">
        <f>IF(Tabla4[[#This Row],[Prioridad]]="","",IF(Tabla4[[#This Row],[Hito]]&lt;&gt;"",COUNTIFS(Tabla4[Responsable],Tabla4[[#This Row],[Responsable]],Tabla4[Sprint],Tabla4[[#This Row],[Sprint]],Tabla4[Epica],Tabla4[[#This Row],[Epica]])))</f>
        <v>6</v>
      </c>
      <c r="R35" s="47">
        <f>1*Tabla4[[#This Row],[% Avance]]</f>
        <v>1</v>
      </c>
      <c r="S35" s="47">
        <f>IFERROR(Tabla4[[#This Row],[Total Avance]]/Tabla4[[#This Row],[Conteo_Epica]],0)</f>
        <v>0.16666666666666666</v>
      </c>
      <c r="T35" s="35">
        <v>1</v>
      </c>
      <c r="U35" s="197">
        <v>5</v>
      </c>
      <c r="V35" s="198" t="s">
        <v>178</v>
      </c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11"/>
      <c r="AQ35" s="10"/>
      <c r="AR35" s="7"/>
      <c r="AS35" s="7"/>
      <c r="AT35" s="7"/>
      <c r="AU35" s="11"/>
      <c r="AV35" s="10"/>
      <c r="AW35" s="7"/>
      <c r="AX35" s="7"/>
      <c r="AY35" s="7"/>
      <c r="AZ35" s="11"/>
      <c r="BA35" s="10"/>
      <c r="BB35" s="7"/>
      <c r="BC35" s="7"/>
      <c r="BD35" s="7"/>
      <c r="BE35" s="11"/>
      <c r="BF35" s="10"/>
      <c r="BG35" s="7"/>
      <c r="BH35" s="7"/>
      <c r="BI35" s="7"/>
      <c r="BJ35" s="11"/>
      <c r="BK35" s="5"/>
      <c r="BL35" s="10"/>
      <c r="BM35" s="7"/>
      <c r="BN35" s="7"/>
      <c r="BO35" s="7"/>
      <c r="BP35" s="7"/>
      <c r="BQ35" s="10"/>
      <c r="BR35" s="7"/>
      <c r="BS35" s="7"/>
      <c r="BT35" s="7"/>
      <c r="BU35" s="11"/>
      <c r="BV35" s="10"/>
      <c r="BW35" s="7"/>
      <c r="BX35" s="7"/>
      <c r="BY35" s="7"/>
      <c r="BZ35" s="11"/>
      <c r="CA35" s="7"/>
      <c r="CB35" s="7"/>
      <c r="CC35" s="7"/>
      <c r="CD35" s="11"/>
      <c r="CE35" s="10"/>
      <c r="CF35" s="7"/>
      <c r="CG35" s="11"/>
      <c r="CH35" s="28"/>
      <c r="CI35" s="10"/>
      <c r="CJ35" s="7"/>
      <c r="CK35" s="7"/>
      <c r="CL35" s="7"/>
      <c r="CM35" s="7"/>
      <c r="CN35" s="10"/>
      <c r="CO35" s="7"/>
      <c r="CP35" s="7"/>
      <c r="CQ35" s="7"/>
      <c r="CR35" s="11"/>
      <c r="CS35" s="10"/>
      <c r="CT35" s="7"/>
      <c r="CU35" s="7"/>
      <c r="CV35" s="7"/>
      <c r="CW35" s="11"/>
      <c r="CX35" s="7"/>
      <c r="CY35" s="7"/>
      <c r="CZ35" s="7"/>
      <c r="DA35" s="7"/>
      <c r="DB35" s="11"/>
      <c r="DC35" s="28"/>
      <c r="DD35" s="10"/>
      <c r="DE35" s="7"/>
      <c r="DF35" s="7"/>
      <c r="DG35" s="7"/>
      <c r="DH35" s="7"/>
      <c r="DI35" s="10"/>
      <c r="DJ35" s="7"/>
      <c r="DK35" s="7"/>
      <c r="DL35" s="7"/>
      <c r="DM35" s="11"/>
      <c r="DN35" s="10"/>
      <c r="DO35" s="7"/>
      <c r="DP35" s="7"/>
      <c r="DQ35" s="7"/>
      <c r="DR35" s="11"/>
      <c r="DS35" s="7"/>
      <c r="DT35" s="7"/>
      <c r="DU35" s="7"/>
      <c r="DV35" s="7"/>
      <c r="DW35" s="11"/>
      <c r="DX35" s="96"/>
      <c r="DY35" s="7"/>
      <c r="DZ35" s="11"/>
      <c r="EA35" s="28"/>
      <c r="EB35" s="10"/>
      <c r="EC35" s="7"/>
      <c r="ED35" s="7"/>
      <c r="EE35" s="11"/>
      <c r="EF35" s="7"/>
      <c r="EG35" s="10"/>
      <c r="EH35" s="7"/>
      <c r="EI35" s="7"/>
      <c r="EJ35" s="11"/>
      <c r="EK35" s="7"/>
      <c r="EL35" s="10"/>
      <c r="EM35" s="7"/>
      <c r="EN35" s="7"/>
      <c r="EO35" s="11"/>
      <c r="EP35" s="7"/>
      <c r="EQ35" s="10"/>
      <c r="ER35" s="7"/>
      <c r="ES35" s="7"/>
      <c r="ET35" s="7"/>
      <c r="EU35" s="11"/>
      <c r="EV35" s="96"/>
      <c r="EW35" s="10"/>
      <c r="EX35" s="7"/>
      <c r="EY35" s="7"/>
      <c r="EZ35" s="7"/>
      <c r="FA35" s="103"/>
      <c r="FB35" s="107"/>
      <c r="FC35" s="10"/>
      <c r="FD35" s="7"/>
      <c r="FE35" s="7"/>
      <c r="FF35" s="7"/>
      <c r="FG35" s="96"/>
      <c r="FH35" s="10"/>
      <c r="FI35" s="7"/>
      <c r="FJ35" s="7"/>
      <c r="FK35" s="7"/>
      <c r="FL35" s="11"/>
      <c r="FM35" s="96"/>
      <c r="FN35" s="10"/>
      <c r="FO35" s="7"/>
      <c r="FP35" s="7"/>
      <c r="FQ35" s="7"/>
      <c r="FR35" s="96"/>
      <c r="FS35" s="10"/>
      <c r="FT35" s="7"/>
      <c r="FU35" s="7"/>
      <c r="FV35" s="7"/>
      <c r="FW35" s="7"/>
      <c r="FX35" s="96"/>
      <c r="FY35" s="114"/>
      <c r="FZ35" s="7"/>
      <c r="GA35" s="7"/>
      <c r="GB35" s="7"/>
      <c r="GC35" s="7"/>
      <c r="GD35" s="96"/>
      <c r="GE35" s="10"/>
      <c r="GF35" s="7"/>
      <c r="GG35" s="7"/>
      <c r="GH35" s="7"/>
      <c r="GI35" s="11"/>
      <c r="GJ35" s="10"/>
      <c r="GK35" s="10"/>
      <c r="GL35" s="7"/>
      <c r="GM35" s="7"/>
      <c r="GN35" s="11"/>
      <c r="GO35" s="96"/>
      <c r="GP35" s="10"/>
      <c r="GQ35" s="7"/>
      <c r="GR35" s="7"/>
      <c r="GS35" s="7"/>
      <c r="GT35" s="11"/>
      <c r="GU35" s="96"/>
      <c r="GV35" s="114"/>
      <c r="GW35" s="7"/>
      <c r="GX35" s="7"/>
      <c r="GY35" s="7"/>
      <c r="GZ35" s="7"/>
      <c r="HA35" s="10"/>
      <c r="HB35" s="10"/>
      <c r="HC35" s="7"/>
      <c r="HD35" s="7"/>
      <c r="HE35" s="7"/>
      <c r="HF35" s="7"/>
      <c r="HG35" s="7"/>
      <c r="HH35" s="96"/>
      <c r="HI35" s="10"/>
      <c r="HJ35" s="7"/>
      <c r="HK35" s="7"/>
      <c r="HL35" s="7"/>
      <c r="HM35" s="7"/>
      <c r="HN35" s="7"/>
      <c r="HO35" s="10"/>
      <c r="HP35" s="10"/>
      <c r="HQ35" s="7"/>
      <c r="HR35" s="7"/>
      <c r="HS35" s="7"/>
      <c r="HT35" s="7"/>
      <c r="HU35" s="11"/>
      <c r="HV35" s="7"/>
      <c r="HW35" s="10"/>
      <c r="HX35" s="7"/>
      <c r="HY35" s="103"/>
      <c r="HZ35" s="7"/>
      <c r="IA35" s="7">
        <v>5</v>
      </c>
      <c r="IB35" s="11"/>
      <c r="IC35" s="11"/>
      <c r="ID35" s="7"/>
      <c r="IE35" s="7"/>
      <c r="IF35" s="7"/>
      <c r="IG35" s="7"/>
      <c r="IH35" s="7"/>
      <c r="II35" s="7"/>
      <c r="IJ35" s="96"/>
      <c r="IK35" s="10"/>
      <c r="IL35" s="7"/>
      <c r="IM35" s="7"/>
      <c r="IN35" s="7"/>
      <c r="IO35" s="7"/>
      <c r="IP35" s="11"/>
      <c r="IQ35" s="96"/>
      <c r="IR35" s="7"/>
      <c r="IS35" s="7"/>
      <c r="IT35" s="7"/>
      <c r="IU35" s="7"/>
      <c r="IV35" s="7"/>
      <c r="IW35" s="7"/>
      <c r="IX35" s="7"/>
      <c r="IY35" s="7"/>
      <c r="IZ35" s="7"/>
      <c r="JA35" s="103"/>
      <c r="JB35" s="7"/>
      <c r="JC35" s="7"/>
      <c r="JD35" s="7"/>
      <c r="JE35" s="7"/>
      <c r="JF35" s="7"/>
      <c r="JG35" s="7"/>
      <c r="JH35" s="7"/>
      <c r="JI35" s="7"/>
      <c r="JJ35" s="7"/>
      <c r="JK35" s="7"/>
      <c r="JL35" s="7"/>
      <c r="JM35" s="7"/>
      <c r="JN35" s="7"/>
      <c r="JO35" s="7"/>
      <c r="JP35" s="7"/>
      <c r="JQ35" s="7"/>
      <c r="JR35" s="7"/>
      <c r="JS35" s="7"/>
      <c r="JT35" s="7"/>
      <c r="JU35" s="7"/>
      <c r="JV35" s="7"/>
      <c r="JW35" s="7"/>
      <c r="JX35" s="103"/>
      <c r="JY35" s="7"/>
      <c r="JZ35" s="7"/>
      <c r="KA35" s="7"/>
      <c r="KB35" s="7"/>
      <c r="KC35" s="7"/>
      <c r="KD35" s="7"/>
      <c r="KE35" s="7"/>
      <c r="KF35" s="7"/>
      <c r="KG35" s="7"/>
      <c r="KH35" s="7"/>
      <c r="KI35" s="7"/>
      <c r="KJ35" s="7"/>
      <c r="KK35" s="7"/>
      <c r="KL35" s="7"/>
      <c r="KM35" s="7"/>
      <c r="KN35" s="7"/>
      <c r="KO35" s="7"/>
      <c r="KP35" s="7"/>
      <c r="KQ35" s="7"/>
      <c r="KR35" s="7"/>
      <c r="KS35" s="7"/>
      <c r="KT35" s="7"/>
      <c r="KU35" s="103"/>
      <c r="KV35" s="7"/>
      <c r="KW35" s="7"/>
      <c r="KX35" s="7"/>
      <c r="KY35" s="7"/>
      <c r="KZ35" s="7"/>
      <c r="LA35" s="7"/>
      <c r="LB35" s="7"/>
      <c r="LC35" s="7"/>
      <c r="LD35" s="7"/>
      <c r="LE35" s="7"/>
      <c r="LF35" s="7"/>
      <c r="LG35" s="7"/>
      <c r="LH35" s="7"/>
      <c r="LI35" s="7"/>
      <c r="LJ35" s="102"/>
      <c r="LK35" s="102"/>
      <c r="LL35" s="102"/>
      <c r="LM35" s="102"/>
      <c r="LN35" s="102"/>
      <c r="LO35" s="102"/>
      <c r="LP35" s="102"/>
      <c r="LQ35" s="102"/>
      <c r="LR35" s="102"/>
    </row>
    <row r="36" spans="1:330" x14ac:dyDescent="0.25">
      <c r="A36" s="5">
        <v>31</v>
      </c>
      <c r="B36" s="66" t="str">
        <f>IFERROR(VLOOKUP(Tabla4[[#This Row],[Prioridad]],Tabla3[#All],2,0),"")</f>
        <v>EQUIPO</v>
      </c>
      <c r="C36" s="86" t="str">
        <f>IFERROR(VLOOKUP(Tabla4[[#This Row],[Prioridad]],Tabla3[#All],17,0),"")</f>
        <v>Sprint 3</v>
      </c>
      <c r="D36" s="86" t="str">
        <f>IFERROR(VLOOKUP(Tabla4[[#This Row],[Prioridad]],Tabla3[#All],6,0),"")</f>
        <v>T-031</v>
      </c>
      <c r="E36" s="86" t="str">
        <f>+IFERROR(VLOOKUP(Tabla4[[#This Row],[Tarea]],Tabla3[[Num_Ticket]:[Descripción]],2,0),"")</f>
        <v>Construcción Capa de Dominio</v>
      </c>
      <c r="F36" s="47">
        <f>IFERROR(VLOOKUP(Tabla4[[#This Row],[Prioridad]],Tabla3[#All],14,0),"")</f>
        <v>5</v>
      </c>
      <c r="G36" s="47">
        <f>IF(Tabla4[[#This Row],[Prioridad]]&lt;&gt;"",SUM(W36:KT36),"")</f>
        <v>5</v>
      </c>
      <c r="H36" s="47">
        <f>IF(Tabla4[[#This Row],[Prioridad]]&lt;&gt;"",Tabla4[[#This Row],[Horas Estimadas]]-Tabla4[[#This Row],[Ejecutadas]],"")</f>
        <v>0</v>
      </c>
      <c r="I36" s="66" t="str">
        <f>IFERROR(VLOOKUP(Tabla4[[#This Row],[Prioridad]],Tabla3[#All],18,0),"")</f>
        <v>DESARROLLO APLICACIÓN</v>
      </c>
      <c r="J36" s="32">
        <f>IFERROR(VLOOKUP(Tabla4[[#This Row],[Prioridad]],Tabla3[#All],20,0),"")</f>
        <v>8</v>
      </c>
      <c r="K36" s="60" t="str">
        <f>IFERROR(VLOOKUP(Tabla4[[#This Row],[Prioridad]],Tabla3[#All],19,0),"")</f>
        <v>Construcción - Codigo estructuras</v>
      </c>
      <c r="L36" s="60" t="str">
        <f>IFERROR(VLOOKUP(Tabla4[[#This Row],[Prioridad]],Tabla3[#All],9,0),"")</f>
        <v>Tarea</v>
      </c>
      <c r="M36" s="93">
        <f>+SUMIFS(Tabla4[Avance Hito],Tabla4[Responsable],Tabla4[[#This Row],[Responsable]],Tabla4[Sprint],Tabla4[[#This Row],[Sprint]],Tabla4[Proyecto],Tabla4[[#This Row],[Proyecto]])/COUNTIFS(Tabla4[Responsable],Tabla4[[#This Row],[Responsable]],Tabla4[Sprint],Tabla4[[#This Row],[Sprint]],Tabla4[Proyecto],Tabla4[[#This Row],[Proyecto]])</f>
        <v>1</v>
      </c>
      <c r="N36" s="35">
        <f>+SUMIFS(Tabla4[Avance relativo],Tabla4[Responsable],Tabla4[[#This Row],[Responsable]],Tabla4[Sprint],Tabla4[[#This Row],[Sprint]],Tabla4[Hito],Tabla4[[#This Row],[Hito]])</f>
        <v>0.99999999999999989</v>
      </c>
      <c r="O36" s="196">
        <f>VLOOKUP(Tabla4[[#This Row],[Tarea]],Tabla3[[#All],[Num_Ticket]:[Hito]],5,0)</f>
        <v>44467</v>
      </c>
      <c r="P36" s="199">
        <v>44470</v>
      </c>
      <c r="Q36" s="47">
        <f>IF(Tabla4[[#This Row],[Prioridad]]="","",IF(Tabla4[[#This Row],[Hito]]&lt;&gt;"",COUNTIFS(Tabla4[Responsable],Tabla4[[#This Row],[Responsable]],Tabla4[Sprint],Tabla4[[#This Row],[Sprint]],Tabla4[Epica],Tabla4[[#This Row],[Epica]])))</f>
        <v>6</v>
      </c>
      <c r="R36" s="47">
        <f>1*Tabla4[[#This Row],[% Avance]]</f>
        <v>1</v>
      </c>
      <c r="S36" s="47">
        <f>IFERROR(Tabla4[[#This Row],[Total Avance]]/Tabla4[[#This Row],[Conteo_Epica]],0)</f>
        <v>0.16666666666666666</v>
      </c>
      <c r="T36" s="35">
        <v>1</v>
      </c>
      <c r="U36" s="197">
        <v>5</v>
      </c>
      <c r="V36" s="198" t="s">
        <v>178</v>
      </c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11"/>
      <c r="AQ36" s="10"/>
      <c r="AR36" s="7"/>
      <c r="AS36" s="7"/>
      <c r="AT36" s="7"/>
      <c r="AU36" s="11"/>
      <c r="AV36" s="10"/>
      <c r="AW36" s="7"/>
      <c r="AX36" s="7"/>
      <c r="AY36" s="7"/>
      <c r="AZ36" s="11"/>
      <c r="BA36" s="10"/>
      <c r="BB36" s="7"/>
      <c r="BC36" s="7"/>
      <c r="BD36" s="7"/>
      <c r="BE36" s="11"/>
      <c r="BF36" s="10"/>
      <c r="BG36" s="7"/>
      <c r="BH36" s="7"/>
      <c r="BI36" s="7"/>
      <c r="BJ36" s="11"/>
      <c r="BK36" s="5"/>
      <c r="BL36" s="10"/>
      <c r="BM36" s="7"/>
      <c r="BN36" s="7"/>
      <c r="BO36" s="7"/>
      <c r="BP36" s="7"/>
      <c r="BQ36" s="10"/>
      <c r="BR36" s="7"/>
      <c r="BS36" s="7"/>
      <c r="BT36" s="7"/>
      <c r="BU36" s="11"/>
      <c r="BV36" s="10"/>
      <c r="BW36" s="7"/>
      <c r="BX36" s="7"/>
      <c r="BY36" s="7"/>
      <c r="BZ36" s="11"/>
      <c r="CA36" s="7"/>
      <c r="CB36" s="7"/>
      <c r="CC36" s="7"/>
      <c r="CD36" s="11"/>
      <c r="CE36" s="10"/>
      <c r="CF36" s="7"/>
      <c r="CG36" s="11"/>
      <c r="CH36" s="28"/>
      <c r="CI36" s="10"/>
      <c r="CJ36" s="7"/>
      <c r="CK36" s="7"/>
      <c r="CL36" s="7"/>
      <c r="CM36" s="7"/>
      <c r="CN36" s="10"/>
      <c r="CO36" s="7"/>
      <c r="CP36" s="7"/>
      <c r="CQ36" s="7"/>
      <c r="CR36" s="11"/>
      <c r="CS36" s="10"/>
      <c r="CT36" s="7"/>
      <c r="CU36" s="7"/>
      <c r="CV36" s="7"/>
      <c r="CW36" s="11"/>
      <c r="CX36" s="7"/>
      <c r="CY36" s="7"/>
      <c r="CZ36" s="7"/>
      <c r="DA36" s="7"/>
      <c r="DB36" s="11"/>
      <c r="DC36" s="28"/>
      <c r="DD36" s="10"/>
      <c r="DE36" s="7"/>
      <c r="DF36" s="7"/>
      <c r="DG36" s="7"/>
      <c r="DH36" s="7"/>
      <c r="DI36" s="10"/>
      <c r="DJ36" s="7"/>
      <c r="DK36" s="7"/>
      <c r="DL36" s="7"/>
      <c r="DM36" s="11"/>
      <c r="DN36" s="10"/>
      <c r="DO36" s="7"/>
      <c r="DP36" s="7"/>
      <c r="DQ36" s="7"/>
      <c r="DR36" s="11"/>
      <c r="DS36" s="7"/>
      <c r="DT36" s="7"/>
      <c r="DU36" s="7"/>
      <c r="DV36" s="7"/>
      <c r="DW36" s="11"/>
      <c r="DX36" s="96"/>
      <c r="DY36" s="7"/>
      <c r="DZ36" s="11"/>
      <c r="EA36" s="28"/>
      <c r="EB36" s="10"/>
      <c r="EC36" s="7"/>
      <c r="ED36" s="7"/>
      <c r="EE36" s="11"/>
      <c r="EF36" s="7"/>
      <c r="EG36" s="10"/>
      <c r="EH36" s="7"/>
      <c r="EI36" s="7"/>
      <c r="EJ36" s="11"/>
      <c r="EK36" s="7"/>
      <c r="EL36" s="10"/>
      <c r="EM36" s="7"/>
      <c r="EN36" s="7"/>
      <c r="EO36" s="11"/>
      <c r="EP36" s="7"/>
      <c r="EQ36" s="10"/>
      <c r="ER36" s="7"/>
      <c r="ES36" s="7"/>
      <c r="ET36" s="7"/>
      <c r="EU36" s="11"/>
      <c r="EV36" s="96"/>
      <c r="EW36" s="10"/>
      <c r="EX36" s="7"/>
      <c r="EY36" s="7"/>
      <c r="EZ36" s="7"/>
      <c r="FA36" s="103"/>
      <c r="FB36" s="107"/>
      <c r="FC36" s="10"/>
      <c r="FD36" s="7"/>
      <c r="FE36" s="7"/>
      <c r="FF36" s="7"/>
      <c r="FG36" s="96"/>
      <c r="FH36" s="10"/>
      <c r="FI36" s="7"/>
      <c r="FJ36" s="7"/>
      <c r="FK36" s="7"/>
      <c r="FL36" s="11"/>
      <c r="FM36" s="96"/>
      <c r="FN36" s="10"/>
      <c r="FO36" s="7"/>
      <c r="FP36" s="7"/>
      <c r="FQ36" s="7"/>
      <c r="FR36" s="96"/>
      <c r="FS36" s="10"/>
      <c r="FT36" s="7"/>
      <c r="FU36" s="7"/>
      <c r="FV36" s="7"/>
      <c r="FW36" s="7"/>
      <c r="FX36" s="96"/>
      <c r="FY36" s="114"/>
      <c r="FZ36" s="7"/>
      <c r="GA36" s="7"/>
      <c r="GB36" s="7"/>
      <c r="GC36" s="7"/>
      <c r="GD36" s="96"/>
      <c r="GE36" s="10"/>
      <c r="GF36" s="7"/>
      <c r="GG36" s="7"/>
      <c r="GH36" s="7"/>
      <c r="GI36" s="11"/>
      <c r="GJ36" s="10"/>
      <c r="GK36" s="10"/>
      <c r="GL36" s="7"/>
      <c r="GM36" s="7"/>
      <c r="GN36" s="11"/>
      <c r="GO36" s="96"/>
      <c r="GP36" s="10"/>
      <c r="GQ36" s="7"/>
      <c r="GR36" s="7"/>
      <c r="GS36" s="7"/>
      <c r="GT36" s="11"/>
      <c r="GU36" s="96"/>
      <c r="GV36" s="114"/>
      <c r="GW36" s="7"/>
      <c r="GX36" s="7"/>
      <c r="GY36" s="7"/>
      <c r="GZ36" s="7"/>
      <c r="HA36" s="10"/>
      <c r="HB36" s="10"/>
      <c r="HC36" s="7"/>
      <c r="HD36" s="7"/>
      <c r="HE36" s="7"/>
      <c r="HF36" s="7"/>
      <c r="HG36" s="7"/>
      <c r="HH36" s="96"/>
      <c r="HI36" s="10"/>
      <c r="HJ36" s="7"/>
      <c r="HK36" s="7"/>
      <c r="HL36" s="7"/>
      <c r="HM36" s="7"/>
      <c r="HN36" s="7"/>
      <c r="HO36" s="10"/>
      <c r="HP36" s="10"/>
      <c r="HQ36" s="7"/>
      <c r="HR36" s="7"/>
      <c r="HS36" s="7"/>
      <c r="HT36" s="7"/>
      <c r="HU36" s="11"/>
      <c r="HV36" s="7"/>
      <c r="HW36" s="10"/>
      <c r="HX36" s="7"/>
      <c r="HY36" s="103"/>
      <c r="HZ36" s="7"/>
      <c r="IA36" s="7">
        <v>5</v>
      </c>
      <c r="IB36" s="11"/>
      <c r="IC36" s="11"/>
      <c r="ID36" s="7"/>
      <c r="IE36" s="7"/>
      <c r="IF36" s="7"/>
      <c r="IG36" s="7"/>
      <c r="IH36" s="7"/>
      <c r="II36" s="7"/>
      <c r="IJ36" s="96"/>
      <c r="IK36" s="10"/>
      <c r="IL36" s="7"/>
      <c r="IM36" s="7"/>
      <c r="IN36" s="7"/>
      <c r="IO36" s="7"/>
      <c r="IP36" s="11"/>
      <c r="IQ36" s="96"/>
      <c r="IR36" s="7"/>
      <c r="IS36" s="7"/>
      <c r="IT36" s="7"/>
      <c r="IU36" s="7"/>
      <c r="IV36" s="7"/>
      <c r="IW36" s="7"/>
      <c r="IX36" s="7"/>
      <c r="IY36" s="7"/>
      <c r="IZ36" s="7"/>
      <c r="JA36" s="103"/>
      <c r="JB36" s="7"/>
      <c r="JC36" s="7"/>
      <c r="JD36" s="7"/>
      <c r="JE36" s="7"/>
      <c r="JF36" s="7"/>
      <c r="JG36" s="7"/>
      <c r="JH36" s="7"/>
      <c r="JI36" s="7"/>
      <c r="JJ36" s="7"/>
      <c r="JK36" s="7"/>
      <c r="JL36" s="7"/>
      <c r="JM36" s="7"/>
      <c r="JN36" s="7"/>
      <c r="JO36" s="7"/>
      <c r="JP36" s="7"/>
      <c r="JQ36" s="7"/>
      <c r="JR36" s="7"/>
      <c r="JS36" s="7"/>
      <c r="JT36" s="7"/>
      <c r="JU36" s="7"/>
      <c r="JV36" s="7"/>
      <c r="JW36" s="7"/>
      <c r="JX36" s="103"/>
      <c r="JY36" s="7"/>
      <c r="JZ36" s="7"/>
      <c r="KA36" s="7"/>
      <c r="KB36" s="7"/>
      <c r="KC36" s="7"/>
      <c r="KD36" s="7"/>
      <c r="KE36" s="7"/>
      <c r="KF36" s="7"/>
      <c r="KG36" s="7"/>
      <c r="KH36" s="7"/>
      <c r="KI36" s="7"/>
      <c r="KJ36" s="7"/>
      <c r="KK36" s="7"/>
      <c r="KL36" s="7"/>
      <c r="KM36" s="7"/>
      <c r="KN36" s="7"/>
      <c r="KO36" s="7"/>
      <c r="KP36" s="7"/>
      <c r="KQ36" s="7"/>
      <c r="KR36" s="7"/>
      <c r="KS36" s="7"/>
      <c r="KT36" s="7"/>
      <c r="KU36" s="103"/>
      <c r="KV36" s="7"/>
      <c r="KW36" s="7"/>
      <c r="KX36" s="7"/>
      <c r="KY36" s="7"/>
      <c r="KZ36" s="7"/>
      <c r="LA36" s="7"/>
      <c r="LB36" s="7"/>
      <c r="LC36" s="7"/>
      <c r="LD36" s="7"/>
      <c r="LE36" s="7"/>
      <c r="LF36" s="7"/>
      <c r="LG36" s="7"/>
      <c r="LH36" s="7"/>
      <c r="LI36" s="7"/>
      <c r="LJ36" s="102"/>
      <c r="LK36" s="102"/>
      <c r="LL36" s="102"/>
      <c r="LM36" s="102"/>
      <c r="LN36" s="102"/>
      <c r="LO36" s="102"/>
      <c r="LP36" s="102"/>
      <c r="LQ36" s="102"/>
      <c r="LR36" s="102"/>
    </row>
    <row r="37" spans="1:330" x14ac:dyDescent="0.25">
      <c r="A37" s="5">
        <v>34</v>
      </c>
      <c r="B37" s="66" t="str">
        <f>IFERROR(VLOOKUP(Tabla4[[#This Row],[Prioridad]],Tabla3[#All],2,0),"")</f>
        <v>EQUIPO</v>
      </c>
      <c r="C37" s="86" t="str">
        <f>IFERROR(VLOOKUP(Tabla4[[#This Row],[Prioridad]],Tabla3[#All],17,0),"")</f>
        <v>Sprint 3</v>
      </c>
      <c r="D37" s="86" t="str">
        <f>IFERROR(VLOOKUP(Tabla4[[#This Row],[Prioridad]],Tabla3[#All],6,0),"")</f>
        <v>T-034</v>
      </c>
      <c r="E37" s="86" t="str">
        <f>+IFERROR(VLOOKUP(Tabla4[[#This Row],[Tarea]],Tabla3[[Num_Ticket]:[Descripción]],2,0),"")</f>
        <v>Entregable para Tutoria 3</v>
      </c>
      <c r="F37" s="47">
        <f>IFERROR(VLOOKUP(Tabla4[[#This Row],[Prioridad]],Tabla3[#All],14,0),"")</f>
        <v>1</v>
      </c>
      <c r="G37" s="47">
        <f>IF(Tabla4[[#This Row],[Prioridad]]&lt;&gt;"",SUM(W37:KT37),"")</f>
        <v>1</v>
      </c>
      <c r="H37" s="47">
        <f>IF(Tabla4[[#This Row],[Prioridad]]&lt;&gt;"",Tabla4[[#This Row],[Horas Estimadas]]-Tabla4[[#This Row],[Ejecutadas]],"")</f>
        <v>0</v>
      </c>
      <c r="I37" s="66" t="str">
        <f>IFERROR(VLOOKUP(Tabla4[[#This Row],[Prioridad]],Tabla3[#All],18,0),"")</f>
        <v>TUTORIA</v>
      </c>
      <c r="J37" s="32">
        <f>IFERROR(VLOOKUP(Tabla4[[#This Row],[Prioridad]],Tabla3[#All],20,0),"")</f>
        <v>14</v>
      </c>
      <c r="K37" s="60" t="str">
        <f>IFERROR(VLOOKUP(Tabla4[[#This Row],[Prioridad]],Tabla3[#All],19,0),"")</f>
        <v>Entregas</v>
      </c>
      <c r="L37" s="60" t="str">
        <f>IFERROR(VLOOKUP(Tabla4[[#This Row],[Prioridad]],Tabla3[#All],9,0),"")</f>
        <v>Tarea</v>
      </c>
      <c r="M37" s="93">
        <f>+SUMIFS(Tabla4[Avance Hito],Tabla4[Responsable],Tabla4[[#This Row],[Responsable]],Tabla4[Sprint],Tabla4[[#This Row],[Sprint]],Tabla4[Proyecto],Tabla4[[#This Row],[Proyecto]])/COUNTIFS(Tabla4[Responsable],Tabla4[[#This Row],[Responsable]],Tabla4[Sprint],Tabla4[[#This Row],[Sprint]],Tabla4[Proyecto],Tabla4[[#This Row],[Proyecto]])</f>
        <v>1</v>
      </c>
      <c r="N37" s="35">
        <f>+SUMIFS(Tabla4[Avance relativo],Tabla4[Responsable],Tabla4[[#This Row],[Responsable]],Tabla4[Sprint],Tabla4[[#This Row],[Sprint]],Tabla4[Hito],Tabla4[[#This Row],[Hito]])</f>
        <v>1</v>
      </c>
      <c r="O37" s="196">
        <f>VLOOKUP(Tabla4[[#This Row],[Tarea]],Tabla3[[#All],[Num_Ticket]:[Hito]],5,0)</f>
        <v>44471</v>
      </c>
      <c r="P37" s="199">
        <v>44471</v>
      </c>
      <c r="Q37" s="47">
        <f>IF(Tabla4[[#This Row],[Prioridad]]="","",IF(Tabla4[[#This Row],[Hito]]&lt;&gt;"",COUNTIFS(Tabla4[Responsable],Tabla4[[#This Row],[Responsable]],Tabla4[Sprint],Tabla4[[#This Row],[Sprint]],Tabla4[Epica],Tabla4[[#This Row],[Epica]])))</f>
        <v>1</v>
      </c>
      <c r="R37" s="47">
        <f>1*Tabla4[[#This Row],[% Avance]]</f>
        <v>1</v>
      </c>
      <c r="S37" s="47">
        <f>IFERROR(Tabla4[[#This Row],[Total Avance]]/Tabla4[[#This Row],[Conteo_Epica]],0)</f>
        <v>1</v>
      </c>
      <c r="T37" s="35">
        <v>1</v>
      </c>
      <c r="U37" s="197">
        <v>5</v>
      </c>
      <c r="V37" s="198" t="s">
        <v>178</v>
      </c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11"/>
      <c r="AQ37" s="10"/>
      <c r="AR37" s="7"/>
      <c r="AS37" s="7"/>
      <c r="AT37" s="7"/>
      <c r="AU37" s="11"/>
      <c r="AV37" s="10"/>
      <c r="AW37" s="7"/>
      <c r="AX37" s="7"/>
      <c r="AY37" s="7"/>
      <c r="AZ37" s="11"/>
      <c r="BA37" s="10"/>
      <c r="BB37" s="7"/>
      <c r="BC37" s="7"/>
      <c r="BD37" s="7"/>
      <c r="BE37" s="11"/>
      <c r="BF37" s="10"/>
      <c r="BG37" s="7"/>
      <c r="BH37" s="7"/>
      <c r="BI37" s="7"/>
      <c r="BJ37" s="11"/>
      <c r="BK37" s="5"/>
      <c r="BL37" s="10"/>
      <c r="BM37" s="7"/>
      <c r="BN37" s="7"/>
      <c r="BO37" s="7"/>
      <c r="BP37" s="7"/>
      <c r="BQ37" s="10"/>
      <c r="BR37" s="7"/>
      <c r="BS37" s="7"/>
      <c r="BT37" s="7"/>
      <c r="BU37" s="11"/>
      <c r="BV37" s="10"/>
      <c r="BW37" s="7"/>
      <c r="BX37" s="7"/>
      <c r="BY37" s="7"/>
      <c r="BZ37" s="11"/>
      <c r="CA37" s="7"/>
      <c r="CB37" s="7"/>
      <c r="CC37" s="7"/>
      <c r="CD37" s="11"/>
      <c r="CE37" s="10"/>
      <c r="CF37" s="7"/>
      <c r="CG37" s="11"/>
      <c r="CH37" s="28"/>
      <c r="CI37" s="10"/>
      <c r="CJ37" s="7"/>
      <c r="CK37" s="7"/>
      <c r="CL37" s="7"/>
      <c r="CM37" s="7"/>
      <c r="CN37" s="10"/>
      <c r="CO37" s="7"/>
      <c r="CP37" s="7"/>
      <c r="CQ37" s="7"/>
      <c r="CR37" s="11"/>
      <c r="CS37" s="10"/>
      <c r="CT37" s="7"/>
      <c r="CU37" s="7"/>
      <c r="CV37" s="7"/>
      <c r="CW37" s="11"/>
      <c r="CX37" s="7"/>
      <c r="CY37" s="7"/>
      <c r="CZ37" s="7"/>
      <c r="DA37" s="7"/>
      <c r="DB37" s="11"/>
      <c r="DC37" s="28"/>
      <c r="DD37" s="10"/>
      <c r="DE37" s="7"/>
      <c r="DF37" s="7"/>
      <c r="DG37" s="7"/>
      <c r="DH37" s="7"/>
      <c r="DI37" s="10"/>
      <c r="DJ37" s="7"/>
      <c r="DK37" s="7"/>
      <c r="DL37" s="7"/>
      <c r="DM37" s="11"/>
      <c r="DN37" s="10"/>
      <c r="DO37" s="7"/>
      <c r="DP37" s="7"/>
      <c r="DQ37" s="7"/>
      <c r="DR37" s="11"/>
      <c r="DS37" s="7"/>
      <c r="DT37" s="7"/>
      <c r="DU37" s="7"/>
      <c r="DV37" s="7"/>
      <c r="DW37" s="11"/>
      <c r="DX37" s="96"/>
      <c r="DY37" s="7"/>
      <c r="DZ37" s="11"/>
      <c r="EA37" s="28"/>
      <c r="EB37" s="10"/>
      <c r="EC37" s="7"/>
      <c r="ED37" s="7"/>
      <c r="EE37" s="11"/>
      <c r="EF37" s="7"/>
      <c r="EG37" s="10"/>
      <c r="EH37" s="7"/>
      <c r="EI37" s="7"/>
      <c r="EJ37" s="11"/>
      <c r="EK37" s="7"/>
      <c r="EL37" s="10"/>
      <c r="EM37" s="7"/>
      <c r="EN37" s="7"/>
      <c r="EO37" s="11"/>
      <c r="EP37" s="7"/>
      <c r="EQ37" s="10"/>
      <c r="ER37" s="7"/>
      <c r="ES37" s="7"/>
      <c r="ET37" s="7"/>
      <c r="EU37" s="11"/>
      <c r="EV37" s="96"/>
      <c r="EW37" s="10"/>
      <c r="EX37" s="7"/>
      <c r="EY37" s="7"/>
      <c r="EZ37" s="7"/>
      <c r="FA37" s="103"/>
      <c r="FB37" s="107"/>
      <c r="FC37" s="10"/>
      <c r="FD37" s="7"/>
      <c r="FE37" s="7"/>
      <c r="FF37" s="7"/>
      <c r="FG37" s="96"/>
      <c r="FH37" s="10"/>
      <c r="FI37" s="7"/>
      <c r="FJ37" s="7"/>
      <c r="FK37" s="7"/>
      <c r="FL37" s="11"/>
      <c r="FM37" s="96"/>
      <c r="FN37" s="10"/>
      <c r="FO37" s="7"/>
      <c r="FP37" s="7"/>
      <c r="FQ37" s="7"/>
      <c r="FR37" s="96"/>
      <c r="FS37" s="10"/>
      <c r="FT37" s="7"/>
      <c r="FU37" s="7"/>
      <c r="FV37" s="7"/>
      <c r="FW37" s="7"/>
      <c r="FX37" s="96"/>
      <c r="FY37" s="114"/>
      <c r="FZ37" s="7"/>
      <c r="GA37" s="7"/>
      <c r="GB37" s="7"/>
      <c r="GC37" s="7"/>
      <c r="GD37" s="96"/>
      <c r="GE37" s="10"/>
      <c r="GF37" s="7"/>
      <c r="GG37" s="7"/>
      <c r="GH37" s="7"/>
      <c r="GI37" s="11"/>
      <c r="GJ37" s="10"/>
      <c r="GK37" s="10"/>
      <c r="GL37" s="7"/>
      <c r="GM37" s="7"/>
      <c r="GN37" s="11"/>
      <c r="GO37" s="96"/>
      <c r="GP37" s="10"/>
      <c r="GQ37" s="7"/>
      <c r="GR37" s="7"/>
      <c r="GS37" s="7"/>
      <c r="GT37" s="11"/>
      <c r="GU37" s="96"/>
      <c r="GV37" s="114"/>
      <c r="GW37" s="7"/>
      <c r="GX37" s="7"/>
      <c r="GY37" s="7"/>
      <c r="GZ37" s="7"/>
      <c r="HA37" s="10"/>
      <c r="HB37" s="10"/>
      <c r="HC37" s="7"/>
      <c r="HD37" s="7"/>
      <c r="HE37" s="7"/>
      <c r="HF37" s="7"/>
      <c r="HG37" s="7"/>
      <c r="HH37" s="96"/>
      <c r="HI37" s="10"/>
      <c r="HJ37" s="7"/>
      <c r="HK37" s="7"/>
      <c r="HL37" s="7"/>
      <c r="HM37" s="7"/>
      <c r="HN37" s="7"/>
      <c r="HO37" s="10"/>
      <c r="HP37" s="10"/>
      <c r="HQ37" s="7"/>
      <c r="HR37" s="7"/>
      <c r="HS37" s="7"/>
      <c r="HT37" s="7"/>
      <c r="HU37" s="11"/>
      <c r="HV37" s="7"/>
      <c r="HW37" s="10"/>
      <c r="HX37" s="7"/>
      <c r="HY37" s="103"/>
      <c r="HZ37" s="7"/>
      <c r="IA37" s="7"/>
      <c r="IB37" s="11">
        <v>1</v>
      </c>
      <c r="IC37" s="11"/>
      <c r="ID37" s="7"/>
      <c r="IE37" s="7"/>
      <c r="IF37" s="7"/>
      <c r="IG37" s="7"/>
      <c r="IH37" s="7"/>
      <c r="II37" s="7"/>
      <c r="IJ37" s="96"/>
      <c r="IK37" s="10"/>
      <c r="IL37" s="7"/>
      <c r="IM37" s="7"/>
      <c r="IN37" s="7"/>
      <c r="IO37" s="7"/>
      <c r="IP37" s="11"/>
      <c r="IQ37" s="96"/>
      <c r="IR37" s="7"/>
      <c r="IS37" s="7"/>
      <c r="IT37" s="7"/>
      <c r="IU37" s="7"/>
      <c r="IV37" s="7"/>
      <c r="IW37" s="7"/>
      <c r="IX37" s="7"/>
      <c r="IY37" s="7"/>
      <c r="IZ37" s="7"/>
      <c r="JA37" s="103"/>
      <c r="JB37" s="7"/>
      <c r="JC37" s="7"/>
      <c r="JD37" s="7"/>
      <c r="JE37" s="7"/>
      <c r="JF37" s="7"/>
      <c r="JG37" s="7"/>
      <c r="JH37" s="7"/>
      <c r="JI37" s="7"/>
      <c r="JJ37" s="7"/>
      <c r="JK37" s="7"/>
      <c r="JL37" s="7"/>
      <c r="JM37" s="7"/>
      <c r="JN37" s="7"/>
      <c r="JO37" s="7"/>
      <c r="JP37" s="7"/>
      <c r="JQ37" s="7"/>
      <c r="JR37" s="7"/>
      <c r="JS37" s="7"/>
      <c r="JT37" s="7"/>
      <c r="JU37" s="7"/>
      <c r="JV37" s="7"/>
      <c r="JW37" s="7"/>
      <c r="JX37" s="103"/>
      <c r="JY37" s="7"/>
      <c r="JZ37" s="7"/>
      <c r="KA37" s="7"/>
      <c r="KB37" s="7"/>
      <c r="KC37" s="7"/>
      <c r="KD37" s="7"/>
      <c r="KE37" s="7"/>
      <c r="KF37" s="7"/>
      <c r="KG37" s="7"/>
      <c r="KH37" s="7"/>
      <c r="KI37" s="7"/>
      <c r="KJ37" s="7"/>
      <c r="KK37" s="7"/>
      <c r="KL37" s="7"/>
      <c r="KM37" s="7"/>
      <c r="KN37" s="7"/>
      <c r="KO37" s="7"/>
      <c r="KP37" s="7"/>
      <c r="KQ37" s="7"/>
      <c r="KR37" s="7"/>
      <c r="KS37" s="7"/>
      <c r="KT37" s="7"/>
      <c r="KU37" s="103"/>
      <c r="KV37" s="7"/>
      <c r="KW37" s="7"/>
      <c r="KX37" s="7"/>
      <c r="KY37" s="7"/>
      <c r="KZ37" s="7"/>
      <c r="LA37" s="7"/>
      <c r="LB37" s="7"/>
      <c r="LC37" s="7"/>
      <c r="LD37" s="7"/>
      <c r="LE37" s="7"/>
      <c r="LF37" s="7"/>
      <c r="LG37" s="7"/>
      <c r="LH37" s="7"/>
      <c r="LI37" s="7"/>
      <c r="LJ37" s="102"/>
      <c r="LK37" s="102"/>
      <c r="LL37" s="102"/>
      <c r="LM37" s="102"/>
      <c r="LN37" s="102"/>
      <c r="LO37" s="102"/>
      <c r="LP37" s="102"/>
      <c r="LQ37" s="102"/>
      <c r="LR37" s="102"/>
    </row>
    <row r="38" spans="1:330" x14ac:dyDescent="0.25">
      <c r="A38" s="5">
        <v>35</v>
      </c>
      <c r="B38" s="66" t="str">
        <f>IFERROR(VLOOKUP(Tabla4[[#This Row],[Prioridad]],Tabla3[#All],2,0),"")</f>
        <v>EQUIPO</v>
      </c>
      <c r="C38" s="86" t="str">
        <f>IFERROR(VLOOKUP(Tabla4[[#This Row],[Prioridad]],Tabla3[#All],17,0),"")</f>
        <v>Sprint 4</v>
      </c>
      <c r="D38" s="86" t="str">
        <f>IFERROR(VLOOKUP(Tabla4[[#This Row],[Prioridad]],Tabla3[#All],6,0),"")</f>
        <v>T-035</v>
      </c>
      <c r="E38" s="86" t="str">
        <f>+IFERROR(VLOOKUP(Tabla4[[#This Row],[Tarea]],Tabla3[[Num_Ticket]:[Descripción]],2,0),"")</f>
        <v>Planeación Sprint 4 - Integración capas Dominio, Presentación, Persistencia</v>
      </c>
      <c r="F38" s="47">
        <f>IFERROR(VLOOKUP(Tabla4[[#This Row],[Prioridad]],Tabla3[#All],14,0),"")</f>
        <v>2</v>
      </c>
      <c r="G38" s="47">
        <f>IF(Tabla4[[#This Row],[Prioridad]]&lt;&gt;"",SUM(W38:KT38),"")</f>
        <v>0</v>
      </c>
      <c r="H38" s="47">
        <f>IF(Tabla4[[#This Row],[Prioridad]]&lt;&gt;"",Tabla4[[#This Row],[Horas Estimadas]]-Tabla4[[#This Row],[Ejecutadas]],"")</f>
        <v>2</v>
      </c>
      <c r="I38" s="66" t="str">
        <f>IFERROR(VLOOKUP(Tabla4[[#This Row],[Prioridad]],Tabla3[#All],18,0),"")</f>
        <v>DESARROLLO APLICACIÓN</v>
      </c>
      <c r="J38" s="32">
        <f>IFERROR(VLOOKUP(Tabla4[[#This Row],[Prioridad]],Tabla3[#All],20,0),"")</f>
        <v>1</v>
      </c>
      <c r="K38" s="60" t="str">
        <f>IFERROR(VLOOKUP(Tabla4[[#This Row],[Prioridad]],Tabla3[#All],19,0),"")</f>
        <v>Planeación</v>
      </c>
      <c r="L38" s="60" t="str">
        <f>IFERROR(VLOOKUP(Tabla4[[#This Row],[Prioridad]],Tabla3[#All],9,0),"")</f>
        <v>Tarea</v>
      </c>
      <c r="M38" s="93">
        <f>+SUMIFS(Tabla4[Avance Hito],Tabla4[Responsable],Tabla4[[#This Row],[Responsable]],Tabla4[Sprint],Tabla4[[#This Row],[Sprint]],Tabla4[Proyecto],Tabla4[[#This Row],[Proyecto]])/COUNTIFS(Tabla4[Responsable],Tabla4[[#This Row],[Responsable]],Tabla4[Sprint],Tabla4[[#This Row],[Sprint]],Tabla4[Proyecto],Tabla4[[#This Row],[Proyecto]])</f>
        <v>0.1142857142857143</v>
      </c>
      <c r="N38" s="35">
        <f>+SUMIFS(Tabla4[Avance relativo],Tabla4[Responsable],Tabla4[[#This Row],[Responsable]],Tabla4[Sprint],Tabla4[[#This Row],[Sprint]],Tabla4[Hito],Tabla4[[#This Row],[Hito]])</f>
        <v>0.8</v>
      </c>
      <c r="O38" s="196">
        <f>VLOOKUP(Tabla4[[#This Row],[Tarea]],Tabla3[[#All],[Num_Ticket]:[Hito]],5,0)</f>
        <v>44473</v>
      </c>
      <c r="P38" s="199">
        <v>44443</v>
      </c>
      <c r="Q38" s="47">
        <f>IF(Tabla4[[#This Row],[Prioridad]]="","",IF(Tabla4[[#This Row],[Hito]]&lt;&gt;"",COUNTIFS(Tabla4[Responsable],Tabla4[[#This Row],[Responsable]],Tabla4[Sprint],Tabla4[[#This Row],[Sprint]],Tabla4[Epica],Tabla4[[#This Row],[Epica]])))</f>
        <v>1</v>
      </c>
      <c r="R38" s="47">
        <f>1*Tabla4[[#This Row],[% Avance]]</f>
        <v>0.8</v>
      </c>
      <c r="S38" s="47">
        <f>IFERROR(Tabla4[[#This Row],[Total Avance]]/Tabla4[[#This Row],[Conteo_Epica]],0)</f>
        <v>0.8</v>
      </c>
      <c r="T38" s="35">
        <v>0.8</v>
      </c>
      <c r="U38" s="197">
        <v>6</v>
      </c>
      <c r="V38" s="198" t="s">
        <v>178</v>
      </c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11"/>
      <c r="AQ38" s="10"/>
      <c r="AR38" s="7"/>
      <c r="AS38" s="7"/>
      <c r="AT38" s="7"/>
      <c r="AU38" s="11"/>
      <c r="AV38" s="10"/>
      <c r="AW38" s="7"/>
      <c r="AX38" s="7"/>
      <c r="AY38" s="7"/>
      <c r="AZ38" s="11"/>
      <c r="BA38" s="10"/>
      <c r="BB38" s="7"/>
      <c r="BC38" s="7"/>
      <c r="BD38" s="7"/>
      <c r="BE38" s="11"/>
      <c r="BF38" s="10"/>
      <c r="BG38" s="7"/>
      <c r="BH38" s="7"/>
      <c r="BI38" s="7"/>
      <c r="BJ38" s="11"/>
      <c r="BK38" s="5"/>
      <c r="BL38" s="10"/>
      <c r="BM38" s="7"/>
      <c r="BN38" s="7"/>
      <c r="BO38" s="7"/>
      <c r="BP38" s="7"/>
      <c r="BQ38" s="10"/>
      <c r="BR38" s="7"/>
      <c r="BS38" s="7"/>
      <c r="BT38" s="7"/>
      <c r="BU38" s="11"/>
      <c r="BV38" s="10"/>
      <c r="BW38" s="7"/>
      <c r="BX38" s="7"/>
      <c r="BY38" s="7"/>
      <c r="BZ38" s="11"/>
      <c r="CA38" s="7"/>
      <c r="CB38" s="7"/>
      <c r="CC38" s="7"/>
      <c r="CD38" s="11"/>
      <c r="CE38" s="10"/>
      <c r="CF38" s="7"/>
      <c r="CG38" s="11"/>
      <c r="CH38" s="28"/>
      <c r="CI38" s="10"/>
      <c r="CJ38" s="7"/>
      <c r="CK38" s="7"/>
      <c r="CL38" s="7"/>
      <c r="CM38" s="7"/>
      <c r="CN38" s="10"/>
      <c r="CO38" s="7"/>
      <c r="CP38" s="7"/>
      <c r="CQ38" s="7"/>
      <c r="CR38" s="11"/>
      <c r="CS38" s="10"/>
      <c r="CT38" s="7"/>
      <c r="CU38" s="7"/>
      <c r="CV38" s="7"/>
      <c r="CW38" s="11"/>
      <c r="CX38" s="7"/>
      <c r="CY38" s="7"/>
      <c r="CZ38" s="7"/>
      <c r="DA38" s="7"/>
      <c r="DB38" s="11"/>
      <c r="DC38" s="28"/>
      <c r="DD38" s="10"/>
      <c r="DE38" s="7"/>
      <c r="DF38" s="7"/>
      <c r="DG38" s="7"/>
      <c r="DH38" s="7"/>
      <c r="DI38" s="10"/>
      <c r="DJ38" s="7"/>
      <c r="DK38" s="7"/>
      <c r="DL38" s="7"/>
      <c r="DM38" s="11"/>
      <c r="DN38" s="10"/>
      <c r="DO38" s="7"/>
      <c r="DP38" s="7"/>
      <c r="DQ38" s="7"/>
      <c r="DR38" s="11"/>
      <c r="DS38" s="7"/>
      <c r="DT38" s="7"/>
      <c r="DU38" s="7"/>
      <c r="DV38" s="7"/>
      <c r="DW38" s="11"/>
      <c r="DX38" s="96"/>
      <c r="DY38" s="7"/>
      <c r="DZ38" s="11"/>
      <c r="EA38" s="28"/>
      <c r="EB38" s="10"/>
      <c r="EC38" s="7"/>
      <c r="ED38" s="7"/>
      <c r="EE38" s="11"/>
      <c r="EF38" s="7"/>
      <c r="EG38" s="10"/>
      <c r="EH38" s="7"/>
      <c r="EI38" s="7"/>
      <c r="EJ38" s="11"/>
      <c r="EK38" s="7"/>
      <c r="EL38" s="10"/>
      <c r="EM38" s="7"/>
      <c r="EN38" s="7"/>
      <c r="EO38" s="11"/>
      <c r="EP38" s="7"/>
      <c r="EQ38" s="10"/>
      <c r="ER38" s="7"/>
      <c r="ES38" s="7"/>
      <c r="ET38" s="7"/>
      <c r="EU38" s="11"/>
      <c r="EV38" s="96"/>
      <c r="EW38" s="10"/>
      <c r="EX38" s="7"/>
      <c r="EY38" s="7"/>
      <c r="EZ38" s="7"/>
      <c r="FA38" s="103"/>
      <c r="FB38" s="107"/>
      <c r="FC38" s="10"/>
      <c r="FD38" s="7"/>
      <c r="FE38" s="7"/>
      <c r="FF38" s="7"/>
      <c r="FG38" s="96"/>
      <c r="FH38" s="10"/>
      <c r="FI38" s="7"/>
      <c r="FJ38" s="7"/>
      <c r="FK38" s="7"/>
      <c r="FL38" s="11"/>
      <c r="FM38" s="96"/>
      <c r="FN38" s="10"/>
      <c r="FO38" s="7"/>
      <c r="FP38" s="7"/>
      <c r="FQ38" s="7"/>
      <c r="FR38" s="96"/>
      <c r="FS38" s="10"/>
      <c r="FT38" s="7"/>
      <c r="FU38" s="7"/>
      <c r="FV38" s="7"/>
      <c r="FW38" s="7"/>
      <c r="FX38" s="96"/>
      <c r="FY38" s="114"/>
      <c r="FZ38" s="7"/>
      <c r="GA38" s="7"/>
      <c r="GB38" s="7"/>
      <c r="GC38" s="7"/>
      <c r="GD38" s="96"/>
      <c r="GE38" s="10"/>
      <c r="GF38" s="7"/>
      <c r="GG38" s="7"/>
      <c r="GH38" s="7"/>
      <c r="GI38" s="11"/>
      <c r="GJ38" s="10"/>
      <c r="GK38" s="10"/>
      <c r="GL38" s="7"/>
      <c r="GM38" s="7"/>
      <c r="GN38" s="11"/>
      <c r="GO38" s="96"/>
      <c r="GP38" s="10"/>
      <c r="GQ38" s="7"/>
      <c r="GR38" s="7"/>
      <c r="GS38" s="7"/>
      <c r="GT38" s="11"/>
      <c r="GU38" s="96"/>
      <c r="GV38" s="114"/>
      <c r="GW38" s="7"/>
      <c r="GX38" s="7"/>
      <c r="GY38" s="7"/>
      <c r="GZ38" s="7"/>
      <c r="HA38" s="10"/>
      <c r="HB38" s="10"/>
      <c r="HC38" s="7"/>
      <c r="HD38" s="7"/>
      <c r="HE38" s="7"/>
      <c r="HF38" s="7"/>
      <c r="HG38" s="7"/>
      <c r="HH38" s="96"/>
      <c r="HI38" s="10"/>
      <c r="HJ38" s="7"/>
      <c r="HK38" s="7"/>
      <c r="HL38" s="7"/>
      <c r="HM38" s="7"/>
      <c r="HN38" s="7"/>
      <c r="HO38" s="10"/>
      <c r="HP38" s="10"/>
      <c r="HQ38" s="7"/>
      <c r="HR38" s="7"/>
      <c r="HS38" s="7"/>
      <c r="HT38" s="7"/>
      <c r="HU38" s="11"/>
      <c r="HV38" s="7"/>
      <c r="HW38" s="10"/>
      <c r="HX38" s="7"/>
      <c r="HY38" s="103"/>
      <c r="HZ38" s="7"/>
      <c r="IA38" s="7"/>
      <c r="IB38" s="11"/>
      <c r="IC38" s="11"/>
      <c r="ID38" s="7"/>
      <c r="IE38" s="7"/>
      <c r="IF38" s="7"/>
      <c r="IG38" s="7"/>
      <c r="IH38" s="7"/>
      <c r="II38" s="7"/>
      <c r="IJ38" s="96"/>
      <c r="IK38" s="10"/>
      <c r="IL38" s="7"/>
      <c r="IM38" s="7"/>
      <c r="IN38" s="7"/>
      <c r="IO38" s="7"/>
      <c r="IP38" s="11"/>
      <c r="IQ38" s="96"/>
      <c r="IR38" s="7"/>
      <c r="IS38" s="7"/>
      <c r="IT38" s="7"/>
      <c r="IU38" s="7"/>
      <c r="IV38" s="7"/>
      <c r="IW38" s="7"/>
      <c r="IX38" s="7"/>
      <c r="IY38" s="7"/>
      <c r="IZ38" s="7"/>
      <c r="JA38" s="103"/>
      <c r="JB38" s="7"/>
      <c r="JC38" s="7"/>
      <c r="JD38" s="7"/>
      <c r="JE38" s="7"/>
      <c r="JF38" s="7"/>
      <c r="JG38" s="7"/>
      <c r="JH38" s="7"/>
      <c r="JI38" s="7"/>
      <c r="JJ38" s="7"/>
      <c r="JK38" s="7"/>
      <c r="JL38" s="7"/>
      <c r="JM38" s="7"/>
      <c r="JN38" s="7"/>
      <c r="JO38" s="7"/>
      <c r="JP38" s="7"/>
      <c r="JQ38" s="7"/>
      <c r="JR38" s="7"/>
      <c r="JS38" s="7"/>
      <c r="JT38" s="7"/>
      <c r="JU38" s="7"/>
      <c r="JV38" s="7"/>
      <c r="JW38" s="7"/>
      <c r="JX38" s="103"/>
      <c r="JY38" s="7"/>
      <c r="JZ38" s="7"/>
      <c r="KA38" s="7"/>
      <c r="KB38" s="7"/>
      <c r="KC38" s="7"/>
      <c r="KD38" s="7"/>
      <c r="KE38" s="7"/>
      <c r="KF38" s="7"/>
      <c r="KG38" s="7"/>
      <c r="KH38" s="7"/>
      <c r="KI38" s="7"/>
      <c r="KJ38" s="7"/>
      <c r="KK38" s="7"/>
      <c r="KL38" s="7"/>
      <c r="KM38" s="7"/>
      <c r="KN38" s="7"/>
      <c r="KO38" s="7"/>
      <c r="KP38" s="7"/>
      <c r="KQ38" s="7"/>
      <c r="KR38" s="7"/>
      <c r="KS38" s="7"/>
      <c r="KT38" s="7"/>
      <c r="KU38" s="103"/>
      <c r="KV38" s="7"/>
      <c r="KW38" s="7"/>
      <c r="KX38" s="7"/>
      <c r="KY38" s="7"/>
      <c r="KZ38" s="7"/>
      <c r="LA38" s="7"/>
      <c r="LB38" s="7"/>
      <c r="LC38" s="7"/>
      <c r="LD38" s="7"/>
      <c r="LE38" s="7"/>
      <c r="LF38" s="7"/>
      <c r="LG38" s="7"/>
      <c r="LH38" s="7"/>
      <c r="LI38" s="7"/>
      <c r="LJ38" s="102"/>
      <c r="LK38" s="102"/>
      <c r="LL38" s="102"/>
      <c r="LM38" s="102"/>
      <c r="LN38" s="102"/>
      <c r="LO38" s="102"/>
      <c r="LP38" s="102"/>
      <c r="LQ38" s="102"/>
      <c r="LR38" s="102"/>
    </row>
    <row r="39" spans="1:330" x14ac:dyDescent="0.25">
      <c r="A39" s="5">
        <v>36</v>
      </c>
      <c r="B39" s="66" t="str">
        <f>IFERROR(VLOOKUP(Tabla4[[#This Row],[Prioridad]],Tabla3[#All],2,0),"")</f>
        <v>EQUIPO</v>
      </c>
      <c r="C39" s="86" t="str">
        <f>IFERROR(VLOOKUP(Tabla4[[#This Row],[Prioridad]],Tabla3[#All],17,0),"")</f>
        <v>Sprint 4</v>
      </c>
      <c r="D39" s="86" t="str">
        <f>IFERROR(VLOOKUP(Tabla4[[#This Row],[Prioridad]],Tabla3[#All],6,0),"")</f>
        <v>T-036</v>
      </c>
      <c r="E39" s="86" t="str">
        <f>+IFERROR(VLOOKUP(Tabla4[[#This Row],[Tarea]],Tabla3[[Num_Ticket]:[Descripción]],2,0),"")</f>
        <v>Integrar capa Presentación y Dominio</v>
      </c>
      <c r="F39" s="47">
        <f>IFERROR(VLOOKUP(Tabla4[[#This Row],[Prioridad]],Tabla3[#All],14,0),"")</f>
        <v>5</v>
      </c>
      <c r="G39" s="47">
        <f>IF(Tabla4[[#This Row],[Prioridad]]&lt;&gt;"",SUM(W39:KT39),"")</f>
        <v>0</v>
      </c>
      <c r="H39" s="47">
        <f>IF(Tabla4[[#This Row],[Prioridad]]&lt;&gt;"",Tabla4[[#This Row],[Horas Estimadas]]-Tabla4[[#This Row],[Ejecutadas]],"")</f>
        <v>5</v>
      </c>
      <c r="I39" s="66" t="str">
        <f>IFERROR(VLOOKUP(Tabla4[[#This Row],[Prioridad]],Tabla3[#All],18,0),"")</f>
        <v>DESARROLLO APLICACIÓN</v>
      </c>
      <c r="J39" s="32">
        <f>IFERROR(VLOOKUP(Tabla4[[#This Row],[Prioridad]],Tabla3[#All],20,0),"")</f>
        <v>8</v>
      </c>
      <c r="K39" s="60" t="str">
        <f>IFERROR(VLOOKUP(Tabla4[[#This Row],[Prioridad]],Tabla3[#All],19,0),"")</f>
        <v>Construcción - Codigo estructuras</v>
      </c>
      <c r="L39" s="60" t="str">
        <f>IFERROR(VLOOKUP(Tabla4[[#This Row],[Prioridad]],Tabla3[#All],9,0),"")</f>
        <v>Tarea</v>
      </c>
      <c r="M39" s="93">
        <f>+SUMIFS(Tabla4[Avance Hito],Tabla4[Responsable],Tabla4[[#This Row],[Responsable]],Tabla4[Sprint],Tabla4[[#This Row],[Sprint]],Tabla4[Proyecto],Tabla4[[#This Row],[Proyecto]])/COUNTIFS(Tabla4[Responsable],Tabla4[[#This Row],[Responsable]],Tabla4[Sprint],Tabla4[[#This Row],[Sprint]],Tabla4[Proyecto],Tabla4[[#This Row],[Proyecto]])</f>
        <v>0.1142857142857143</v>
      </c>
      <c r="N39" s="35">
        <f>+SUMIFS(Tabla4[Avance relativo],Tabla4[Responsable],Tabla4[[#This Row],[Responsable]],Tabla4[Sprint],Tabla4[[#This Row],[Sprint]],Tabla4[Hito],Tabla4[[#This Row],[Hito]])</f>
        <v>0</v>
      </c>
      <c r="O39" s="196">
        <f>VLOOKUP(Tabla4[[#This Row],[Tarea]],Tabla3[[#All],[Num_Ticket]:[Hito]],5,0)</f>
        <v>44474</v>
      </c>
      <c r="P39" s="199"/>
      <c r="Q39" s="47">
        <f>IF(Tabla4[[#This Row],[Prioridad]]="","",IF(Tabla4[[#This Row],[Hito]]&lt;&gt;"",COUNTIFS(Tabla4[Responsable],Tabla4[[#This Row],[Responsable]],Tabla4[Sprint],Tabla4[[#This Row],[Sprint]],Tabla4[Epica],Tabla4[[#This Row],[Epica]])))</f>
        <v>2</v>
      </c>
      <c r="R39" s="47">
        <f>1*Tabla4[[#This Row],[% Avance]]</f>
        <v>0</v>
      </c>
      <c r="S39" s="47">
        <f>IFERROR(Tabla4[[#This Row],[Total Avance]]/Tabla4[[#This Row],[Conteo_Epica]],0)</f>
        <v>0</v>
      </c>
      <c r="T39" s="35">
        <v>0</v>
      </c>
      <c r="U39" s="197">
        <v>6</v>
      </c>
      <c r="V39" s="198" t="s">
        <v>176</v>
      </c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11"/>
      <c r="AQ39" s="10"/>
      <c r="AR39" s="7"/>
      <c r="AS39" s="7"/>
      <c r="AT39" s="7"/>
      <c r="AU39" s="11"/>
      <c r="AV39" s="10"/>
      <c r="AW39" s="7"/>
      <c r="AX39" s="7"/>
      <c r="AY39" s="7"/>
      <c r="AZ39" s="11"/>
      <c r="BA39" s="10"/>
      <c r="BB39" s="7"/>
      <c r="BC39" s="7"/>
      <c r="BD39" s="7"/>
      <c r="BE39" s="11"/>
      <c r="BF39" s="10"/>
      <c r="BG39" s="7"/>
      <c r="BH39" s="7"/>
      <c r="BI39" s="7"/>
      <c r="BJ39" s="11"/>
      <c r="BK39" s="5"/>
      <c r="BL39" s="10"/>
      <c r="BM39" s="7"/>
      <c r="BN39" s="7"/>
      <c r="BO39" s="7"/>
      <c r="BP39" s="7"/>
      <c r="BQ39" s="10"/>
      <c r="BR39" s="7"/>
      <c r="BS39" s="7"/>
      <c r="BT39" s="7"/>
      <c r="BU39" s="11"/>
      <c r="BV39" s="10"/>
      <c r="BW39" s="7"/>
      <c r="BX39" s="7"/>
      <c r="BY39" s="7"/>
      <c r="BZ39" s="11"/>
      <c r="CA39" s="7"/>
      <c r="CB39" s="7"/>
      <c r="CC39" s="7"/>
      <c r="CD39" s="11"/>
      <c r="CE39" s="10"/>
      <c r="CF39" s="7"/>
      <c r="CG39" s="11"/>
      <c r="CH39" s="28"/>
      <c r="CI39" s="10"/>
      <c r="CJ39" s="7"/>
      <c r="CK39" s="7"/>
      <c r="CL39" s="7"/>
      <c r="CM39" s="7"/>
      <c r="CN39" s="10"/>
      <c r="CO39" s="7"/>
      <c r="CP39" s="7"/>
      <c r="CQ39" s="7"/>
      <c r="CR39" s="11"/>
      <c r="CS39" s="10"/>
      <c r="CT39" s="7"/>
      <c r="CU39" s="7"/>
      <c r="CV39" s="7"/>
      <c r="CW39" s="11"/>
      <c r="CX39" s="7"/>
      <c r="CY39" s="7"/>
      <c r="CZ39" s="7"/>
      <c r="DA39" s="7"/>
      <c r="DB39" s="11"/>
      <c r="DC39" s="28"/>
      <c r="DD39" s="10"/>
      <c r="DE39" s="7"/>
      <c r="DF39" s="7"/>
      <c r="DG39" s="7"/>
      <c r="DH39" s="7"/>
      <c r="DI39" s="10"/>
      <c r="DJ39" s="7"/>
      <c r="DK39" s="7"/>
      <c r="DL39" s="7"/>
      <c r="DM39" s="11"/>
      <c r="DN39" s="10"/>
      <c r="DO39" s="7"/>
      <c r="DP39" s="7"/>
      <c r="DQ39" s="7"/>
      <c r="DR39" s="11"/>
      <c r="DS39" s="7"/>
      <c r="DT39" s="7"/>
      <c r="DU39" s="7"/>
      <c r="DV39" s="7"/>
      <c r="DW39" s="11"/>
      <c r="DX39" s="96"/>
      <c r="DY39" s="7"/>
      <c r="DZ39" s="11"/>
      <c r="EA39" s="28"/>
      <c r="EB39" s="10"/>
      <c r="EC39" s="7"/>
      <c r="ED39" s="7"/>
      <c r="EE39" s="11"/>
      <c r="EF39" s="7"/>
      <c r="EG39" s="10"/>
      <c r="EH39" s="7"/>
      <c r="EI39" s="7"/>
      <c r="EJ39" s="11"/>
      <c r="EK39" s="7"/>
      <c r="EL39" s="10"/>
      <c r="EM39" s="7"/>
      <c r="EN39" s="7"/>
      <c r="EO39" s="11"/>
      <c r="EP39" s="7"/>
      <c r="EQ39" s="10"/>
      <c r="ER39" s="7"/>
      <c r="ES39" s="7"/>
      <c r="ET39" s="7"/>
      <c r="EU39" s="11"/>
      <c r="EV39" s="96"/>
      <c r="EW39" s="10"/>
      <c r="EX39" s="7"/>
      <c r="EY39" s="7"/>
      <c r="EZ39" s="7"/>
      <c r="FA39" s="103"/>
      <c r="FB39" s="107"/>
      <c r="FC39" s="10"/>
      <c r="FD39" s="7"/>
      <c r="FE39" s="7"/>
      <c r="FF39" s="7"/>
      <c r="FG39" s="96"/>
      <c r="FH39" s="10"/>
      <c r="FI39" s="7"/>
      <c r="FJ39" s="7"/>
      <c r="FK39" s="7"/>
      <c r="FL39" s="11"/>
      <c r="FM39" s="96"/>
      <c r="FN39" s="10"/>
      <c r="FO39" s="7"/>
      <c r="FP39" s="7"/>
      <c r="FQ39" s="7"/>
      <c r="FR39" s="96"/>
      <c r="FS39" s="10"/>
      <c r="FT39" s="7"/>
      <c r="FU39" s="7"/>
      <c r="FV39" s="7"/>
      <c r="FW39" s="7"/>
      <c r="FX39" s="96"/>
      <c r="FY39" s="114"/>
      <c r="FZ39" s="7"/>
      <c r="GA39" s="7"/>
      <c r="GB39" s="7"/>
      <c r="GC39" s="7"/>
      <c r="GD39" s="96"/>
      <c r="GE39" s="10"/>
      <c r="GF39" s="7"/>
      <c r="GG39" s="7"/>
      <c r="GH39" s="7"/>
      <c r="GI39" s="11"/>
      <c r="GJ39" s="10"/>
      <c r="GK39" s="10"/>
      <c r="GL39" s="7"/>
      <c r="GM39" s="7"/>
      <c r="GN39" s="11"/>
      <c r="GO39" s="96"/>
      <c r="GP39" s="10"/>
      <c r="GQ39" s="7"/>
      <c r="GR39" s="7"/>
      <c r="GS39" s="7"/>
      <c r="GT39" s="11"/>
      <c r="GU39" s="96"/>
      <c r="GV39" s="114"/>
      <c r="GW39" s="7"/>
      <c r="GX39" s="7"/>
      <c r="GY39" s="7"/>
      <c r="GZ39" s="7"/>
      <c r="HA39" s="10"/>
      <c r="HB39" s="10"/>
      <c r="HC39" s="7"/>
      <c r="HD39" s="7"/>
      <c r="HE39" s="7"/>
      <c r="HF39" s="7"/>
      <c r="HG39" s="7"/>
      <c r="HH39" s="96"/>
      <c r="HI39" s="10"/>
      <c r="HJ39" s="7"/>
      <c r="HK39" s="7"/>
      <c r="HL39" s="7"/>
      <c r="HM39" s="7"/>
      <c r="HN39" s="7"/>
      <c r="HO39" s="10"/>
      <c r="HP39" s="10"/>
      <c r="HQ39" s="7"/>
      <c r="HR39" s="7"/>
      <c r="HS39" s="7"/>
      <c r="HT39" s="7"/>
      <c r="HU39" s="11"/>
      <c r="HV39" s="7"/>
      <c r="HW39" s="10"/>
      <c r="HX39" s="7"/>
      <c r="HY39" s="103"/>
      <c r="HZ39" s="7"/>
      <c r="IA39" s="7"/>
      <c r="IB39" s="11"/>
      <c r="IC39" s="11"/>
      <c r="ID39" s="7"/>
      <c r="IE39" s="7"/>
      <c r="IF39" s="7"/>
      <c r="IG39" s="7"/>
      <c r="IH39" s="7"/>
      <c r="II39" s="7"/>
      <c r="IJ39" s="96"/>
      <c r="IK39" s="10"/>
      <c r="IL39" s="7"/>
      <c r="IM39" s="7"/>
      <c r="IN39" s="7"/>
      <c r="IO39" s="7"/>
      <c r="IP39" s="11"/>
      <c r="IQ39" s="96"/>
      <c r="IR39" s="7"/>
      <c r="IS39" s="7"/>
      <c r="IT39" s="7"/>
      <c r="IU39" s="7"/>
      <c r="IV39" s="7"/>
      <c r="IW39" s="7"/>
      <c r="IX39" s="7"/>
      <c r="IY39" s="7"/>
      <c r="IZ39" s="7"/>
      <c r="JA39" s="103"/>
      <c r="JB39" s="7"/>
      <c r="JC39" s="7"/>
      <c r="JD39" s="7"/>
      <c r="JE39" s="7"/>
      <c r="JF39" s="7"/>
      <c r="JG39" s="7"/>
      <c r="JH39" s="7"/>
      <c r="JI39" s="7"/>
      <c r="JJ39" s="7"/>
      <c r="JK39" s="7"/>
      <c r="JL39" s="7"/>
      <c r="JM39" s="7"/>
      <c r="JN39" s="7"/>
      <c r="JO39" s="7"/>
      <c r="JP39" s="7"/>
      <c r="JQ39" s="7"/>
      <c r="JR39" s="7"/>
      <c r="JS39" s="7"/>
      <c r="JT39" s="7"/>
      <c r="JU39" s="7"/>
      <c r="JV39" s="7"/>
      <c r="JW39" s="7"/>
      <c r="JX39" s="103"/>
      <c r="JY39" s="7"/>
      <c r="JZ39" s="7"/>
      <c r="KA39" s="7"/>
      <c r="KB39" s="7"/>
      <c r="KC39" s="7"/>
      <c r="KD39" s="7"/>
      <c r="KE39" s="7"/>
      <c r="KF39" s="7"/>
      <c r="KG39" s="7"/>
      <c r="KH39" s="7"/>
      <c r="KI39" s="7"/>
      <c r="KJ39" s="7"/>
      <c r="KK39" s="7"/>
      <c r="KL39" s="7"/>
      <c r="KM39" s="7"/>
      <c r="KN39" s="7"/>
      <c r="KO39" s="7"/>
      <c r="KP39" s="7"/>
      <c r="KQ39" s="7"/>
      <c r="KR39" s="7"/>
      <c r="KS39" s="7"/>
      <c r="KT39" s="7"/>
      <c r="KU39" s="103"/>
      <c r="KV39" s="7"/>
      <c r="KW39" s="7"/>
      <c r="KX39" s="7"/>
      <c r="KY39" s="7"/>
      <c r="KZ39" s="7"/>
      <c r="LA39" s="7"/>
      <c r="LB39" s="7"/>
      <c r="LC39" s="7"/>
      <c r="LD39" s="7"/>
      <c r="LE39" s="7"/>
      <c r="LF39" s="7"/>
      <c r="LG39" s="7"/>
      <c r="LH39" s="7"/>
      <c r="LI39" s="7"/>
      <c r="LJ39" s="102"/>
      <c r="LK39" s="102"/>
      <c r="LL39" s="102"/>
      <c r="LM39" s="102"/>
      <c r="LN39" s="102"/>
      <c r="LO39" s="102"/>
      <c r="LP39" s="102"/>
      <c r="LQ39" s="102"/>
      <c r="LR39" s="102"/>
    </row>
    <row r="40" spans="1:330" x14ac:dyDescent="0.25">
      <c r="A40" s="5">
        <v>37</v>
      </c>
      <c r="B40" s="66" t="str">
        <f>IFERROR(VLOOKUP(Tabla4[[#This Row],[Prioridad]],Tabla3[#All],2,0),"")</f>
        <v>EQUIPO</v>
      </c>
      <c r="C40" s="86" t="str">
        <f>IFERROR(VLOOKUP(Tabla4[[#This Row],[Prioridad]],Tabla3[#All],17,0),"")</f>
        <v>Sprint 4</v>
      </c>
      <c r="D40" s="86" t="str">
        <f>IFERROR(VLOOKUP(Tabla4[[#This Row],[Prioridad]],Tabla3[#All],6,0),"")</f>
        <v>T-037</v>
      </c>
      <c r="E40" s="86" t="str">
        <f>+IFERROR(VLOOKUP(Tabla4[[#This Row],[Tarea]],Tabla3[[Num_Ticket]:[Descripción]],2,0),"")</f>
        <v>Integrar capa de Dominio y Persistencia</v>
      </c>
      <c r="F40" s="47">
        <f>IFERROR(VLOOKUP(Tabla4[[#This Row],[Prioridad]],Tabla3[#All],14,0),"")</f>
        <v>5</v>
      </c>
      <c r="G40" s="47">
        <f>IF(Tabla4[[#This Row],[Prioridad]]&lt;&gt;"",SUM(W40:KT40),"")</f>
        <v>0</v>
      </c>
      <c r="H40" s="47">
        <f>IF(Tabla4[[#This Row],[Prioridad]]&lt;&gt;"",Tabla4[[#This Row],[Horas Estimadas]]-Tabla4[[#This Row],[Ejecutadas]],"")</f>
        <v>5</v>
      </c>
      <c r="I40" s="66" t="str">
        <f>IFERROR(VLOOKUP(Tabla4[[#This Row],[Prioridad]],Tabla3[#All],18,0),"")</f>
        <v>DESARROLLO APLICACIÓN</v>
      </c>
      <c r="J40" s="32">
        <f>IFERROR(VLOOKUP(Tabla4[[#This Row],[Prioridad]],Tabla3[#All],20,0),"")</f>
        <v>8</v>
      </c>
      <c r="K40" s="60" t="str">
        <f>IFERROR(VLOOKUP(Tabla4[[#This Row],[Prioridad]],Tabla3[#All],19,0),"")</f>
        <v>Construcción - Codigo estructuras</v>
      </c>
      <c r="L40" s="60" t="str">
        <f>IFERROR(VLOOKUP(Tabla4[[#This Row],[Prioridad]],Tabla3[#All],9,0),"")</f>
        <v>Tarea</v>
      </c>
      <c r="M40" s="93">
        <f>+SUMIFS(Tabla4[Avance Hito],Tabla4[Responsable],Tabla4[[#This Row],[Responsable]],Tabla4[Sprint],Tabla4[[#This Row],[Sprint]],Tabla4[Proyecto],Tabla4[[#This Row],[Proyecto]])/COUNTIFS(Tabla4[Responsable],Tabla4[[#This Row],[Responsable]],Tabla4[Sprint],Tabla4[[#This Row],[Sprint]],Tabla4[Proyecto],Tabla4[[#This Row],[Proyecto]])</f>
        <v>0.1142857142857143</v>
      </c>
      <c r="N40" s="35">
        <f>+SUMIFS(Tabla4[Avance relativo],Tabla4[Responsable],Tabla4[[#This Row],[Responsable]],Tabla4[Sprint],Tabla4[[#This Row],[Sprint]],Tabla4[Hito],Tabla4[[#This Row],[Hito]])</f>
        <v>0</v>
      </c>
      <c r="O40" s="196">
        <f>VLOOKUP(Tabla4[[#This Row],[Tarea]],Tabla3[[#All],[Num_Ticket]:[Hito]],5,0)</f>
        <v>44474</v>
      </c>
      <c r="P40" s="199"/>
      <c r="Q40" s="47">
        <f>IF(Tabla4[[#This Row],[Prioridad]]="","",IF(Tabla4[[#This Row],[Hito]]&lt;&gt;"",COUNTIFS(Tabla4[Responsable],Tabla4[[#This Row],[Responsable]],Tabla4[Sprint],Tabla4[[#This Row],[Sprint]],Tabla4[Epica],Tabla4[[#This Row],[Epica]])))</f>
        <v>2</v>
      </c>
      <c r="R40" s="47">
        <f>1*Tabla4[[#This Row],[% Avance]]</f>
        <v>0</v>
      </c>
      <c r="S40" s="47">
        <f>IFERROR(Tabla4[[#This Row],[Total Avance]]/Tabla4[[#This Row],[Conteo_Epica]],0)</f>
        <v>0</v>
      </c>
      <c r="T40" s="35">
        <v>0</v>
      </c>
      <c r="U40" s="197">
        <v>6</v>
      </c>
      <c r="V40" s="198" t="s">
        <v>176</v>
      </c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11"/>
      <c r="AQ40" s="10"/>
      <c r="AR40" s="7"/>
      <c r="AS40" s="7"/>
      <c r="AT40" s="7"/>
      <c r="AU40" s="11"/>
      <c r="AV40" s="10"/>
      <c r="AW40" s="7"/>
      <c r="AX40" s="7"/>
      <c r="AY40" s="7"/>
      <c r="AZ40" s="11"/>
      <c r="BA40" s="10"/>
      <c r="BB40" s="7"/>
      <c r="BC40" s="7"/>
      <c r="BD40" s="7"/>
      <c r="BE40" s="11"/>
      <c r="BF40" s="10"/>
      <c r="BG40" s="7"/>
      <c r="BH40" s="7"/>
      <c r="BI40" s="7"/>
      <c r="BJ40" s="11"/>
      <c r="BK40" s="5"/>
      <c r="BL40" s="10"/>
      <c r="BM40" s="7"/>
      <c r="BN40" s="7"/>
      <c r="BO40" s="7"/>
      <c r="BP40" s="7"/>
      <c r="BQ40" s="10"/>
      <c r="BR40" s="7"/>
      <c r="BS40" s="7"/>
      <c r="BT40" s="7"/>
      <c r="BU40" s="11"/>
      <c r="BV40" s="10"/>
      <c r="BW40" s="7"/>
      <c r="BX40" s="7"/>
      <c r="BY40" s="7"/>
      <c r="BZ40" s="11"/>
      <c r="CA40" s="7"/>
      <c r="CB40" s="7"/>
      <c r="CC40" s="7"/>
      <c r="CD40" s="11"/>
      <c r="CE40" s="10"/>
      <c r="CF40" s="7"/>
      <c r="CG40" s="11"/>
      <c r="CH40" s="28"/>
      <c r="CI40" s="10"/>
      <c r="CJ40" s="7"/>
      <c r="CK40" s="7"/>
      <c r="CL40" s="7"/>
      <c r="CM40" s="7"/>
      <c r="CN40" s="10"/>
      <c r="CO40" s="7"/>
      <c r="CP40" s="7"/>
      <c r="CQ40" s="7"/>
      <c r="CR40" s="11"/>
      <c r="CS40" s="10"/>
      <c r="CT40" s="7"/>
      <c r="CU40" s="7"/>
      <c r="CV40" s="7"/>
      <c r="CW40" s="11"/>
      <c r="CX40" s="7"/>
      <c r="CY40" s="7"/>
      <c r="CZ40" s="7"/>
      <c r="DA40" s="7"/>
      <c r="DB40" s="11"/>
      <c r="DC40" s="28"/>
      <c r="DD40" s="10"/>
      <c r="DE40" s="7"/>
      <c r="DF40" s="7"/>
      <c r="DG40" s="7"/>
      <c r="DH40" s="7"/>
      <c r="DI40" s="10"/>
      <c r="DJ40" s="7"/>
      <c r="DK40" s="7"/>
      <c r="DL40" s="7"/>
      <c r="DM40" s="11"/>
      <c r="DN40" s="10"/>
      <c r="DO40" s="7"/>
      <c r="DP40" s="7"/>
      <c r="DQ40" s="7"/>
      <c r="DR40" s="11"/>
      <c r="DS40" s="7"/>
      <c r="DT40" s="7"/>
      <c r="DU40" s="7"/>
      <c r="DV40" s="7"/>
      <c r="DW40" s="11"/>
      <c r="DX40" s="96"/>
      <c r="DY40" s="7"/>
      <c r="DZ40" s="11"/>
      <c r="EA40" s="28"/>
      <c r="EB40" s="10"/>
      <c r="EC40" s="7"/>
      <c r="ED40" s="7"/>
      <c r="EE40" s="11"/>
      <c r="EF40" s="7"/>
      <c r="EG40" s="10"/>
      <c r="EH40" s="7"/>
      <c r="EI40" s="7"/>
      <c r="EJ40" s="11"/>
      <c r="EK40" s="7"/>
      <c r="EL40" s="10"/>
      <c r="EM40" s="7"/>
      <c r="EN40" s="7"/>
      <c r="EO40" s="11"/>
      <c r="EP40" s="7"/>
      <c r="EQ40" s="10"/>
      <c r="ER40" s="7"/>
      <c r="ES40" s="7"/>
      <c r="ET40" s="7"/>
      <c r="EU40" s="11"/>
      <c r="EV40" s="96"/>
      <c r="EW40" s="10"/>
      <c r="EX40" s="7"/>
      <c r="EY40" s="7"/>
      <c r="EZ40" s="7"/>
      <c r="FA40" s="103"/>
      <c r="FB40" s="107"/>
      <c r="FC40" s="10"/>
      <c r="FD40" s="7"/>
      <c r="FE40" s="7"/>
      <c r="FF40" s="7"/>
      <c r="FG40" s="96"/>
      <c r="FH40" s="10"/>
      <c r="FI40" s="7"/>
      <c r="FJ40" s="7"/>
      <c r="FK40" s="7"/>
      <c r="FL40" s="11"/>
      <c r="FM40" s="96"/>
      <c r="FN40" s="10"/>
      <c r="FO40" s="7"/>
      <c r="FP40" s="7"/>
      <c r="FQ40" s="7"/>
      <c r="FR40" s="96"/>
      <c r="FS40" s="10"/>
      <c r="FT40" s="7"/>
      <c r="FU40" s="7"/>
      <c r="FV40" s="7"/>
      <c r="FW40" s="7"/>
      <c r="FX40" s="96"/>
      <c r="FY40" s="114"/>
      <c r="FZ40" s="7"/>
      <c r="GA40" s="7"/>
      <c r="GB40" s="7"/>
      <c r="GC40" s="7"/>
      <c r="GD40" s="96"/>
      <c r="GE40" s="10"/>
      <c r="GF40" s="7"/>
      <c r="GG40" s="7"/>
      <c r="GH40" s="7"/>
      <c r="GI40" s="11"/>
      <c r="GJ40" s="10"/>
      <c r="GK40" s="10"/>
      <c r="GL40" s="7"/>
      <c r="GM40" s="7"/>
      <c r="GN40" s="11"/>
      <c r="GO40" s="96"/>
      <c r="GP40" s="10"/>
      <c r="GQ40" s="7"/>
      <c r="GR40" s="7"/>
      <c r="GS40" s="7"/>
      <c r="GT40" s="11"/>
      <c r="GU40" s="96"/>
      <c r="GV40" s="114"/>
      <c r="GW40" s="7"/>
      <c r="GX40" s="7"/>
      <c r="GY40" s="7"/>
      <c r="GZ40" s="7"/>
      <c r="HA40" s="10"/>
      <c r="HB40" s="10"/>
      <c r="HC40" s="7"/>
      <c r="HD40" s="7"/>
      <c r="HE40" s="7"/>
      <c r="HF40" s="7"/>
      <c r="HG40" s="7"/>
      <c r="HH40" s="96"/>
      <c r="HI40" s="10"/>
      <c r="HJ40" s="7"/>
      <c r="HK40" s="7"/>
      <c r="HL40" s="7"/>
      <c r="HM40" s="7"/>
      <c r="HN40" s="7"/>
      <c r="HO40" s="10"/>
      <c r="HP40" s="10"/>
      <c r="HQ40" s="7"/>
      <c r="HR40" s="7"/>
      <c r="HS40" s="7"/>
      <c r="HT40" s="7"/>
      <c r="HU40" s="11"/>
      <c r="HV40" s="7"/>
      <c r="HW40" s="10"/>
      <c r="HX40" s="7"/>
      <c r="HY40" s="103"/>
      <c r="HZ40" s="7"/>
      <c r="IA40" s="7"/>
      <c r="IB40" s="11"/>
      <c r="IC40" s="11"/>
      <c r="ID40" s="7"/>
      <c r="IE40" s="7"/>
      <c r="IF40" s="7"/>
      <c r="IG40" s="7"/>
      <c r="IH40" s="7"/>
      <c r="II40" s="7"/>
      <c r="IJ40" s="96"/>
      <c r="IK40" s="10"/>
      <c r="IL40" s="7"/>
      <c r="IM40" s="7"/>
      <c r="IN40" s="7"/>
      <c r="IO40" s="7"/>
      <c r="IP40" s="11"/>
      <c r="IQ40" s="96"/>
      <c r="IR40" s="7"/>
      <c r="IS40" s="7"/>
      <c r="IT40" s="7"/>
      <c r="IU40" s="7"/>
      <c r="IV40" s="7"/>
      <c r="IW40" s="7"/>
      <c r="IX40" s="7"/>
      <c r="IY40" s="7"/>
      <c r="IZ40" s="7"/>
      <c r="JA40" s="103"/>
      <c r="JB40" s="7"/>
      <c r="JC40" s="7"/>
      <c r="JD40" s="7"/>
      <c r="JE40" s="7"/>
      <c r="JF40" s="7"/>
      <c r="JG40" s="7"/>
      <c r="JH40" s="7"/>
      <c r="JI40" s="7"/>
      <c r="JJ40" s="7"/>
      <c r="JK40" s="7"/>
      <c r="JL40" s="7"/>
      <c r="JM40" s="7"/>
      <c r="JN40" s="7"/>
      <c r="JO40" s="7"/>
      <c r="JP40" s="7"/>
      <c r="JQ40" s="7"/>
      <c r="JR40" s="7"/>
      <c r="JS40" s="7"/>
      <c r="JT40" s="7"/>
      <c r="JU40" s="7"/>
      <c r="JV40" s="7"/>
      <c r="JW40" s="7"/>
      <c r="JX40" s="103"/>
      <c r="JY40" s="7"/>
      <c r="JZ40" s="7"/>
      <c r="KA40" s="7"/>
      <c r="KB40" s="7"/>
      <c r="KC40" s="7"/>
      <c r="KD40" s="7"/>
      <c r="KE40" s="7"/>
      <c r="KF40" s="7"/>
      <c r="KG40" s="7"/>
      <c r="KH40" s="7"/>
      <c r="KI40" s="7"/>
      <c r="KJ40" s="7"/>
      <c r="KK40" s="7"/>
      <c r="KL40" s="7"/>
      <c r="KM40" s="7"/>
      <c r="KN40" s="7"/>
      <c r="KO40" s="7"/>
      <c r="KP40" s="7"/>
      <c r="KQ40" s="7"/>
      <c r="KR40" s="7"/>
      <c r="KS40" s="7"/>
      <c r="KT40" s="7"/>
      <c r="KU40" s="103"/>
      <c r="KV40" s="7"/>
      <c r="KW40" s="7"/>
      <c r="KX40" s="7"/>
      <c r="KY40" s="7"/>
      <c r="KZ40" s="7"/>
      <c r="LA40" s="7"/>
      <c r="LB40" s="7"/>
      <c r="LC40" s="7"/>
      <c r="LD40" s="7"/>
      <c r="LE40" s="7"/>
      <c r="LF40" s="7"/>
      <c r="LG40" s="7"/>
      <c r="LH40" s="7"/>
      <c r="LI40" s="7"/>
      <c r="LJ40" s="102"/>
      <c r="LK40" s="102"/>
      <c r="LL40" s="102"/>
      <c r="LM40" s="102"/>
      <c r="LN40" s="102"/>
      <c r="LO40" s="102"/>
      <c r="LP40" s="102"/>
      <c r="LQ40" s="102"/>
      <c r="LR40" s="102"/>
    </row>
    <row r="41" spans="1:330" x14ac:dyDescent="0.25">
      <c r="A41" s="5">
        <v>38</v>
      </c>
      <c r="B41" s="66" t="str">
        <f>IFERROR(VLOOKUP(Tabla4[[#This Row],[Prioridad]],Tabla3[#All],2,0),"")</f>
        <v>EQUIPO</v>
      </c>
      <c r="C41" s="86" t="str">
        <f>IFERROR(VLOOKUP(Tabla4[[#This Row],[Prioridad]],Tabla3[#All],17,0),"")</f>
        <v>Sprint 4</v>
      </c>
      <c r="D41" s="86" t="str">
        <f>IFERROR(VLOOKUP(Tabla4[[#This Row],[Prioridad]],Tabla3[#All],6,0),"")</f>
        <v>T-038</v>
      </c>
      <c r="E41" s="86" t="str">
        <f>+IFERROR(VLOOKUP(Tabla4[[#This Row],[Tarea]],Tabla3[[Num_Ticket]:[Descripción]],2,0),"")</f>
        <v>Crear una Persona, Estudiante, Docente</v>
      </c>
      <c r="F41" s="47">
        <f>IFERROR(VLOOKUP(Tabla4[[#This Row],[Prioridad]],Tabla3[#All],14,0),"")</f>
        <v>2</v>
      </c>
      <c r="G41" s="47">
        <f>IF(Tabla4[[#This Row],[Prioridad]]&lt;&gt;"",SUM(W41:KT41),"")</f>
        <v>0</v>
      </c>
      <c r="H41" s="47">
        <f>IF(Tabla4[[#This Row],[Prioridad]]&lt;&gt;"",Tabla4[[#This Row],[Horas Estimadas]]-Tabla4[[#This Row],[Ejecutadas]],"")</f>
        <v>2</v>
      </c>
      <c r="I41" s="66" t="str">
        <f>IFERROR(VLOOKUP(Tabla4[[#This Row],[Prioridad]],Tabla3[#All],18,0),"")</f>
        <v>DESARROLLO APLICACIÓN</v>
      </c>
      <c r="J41" s="32">
        <f>IFERROR(VLOOKUP(Tabla4[[#This Row],[Prioridad]],Tabla3[#All],20,0),"")</f>
        <v>10</v>
      </c>
      <c r="K41" s="60" t="str">
        <f>IFERROR(VLOOKUP(Tabla4[[#This Row],[Prioridad]],Tabla3[#All],19,0),"")</f>
        <v>Pruebas</v>
      </c>
      <c r="L41" s="60" t="str">
        <f>IFERROR(VLOOKUP(Tabla4[[#This Row],[Prioridad]],Tabla3[#All],9,0),"")</f>
        <v>Tarea</v>
      </c>
      <c r="M41" s="93">
        <f>+SUMIFS(Tabla4[Avance Hito],Tabla4[Responsable],Tabla4[[#This Row],[Responsable]],Tabla4[Sprint],Tabla4[[#This Row],[Sprint]],Tabla4[Proyecto],Tabla4[[#This Row],[Proyecto]])/COUNTIFS(Tabla4[Responsable],Tabla4[[#This Row],[Responsable]],Tabla4[Sprint],Tabla4[[#This Row],[Sprint]],Tabla4[Proyecto],Tabla4[[#This Row],[Proyecto]])</f>
        <v>0.1142857142857143</v>
      </c>
      <c r="N41" s="35">
        <f>+SUMIFS(Tabla4[Avance relativo],Tabla4[Responsable],Tabla4[[#This Row],[Responsable]],Tabla4[Sprint],Tabla4[[#This Row],[Sprint]],Tabla4[Hito],Tabla4[[#This Row],[Hito]])</f>
        <v>0</v>
      </c>
      <c r="O41" s="196">
        <f>VLOOKUP(Tabla4[[#This Row],[Tarea]],Tabla3[[#All],[Num_Ticket]:[Hito]],5,0)</f>
        <v>44477</v>
      </c>
      <c r="P41" s="199"/>
      <c r="Q41" s="47">
        <f>IF(Tabla4[[#This Row],[Prioridad]]="","",IF(Tabla4[[#This Row],[Hito]]&lt;&gt;"",COUNTIFS(Tabla4[Responsable],Tabla4[[#This Row],[Responsable]],Tabla4[Sprint],Tabla4[[#This Row],[Sprint]],Tabla4[Epica],Tabla4[[#This Row],[Epica]])))</f>
        <v>4</v>
      </c>
      <c r="R41" s="47">
        <f>1*Tabla4[[#This Row],[% Avance]]</f>
        <v>0</v>
      </c>
      <c r="S41" s="47">
        <f>IFERROR(Tabla4[[#This Row],[Total Avance]]/Tabla4[[#This Row],[Conteo_Epica]],0)</f>
        <v>0</v>
      </c>
      <c r="T41" s="35">
        <v>0</v>
      </c>
      <c r="U41" s="197">
        <v>6</v>
      </c>
      <c r="V41" s="198" t="s">
        <v>176</v>
      </c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11"/>
      <c r="AQ41" s="10"/>
      <c r="AR41" s="7"/>
      <c r="AS41" s="7"/>
      <c r="AT41" s="7"/>
      <c r="AU41" s="11"/>
      <c r="AV41" s="10"/>
      <c r="AW41" s="7"/>
      <c r="AX41" s="7"/>
      <c r="AY41" s="7"/>
      <c r="AZ41" s="11"/>
      <c r="BA41" s="10"/>
      <c r="BB41" s="7"/>
      <c r="BC41" s="7"/>
      <c r="BD41" s="7"/>
      <c r="BE41" s="11"/>
      <c r="BF41" s="10"/>
      <c r="BG41" s="7"/>
      <c r="BH41" s="7"/>
      <c r="BI41" s="7"/>
      <c r="BJ41" s="11"/>
      <c r="BK41" s="5"/>
      <c r="BL41" s="10"/>
      <c r="BM41" s="7"/>
      <c r="BN41" s="7"/>
      <c r="BO41" s="7"/>
      <c r="BP41" s="7"/>
      <c r="BQ41" s="10"/>
      <c r="BR41" s="7"/>
      <c r="BS41" s="7"/>
      <c r="BT41" s="7"/>
      <c r="BU41" s="11"/>
      <c r="BV41" s="10"/>
      <c r="BW41" s="7"/>
      <c r="BX41" s="7"/>
      <c r="BY41" s="7"/>
      <c r="BZ41" s="11"/>
      <c r="CA41" s="7"/>
      <c r="CB41" s="7"/>
      <c r="CC41" s="7"/>
      <c r="CD41" s="11"/>
      <c r="CE41" s="10"/>
      <c r="CF41" s="7"/>
      <c r="CG41" s="11"/>
      <c r="CH41" s="28"/>
      <c r="CI41" s="10"/>
      <c r="CJ41" s="7"/>
      <c r="CK41" s="7"/>
      <c r="CL41" s="7"/>
      <c r="CM41" s="7"/>
      <c r="CN41" s="10"/>
      <c r="CO41" s="7"/>
      <c r="CP41" s="7"/>
      <c r="CQ41" s="7"/>
      <c r="CR41" s="11"/>
      <c r="CS41" s="10"/>
      <c r="CT41" s="7"/>
      <c r="CU41" s="7"/>
      <c r="CV41" s="7"/>
      <c r="CW41" s="11"/>
      <c r="CX41" s="7"/>
      <c r="CY41" s="7"/>
      <c r="CZ41" s="7"/>
      <c r="DA41" s="7"/>
      <c r="DB41" s="11"/>
      <c r="DC41" s="28"/>
      <c r="DD41" s="10"/>
      <c r="DE41" s="7"/>
      <c r="DF41" s="7"/>
      <c r="DG41" s="7"/>
      <c r="DH41" s="7"/>
      <c r="DI41" s="10"/>
      <c r="DJ41" s="7"/>
      <c r="DK41" s="7"/>
      <c r="DL41" s="7"/>
      <c r="DM41" s="11"/>
      <c r="DN41" s="10"/>
      <c r="DO41" s="7"/>
      <c r="DP41" s="7"/>
      <c r="DQ41" s="7"/>
      <c r="DR41" s="11"/>
      <c r="DS41" s="7"/>
      <c r="DT41" s="7"/>
      <c r="DU41" s="7"/>
      <c r="DV41" s="7"/>
      <c r="DW41" s="11"/>
      <c r="DX41" s="96"/>
      <c r="DY41" s="7"/>
      <c r="DZ41" s="11"/>
      <c r="EA41" s="28"/>
      <c r="EB41" s="10"/>
      <c r="EC41" s="7"/>
      <c r="ED41" s="7"/>
      <c r="EE41" s="11"/>
      <c r="EF41" s="7"/>
      <c r="EG41" s="10"/>
      <c r="EH41" s="7"/>
      <c r="EI41" s="7"/>
      <c r="EJ41" s="11"/>
      <c r="EK41" s="7"/>
      <c r="EL41" s="10"/>
      <c r="EM41" s="7"/>
      <c r="EN41" s="7"/>
      <c r="EO41" s="11"/>
      <c r="EP41" s="7"/>
      <c r="EQ41" s="10"/>
      <c r="ER41" s="7"/>
      <c r="ES41" s="7"/>
      <c r="ET41" s="7"/>
      <c r="EU41" s="11"/>
      <c r="EV41" s="96"/>
      <c r="EW41" s="10"/>
      <c r="EX41" s="7"/>
      <c r="EY41" s="7"/>
      <c r="EZ41" s="7"/>
      <c r="FA41" s="103"/>
      <c r="FB41" s="107"/>
      <c r="FC41" s="10"/>
      <c r="FD41" s="7"/>
      <c r="FE41" s="7"/>
      <c r="FF41" s="7"/>
      <c r="FG41" s="96"/>
      <c r="FH41" s="10"/>
      <c r="FI41" s="7"/>
      <c r="FJ41" s="7"/>
      <c r="FK41" s="7"/>
      <c r="FL41" s="11"/>
      <c r="FM41" s="96"/>
      <c r="FN41" s="10"/>
      <c r="FO41" s="7"/>
      <c r="FP41" s="7"/>
      <c r="FQ41" s="7"/>
      <c r="FR41" s="96"/>
      <c r="FS41" s="10"/>
      <c r="FT41" s="7"/>
      <c r="FU41" s="7"/>
      <c r="FV41" s="7"/>
      <c r="FW41" s="7"/>
      <c r="FX41" s="96"/>
      <c r="FY41" s="114"/>
      <c r="FZ41" s="7"/>
      <c r="GA41" s="7"/>
      <c r="GB41" s="7"/>
      <c r="GC41" s="7"/>
      <c r="GD41" s="96"/>
      <c r="GE41" s="10"/>
      <c r="GF41" s="7"/>
      <c r="GG41" s="7"/>
      <c r="GH41" s="7"/>
      <c r="GI41" s="11"/>
      <c r="GJ41" s="10"/>
      <c r="GK41" s="10"/>
      <c r="GL41" s="7"/>
      <c r="GM41" s="7"/>
      <c r="GN41" s="11"/>
      <c r="GO41" s="96"/>
      <c r="GP41" s="10"/>
      <c r="GQ41" s="7"/>
      <c r="GR41" s="7"/>
      <c r="GS41" s="7"/>
      <c r="GT41" s="11"/>
      <c r="GU41" s="96"/>
      <c r="GV41" s="114"/>
      <c r="GW41" s="7"/>
      <c r="GX41" s="7"/>
      <c r="GY41" s="7"/>
      <c r="GZ41" s="7"/>
      <c r="HA41" s="10"/>
      <c r="HB41" s="10"/>
      <c r="HC41" s="7"/>
      <c r="HD41" s="7"/>
      <c r="HE41" s="7"/>
      <c r="HF41" s="7"/>
      <c r="HG41" s="7"/>
      <c r="HH41" s="96"/>
      <c r="HI41" s="10"/>
      <c r="HJ41" s="7"/>
      <c r="HK41" s="7"/>
      <c r="HL41" s="7"/>
      <c r="HM41" s="7"/>
      <c r="HN41" s="7"/>
      <c r="HO41" s="10"/>
      <c r="HP41" s="10"/>
      <c r="HQ41" s="7"/>
      <c r="HR41" s="7"/>
      <c r="HS41" s="7"/>
      <c r="HT41" s="7"/>
      <c r="HU41" s="11"/>
      <c r="HV41" s="7"/>
      <c r="HW41" s="10"/>
      <c r="HX41" s="7"/>
      <c r="HY41" s="103"/>
      <c r="HZ41" s="7"/>
      <c r="IA41" s="7"/>
      <c r="IB41" s="11"/>
      <c r="IC41" s="11"/>
      <c r="ID41" s="7"/>
      <c r="IE41" s="7"/>
      <c r="IF41" s="7"/>
      <c r="IG41" s="7"/>
      <c r="IH41" s="7"/>
      <c r="II41" s="7"/>
      <c r="IJ41" s="96"/>
      <c r="IK41" s="10"/>
      <c r="IL41" s="7"/>
      <c r="IM41" s="7"/>
      <c r="IN41" s="7"/>
      <c r="IO41" s="7"/>
      <c r="IP41" s="11"/>
      <c r="IQ41" s="96"/>
      <c r="IR41" s="7"/>
      <c r="IS41" s="7"/>
      <c r="IT41" s="7"/>
      <c r="IU41" s="7"/>
      <c r="IV41" s="7"/>
      <c r="IW41" s="7"/>
      <c r="IX41" s="7"/>
      <c r="IY41" s="7"/>
      <c r="IZ41" s="7"/>
      <c r="JA41" s="103"/>
      <c r="JB41" s="7"/>
      <c r="JC41" s="7"/>
      <c r="JD41" s="7"/>
      <c r="JE41" s="7"/>
      <c r="JF41" s="7"/>
      <c r="JG41" s="7"/>
      <c r="JH41" s="7"/>
      <c r="JI41" s="7"/>
      <c r="JJ41" s="7"/>
      <c r="JK41" s="7"/>
      <c r="JL41" s="7"/>
      <c r="JM41" s="7"/>
      <c r="JN41" s="7"/>
      <c r="JO41" s="7"/>
      <c r="JP41" s="7"/>
      <c r="JQ41" s="7"/>
      <c r="JR41" s="7"/>
      <c r="JS41" s="7"/>
      <c r="JT41" s="7"/>
      <c r="JU41" s="7"/>
      <c r="JV41" s="7"/>
      <c r="JW41" s="7"/>
      <c r="JX41" s="103"/>
      <c r="JY41" s="7"/>
      <c r="JZ41" s="7"/>
      <c r="KA41" s="7"/>
      <c r="KB41" s="7"/>
      <c r="KC41" s="7"/>
      <c r="KD41" s="7"/>
      <c r="KE41" s="7"/>
      <c r="KF41" s="7"/>
      <c r="KG41" s="7"/>
      <c r="KH41" s="7"/>
      <c r="KI41" s="7"/>
      <c r="KJ41" s="7"/>
      <c r="KK41" s="7"/>
      <c r="KL41" s="7"/>
      <c r="KM41" s="7"/>
      <c r="KN41" s="7"/>
      <c r="KO41" s="7"/>
      <c r="KP41" s="7"/>
      <c r="KQ41" s="7"/>
      <c r="KR41" s="7"/>
      <c r="KS41" s="7"/>
      <c r="KT41" s="7"/>
      <c r="KU41" s="103"/>
      <c r="KV41" s="7"/>
      <c r="KW41" s="7"/>
      <c r="KX41" s="7"/>
      <c r="KY41" s="7"/>
      <c r="KZ41" s="7"/>
      <c r="LA41" s="7"/>
      <c r="LB41" s="7"/>
      <c r="LC41" s="7"/>
      <c r="LD41" s="7"/>
      <c r="LE41" s="7"/>
      <c r="LF41" s="7"/>
      <c r="LG41" s="7"/>
      <c r="LH41" s="7"/>
      <c r="LI41" s="7"/>
      <c r="LJ41" s="102"/>
      <c r="LK41" s="102"/>
      <c r="LL41" s="102"/>
      <c r="LM41" s="102"/>
      <c r="LN41" s="102"/>
      <c r="LO41" s="102"/>
      <c r="LP41" s="102"/>
      <c r="LQ41" s="102"/>
      <c r="LR41" s="102"/>
    </row>
    <row r="42" spans="1:330" x14ac:dyDescent="0.25">
      <c r="A42" s="5">
        <v>39</v>
      </c>
      <c r="B42" s="66" t="str">
        <f>IFERROR(VLOOKUP(Tabla4[[#This Row],[Prioridad]],Tabla3[#All],2,0),"")</f>
        <v>EQUIPO</v>
      </c>
      <c r="C42" s="86" t="str">
        <f>IFERROR(VLOOKUP(Tabla4[[#This Row],[Prioridad]],Tabla3[#All],17,0),"")</f>
        <v>Sprint 4</v>
      </c>
      <c r="D42" s="86" t="str">
        <f>IFERROR(VLOOKUP(Tabla4[[#This Row],[Prioridad]],Tabla3[#All],6,0),"")</f>
        <v>T-039</v>
      </c>
      <c r="E42" s="86" t="str">
        <f>+IFERROR(VLOOKUP(Tabla4[[#This Row],[Tarea]],Tabla3[[Num_Ticket]:[Descripción]],2,0),"")</f>
        <v>Crear un Curso, Materia, Asignatura</v>
      </c>
      <c r="F42" s="47">
        <f>IFERROR(VLOOKUP(Tabla4[[#This Row],[Prioridad]],Tabla3[#All],14,0),"")</f>
        <v>2</v>
      </c>
      <c r="G42" s="47">
        <f>IF(Tabla4[[#This Row],[Prioridad]]&lt;&gt;"",SUM(W42:KT42),"")</f>
        <v>0</v>
      </c>
      <c r="H42" s="47">
        <f>IF(Tabla4[[#This Row],[Prioridad]]&lt;&gt;"",Tabla4[[#This Row],[Horas Estimadas]]-Tabla4[[#This Row],[Ejecutadas]],"")</f>
        <v>2</v>
      </c>
      <c r="I42" s="66" t="str">
        <f>IFERROR(VLOOKUP(Tabla4[[#This Row],[Prioridad]],Tabla3[#All],18,0),"")</f>
        <v>DESARROLLO APLICACIÓN</v>
      </c>
      <c r="J42" s="32">
        <f>IFERROR(VLOOKUP(Tabla4[[#This Row],[Prioridad]],Tabla3[#All],20,0),"")</f>
        <v>10</v>
      </c>
      <c r="K42" s="60" t="str">
        <f>IFERROR(VLOOKUP(Tabla4[[#This Row],[Prioridad]],Tabla3[#All],19,0),"")</f>
        <v>Pruebas</v>
      </c>
      <c r="L42" s="60" t="str">
        <f>IFERROR(VLOOKUP(Tabla4[[#This Row],[Prioridad]],Tabla3[#All],9,0),"")</f>
        <v>Tarea</v>
      </c>
      <c r="M42" s="93">
        <f>+SUMIFS(Tabla4[Avance Hito],Tabla4[Responsable],Tabla4[[#This Row],[Responsable]],Tabla4[Sprint],Tabla4[[#This Row],[Sprint]],Tabla4[Proyecto],Tabla4[[#This Row],[Proyecto]])/COUNTIFS(Tabla4[Responsable],Tabla4[[#This Row],[Responsable]],Tabla4[Sprint],Tabla4[[#This Row],[Sprint]],Tabla4[Proyecto],Tabla4[[#This Row],[Proyecto]])</f>
        <v>0.1142857142857143</v>
      </c>
      <c r="N42" s="35">
        <f>+SUMIFS(Tabla4[Avance relativo],Tabla4[Responsable],Tabla4[[#This Row],[Responsable]],Tabla4[Sprint],Tabla4[[#This Row],[Sprint]],Tabla4[Hito],Tabla4[[#This Row],[Hito]])</f>
        <v>0</v>
      </c>
      <c r="O42" s="196">
        <f>VLOOKUP(Tabla4[[#This Row],[Tarea]],Tabla3[[#All],[Num_Ticket]:[Hito]],5,0)</f>
        <v>44477</v>
      </c>
      <c r="P42" s="199"/>
      <c r="Q42" s="47">
        <f>IF(Tabla4[[#This Row],[Prioridad]]="","",IF(Tabla4[[#This Row],[Hito]]&lt;&gt;"",COUNTIFS(Tabla4[Responsable],Tabla4[[#This Row],[Responsable]],Tabla4[Sprint],Tabla4[[#This Row],[Sprint]],Tabla4[Epica],Tabla4[[#This Row],[Epica]])))</f>
        <v>4</v>
      </c>
      <c r="R42" s="47">
        <f>1*Tabla4[[#This Row],[% Avance]]</f>
        <v>0</v>
      </c>
      <c r="S42" s="47">
        <f>IFERROR(Tabla4[[#This Row],[Total Avance]]/Tabla4[[#This Row],[Conteo_Epica]],0)</f>
        <v>0</v>
      </c>
      <c r="T42" s="35">
        <v>0</v>
      </c>
      <c r="U42" s="197">
        <v>6</v>
      </c>
      <c r="V42" s="198" t="s">
        <v>176</v>
      </c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11"/>
      <c r="AQ42" s="10"/>
      <c r="AR42" s="7"/>
      <c r="AS42" s="7"/>
      <c r="AT42" s="7"/>
      <c r="AU42" s="11"/>
      <c r="AV42" s="10"/>
      <c r="AW42" s="7"/>
      <c r="AX42" s="7"/>
      <c r="AY42" s="7"/>
      <c r="AZ42" s="11"/>
      <c r="BA42" s="10"/>
      <c r="BB42" s="7"/>
      <c r="BC42" s="7"/>
      <c r="BD42" s="7"/>
      <c r="BE42" s="11"/>
      <c r="BF42" s="10"/>
      <c r="BG42" s="7"/>
      <c r="BH42" s="7"/>
      <c r="BI42" s="7"/>
      <c r="BJ42" s="11"/>
      <c r="BK42" s="5"/>
      <c r="BL42" s="10"/>
      <c r="BM42" s="7"/>
      <c r="BN42" s="7"/>
      <c r="BO42" s="7"/>
      <c r="BP42" s="7"/>
      <c r="BQ42" s="10"/>
      <c r="BR42" s="7"/>
      <c r="BS42" s="7"/>
      <c r="BT42" s="7"/>
      <c r="BU42" s="11"/>
      <c r="BV42" s="10"/>
      <c r="BW42" s="7"/>
      <c r="BX42" s="7"/>
      <c r="BY42" s="7"/>
      <c r="BZ42" s="11"/>
      <c r="CA42" s="7"/>
      <c r="CB42" s="7"/>
      <c r="CC42" s="7"/>
      <c r="CD42" s="11"/>
      <c r="CE42" s="10"/>
      <c r="CF42" s="7"/>
      <c r="CG42" s="11"/>
      <c r="CH42" s="28"/>
      <c r="CI42" s="10"/>
      <c r="CJ42" s="7"/>
      <c r="CK42" s="7"/>
      <c r="CL42" s="7"/>
      <c r="CM42" s="7"/>
      <c r="CN42" s="10"/>
      <c r="CO42" s="7"/>
      <c r="CP42" s="7"/>
      <c r="CQ42" s="7"/>
      <c r="CR42" s="11"/>
      <c r="CS42" s="10"/>
      <c r="CT42" s="7"/>
      <c r="CU42" s="7"/>
      <c r="CV42" s="7"/>
      <c r="CW42" s="11"/>
      <c r="CX42" s="7"/>
      <c r="CY42" s="7"/>
      <c r="CZ42" s="7"/>
      <c r="DA42" s="7"/>
      <c r="DB42" s="11"/>
      <c r="DC42" s="28"/>
      <c r="DD42" s="10"/>
      <c r="DE42" s="7"/>
      <c r="DF42" s="7"/>
      <c r="DG42" s="7"/>
      <c r="DH42" s="7"/>
      <c r="DI42" s="10"/>
      <c r="DJ42" s="7"/>
      <c r="DK42" s="7"/>
      <c r="DL42" s="7"/>
      <c r="DM42" s="11"/>
      <c r="DN42" s="10"/>
      <c r="DO42" s="7"/>
      <c r="DP42" s="7"/>
      <c r="DQ42" s="7"/>
      <c r="DR42" s="11"/>
      <c r="DS42" s="7"/>
      <c r="DT42" s="7"/>
      <c r="DU42" s="7"/>
      <c r="DV42" s="7"/>
      <c r="DW42" s="11"/>
      <c r="DX42" s="96"/>
      <c r="DY42" s="7"/>
      <c r="DZ42" s="11"/>
      <c r="EA42" s="28"/>
      <c r="EB42" s="10"/>
      <c r="EC42" s="7"/>
      <c r="ED42" s="7"/>
      <c r="EE42" s="11"/>
      <c r="EF42" s="7"/>
      <c r="EG42" s="10"/>
      <c r="EH42" s="7"/>
      <c r="EI42" s="7"/>
      <c r="EJ42" s="11"/>
      <c r="EK42" s="7"/>
      <c r="EL42" s="10"/>
      <c r="EM42" s="7"/>
      <c r="EN42" s="7"/>
      <c r="EO42" s="11"/>
      <c r="EP42" s="7"/>
      <c r="EQ42" s="10"/>
      <c r="ER42" s="7"/>
      <c r="ES42" s="7"/>
      <c r="ET42" s="7"/>
      <c r="EU42" s="11"/>
      <c r="EV42" s="96"/>
      <c r="EW42" s="10"/>
      <c r="EX42" s="7"/>
      <c r="EY42" s="7"/>
      <c r="EZ42" s="7"/>
      <c r="FA42" s="103"/>
      <c r="FB42" s="107"/>
      <c r="FC42" s="10"/>
      <c r="FD42" s="7"/>
      <c r="FE42" s="7"/>
      <c r="FF42" s="7"/>
      <c r="FG42" s="96"/>
      <c r="FH42" s="10"/>
      <c r="FI42" s="7"/>
      <c r="FJ42" s="7"/>
      <c r="FK42" s="7"/>
      <c r="FL42" s="11"/>
      <c r="FM42" s="96"/>
      <c r="FN42" s="10"/>
      <c r="FO42" s="7"/>
      <c r="FP42" s="7"/>
      <c r="FQ42" s="7"/>
      <c r="FR42" s="96"/>
      <c r="FS42" s="10"/>
      <c r="FT42" s="7"/>
      <c r="FU42" s="7"/>
      <c r="FV42" s="7"/>
      <c r="FW42" s="7"/>
      <c r="FX42" s="96"/>
      <c r="FY42" s="114"/>
      <c r="FZ42" s="7"/>
      <c r="GA42" s="7"/>
      <c r="GB42" s="7"/>
      <c r="GC42" s="7"/>
      <c r="GD42" s="96"/>
      <c r="GE42" s="10"/>
      <c r="GF42" s="7"/>
      <c r="GG42" s="7"/>
      <c r="GH42" s="7"/>
      <c r="GI42" s="11"/>
      <c r="GJ42" s="10"/>
      <c r="GK42" s="10"/>
      <c r="GL42" s="7"/>
      <c r="GM42" s="7"/>
      <c r="GN42" s="11"/>
      <c r="GO42" s="96"/>
      <c r="GP42" s="10"/>
      <c r="GQ42" s="7"/>
      <c r="GR42" s="7"/>
      <c r="GS42" s="7"/>
      <c r="GT42" s="11"/>
      <c r="GU42" s="96"/>
      <c r="GV42" s="114"/>
      <c r="GW42" s="7"/>
      <c r="GX42" s="7"/>
      <c r="GY42" s="7"/>
      <c r="GZ42" s="7"/>
      <c r="HA42" s="10"/>
      <c r="HB42" s="10"/>
      <c r="HC42" s="7"/>
      <c r="HD42" s="7"/>
      <c r="HE42" s="7"/>
      <c r="HF42" s="7"/>
      <c r="HG42" s="7"/>
      <c r="HH42" s="96"/>
      <c r="HI42" s="10"/>
      <c r="HJ42" s="7"/>
      <c r="HK42" s="7"/>
      <c r="HL42" s="7"/>
      <c r="HM42" s="7"/>
      <c r="HN42" s="7"/>
      <c r="HO42" s="10"/>
      <c r="HP42" s="10"/>
      <c r="HQ42" s="7"/>
      <c r="HR42" s="7"/>
      <c r="HS42" s="7"/>
      <c r="HT42" s="7"/>
      <c r="HU42" s="11"/>
      <c r="HV42" s="7"/>
      <c r="HW42" s="10"/>
      <c r="HX42" s="7"/>
      <c r="HY42" s="103"/>
      <c r="HZ42" s="7"/>
      <c r="IA42" s="7"/>
      <c r="IB42" s="11"/>
      <c r="IC42" s="11"/>
      <c r="ID42" s="7"/>
      <c r="IE42" s="7"/>
      <c r="IF42" s="7"/>
      <c r="IG42" s="7"/>
      <c r="IH42" s="7"/>
      <c r="II42" s="7"/>
      <c r="IJ42" s="96"/>
      <c r="IK42" s="10"/>
      <c r="IL42" s="7"/>
      <c r="IM42" s="7"/>
      <c r="IN42" s="7"/>
      <c r="IO42" s="7"/>
      <c r="IP42" s="11"/>
      <c r="IQ42" s="96"/>
      <c r="IR42" s="7"/>
      <c r="IS42" s="7"/>
      <c r="IT42" s="7"/>
      <c r="IU42" s="7"/>
      <c r="IV42" s="7"/>
      <c r="IW42" s="7"/>
      <c r="IX42" s="7"/>
      <c r="IY42" s="7"/>
      <c r="IZ42" s="7"/>
      <c r="JA42" s="103"/>
      <c r="JB42" s="7"/>
      <c r="JC42" s="7"/>
      <c r="JD42" s="7"/>
      <c r="JE42" s="7"/>
      <c r="JF42" s="7"/>
      <c r="JG42" s="7"/>
      <c r="JH42" s="7"/>
      <c r="JI42" s="7"/>
      <c r="JJ42" s="7"/>
      <c r="JK42" s="7"/>
      <c r="JL42" s="7"/>
      <c r="JM42" s="7"/>
      <c r="JN42" s="7"/>
      <c r="JO42" s="7"/>
      <c r="JP42" s="7"/>
      <c r="JQ42" s="7"/>
      <c r="JR42" s="7"/>
      <c r="JS42" s="7"/>
      <c r="JT42" s="7"/>
      <c r="JU42" s="7"/>
      <c r="JV42" s="7"/>
      <c r="JW42" s="7"/>
      <c r="JX42" s="103"/>
      <c r="JY42" s="7"/>
      <c r="JZ42" s="7"/>
      <c r="KA42" s="7"/>
      <c r="KB42" s="7"/>
      <c r="KC42" s="7"/>
      <c r="KD42" s="7"/>
      <c r="KE42" s="7"/>
      <c r="KF42" s="7"/>
      <c r="KG42" s="7"/>
      <c r="KH42" s="7"/>
      <c r="KI42" s="7"/>
      <c r="KJ42" s="7"/>
      <c r="KK42" s="7"/>
      <c r="KL42" s="7"/>
      <c r="KM42" s="7"/>
      <c r="KN42" s="7"/>
      <c r="KO42" s="7"/>
      <c r="KP42" s="7"/>
      <c r="KQ42" s="7"/>
      <c r="KR42" s="7"/>
      <c r="KS42" s="7"/>
      <c r="KT42" s="7"/>
      <c r="KU42" s="103"/>
      <c r="KV42" s="7"/>
      <c r="KW42" s="7"/>
      <c r="KX42" s="7"/>
      <c r="KY42" s="7"/>
      <c r="KZ42" s="7"/>
      <c r="LA42" s="7"/>
      <c r="LB42" s="7"/>
      <c r="LC42" s="7"/>
      <c r="LD42" s="7"/>
      <c r="LE42" s="7"/>
      <c r="LF42" s="7"/>
      <c r="LG42" s="7"/>
      <c r="LH42" s="7"/>
      <c r="LI42" s="7"/>
      <c r="LJ42" s="102"/>
      <c r="LK42" s="102"/>
      <c r="LL42" s="102"/>
      <c r="LM42" s="102"/>
      <c r="LN42" s="102"/>
      <c r="LO42" s="102"/>
      <c r="LP42" s="102"/>
      <c r="LQ42" s="102"/>
      <c r="LR42" s="102"/>
    </row>
    <row r="43" spans="1:330" x14ac:dyDescent="0.25">
      <c r="A43" s="5">
        <v>40</v>
      </c>
      <c r="B43" s="66" t="str">
        <f>IFERROR(VLOOKUP(Tabla4[[#This Row],[Prioridad]],Tabla3[#All],2,0),"")</f>
        <v>EQUIPO</v>
      </c>
      <c r="C43" s="86" t="str">
        <f>IFERROR(VLOOKUP(Tabla4[[#This Row],[Prioridad]],Tabla3[#All],17,0),"")</f>
        <v>Sprint 4</v>
      </c>
      <c r="D43" s="86" t="str">
        <f>IFERROR(VLOOKUP(Tabla4[[#This Row],[Prioridad]],Tabla3[#All],6,0),"")</f>
        <v>T-040</v>
      </c>
      <c r="E43" s="86" t="str">
        <f>+IFERROR(VLOOKUP(Tabla4[[#This Row],[Tarea]],Tabla3[[Num_Ticket]:[Descripción]],2,0),"")</f>
        <v>Realizar pruebas Interfaz Gráfica</v>
      </c>
      <c r="F43" s="47">
        <f>IFERROR(VLOOKUP(Tabla4[[#This Row],[Prioridad]],Tabla3[#All],14,0),"")</f>
        <v>1</v>
      </c>
      <c r="G43" s="47">
        <f>IF(Tabla4[[#This Row],[Prioridad]]&lt;&gt;"",SUM(W43:KT43),"")</f>
        <v>0</v>
      </c>
      <c r="H43" s="47">
        <f>IF(Tabla4[[#This Row],[Prioridad]]&lt;&gt;"",Tabla4[[#This Row],[Horas Estimadas]]-Tabla4[[#This Row],[Ejecutadas]],"")</f>
        <v>1</v>
      </c>
      <c r="I43" s="66" t="str">
        <f>IFERROR(VLOOKUP(Tabla4[[#This Row],[Prioridad]],Tabla3[#All],18,0),"")</f>
        <v>DESARROLLO APLICACIÓN</v>
      </c>
      <c r="J43" s="32">
        <f>IFERROR(VLOOKUP(Tabla4[[#This Row],[Prioridad]],Tabla3[#All],20,0),"")</f>
        <v>10</v>
      </c>
      <c r="K43" s="60" t="str">
        <f>IFERROR(VLOOKUP(Tabla4[[#This Row],[Prioridad]],Tabla3[#All],19,0),"")</f>
        <v>Pruebas</v>
      </c>
      <c r="L43" s="60" t="str">
        <f>IFERROR(VLOOKUP(Tabla4[[#This Row],[Prioridad]],Tabla3[#All],9,0),"")</f>
        <v>Tarea</v>
      </c>
      <c r="M43" s="93">
        <f>+SUMIFS(Tabla4[Avance Hito],Tabla4[Responsable],Tabla4[[#This Row],[Responsable]],Tabla4[Sprint],Tabla4[[#This Row],[Sprint]],Tabla4[Proyecto],Tabla4[[#This Row],[Proyecto]])/COUNTIFS(Tabla4[Responsable],Tabla4[[#This Row],[Responsable]],Tabla4[Sprint],Tabla4[[#This Row],[Sprint]],Tabla4[Proyecto],Tabla4[[#This Row],[Proyecto]])</f>
        <v>0.1142857142857143</v>
      </c>
      <c r="N43" s="35">
        <f>+SUMIFS(Tabla4[Avance relativo],Tabla4[Responsable],Tabla4[[#This Row],[Responsable]],Tabla4[Sprint],Tabla4[[#This Row],[Sprint]],Tabla4[Hito],Tabla4[[#This Row],[Hito]])</f>
        <v>0</v>
      </c>
      <c r="O43" s="196">
        <f>VLOOKUP(Tabla4[[#This Row],[Tarea]],Tabla3[[#All],[Num_Ticket]:[Hito]],5,0)</f>
        <v>44478</v>
      </c>
      <c r="P43" s="199"/>
      <c r="Q43" s="47">
        <f>IF(Tabla4[[#This Row],[Prioridad]]="","",IF(Tabla4[[#This Row],[Hito]]&lt;&gt;"",COUNTIFS(Tabla4[Responsable],Tabla4[[#This Row],[Responsable]],Tabla4[Sprint],Tabla4[[#This Row],[Sprint]],Tabla4[Epica],Tabla4[[#This Row],[Epica]])))</f>
        <v>4</v>
      </c>
      <c r="R43" s="47">
        <f>1*Tabla4[[#This Row],[% Avance]]</f>
        <v>0</v>
      </c>
      <c r="S43" s="47">
        <f>IFERROR(Tabla4[[#This Row],[Total Avance]]/Tabla4[[#This Row],[Conteo_Epica]],0)</f>
        <v>0</v>
      </c>
      <c r="T43" s="35">
        <v>0</v>
      </c>
      <c r="U43" s="197">
        <v>6</v>
      </c>
      <c r="V43" s="198" t="s">
        <v>176</v>
      </c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11"/>
      <c r="AQ43" s="10"/>
      <c r="AR43" s="7"/>
      <c r="AS43" s="7"/>
      <c r="AT43" s="7"/>
      <c r="AU43" s="11"/>
      <c r="AV43" s="10"/>
      <c r="AW43" s="7"/>
      <c r="AX43" s="7"/>
      <c r="AY43" s="7"/>
      <c r="AZ43" s="11"/>
      <c r="BA43" s="10"/>
      <c r="BB43" s="7"/>
      <c r="BC43" s="7"/>
      <c r="BD43" s="7"/>
      <c r="BE43" s="11"/>
      <c r="BF43" s="10"/>
      <c r="BG43" s="7"/>
      <c r="BH43" s="7"/>
      <c r="BI43" s="7"/>
      <c r="BJ43" s="11"/>
      <c r="BK43" s="5"/>
      <c r="BL43" s="10"/>
      <c r="BM43" s="7"/>
      <c r="BN43" s="7"/>
      <c r="BO43" s="7"/>
      <c r="BP43" s="7"/>
      <c r="BQ43" s="10"/>
      <c r="BR43" s="7"/>
      <c r="BS43" s="7"/>
      <c r="BT43" s="7"/>
      <c r="BU43" s="11"/>
      <c r="BV43" s="10"/>
      <c r="BW43" s="7"/>
      <c r="BX43" s="7"/>
      <c r="BY43" s="7"/>
      <c r="BZ43" s="11"/>
      <c r="CA43" s="7"/>
      <c r="CB43" s="7"/>
      <c r="CC43" s="7"/>
      <c r="CD43" s="11"/>
      <c r="CE43" s="10"/>
      <c r="CF43" s="7"/>
      <c r="CG43" s="11"/>
      <c r="CH43" s="28"/>
      <c r="CI43" s="10"/>
      <c r="CJ43" s="7"/>
      <c r="CK43" s="7"/>
      <c r="CL43" s="7"/>
      <c r="CM43" s="7"/>
      <c r="CN43" s="10"/>
      <c r="CO43" s="7"/>
      <c r="CP43" s="7"/>
      <c r="CQ43" s="7"/>
      <c r="CR43" s="11"/>
      <c r="CS43" s="10"/>
      <c r="CT43" s="7"/>
      <c r="CU43" s="7"/>
      <c r="CV43" s="7"/>
      <c r="CW43" s="11"/>
      <c r="CX43" s="7"/>
      <c r="CY43" s="7"/>
      <c r="CZ43" s="7"/>
      <c r="DA43" s="7"/>
      <c r="DB43" s="11"/>
      <c r="DC43" s="28"/>
      <c r="DD43" s="10"/>
      <c r="DE43" s="7"/>
      <c r="DF43" s="7"/>
      <c r="DG43" s="7"/>
      <c r="DH43" s="7"/>
      <c r="DI43" s="10"/>
      <c r="DJ43" s="7"/>
      <c r="DK43" s="7"/>
      <c r="DL43" s="7"/>
      <c r="DM43" s="11"/>
      <c r="DN43" s="10"/>
      <c r="DO43" s="7"/>
      <c r="DP43" s="7"/>
      <c r="DQ43" s="7"/>
      <c r="DR43" s="11"/>
      <c r="DS43" s="7"/>
      <c r="DT43" s="7"/>
      <c r="DU43" s="7"/>
      <c r="DV43" s="7"/>
      <c r="DW43" s="11"/>
      <c r="DX43" s="96"/>
      <c r="DY43" s="7"/>
      <c r="DZ43" s="11"/>
      <c r="EA43" s="28"/>
      <c r="EB43" s="10"/>
      <c r="EC43" s="7"/>
      <c r="ED43" s="7"/>
      <c r="EE43" s="11"/>
      <c r="EF43" s="7"/>
      <c r="EG43" s="10"/>
      <c r="EH43" s="7"/>
      <c r="EI43" s="7"/>
      <c r="EJ43" s="11"/>
      <c r="EK43" s="7"/>
      <c r="EL43" s="10"/>
      <c r="EM43" s="7"/>
      <c r="EN43" s="7"/>
      <c r="EO43" s="11"/>
      <c r="EP43" s="7"/>
      <c r="EQ43" s="10"/>
      <c r="ER43" s="7"/>
      <c r="ES43" s="7"/>
      <c r="ET43" s="7"/>
      <c r="EU43" s="11"/>
      <c r="EV43" s="96"/>
      <c r="EW43" s="10"/>
      <c r="EX43" s="7"/>
      <c r="EY43" s="7"/>
      <c r="EZ43" s="7"/>
      <c r="FA43" s="103"/>
      <c r="FB43" s="107"/>
      <c r="FC43" s="10"/>
      <c r="FD43" s="7"/>
      <c r="FE43" s="7"/>
      <c r="FF43" s="7"/>
      <c r="FG43" s="96"/>
      <c r="FH43" s="10"/>
      <c r="FI43" s="7"/>
      <c r="FJ43" s="7"/>
      <c r="FK43" s="7"/>
      <c r="FL43" s="11"/>
      <c r="FM43" s="96"/>
      <c r="FN43" s="10"/>
      <c r="FO43" s="7"/>
      <c r="FP43" s="7"/>
      <c r="FQ43" s="7"/>
      <c r="FR43" s="96"/>
      <c r="FS43" s="10"/>
      <c r="FT43" s="7"/>
      <c r="FU43" s="7"/>
      <c r="FV43" s="7"/>
      <c r="FW43" s="7"/>
      <c r="FX43" s="96"/>
      <c r="FY43" s="114"/>
      <c r="FZ43" s="7"/>
      <c r="GA43" s="7"/>
      <c r="GB43" s="7"/>
      <c r="GC43" s="7"/>
      <c r="GD43" s="96"/>
      <c r="GE43" s="10"/>
      <c r="GF43" s="7"/>
      <c r="GG43" s="7"/>
      <c r="GH43" s="7"/>
      <c r="GI43" s="11"/>
      <c r="GJ43" s="10"/>
      <c r="GK43" s="10"/>
      <c r="GL43" s="7"/>
      <c r="GM43" s="7"/>
      <c r="GN43" s="11"/>
      <c r="GO43" s="96"/>
      <c r="GP43" s="10"/>
      <c r="GQ43" s="7"/>
      <c r="GR43" s="7"/>
      <c r="GS43" s="7"/>
      <c r="GT43" s="11"/>
      <c r="GU43" s="96"/>
      <c r="GV43" s="114"/>
      <c r="GW43" s="7"/>
      <c r="GX43" s="7"/>
      <c r="GY43" s="7"/>
      <c r="GZ43" s="7"/>
      <c r="HA43" s="10"/>
      <c r="HB43" s="10"/>
      <c r="HC43" s="7"/>
      <c r="HD43" s="7"/>
      <c r="HE43" s="7"/>
      <c r="HF43" s="7"/>
      <c r="HG43" s="7"/>
      <c r="HH43" s="96"/>
      <c r="HI43" s="10"/>
      <c r="HJ43" s="7"/>
      <c r="HK43" s="7"/>
      <c r="HL43" s="7"/>
      <c r="HM43" s="7"/>
      <c r="HN43" s="7"/>
      <c r="HO43" s="10"/>
      <c r="HP43" s="10"/>
      <c r="HQ43" s="7"/>
      <c r="HR43" s="7"/>
      <c r="HS43" s="7"/>
      <c r="HT43" s="7"/>
      <c r="HU43" s="11"/>
      <c r="HV43" s="7"/>
      <c r="HW43" s="10"/>
      <c r="HX43" s="7"/>
      <c r="HY43" s="103"/>
      <c r="HZ43" s="7"/>
      <c r="IA43" s="7"/>
      <c r="IB43" s="11"/>
      <c r="IC43" s="11"/>
      <c r="ID43" s="7"/>
      <c r="IE43" s="7"/>
      <c r="IF43" s="7"/>
      <c r="IG43" s="7"/>
      <c r="IH43" s="7"/>
      <c r="II43" s="7"/>
      <c r="IJ43" s="96"/>
      <c r="IK43" s="10"/>
      <c r="IL43" s="7"/>
      <c r="IM43" s="7"/>
      <c r="IN43" s="7"/>
      <c r="IO43" s="7"/>
      <c r="IP43" s="11"/>
      <c r="IQ43" s="96"/>
      <c r="IR43" s="7"/>
      <c r="IS43" s="7"/>
      <c r="IT43" s="7"/>
      <c r="IU43" s="7"/>
      <c r="IV43" s="7"/>
      <c r="IW43" s="7"/>
      <c r="IX43" s="7"/>
      <c r="IY43" s="7"/>
      <c r="IZ43" s="7"/>
      <c r="JA43" s="103"/>
      <c r="JB43" s="7"/>
      <c r="JC43" s="7"/>
      <c r="JD43" s="7"/>
      <c r="JE43" s="7"/>
      <c r="JF43" s="7"/>
      <c r="JG43" s="7"/>
      <c r="JH43" s="7"/>
      <c r="JI43" s="7"/>
      <c r="JJ43" s="7"/>
      <c r="JK43" s="7"/>
      <c r="JL43" s="7"/>
      <c r="JM43" s="7"/>
      <c r="JN43" s="7"/>
      <c r="JO43" s="7"/>
      <c r="JP43" s="7"/>
      <c r="JQ43" s="7"/>
      <c r="JR43" s="7"/>
      <c r="JS43" s="7"/>
      <c r="JT43" s="7"/>
      <c r="JU43" s="7"/>
      <c r="JV43" s="7"/>
      <c r="JW43" s="7"/>
      <c r="JX43" s="103"/>
      <c r="JY43" s="7"/>
      <c r="JZ43" s="7"/>
      <c r="KA43" s="7"/>
      <c r="KB43" s="7"/>
      <c r="KC43" s="7"/>
      <c r="KD43" s="7"/>
      <c r="KE43" s="7"/>
      <c r="KF43" s="7"/>
      <c r="KG43" s="7"/>
      <c r="KH43" s="7"/>
      <c r="KI43" s="7"/>
      <c r="KJ43" s="7"/>
      <c r="KK43" s="7"/>
      <c r="KL43" s="7"/>
      <c r="KM43" s="7"/>
      <c r="KN43" s="7"/>
      <c r="KO43" s="7"/>
      <c r="KP43" s="7"/>
      <c r="KQ43" s="7"/>
      <c r="KR43" s="7"/>
      <c r="KS43" s="7"/>
      <c r="KT43" s="7"/>
      <c r="KU43" s="103"/>
      <c r="KV43" s="7"/>
      <c r="KW43" s="7"/>
      <c r="KX43" s="7"/>
      <c r="KY43" s="7"/>
      <c r="KZ43" s="7"/>
      <c r="LA43" s="7"/>
      <c r="LB43" s="7"/>
      <c r="LC43" s="7"/>
      <c r="LD43" s="7"/>
      <c r="LE43" s="7"/>
      <c r="LF43" s="7"/>
      <c r="LG43" s="7"/>
      <c r="LH43" s="7"/>
      <c r="LI43" s="7"/>
      <c r="LJ43" s="102"/>
      <c r="LK43" s="102"/>
      <c r="LL43" s="102"/>
      <c r="LM43" s="102"/>
      <c r="LN43" s="102"/>
      <c r="LO43" s="102"/>
      <c r="LP43" s="102"/>
      <c r="LQ43" s="102"/>
      <c r="LR43" s="102"/>
    </row>
    <row r="44" spans="1:330" x14ac:dyDescent="0.25">
      <c r="A44" s="5">
        <v>41</v>
      </c>
      <c r="B44" s="66" t="str">
        <f>IFERROR(VLOOKUP(Tabla4[[#This Row],[Prioridad]],Tabla3[#All],2,0),"")</f>
        <v>EQUIPO</v>
      </c>
      <c r="C44" s="86" t="str">
        <f>IFERROR(VLOOKUP(Tabla4[[#This Row],[Prioridad]],Tabla3[#All],17,0),"")</f>
        <v>Sprint 4</v>
      </c>
      <c r="D44" s="86" t="str">
        <f>IFERROR(VLOOKUP(Tabla4[[#This Row],[Prioridad]],Tabla3[#All],6,0),"")</f>
        <v>T-041</v>
      </c>
      <c r="E44" s="86" t="str">
        <f>+IFERROR(VLOOKUP(Tabla4[[#This Row],[Tarea]],Tabla3[[Num_Ticket]:[Descripción]],2,0),"")</f>
        <v>Realizar pruebas Capa de Dominio</v>
      </c>
      <c r="F44" s="47">
        <f>IFERROR(VLOOKUP(Tabla4[[#This Row],[Prioridad]],Tabla3[#All],14,0),"")</f>
        <v>1</v>
      </c>
      <c r="G44" s="47">
        <f>IF(Tabla4[[#This Row],[Prioridad]]&lt;&gt;"",SUM(W44:KT44),"")</f>
        <v>0</v>
      </c>
      <c r="H44" s="47">
        <f>IF(Tabla4[[#This Row],[Prioridad]]&lt;&gt;"",Tabla4[[#This Row],[Horas Estimadas]]-Tabla4[[#This Row],[Ejecutadas]],"")</f>
        <v>1</v>
      </c>
      <c r="I44" s="66" t="str">
        <f>IFERROR(VLOOKUP(Tabla4[[#This Row],[Prioridad]],Tabla3[#All],18,0),"")</f>
        <v>DESARROLLO APLICACIÓN</v>
      </c>
      <c r="J44" s="32">
        <f>IFERROR(VLOOKUP(Tabla4[[#This Row],[Prioridad]],Tabla3[#All],20,0),"")</f>
        <v>10</v>
      </c>
      <c r="K44" s="60" t="str">
        <f>IFERROR(VLOOKUP(Tabla4[[#This Row],[Prioridad]],Tabla3[#All],19,0),"")</f>
        <v>Pruebas</v>
      </c>
      <c r="L44" s="60" t="str">
        <f>IFERROR(VLOOKUP(Tabla4[[#This Row],[Prioridad]],Tabla3[#All],9,0),"")</f>
        <v>Tarea</v>
      </c>
      <c r="M44" s="93">
        <f>+SUMIFS(Tabla4[Avance Hito],Tabla4[Responsable],Tabla4[[#This Row],[Responsable]],Tabla4[Sprint],Tabla4[[#This Row],[Sprint]],Tabla4[Proyecto],Tabla4[[#This Row],[Proyecto]])/COUNTIFS(Tabla4[Responsable],Tabla4[[#This Row],[Responsable]],Tabla4[Sprint],Tabla4[[#This Row],[Sprint]],Tabla4[Proyecto],Tabla4[[#This Row],[Proyecto]])</f>
        <v>0.1142857142857143</v>
      </c>
      <c r="N44" s="35">
        <f>+SUMIFS(Tabla4[Avance relativo],Tabla4[Responsable],Tabla4[[#This Row],[Responsable]],Tabla4[Sprint],Tabla4[[#This Row],[Sprint]],Tabla4[Hito],Tabla4[[#This Row],[Hito]])</f>
        <v>0</v>
      </c>
      <c r="O44" s="196">
        <f>VLOOKUP(Tabla4[[#This Row],[Tarea]],Tabla3[[#All],[Num_Ticket]:[Hito]],5,0)</f>
        <v>44478</v>
      </c>
      <c r="P44" s="199"/>
      <c r="Q44" s="47">
        <f>IF(Tabla4[[#This Row],[Prioridad]]="","",IF(Tabla4[[#This Row],[Hito]]&lt;&gt;"",COUNTIFS(Tabla4[Responsable],Tabla4[[#This Row],[Responsable]],Tabla4[Sprint],Tabla4[[#This Row],[Sprint]],Tabla4[Epica],Tabla4[[#This Row],[Epica]])))</f>
        <v>4</v>
      </c>
      <c r="R44" s="47">
        <f>1*Tabla4[[#This Row],[% Avance]]</f>
        <v>0</v>
      </c>
      <c r="S44" s="47">
        <f>IFERROR(Tabla4[[#This Row],[Total Avance]]/Tabla4[[#This Row],[Conteo_Epica]],0)</f>
        <v>0</v>
      </c>
      <c r="T44" s="35">
        <v>0</v>
      </c>
      <c r="U44" s="197">
        <v>6</v>
      </c>
      <c r="V44" s="198" t="s">
        <v>176</v>
      </c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11"/>
      <c r="AQ44" s="10"/>
      <c r="AR44" s="7"/>
      <c r="AS44" s="7"/>
      <c r="AT44" s="7"/>
      <c r="AU44" s="11"/>
      <c r="AV44" s="10"/>
      <c r="AW44" s="7"/>
      <c r="AX44" s="7"/>
      <c r="AY44" s="7"/>
      <c r="AZ44" s="11"/>
      <c r="BA44" s="10"/>
      <c r="BB44" s="7"/>
      <c r="BC44" s="7"/>
      <c r="BD44" s="7"/>
      <c r="BE44" s="11"/>
      <c r="BF44" s="10"/>
      <c r="BG44" s="7"/>
      <c r="BH44" s="7"/>
      <c r="BI44" s="7"/>
      <c r="BJ44" s="11"/>
      <c r="BK44" s="5"/>
      <c r="BL44" s="10"/>
      <c r="BM44" s="7"/>
      <c r="BN44" s="7"/>
      <c r="BO44" s="7"/>
      <c r="BP44" s="7"/>
      <c r="BQ44" s="10"/>
      <c r="BR44" s="7"/>
      <c r="BS44" s="7"/>
      <c r="BT44" s="7"/>
      <c r="BU44" s="11"/>
      <c r="BV44" s="10"/>
      <c r="BW44" s="7"/>
      <c r="BX44" s="7"/>
      <c r="BY44" s="7"/>
      <c r="BZ44" s="11"/>
      <c r="CA44" s="7"/>
      <c r="CB44" s="7"/>
      <c r="CC44" s="7"/>
      <c r="CD44" s="11"/>
      <c r="CE44" s="10"/>
      <c r="CF44" s="7"/>
      <c r="CG44" s="11"/>
      <c r="CH44" s="28"/>
      <c r="CI44" s="10"/>
      <c r="CJ44" s="7"/>
      <c r="CK44" s="7"/>
      <c r="CL44" s="7"/>
      <c r="CM44" s="7"/>
      <c r="CN44" s="10"/>
      <c r="CO44" s="7"/>
      <c r="CP44" s="7"/>
      <c r="CQ44" s="7"/>
      <c r="CR44" s="11"/>
      <c r="CS44" s="10"/>
      <c r="CT44" s="7"/>
      <c r="CU44" s="7"/>
      <c r="CV44" s="7"/>
      <c r="CW44" s="11"/>
      <c r="CX44" s="7"/>
      <c r="CY44" s="7"/>
      <c r="CZ44" s="7"/>
      <c r="DA44" s="7"/>
      <c r="DB44" s="11"/>
      <c r="DC44" s="28"/>
      <c r="DD44" s="10"/>
      <c r="DE44" s="7"/>
      <c r="DF44" s="7"/>
      <c r="DG44" s="7"/>
      <c r="DH44" s="7"/>
      <c r="DI44" s="10"/>
      <c r="DJ44" s="7"/>
      <c r="DK44" s="7"/>
      <c r="DL44" s="7"/>
      <c r="DM44" s="11"/>
      <c r="DN44" s="10"/>
      <c r="DO44" s="7"/>
      <c r="DP44" s="7"/>
      <c r="DQ44" s="7"/>
      <c r="DR44" s="11"/>
      <c r="DS44" s="7"/>
      <c r="DT44" s="7"/>
      <c r="DU44" s="7"/>
      <c r="DV44" s="7"/>
      <c r="DW44" s="11"/>
      <c r="DX44" s="96"/>
      <c r="DY44" s="7"/>
      <c r="DZ44" s="11"/>
      <c r="EA44" s="28"/>
      <c r="EB44" s="10"/>
      <c r="EC44" s="7"/>
      <c r="ED44" s="7"/>
      <c r="EE44" s="11"/>
      <c r="EF44" s="7"/>
      <c r="EG44" s="10"/>
      <c r="EH44" s="7"/>
      <c r="EI44" s="7"/>
      <c r="EJ44" s="11"/>
      <c r="EK44" s="7"/>
      <c r="EL44" s="10"/>
      <c r="EM44" s="7"/>
      <c r="EN44" s="7"/>
      <c r="EO44" s="11"/>
      <c r="EP44" s="7"/>
      <c r="EQ44" s="10"/>
      <c r="ER44" s="7"/>
      <c r="ES44" s="7"/>
      <c r="ET44" s="7"/>
      <c r="EU44" s="11"/>
      <c r="EV44" s="96"/>
      <c r="EW44" s="10"/>
      <c r="EX44" s="7"/>
      <c r="EY44" s="7"/>
      <c r="EZ44" s="7"/>
      <c r="FA44" s="103"/>
      <c r="FB44" s="107"/>
      <c r="FC44" s="10"/>
      <c r="FD44" s="7"/>
      <c r="FE44" s="7"/>
      <c r="FF44" s="7"/>
      <c r="FG44" s="96"/>
      <c r="FH44" s="10"/>
      <c r="FI44" s="7"/>
      <c r="FJ44" s="7"/>
      <c r="FK44" s="7"/>
      <c r="FL44" s="11"/>
      <c r="FM44" s="96"/>
      <c r="FN44" s="10"/>
      <c r="FO44" s="7"/>
      <c r="FP44" s="7"/>
      <c r="FQ44" s="7"/>
      <c r="FR44" s="96"/>
      <c r="FS44" s="10"/>
      <c r="FT44" s="7"/>
      <c r="FU44" s="7"/>
      <c r="FV44" s="7"/>
      <c r="FW44" s="7"/>
      <c r="FX44" s="96"/>
      <c r="FY44" s="114"/>
      <c r="FZ44" s="7"/>
      <c r="GA44" s="7"/>
      <c r="GB44" s="7"/>
      <c r="GC44" s="7"/>
      <c r="GD44" s="96"/>
      <c r="GE44" s="10"/>
      <c r="GF44" s="7"/>
      <c r="GG44" s="7"/>
      <c r="GH44" s="7"/>
      <c r="GI44" s="11"/>
      <c r="GJ44" s="10"/>
      <c r="GK44" s="10"/>
      <c r="GL44" s="7"/>
      <c r="GM44" s="7"/>
      <c r="GN44" s="11"/>
      <c r="GO44" s="96"/>
      <c r="GP44" s="10"/>
      <c r="GQ44" s="7"/>
      <c r="GR44" s="7"/>
      <c r="GS44" s="7"/>
      <c r="GT44" s="11"/>
      <c r="GU44" s="96"/>
      <c r="GV44" s="114"/>
      <c r="GW44" s="7"/>
      <c r="GX44" s="7"/>
      <c r="GY44" s="7"/>
      <c r="GZ44" s="7"/>
      <c r="HA44" s="10"/>
      <c r="HB44" s="10"/>
      <c r="HC44" s="7"/>
      <c r="HD44" s="7"/>
      <c r="HE44" s="7"/>
      <c r="HF44" s="7"/>
      <c r="HG44" s="7"/>
      <c r="HH44" s="96"/>
      <c r="HI44" s="10"/>
      <c r="HJ44" s="7"/>
      <c r="HK44" s="7"/>
      <c r="HL44" s="7"/>
      <c r="HM44" s="7"/>
      <c r="HN44" s="7"/>
      <c r="HO44" s="10"/>
      <c r="HP44" s="10"/>
      <c r="HQ44" s="7"/>
      <c r="HR44" s="7"/>
      <c r="HS44" s="7"/>
      <c r="HT44" s="7"/>
      <c r="HU44" s="11"/>
      <c r="HV44" s="7"/>
      <c r="HW44" s="10"/>
      <c r="HX44" s="7"/>
      <c r="HY44" s="103"/>
      <c r="HZ44" s="7"/>
      <c r="IA44" s="7"/>
      <c r="IB44" s="11"/>
      <c r="IC44" s="11"/>
      <c r="ID44" s="7"/>
      <c r="IE44" s="7"/>
      <c r="IF44" s="7"/>
      <c r="IG44" s="7"/>
      <c r="IH44" s="7"/>
      <c r="II44" s="7"/>
      <c r="IJ44" s="96"/>
      <c r="IK44" s="10"/>
      <c r="IL44" s="7"/>
      <c r="IM44" s="7"/>
      <c r="IN44" s="7"/>
      <c r="IO44" s="7"/>
      <c r="IP44" s="11"/>
      <c r="IQ44" s="96"/>
      <c r="IR44" s="7"/>
      <c r="IS44" s="7"/>
      <c r="IT44" s="7"/>
      <c r="IU44" s="7"/>
      <c r="IV44" s="7"/>
      <c r="IW44" s="7"/>
      <c r="IX44" s="7"/>
      <c r="IY44" s="7"/>
      <c r="IZ44" s="7"/>
      <c r="JA44" s="103"/>
      <c r="JB44" s="7"/>
      <c r="JC44" s="7"/>
      <c r="JD44" s="7"/>
      <c r="JE44" s="7"/>
      <c r="JF44" s="7"/>
      <c r="JG44" s="7"/>
      <c r="JH44" s="7"/>
      <c r="JI44" s="7"/>
      <c r="JJ44" s="7"/>
      <c r="JK44" s="7"/>
      <c r="JL44" s="7"/>
      <c r="JM44" s="7"/>
      <c r="JN44" s="7"/>
      <c r="JO44" s="7"/>
      <c r="JP44" s="7"/>
      <c r="JQ44" s="7"/>
      <c r="JR44" s="7"/>
      <c r="JS44" s="7"/>
      <c r="JT44" s="7"/>
      <c r="JU44" s="7"/>
      <c r="JV44" s="7"/>
      <c r="JW44" s="7"/>
      <c r="JX44" s="103"/>
      <c r="JY44" s="7"/>
      <c r="JZ44" s="7"/>
      <c r="KA44" s="7"/>
      <c r="KB44" s="7"/>
      <c r="KC44" s="7"/>
      <c r="KD44" s="7"/>
      <c r="KE44" s="7"/>
      <c r="KF44" s="7"/>
      <c r="KG44" s="7"/>
      <c r="KH44" s="7"/>
      <c r="KI44" s="7"/>
      <c r="KJ44" s="7"/>
      <c r="KK44" s="7"/>
      <c r="KL44" s="7"/>
      <c r="KM44" s="7"/>
      <c r="KN44" s="7"/>
      <c r="KO44" s="7"/>
      <c r="KP44" s="7"/>
      <c r="KQ44" s="7"/>
      <c r="KR44" s="7"/>
      <c r="KS44" s="7"/>
      <c r="KT44" s="7"/>
      <c r="KU44" s="103"/>
      <c r="KV44" s="7"/>
      <c r="KW44" s="7"/>
      <c r="KX44" s="7"/>
      <c r="KY44" s="7"/>
      <c r="KZ44" s="7"/>
      <c r="LA44" s="7"/>
      <c r="LB44" s="7"/>
      <c r="LC44" s="7"/>
      <c r="LD44" s="7"/>
      <c r="LE44" s="7"/>
      <c r="LF44" s="7"/>
      <c r="LG44" s="7"/>
      <c r="LH44" s="7"/>
      <c r="LI44" s="7"/>
      <c r="LJ44" s="102"/>
      <c r="LK44" s="102"/>
      <c r="LL44" s="102"/>
      <c r="LM44" s="102"/>
      <c r="LN44" s="102"/>
      <c r="LO44" s="102"/>
      <c r="LP44" s="102"/>
      <c r="LQ44" s="102"/>
      <c r="LR44" s="102"/>
    </row>
    <row r="45" spans="1:330" x14ac:dyDescent="0.25">
      <c r="A45" s="5">
        <v>42</v>
      </c>
      <c r="B45" s="66" t="str">
        <f>IFERROR(VLOOKUP(Tabla4[[#This Row],[Prioridad]],Tabla3[#All],2,0),"")</f>
        <v>EQUIPO</v>
      </c>
      <c r="C45" s="86" t="str">
        <f>IFERROR(VLOOKUP(Tabla4[[#This Row],[Prioridad]],Tabla3[#All],17,0),"")</f>
        <v>Sprint 4</v>
      </c>
      <c r="D45" s="86" t="str">
        <f>IFERROR(VLOOKUP(Tabla4[[#This Row],[Prioridad]],Tabla3[#All],6,0),"")</f>
        <v>T-042</v>
      </c>
      <c r="E45" s="86" t="str">
        <f>+IFERROR(VLOOKUP(Tabla4[[#This Row],[Tarea]],Tabla3[[Num_Ticket]:[Descripción]],2,0),"")</f>
        <v>Entregable para Tutoria 4</v>
      </c>
      <c r="F45" s="47">
        <f>IFERROR(VLOOKUP(Tabla4[[#This Row],[Prioridad]],Tabla3[#All],14,0),"")</f>
        <v>1</v>
      </c>
      <c r="G45" s="47">
        <f>IF(Tabla4[[#This Row],[Prioridad]]&lt;&gt;"",SUM(W45:KT45),"")</f>
        <v>0</v>
      </c>
      <c r="H45" s="47">
        <f>IF(Tabla4[[#This Row],[Prioridad]]&lt;&gt;"",Tabla4[[#This Row],[Horas Estimadas]]-Tabla4[[#This Row],[Ejecutadas]],"")</f>
        <v>1</v>
      </c>
      <c r="I45" s="66" t="str">
        <f>IFERROR(VLOOKUP(Tabla4[[#This Row],[Prioridad]],Tabla3[#All],18,0),"")</f>
        <v>TUTORIA</v>
      </c>
      <c r="J45" s="32">
        <f>IFERROR(VLOOKUP(Tabla4[[#This Row],[Prioridad]],Tabla3[#All],20,0),"")</f>
        <v>14</v>
      </c>
      <c r="K45" s="60" t="str">
        <f>IFERROR(VLOOKUP(Tabla4[[#This Row],[Prioridad]],Tabla3[#All],19,0),"")</f>
        <v>Entregas</v>
      </c>
      <c r="L45" s="60" t="str">
        <f>IFERROR(VLOOKUP(Tabla4[[#This Row],[Prioridad]],Tabla3[#All],9,0),"")</f>
        <v>Tarea</v>
      </c>
      <c r="M45" s="93">
        <f>+SUMIFS(Tabla4[Avance Hito],Tabla4[Responsable],Tabla4[[#This Row],[Responsable]],Tabla4[Sprint],Tabla4[[#This Row],[Sprint]],Tabla4[Proyecto],Tabla4[[#This Row],[Proyecto]])/COUNTIFS(Tabla4[Responsable],Tabla4[[#This Row],[Responsable]],Tabla4[Sprint],Tabla4[[#This Row],[Sprint]],Tabla4[Proyecto],Tabla4[[#This Row],[Proyecto]])</f>
        <v>0</v>
      </c>
      <c r="N45" s="35">
        <f>+SUMIFS(Tabla4[Avance relativo],Tabla4[Responsable],Tabla4[[#This Row],[Responsable]],Tabla4[Sprint],Tabla4[[#This Row],[Sprint]],Tabla4[Hito],Tabla4[[#This Row],[Hito]])</f>
        <v>0</v>
      </c>
      <c r="O45" s="196">
        <f>VLOOKUP(Tabla4[[#This Row],[Tarea]],Tabla3[[#All],[Num_Ticket]:[Hito]],5,0)</f>
        <v>44479</v>
      </c>
      <c r="P45" s="199"/>
      <c r="Q45" s="47">
        <f>IF(Tabla4[[#This Row],[Prioridad]]="","",IF(Tabla4[[#This Row],[Hito]]&lt;&gt;"",COUNTIFS(Tabla4[Responsable],Tabla4[[#This Row],[Responsable]],Tabla4[Sprint],Tabla4[[#This Row],[Sprint]],Tabla4[Epica],Tabla4[[#This Row],[Epica]])))</f>
        <v>1</v>
      </c>
      <c r="R45" s="47">
        <f>1*Tabla4[[#This Row],[% Avance]]</f>
        <v>0</v>
      </c>
      <c r="S45" s="47">
        <f>IFERROR(Tabla4[[#This Row],[Total Avance]]/Tabla4[[#This Row],[Conteo_Epica]],0)</f>
        <v>0</v>
      </c>
      <c r="T45" s="35">
        <v>0</v>
      </c>
      <c r="U45" s="197">
        <v>6</v>
      </c>
      <c r="V45" s="198" t="s">
        <v>176</v>
      </c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11"/>
      <c r="AQ45" s="10"/>
      <c r="AR45" s="7"/>
      <c r="AS45" s="7"/>
      <c r="AT45" s="7"/>
      <c r="AU45" s="11"/>
      <c r="AV45" s="10"/>
      <c r="AW45" s="7"/>
      <c r="AX45" s="7"/>
      <c r="AY45" s="7"/>
      <c r="AZ45" s="11"/>
      <c r="BA45" s="10"/>
      <c r="BB45" s="7"/>
      <c r="BC45" s="7"/>
      <c r="BD45" s="7"/>
      <c r="BE45" s="11"/>
      <c r="BF45" s="10"/>
      <c r="BG45" s="7"/>
      <c r="BH45" s="7"/>
      <c r="BI45" s="7"/>
      <c r="BJ45" s="11"/>
      <c r="BK45" s="5"/>
      <c r="BL45" s="10"/>
      <c r="BM45" s="7"/>
      <c r="BN45" s="7"/>
      <c r="BO45" s="7"/>
      <c r="BP45" s="7"/>
      <c r="BQ45" s="10"/>
      <c r="BR45" s="7"/>
      <c r="BS45" s="7"/>
      <c r="BT45" s="7"/>
      <c r="BU45" s="11"/>
      <c r="BV45" s="10"/>
      <c r="BW45" s="7"/>
      <c r="BX45" s="7"/>
      <c r="BY45" s="7"/>
      <c r="BZ45" s="11"/>
      <c r="CA45" s="7"/>
      <c r="CB45" s="7"/>
      <c r="CC45" s="7"/>
      <c r="CD45" s="11"/>
      <c r="CE45" s="10"/>
      <c r="CF45" s="7"/>
      <c r="CG45" s="11"/>
      <c r="CH45" s="28"/>
      <c r="CI45" s="10"/>
      <c r="CJ45" s="7"/>
      <c r="CK45" s="7"/>
      <c r="CL45" s="7"/>
      <c r="CM45" s="7"/>
      <c r="CN45" s="10"/>
      <c r="CO45" s="7"/>
      <c r="CP45" s="7"/>
      <c r="CQ45" s="7"/>
      <c r="CR45" s="11"/>
      <c r="CS45" s="10"/>
      <c r="CT45" s="7"/>
      <c r="CU45" s="7"/>
      <c r="CV45" s="7"/>
      <c r="CW45" s="11"/>
      <c r="CX45" s="7"/>
      <c r="CY45" s="7"/>
      <c r="CZ45" s="7"/>
      <c r="DA45" s="7"/>
      <c r="DB45" s="11"/>
      <c r="DC45" s="28"/>
      <c r="DD45" s="10"/>
      <c r="DE45" s="7"/>
      <c r="DF45" s="7"/>
      <c r="DG45" s="7"/>
      <c r="DH45" s="7"/>
      <c r="DI45" s="10"/>
      <c r="DJ45" s="7"/>
      <c r="DK45" s="7"/>
      <c r="DL45" s="7"/>
      <c r="DM45" s="11"/>
      <c r="DN45" s="10"/>
      <c r="DO45" s="7"/>
      <c r="DP45" s="7"/>
      <c r="DQ45" s="7"/>
      <c r="DR45" s="11"/>
      <c r="DS45" s="7"/>
      <c r="DT45" s="7"/>
      <c r="DU45" s="7"/>
      <c r="DV45" s="7"/>
      <c r="DW45" s="11"/>
      <c r="DX45" s="96"/>
      <c r="DY45" s="7"/>
      <c r="DZ45" s="11"/>
      <c r="EA45" s="28"/>
      <c r="EB45" s="10"/>
      <c r="EC45" s="7"/>
      <c r="ED45" s="7"/>
      <c r="EE45" s="11"/>
      <c r="EF45" s="7"/>
      <c r="EG45" s="10"/>
      <c r="EH45" s="7"/>
      <c r="EI45" s="7"/>
      <c r="EJ45" s="11"/>
      <c r="EK45" s="7"/>
      <c r="EL45" s="10"/>
      <c r="EM45" s="7"/>
      <c r="EN45" s="7"/>
      <c r="EO45" s="11"/>
      <c r="EP45" s="7"/>
      <c r="EQ45" s="10"/>
      <c r="ER45" s="7"/>
      <c r="ES45" s="7"/>
      <c r="ET45" s="7"/>
      <c r="EU45" s="11"/>
      <c r="EV45" s="96"/>
      <c r="EW45" s="10"/>
      <c r="EX45" s="7"/>
      <c r="EY45" s="7"/>
      <c r="EZ45" s="7"/>
      <c r="FA45" s="103"/>
      <c r="FB45" s="107"/>
      <c r="FC45" s="10"/>
      <c r="FD45" s="7"/>
      <c r="FE45" s="7"/>
      <c r="FF45" s="7"/>
      <c r="FG45" s="96"/>
      <c r="FH45" s="10"/>
      <c r="FI45" s="7"/>
      <c r="FJ45" s="7"/>
      <c r="FK45" s="7"/>
      <c r="FL45" s="11"/>
      <c r="FM45" s="96"/>
      <c r="FN45" s="10"/>
      <c r="FO45" s="7"/>
      <c r="FP45" s="7"/>
      <c r="FQ45" s="7"/>
      <c r="FR45" s="96"/>
      <c r="FS45" s="10"/>
      <c r="FT45" s="7"/>
      <c r="FU45" s="7"/>
      <c r="FV45" s="7"/>
      <c r="FW45" s="7"/>
      <c r="FX45" s="96"/>
      <c r="FY45" s="114"/>
      <c r="FZ45" s="7"/>
      <c r="GA45" s="7"/>
      <c r="GB45" s="7"/>
      <c r="GC45" s="7"/>
      <c r="GD45" s="96"/>
      <c r="GE45" s="10"/>
      <c r="GF45" s="7"/>
      <c r="GG45" s="7"/>
      <c r="GH45" s="7"/>
      <c r="GI45" s="11"/>
      <c r="GJ45" s="10"/>
      <c r="GK45" s="10"/>
      <c r="GL45" s="7"/>
      <c r="GM45" s="7"/>
      <c r="GN45" s="11"/>
      <c r="GO45" s="96"/>
      <c r="GP45" s="10"/>
      <c r="GQ45" s="7"/>
      <c r="GR45" s="7"/>
      <c r="GS45" s="7"/>
      <c r="GT45" s="11"/>
      <c r="GU45" s="96"/>
      <c r="GV45" s="114"/>
      <c r="GW45" s="7"/>
      <c r="GX45" s="7"/>
      <c r="GY45" s="7"/>
      <c r="GZ45" s="7"/>
      <c r="HA45" s="10"/>
      <c r="HB45" s="10"/>
      <c r="HC45" s="7"/>
      <c r="HD45" s="7"/>
      <c r="HE45" s="7"/>
      <c r="HF45" s="7"/>
      <c r="HG45" s="7"/>
      <c r="HH45" s="96"/>
      <c r="HI45" s="10"/>
      <c r="HJ45" s="7"/>
      <c r="HK45" s="7"/>
      <c r="HL45" s="7"/>
      <c r="HM45" s="7"/>
      <c r="HN45" s="7"/>
      <c r="HO45" s="10"/>
      <c r="HP45" s="10"/>
      <c r="HQ45" s="7"/>
      <c r="HR45" s="7"/>
      <c r="HS45" s="7"/>
      <c r="HT45" s="7"/>
      <c r="HU45" s="11"/>
      <c r="HV45" s="7"/>
      <c r="HW45" s="10"/>
      <c r="HX45" s="7"/>
      <c r="HY45" s="103"/>
      <c r="HZ45" s="7"/>
      <c r="IA45" s="7"/>
      <c r="IB45" s="11"/>
      <c r="IC45" s="11"/>
      <c r="ID45" s="7"/>
      <c r="IE45" s="7"/>
      <c r="IF45" s="7"/>
      <c r="IG45" s="7"/>
      <c r="IH45" s="7"/>
      <c r="II45" s="7"/>
      <c r="IJ45" s="96"/>
      <c r="IK45" s="10"/>
      <c r="IL45" s="7"/>
      <c r="IM45" s="7"/>
      <c r="IN45" s="7"/>
      <c r="IO45" s="7"/>
      <c r="IP45" s="11"/>
      <c r="IQ45" s="96"/>
      <c r="IR45" s="7"/>
      <c r="IS45" s="7"/>
      <c r="IT45" s="7"/>
      <c r="IU45" s="7"/>
      <c r="IV45" s="7"/>
      <c r="IW45" s="7"/>
      <c r="IX45" s="7"/>
      <c r="IY45" s="7"/>
      <c r="IZ45" s="7"/>
      <c r="JA45" s="103"/>
      <c r="JB45" s="7"/>
      <c r="JC45" s="7"/>
      <c r="JD45" s="7"/>
      <c r="JE45" s="7"/>
      <c r="JF45" s="7"/>
      <c r="JG45" s="7"/>
      <c r="JH45" s="7"/>
      <c r="JI45" s="7"/>
      <c r="JJ45" s="7"/>
      <c r="JK45" s="7"/>
      <c r="JL45" s="7"/>
      <c r="JM45" s="7"/>
      <c r="JN45" s="7"/>
      <c r="JO45" s="7"/>
      <c r="JP45" s="7"/>
      <c r="JQ45" s="7"/>
      <c r="JR45" s="7"/>
      <c r="JS45" s="7"/>
      <c r="JT45" s="7"/>
      <c r="JU45" s="7"/>
      <c r="JV45" s="7"/>
      <c r="JW45" s="7"/>
      <c r="JX45" s="103"/>
      <c r="JY45" s="7"/>
      <c r="JZ45" s="7"/>
      <c r="KA45" s="7"/>
      <c r="KB45" s="7"/>
      <c r="KC45" s="7"/>
      <c r="KD45" s="7"/>
      <c r="KE45" s="7"/>
      <c r="KF45" s="7"/>
      <c r="KG45" s="7"/>
      <c r="KH45" s="7"/>
      <c r="KI45" s="7"/>
      <c r="KJ45" s="7"/>
      <c r="KK45" s="7"/>
      <c r="KL45" s="7"/>
      <c r="KM45" s="7"/>
      <c r="KN45" s="7"/>
      <c r="KO45" s="7"/>
      <c r="KP45" s="7"/>
      <c r="KQ45" s="7"/>
      <c r="KR45" s="7"/>
      <c r="KS45" s="7"/>
      <c r="KT45" s="7"/>
      <c r="KU45" s="103"/>
      <c r="KV45" s="7"/>
      <c r="KW45" s="7"/>
      <c r="KX45" s="7"/>
      <c r="KY45" s="7"/>
      <c r="KZ45" s="7"/>
      <c r="LA45" s="7"/>
      <c r="LB45" s="7"/>
      <c r="LC45" s="7"/>
      <c r="LD45" s="7"/>
      <c r="LE45" s="7"/>
      <c r="LF45" s="7"/>
      <c r="LG45" s="7"/>
      <c r="LH45" s="7"/>
      <c r="LI45" s="7"/>
      <c r="LJ45" s="102"/>
      <c r="LK45" s="102"/>
      <c r="LL45" s="102"/>
      <c r="LM45" s="102"/>
      <c r="LN45" s="102"/>
      <c r="LO45" s="102"/>
      <c r="LP45" s="102"/>
      <c r="LQ45" s="102"/>
      <c r="LR45" s="102"/>
    </row>
    <row r="46" spans="1:330" x14ac:dyDescent="0.25">
      <c r="A46" s="5"/>
      <c r="B46" s="66" t="str">
        <f>IFERROR(VLOOKUP(Tabla4[[#This Row],[Prioridad]],Tabla3[#All],2,0),"")</f>
        <v/>
      </c>
      <c r="C46" s="86" t="str">
        <f>IFERROR(VLOOKUP(Tabla4[[#This Row],[Prioridad]],Tabla3[#All],17,0),"")</f>
        <v/>
      </c>
      <c r="D46" s="86" t="str">
        <f>IFERROR(VLOOKUP(Tabla4[[#This Row],[Prioridad]],Tabla3[#All],6,0),"")</f>
        <v/>
      </c>
      <c r="E46" s="86" t="str">
        <f>+IFERROR(VLOOKUP(Tabla4[[#This Row],[Tarea]],Tabla3[[Num_Ticket]:[Descripción]],2,0),"")</f>
        <v/>
      </c>
      <c r="F46" s="47" t="str">
        <f>IFERROR(VLOOKUP(Tabla4[[#This Row],[Prioridad]],Tabla3[#All],14,0),"")</f>
        <v/>
      </c>
      <c r="G46" s="47" t="str">
        <f>IF(Tabla4[[#This Row],[Prioridad]]&lt;&gt;"",SUM(W46:KT46),"")</f>
        <v/>
      </c>
      <c r="H46" s="47" t="str">
        <f>IF(Tabla4[[#This Row],[Prioridad]]&lt;&gt;"",Tabla4[[#This Row],[Horas Estimadas]]-Tabla4[[#This Row],[Ejecutadas]],"")</f>
        <v/>
      </c>
      <c r="I46" s="66" t="str">
        <f>IFERROR(VLOOKUP(Tabla4[[#This Row],[Prioridad]],Tabla3[#All],18,0),"")</f>
        <v/>
      </c>
      <c r="J46" s="32" t="str">
        <f>IFERROR(VLOOKUP(Tabla4[[#This Row],[Prioridad]],Tabla3[#All],20,0),"")</f>
        <v/>
      </c>
      <c r="K46" s="60" t="str">
        <f>IFERROR(VLOOKUP(Tabla4[[#This Row],[Prioridad]],Tabla3[#All],19,0),"")</f>
        <v/>
      </c>
      <c r="L46" s="60" t="str">
        <f>IFERROR(VLOOKUP(Tabla4[[#This Row],[Prioridad]],Tabla3[#All],9,0),"")</f>
        <v/>
      </c>
      <c r="M46" s="210">
        <f>IFERROR((SUMIF(Tabla4[Proyecto],Tabla4[[#This Row],[Proyecto]],Tabla4[Avance Hito]))/COUNTIF(Tabla4[Proyecto],Tabla4[[#This Row],[Proyecto]]),0)</f>
        <v>0</v>
      </c>
      <c r="N46" s="35">
        <f>+SUMIF(Tabla4[Hito],Tabla4[[#This Row],[Hito]],Tabla4[Avance relativo])</f>
        <v>0</v>
      </c>
      <c r="O46" s="196" t="e">
        <f>VLOOKUP(Tabla4[[#This Row],[Tarea]],Tabla3[[#All],[Num_Ticket]:[Hito]],5,0)</f>
        <v>#N/A</v>
      </c>
      <c r="P46" s="199"/>
      <c r="Q46" s="47" t="str">
        <f>IF(Tabla4[[#This Row],[Prioridad]]="","",IF(Tabla4[[#This Row],[Hito]]&lt;&gt;"",COUNTIFS(Tabla4[Responsable],Tabla4[[#This Row],[Responsable]],Tabla4[Sprint],Tabla4[[#This Row],[Sprint]],Tabla4[Epica],Tabla4[[#This Row],[Epica]])))</f>
        <v/>
      </c>
      <c r="R46" s="47">
        <f>1*Tabla4[[#This Row],[% Avance]]</f>
        <v>0</v>
      </c>
      <c r="S46" s="47">
        <f>IFERROR(Tabla4[[#This Row],[Total Avance]]/Tabla4[[#This Row],[Conteo_Epica]],0)</f>
        <v>0</v>
      </c>
      <c r="T46" s="35"/>
      <c r="U46" s="197"/>
      <c r="V46" s="198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11"/>
      <c r="AQ46" s="10"/>
      <c r="AR46" s="7"/>
      <c r="AS46" s="7"/>
      <c r="AT46" s="7"/>
      <c r="AU46" s="11"/>
      <c r="AV46" s="10"/>
      <c r="AW46" s="7"/>
      <c r="AX46" s="7"/>
      <c r="AY46" s="7"/>
      <c r="AZ46" s="11"/>
      <c r="BA46" s="10"/>
      <c r="BB46" s="7"/>
      <c r="BC46" s="7"/>
      <c r="BD46" s="7"/>
      <c r="BE46" s="11"/>
      <c r="BF46" s="10"/>
      <c r="BG46" s="7"/>
      <c r="BH46" s="7"/>
      <c r="BI46" s="7"/>
      <c r="BJ46" s="11"/>
      <c r="BK46" s="5"/>
      <c r="BL46" s="10"/>
      <c r="BM46" s="7"/>
      <c r="BN46" s="7"/>
      <c r="BO46" s="7"/>
      <c r="BP46" s="7"/>
      <c r="BQ46" s="10"/>
      <c r="BR46" s="7"/>
      <c r="BS46" s="7"/>
      <c r="BT46" s="7"/>
      <c r="BU46" s="11"/>
      <c r="BV46" s="10"/>
      <c r="BW46" s="7"/>
      <c r="BX46" s="7"/>
      <c r="BY46" s="7"/>
      <c r="BZ46" s="11"/>
      <c r="CA46" s="7"/>
      <c r="CB46" s="7"/>
      <c r="CC46" s="7"/>
      <c r="CD46" s="11"/>
      <c r="CE46" s="10"/>
      <c r="CF46" s="7"/>
      <c r="CG46" s="11"/>
      <c r="CH46" s="28"/>
      <c r="CI46" s="10"/>
      <c r="CJ46" s="7"/>
      <c r="CK46" s="7"/>
      <c r="CL46" s="7"/>
      <c r="CM46" s="7"/>
      <c r="CN46" s="10"/>
      <c r="CO46" s="7"/>
      <c r="CP46" s="7"/>
      <c r="CQ46" s="7"/>
      <c r="CR46" s="11"/>
      <c r="CS46" s="10"/>
      <c r="CT46" s="7"/>
      <c r="CU46" s="7"/>
      <c r="CV46" s="7"/>
      <c r="CW46" s="11"/>
      <c r="CX46" s="7"/>
      <c r="CY46" s="7"/>
      <c r="CZ46" s="7"/>
      <c r="DA46" s="7"/>
      <c r="DB46" s="11"/>
      <c r="DC46" s="28"/>
      <c r="DD46" s="10"/>
      <c r="DE46" s="7"/>
      <c r="DF46" s="7"/>
      <c r="DG46" s="7"/>
      <c r="DH46" s="7"/>
      <c r="DI46" s="10"/>
      <c r="DJ46" s="7"/>
      <c r="DK46" s="7"/>
      <c r="DL46" s="7"/>
      <c r="DM46" s="11"/>
      <c r="DN46" s="10"/>
      <c r="DO46" s="7"/>
      <c r="DP46" s="7"/>
      <c r="DQ46" s="7"/>
      <c r="DR46" s="11"/>
      <c r="DS46" s="7"/>
      <c r="DT46" s="7"/>
      <c r="DU46" s="7"/>
      <c r="DV46" s="7"/>
      <c r="DW46" s="11"/>
      <c r="DX46" s="96"/>
      <c r="DY46" s="7"/>
      <c r="DZ46" s="11"/>
      <c r="EA46" s="28"/>
      <c r="EB46" s="10"/>
      <c r="EC46" s="7"/>
      <c r="ED46" s="7"/>
      <c r="EE46" s="11"/>
      <c r="EF46" s="7"/>
      <c r="EG46" s="10"/>
      <c r="EH46" s="7"/>
      <c r="EI46" s="7"/>
      <c r="EJ46" s="11"/>
      <c r="EK46" s="7"/>
      <c r="EL46" s="10"/>
      <c r="EM46" s="7"/>
      <c r="EN46" s="7"/>
      <c r="EO46" s="11"/>
      <c r="EP46" s="7"/>
      <c r="EQ46" s="10"/>
      <c r="ER46" s="7"/>
      <c r="ES46" s="7"/>
      <c r="ET46" s="7"/>
      <c r="EU46" s="11"/>
      <c r="EV46" s="96"/>
      <c r="EW46" s="10"/>
      <c r="EX46" s="7"/>
      <c r="EY46" s="7"/>
      <c r="EZ46" s="7"/>
      <c r="FA46" s="103"/>
      <c r="FB46" s="107"/>
      <c r="FC46" s="10"/>
      <c r="FD46" s="7"/>
      <c r="FE46" s="7"/>
      <c r="FF46" s="7"/>
      <c r="FG46" s="96"/>
      <c r="FH46" s="10"/>
      <c r="FI46" s="7"/>
      <c r="FJ46" s="7"/>
      <c r="FK46" s="7"/>
      <c r="FL46" s="11"/>
      <c r="FM46" s="96"/>
      <c r="FN46" s="10"/>
      <c r="FO46" s="7"/>
      <c r="FP46" s="7"/>
      <c r="FQ46" s="7"/>
      <c r="FR46" s="96"/>
      <c r="FS46" s="10"/>
      <c r="FT46" s="7"/>
      <c r="FU46" s="7"/>
      <c r="FV46" s="7"/>
      <c r="FW46" s="7"/>
      <c r="FX46" s="96"/>
      <c r="FY46" s="114"/>
      <c r="FZ46" s="7"/>
      <c r="GA46" s="7"/>
      <c r="GB46" s="7"/>
      <c r="GC46" s="7"/>
      <c r="GD46" s="96"/>
      <c r="GE46" s="10"/>
      <c r="GF46" s="7"/>
      <c r="GG46" s="7"/>
      <c r="GH46" s="7"/>
      <c r="GI46" s="11"/>
      <c r="GJ46" s="10"/>
      <c r="GK46" s="10"/>
      <c r="GL46" s="7"/>
      <c r="GM46" s="7"/>
      <c r="GN46" s="11"/>
      <c r="GO46" s="96"/>
      <c r="GP46" s="10"/>
      <c r="GQ46" s="7"/>
      <c r="GR46" s="7"/>
      <c r="GS46" s="7"/>
      <c r="GT46" s="11"/>
      <c r="GU46" s="96"/>
      <c r="GV46" s="114"/>
      <c r="GW46" s="7"/>
      <c r="GX46" s="7"/>
      <c r="GY46" s="7"/>
      <c r="GZ46" s="7"/>
      <c r="HA46" s="10"/>
      <c r="HB46" s="10"/>
      <c r="HC46" s="7"/>
      <c r="HD46" s="7"/>
      <c r="HE46" s="7"/>
      <c r="HF46" s="7"/>
      <c r="HG46" s="7"/>
      <c r="HH46" s="96"/>
      <c r="HI46" s="10"/>
      <c r="HJ46" s="7"/>
      <c r="HK46" s="7"/>
      <c r="HL46" s="7"/>
      <c r="HM46" s="7"/>
      <c r="HN46" s="7"/>
      <c r="HO46" s="10"/>
      <c r="HP46" s="10"/>
      <c r="HQ46" s="7"/>
      <c r="HR46" s="7"/>
      <c r="HS46" s="7"/>
      <c r="HT46" s="7"/>
      <c r="HU46" s="11"/>
      <c r="HV46" s="7"/>
      <c r="HW46" s="10"/>
      <c r="HX46" s="7"/>
      <c r="HY46" s="103"/>
      <c r="HZ46" s="7"/>
      <c r="IA46" s="7"/>
      <c r="IB46" s="11"/>
      <c r="IC46" s="11"/>
      <c r="ID46" s="7"/>
      <c r="IE46" s="7"/>
      <c r="IF46" s="7"/>
      <c r="IG46" s="7"/>
      <c r="IH46" s="7"/>
      <c r="II46" s="7"/>
      <c r="IJ46" s="96"/>
      <c r="IK46" s="10"/>
      <c r="IL46" s="7"/>
      <c r="IM46" s="7"/>
      <c r="IN46" s="7"/>
      <c r="IO46" s="7"/>
      <c r="IP46" s="11"/>
      <c r="IQ46" s="96"/>
      <c r="IR46" s="7"/>
      <c r="IS46" s="7"/>
      <c r="IT46" s="7"/>
      <c r="IU46" s="7"/>
      <c r="IV46" s="7"/>
      <c r="IW46" s="7"/>
      <c r="IX46" s="7"/>
      <c r="IY46" s="7"/>
      <c r="IZ46" s="7"/>
      <c r="JA46" s="103"/>
      <c r="JB46" s="7"/>
      <c r="JC46" s="7"/>
      <c r="JD46" s="7"/>
      <c r="JE46" s="7"/>
      <c r="JF46" s="7"/>
      <c r="JG46" s="7"/>
      <c r="JH46" s="7"/>
      <c r="JI46" s="7"/>
      <c r="JJ46" s="7"/>
      <c r="JK46" s="7"/>
      <c r="JL46" s="7"/>
      <c r="JM46" s="7"/>
      <c r="JN46" s="7"/>
      <c r="JO46" s="7"/>
      <c r="JP46" s="7"/>
      <c r="JQ46" s="7"/>
      <c r="JR46" s="7"/>
      <c r="JS46" s="7"/>
      <c r="JT46" s="7"/>
      <c r="JU46" s="7"/>
      <c r="JV46" s="7"/>
      <c r="JW46" s="7"/>
      <c r="JX46" s="103"/>
      <c r="JY46" s="7"/>
      <c r="JZ46" s="7"/>
      <c r="KA46" s="7"/>
      <c r="KB46" s="7"/>
      <c r="KC46" s="7"/>
      <c r="KD46" s="7"/>
      <c r="KE46" s="7"/>
      <c r="KF46" s="7"/>
      <c r="KG46" s="7"/>
      <c r="KH46" s="7"/>
      <c r="KI46" s="7"/>
      <c r="KJ46" s="7"/>
      <c r="KK46" s="7"/>
      <c r="KL46" s="7"/>
      <c r="KM46" s="7"/>
      <c r="KN46" s="7"/>
      <c r="KO46" s="7"/>
      <c r="KP46" s="7"/>
      <c r="KQ46" s="7"/>
      <c r="KR46" s="7"/>
      <c r="KS46" s="7"/>
      <c r="KT46" s="7"/>
      <c r="KU46" s="103"/>
      <c r="KV46" s="7"/>
      <c r="KW46" s="7"/>
      <c r="KX46" s="7"/>
      <c r="KY46" s="7"/>
      <c r="KZ46" s="7"/>
      <c r="LA46" s="7"/>
      <c r="LB46" s="7"/>
      <c r="LC46" s="7"/>
      <c r="LD46" s="7"/>
      <c r="LE46" s="7"/>
      <c r="LF46" s="7"/>
      <c r="LG46" s="7"/>
      <c r="LH46" s="7"/>
      <c r="LI46" s="7"/>
      <c r="LJ46" s="102"/>
      <c r="LK46" s="102"/>
      <c r="LL46" s="102"/>
      <c r="LM46" s="102"/>
      <c r="LN46" s="102"/>
      <c r="LO46" s="102"/>
      <c r="LP46" s="102"/>
      <c r="LQ46" s="102"/>
      <c r="LR46" s="102"/>
    </row>
    <row r="47" spans="1:330" x14ac:dyDescent="0.25">
      <c r="A47" s="5"/>
      <c r="B47" s="66" t="str">
        <f>IFERROR(VLOOKUP(Tabla4[[#This Row],[Prioridad]],Tabla3[#All],2,0),"")</f>
        <v/>
      </c>
      <c r="C47" s="86" t="str">
        <f>IFERROR(VLOOKUP(Tabla4[[#This Row],[Prioridad]],Tabla3[#All],17,0),"")</f>
        <v/>
      </c>
      <c r="D47" s="86" t="str">
        <f>IFERROR(VLOOKUP(Tabla4[[#This Row],[Prioridad]],Tabla3[#All],6,0),"")</f>
        <v/>
      </c>
      <c r="E47" s="86" t="str">
        <f>+IFERROR(VLOOKUP(Tabla4[[#This Row],[Tarea]],Tabla3[[Num_Ticket]:[Descripción]],2,0),"")</f>
        <v/>
      </c>
      <c r="F47" s="47" t="str">
        <f>IFERROR(VLOOKUP(Tabla4[[#This Row],[Prioridad]],Tabla3[#All],14,0),"")</f>
        <v/>
      </c>
      <c r="G47" s="47" t="str">
        <f>IF(Tabla4[[#This Row],[Prioridad]]&lt;&gt;"",SUM(W47:KT47),"")</f>
        <v/>
      </c>
      <c r="H47" s="47" t="str">
        <f>IF(Tabla4[[#This Row],[Prioridad]]&lt;&gt;"",Tabla4[[#This Row],[Horas Estimadas]]-Tabla4[[#This Row],[Ejecutadas]],"")</f>
        <v/>
      </c>
      <c r="I47" s="46" t="str">
        <f>IFERROR(VLOOKUP(Tabla4[[#This Row],[Prioridad]],Tabla3[#All],18,0),"")</f>
        <v/>
      </c>
      <c r="J47" s="32" t="str">
        <f>IFERROR(VLOOKUP(Tabla4[[#This Row],[Prioridad]],Tabla3[#All],20,0),"")</f>
        <v/>
      </c>
      <c r="K47" s="62" t="str">
        <f>IFERROR(VLOOKUP(Tabla4[[#This Row],[Prioridad]],Tabla3[#All],19,0),"")</f>
        <v/>
      </c>
      <c r="L47" s="60" t="str">
        <f>IFERROR(VLOOKUP(Tabla4[[#This Row],[Prioridad]],Tabla3[#All],9,0),"")</f>
        <v/>
      </c>
      <c r="M47" s="93"/>
      <c r="N47" s="35"/>
      <c r="O47" s="69" t="str">
        <f>IFERROR(VLOOKUP(Tabla4[[#This Row],[Tarea]],Tabla3[[#All],[Num_Ticket]:[Hito]],5,0),"")</f>
        <v/>
      </c>
      <c r="P47" s="124" t="s">
        <v>80</v>
      </c>
      <c r="Q47" s="47" t="str">
        <f>IF(Tabla4[[#This Row],[Prioridad]]="","",IF(Tabla4[[#This Row],[Hito]]&lt;&gt;"",COUNTIFS(Tabla4[Responsable],Tabla4[[#This Row],[Responsable]],Tabla4[Sprint],Tabla4[[#This Row],[Sprint]],Tabla4[Epica],Tabla4[[#This Row],[Epica]])))</f>
        <v/>
      </c>
      <c r="R47" s="7" t="str">
        <f>IF(Tabla4[[#This Row],[Prioridad]]="","",1*Tabla4[[#This Row],[% Avance]])</f>
        <v/>
      </c>
      <c r="S47" s="47">
        <f>IFERROR(Tabla4[[#This Row],[Total Avance]]/Tabla4[[#This Row],[Conteo_Epica]],0)</f>
        <v>0</v>
      </c>
      <c r="T47" s="78"/>
      <c r="U47" s="79"/>
      <c r="V47" s="89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11"/>
      <c r="AQ47" s="10"/>
      <c r="AR47" s="7"/>
      <c r="AS47" s="7"/>
      <c r="AT47" s="7"/>
      <c r="AU47" s="11"/>
      <c r="AV47" s="10"/>
      <c r="AW47" s="7"/>
      <c r="AX47" s="7"/>
      <c r="AY47" s="7"/>
      <c r="AZ47" s="11"/>
      <c r="BA47" s="10"/>
      <c r="BB47" s="7"/>
      <c r="BC47" s="7"/>
      <c r="BD47" s="7"/>
      <c r="BE47" s="11"/>
      <c r="BF47" s="10"/>
      <c r="BG47" s="7"/>
      <c r="BH47" s="7"/>
      <c r="BI47" s="7"/>
      <c r="BJ47" s="11"/>
      <c r="BK47" s="5"/>
      <c r="BL47" s="10"/>
      <c r="BM47" s="7"/>
      <c r="BN47" s="7"/>
      <c r="BO47" s="7"/>
      <c r="BP47" s="7"/>
      <c r="BQ47" s="10"/>
      <c r="BR47" s="7"/>
      <c r="BS47" s="7"/>
      <c r="BT47" s="7"/>
      <c r="BU47" s="11"/>
      <c r="BV47" s="10"/>
      <c r="BW47" s="7"/>
      <c r="BX47" s="7"/>
      <c r="BY47" s="7"/>
      <c r="BZ47" s="11"/>
      <c r="CA47" s="7"/>
      <c r="CB47" s="7"/>
      <c r="CC47" s="7"/>
      <c r="CD47" s="11"/>
      <c r="CE47" s="10"/>
      <c r="CF47" s="7"/>
      <c r="CG47" s="11"/>
      <c r="CH47" s="80"/>
      <c r="CI47" s="10"/>
      <c r="CJ47" s="7"/>
      <c r="CK47" s="7"/>
      <c r="CL47" s="7"/>
      <c r="CM47" s="7"/>
      <c r="CN47" s="10"/>
      <c r="CO47" s="7"/>
      <c r="CP47" s="7"/>
      <c r="CQ47" s="7"/>
      <c r="CR47" s="11"/>
      <c r="CS47" s="10"/>
      <c r="CT47" s="7"/>
      <c r="CU47" s="7"/>
      <c r="CV47" s="7"/>
      <c r="CW47" s="11"/>
      <c r="CX47" s="7"/>
      <c r="CY47" s="7"/>
      <c r="CZ47" s="7"/>
      <c r="DA47" s="7"/>
      <c r="DB47" s="11"/>
      <c r="DC47" s="80"/>
      <c r="DD47" s="10"/>
      <c r="DE47" s="7"/>
      <c r="DF47" s="7"/>
      <c r="DG47" s="7"/>
      <c r="DH47" s="7"/>
      <c r="DI47" s="10"/>
      <c r="DJ47" s="7"/>
      <c r="DK47" s="7"/>
      <c r="DL47" s="7"/>
      <c r="DM47" s="11"/>
      <c r="DN47" s="10"/>
      <c r="DO47" s="7"/>
      <c r="DP47" s="7"/>
      <c r="DQ47" s="7"/>
      <c r="DR47" s="11"/>
      <c r="DS47" s="7"/>
      <c r="DT47" s="7"/>
      <c r="DU47" s="7"/>
      <c r="DV47" s="7"/>
      <c r="DW47" s="11"/>
      <c r="DX47" s="96"/>
      <c r="DY47" s="7"/>
      <c r="DZ47" s="11"/>
      <c r="EA47" s="80"/>
      <c r="EB47" s="10"/>
      <c r="EC47" s="7"/>
      <c r="ED47" s="7"/>
      <c r="EE47" s="11"/>
      <c r="EF47" s="7"/>
      <c r="EG47" s="10"/>
      <c r="EH47" s="7"/>
      <c r="EI47" s="7"/>
      <c r="EJ47" s="11"/>
      <c r="EK47" s="7"/>
      <c r="EL47" s="10"/>
      <c r="EM47" s="7"/>
      <c r="EN47" s="7"/>
      <c r="EO47" s="11"/>
      <c r="EP47" s="7"/>
      <c r="EQ47" s="10"/>
      <c r="ER47" s="7"/>
      <c r="ES47" s="7"/>
      <c r="ET47" s="7"/>
      <c r="EU47" s="11"/>
      <c r="EV47" s="96"/>
      <c r="EW47" s="10"/>
      <c r="EX47" s="7"/>
      <c r="EY47" s="7"/>
      <c r="EZ47" s="7"/>
      <c r="FA47" s="103"/>
      <c r="FB47" s="107"/>
      <c r="FC47" s="10"/>
      <c r="FD47" s="7"/>
      <c r="FE47" s="7"/>
      <c r="FF47" s="7"/>
      <c r="FG47" s="96"/>
      <c r="FH47" s="10"/>
      <c r="FI47" s="7"/>
      <c r="FJ47" s="7"/>
      <c r="FK47" s="7"/>
      <c r="FL47" s="11"/>
      <c r="FM47" s="96"/>
      <c r="FN47" s="10"/>
      <c r="FO47" s="7"/>
      <c r="FP47" s="7"/>
      <c r="FQ47" s="7"/>
      <c r="FR47" s="96"/>
      <c r="FS47" s="10"/>
      <c r="FT47" s="7"/>
      <c r="FU47" s="7"/>
      <c r="FV47" s="7"/>
      <c r="FW47" s="7"/>
      <c r="FX47" s="96"/>
      <c r="FY47" s="114"/>
      <c r="FZ47" s="7"/>
      <c r="GA47" s="7"/>
      <c r="GB47" s="7"/>
      <c r="GC47" s="7"/>
      <c r="GD47" s="115"/>
      <c r="GE47" s="10"/>
      <c r="GF47" s="7"/>
      <c r="GG47" s="7"/>
      <c r="GH47" s="7"/>
      <c r="GI47" s="11"/>
      <c r="GJ47" s="10"/>
      <c r="GK47" s="10"/>
      <c r="GL47" s="7"/>
      <c r="GM47" s="7"/>
      <c r="GN47" s="11"/>
      <c r="GO47" s="96"/>
      <c r="GP47" s="10"/>
      <c r="GQ47" s="7"/>
      <c r="GR47" s="7"/>
      <c r="GS47" s="7"/>
      <c r="GT47" s="11"/>
      <c r="GU47" s="96"/>
      <c r="GV47" s="114"/>
      <c r="GW47" s="7"/>
      <c r="GX47" s="7"/>
      <c r="GY47" s="7"/>
      <c r="GZ47" s="7"/>
      <c r="HA47" s="10"/>
      <c r="HB47" s="10"/>
      <c r="HC47" s="7"/>
      <c r="HD47" s="7"/>
      <c r="HE47" s="7"/>
      <c r="HF47" s="7"/>
      <c r="HG47" s="7"/>
      <c r="HH47" s="96"/>
      <c r="HI47" s="10"/>
      <c r="HJ47" s="7"/>
      <c r="HK47" s="7"/>
      <c r="HL47" s="7"/>
      <c r="HM47" s="7"/>
      <c r="HN47" s="7"/>
      <c r="HO47" s="10"/>
      <c r="HP47" s="10"/>
      <c r="HQ47" s="7"/>
      <c r="HR47" s="7"/>
      <c r="HS47" s="7"/>
      <c r="HT47" s="7"/>
      <c r="HU47" s="11"/>
      <c r="HV47" s="7"/>
      <c r="HW47" s="10"/>
      <c r="HX47" s="7"/>
      <c r="HY47" s="103"/>
      <c r="HZ47" s="7"/>
      <c r="IA47" s="7"/>
      <c r="IB47" s="11"/>
      <c r="IC47" s="11"/>
      <c r="ID47" s="7"/>
      <c r="IE47" s="7"/>
      <c r="IF47" s="7"/>
      <c r="IG47" s="7"/>
      <c r="IH47" s="7"/>
      <c r="II47" s="7"/>
      <c r="IJ47" s="96"/>
      <c r="IK47" s="10"/>
      <c r="IL47" s="7"/>
      <c r="IM47" s="7"/>
      <c r="IN47" s="7"/>
      <c r="IO47" s="7"/>
      <c r="IP47" s="11"/>
      <c r="IQ47" s="96"/>
      <c r="IR47" s="7"/>
      <c r="IS47" s="7"/>
      <c r="IT47" s="7"/>
      <c r="IU47" s="7"/>
      <c r="IV47" s="7"/>
      <c r="IW47" s="7"/>
      <c r="IX47" s="7"/>
      <c r="IY47" s="7"/>
      <c r="IZ47" s="7"/>
      <c r="JA47" s="103"/>
      <c r="JB47" s="7"/>
      <c r="JC47" s="7"/>
      <c r="JD47" s="7"/>
      <c r="JE47" s="7"/>
      <c r="JF47" s="7"/>
      <c r="JG47" s="7"/>
      <c r="JH47" s="7"/>
      <c r="JI47" s="7"/>
      <c r="JJ47" s="7"/>
      <c r="JK47" s="7"/>
      <c r="JL47" s="7"/>
      <c r="JM47" s="7"/>
      <c r="JN47" s="7"/>
      <c r="JO47" s="7"/>
      <c r="JP47" s="7"/>
      <c r="JQ47" s="7"/>
      <c r="JR47" s="7"/>
      <c r="JS47" s="7"/>
      <c r="JT47" s="7"/>
      <c r="JU47" s="7"/>
      <c r="JV47" s="7"/>
      <c r="JW47" s="7"/>
      <c r="JX47" s="103"/>
      <c r="JY47" s="7"/>
      <c r="JZ47" s="7"/>
      <c r="KA47" s="7"/>
      <c r="KB47" s="7"/>
      <c r="KC47" s="7"/>
      <c r="KD47" s="7"/>
      <c r="KE47" s="7"/>
      <c r="KF47" s="7"/>
      <c r="KG47" s="7"/>
      <c r="KH47" s="7"/>
      <c r="KI47" s="7"/>
      <c r="KJ47" s="7"/>
      <c r="KK47" s="7"/>
      <c r="KL47" s="7"/>
      <c r="KM47" s="7"/>
      <c r="KN47" s="7"/>
      <c r="KO47" s="7"/>
      <c r="KP47" s="7"/>
      <c r="KQ47" s="7"/>
      <c r="KR47" s="7"/>
      <c r="KS47" s="7"/>
      <c r="KT47" s="7"/>
      <c r="KU47" s="103"/>
      <c r="KV47" s="7"/>
      <c r="KW47" s="7"/>
      <c r="KX47" s="7"/>
      <c r="KY47" s="7"/>
      <c r="KZ47" s="7"/>
      <c r="LA47" s="7"/>
      <c r="LB47" s="7"/>
      <c r="LC47" s="7"/>
      <c r="LD47" s="7"/>
      <c r="LE47" s="7"/>
      <c r="LF47" s="7"/>
      <c r="LG47" s="7"/>
      <c r="LH47" s="7"/>
      <c r="LI47" s="7"/>
      <c r="LJ47" s="102"/>
      <c r="LK47" s="102"/>
      <c r="LL47" s="102"/>
      <c r="LM47" s="102"/>
      <c r="LN47" s="102"/>
      <c r="LO47" s="102"/>
      <c r="LP47" s="102"/>
      <c r="LQ47" s="102"/>
      <c r="LR47" s="102"/>
    </row>
    <row r="48" spans="1:330" ht="9" customHeight="1" x14ac:dyDescent="0.25">
      <c r="A48" s="33"/>
      <c r="B48" s="67" t="str">
        <f>IFERROR(VLOOKUP(Tabla4[[#This Row],[Prioridad]],Tabla3[#All],2,0),"")</f>
        <v/>
      </c>
      <c r="C48" s="87" t="str">
        <f>IFERROR(VLOOKUP(Tabla4[[#This Row],[Prioridad]],Tabla3[#All],17,0),"")</f>
        <v/>
      </c>
      <c r="D48" s="87" t="str">
        <f>IFERROR(VLOOKUP(Tabla4[[#This Row],[Prioridad]],Tabla3[#All],6,0),"")</f>
        <v/>
      </c>
      <c r="E48" s="87" t="str">
        <f>+IFERROR(VLOOKUP(Tabla4[[#This Row],[Tarea]],Tabla3[[Num_Ticket]:[Descripción]],2,0),"")</f>
        <v/>
      </c>
      <c r="F48" s="34" t="str">
        <f>IFERROR(VLOOKUP(Tabla4[[#This Row],[Prioridad]],Tabla3[#All],14,0),"")</f>
        <v/>
      </c>
      <c r="G48" s="34" t="str">
        <f>IF(Tabla4[[#This Row],[Prioridad]]&lt;&gt;"",SUM(W48:KT48),"")</f>
        <v/>
      </c>
      <c r="H48" s="34" t="str">
        <f>IF(Tabla4[[#This Row],[Prioridad]]&lt;&gt;"",Tabla4[[#This Row],[Horas Estimadas]]-Tabla4[[#This Row],[Ejecutadas]],"")</f>
        <v/>
      </c>
      <c r="I48" s="67" t="str">
        <f>IFERROR(VLOOKUP(Tabla4[[#This Row],[Prioridad]],Tabla3[#All],18,0),"")</f>
        <v/>
      </c>
      <c r="J48" s="33" t="str">
        <f>IFERROR(VLOOKUP(Tabla4[[#This Row],[Prioridad]],Tabla3[#All],20,0),"")</f>
        <v/>
      </c>
      <c r="K48" s="67" t="str">
        <f>IFERROR(VLOOKUP(Tabla4[[#This Row],[Prioridad]],Tabla3[#All],19,0),"")</f>
        <v/>
      </c>
      <c r="L48" s="63" t="str">
        <f>IFERROR(VLOOKUP(Tabla4[[#This Row],[Prioridad]],Tabla3[#All],9,0),"")</f>
        <v/>
      </c>
      <c r="M48" s="52"/>
      <c r="N48" s="53"/>
      <c r="O48" s="70"/>
      <c r="P48" s="70" t="str">
        <f>IFERROR(VLOOKUP(Tabla4[[#This Row],[Tarea]],Tabla3[[#All],[Num_Ticket]:[Hito]],6,0),"")</f>
        <v/>
      </c>
      <c r="Q48" s="34" t="str">
        <f>IF(Tabla4[[#This Row],[Prioridad]]="","",IF(Tabla4[[#This Row],[Hito]]&lt;&gt;"",COUNTIFS(Tabla4[Responsable],Tabla4[[#This Row],[Responsable]],Tabla4[Sprint],Tabla4[[#This Row],[Sprint]],Tabla4[Epica],Tabla4[[#This Row],[Epica]])))</f>
        <v/>
      </c>
      <c r="R48" s="70" t="str">
        <f>IF(Tabla4[[#This Row],[Prioridad]]="","",1*Tabla4[[#This Row],[% Avance]])</f>
        <v/>
      </c>
      <c r="S48" s="70"/>
      <c r="T48" s="34"/>
      <c r="U48" s="74"/>
      <c r="V48" s="84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11"/>
      <c r="AQ48" s="10"/>
      <c r="AR48" s="7"/>
      <c r="AS48" s="7"/>
      <c r="AT48" s="7"/>
      <c r="AU48" s="11"/>
      <c r="AV48" s="10"/>
      <c r="AW48" s="7"/>
      <c r="AX48" s="7"/>
      <c r="AY48" s="7"/>
      <c r="AZ48" s="11"/>
      <c r="BA48" s="10"/>
      <c r="BB48" s="7"/>
      <c r="BC48" s="7"/>
      <c r="BD48" s="7"/>
      <c r="BE48" s="11"/>
      <c r="BF48" s="10"/>
      <c r="BG48" s="7"/>
      <c r="BH48" s="7"/>
      <c r="BI48" s="7"/>
      <c r="BJ48" s="11"/>
      <c r="BK48" s="5"/>
      <c r="BL48" s="10"/>
      <c r="BM48" s="7"/>
      <c r="BN48" s="7"/>
      <c r="BO48" s="7"/>
      <c r="BP48" s="7"/>
      <c r="BQ48" s="10"/>
      <c r="BR48" s="7"/>
      <c r="BS48" s="7"/>
      <c r="BT48" s="7"/>
      <c r="BU48" s="11"/>
      <c r="BV48" s="10"/>
      <c r="BW48" s="7"/>
      <c r="BX48" s="7"/>
      <c r="BY48" s="7"/>
      <c r="BZ48" s="11"/>
      <c r="CA48" s="7"/>
      <c r="CB48" s="7"/>
      <c r="CC48" s="7"/>
      <c r="CD48" s="11"/>
      <c r="CE48" s="10"/>
      <c r="CF48" s="7"/>
      <c r="CG48" s="11"/>
      <c r="CH48" s="80"/>
      <c r="CI48" s="10"/>
      <c r="CJ48" s="7"/>
      <c r="CK48" s="7"/>
      <c r="CL48" s="7"/>
      <c r="CM48" s="7"/>
      <c r="CN48" s="10"/>
      <c r="CO48" s="7"/>
      <c r="CP48" s="7"/>
      <c r="CQ48" s="7"/>
      <c r="CR48" s="11"/>
      <c r="CS48" s="10"/>
      <c r="CT48" s="7"/>
      <c r="CU48" s="7"/>
      <c r="CV48" s="7"/>
      <c r="CW48" s="11"/>
      <c r="CX48" s="7"/>
      <c r="CY48" s="7"/>
      <c r="CZ48" s="7"/>
      <c r="DA48" s="7"/>
      <c r="DB48" s="11"/>
      <c r="DC48" s="80"/>
      <c r="DD48" s="10"/>
      <c r="DE48" s="7"/>
      <c r="DF48" s="7"/>
      <c r="DG48" s="7"/>
      <c r="DH48" s="7"/>
      <c r="DI48" s="10"/>
      <c r="DJ48" s="7"/>
      <c r="DK48" s="7"/>
      <c r="DL48" s="7"/>
      <c r="DM48" s="11"/>
      <c r="DN48" s="10"/>
      <c r="DO48" s="7"/>
      <c r="DP48" s="7"/>
      <c r="DQ48" s="7"/>
      <c r="DR48" s="11"/>
      <c r="DS48" s="7"/>
      <c r="DT48" s="7"/>
      <c r="DU48" s="7"/>
      <c r="DV48" s="7"/>
      <c r="DW48" s="11"/>
      <c r="DX48" s="96"/>
      <c r="DY48" s="7"/>
      <c r="DZ48" s="11"/>
      <c r="EA48" s="80"/>
      <c r="EB48" s="10"/>
      <c r="EC48" s="7"/>
      <c r="ED48" s="7"/>
      <c r="EE48" s="11"/>
      <c r="EF48" s="7"/>
      <c r="EG48" s="10"/>
      <c r="EH48" s="7"/>
      <c r="EI48" s="7"/>
      <c r="EJ48" s="11"/>
      <c r="EK48" s="7"/>
      <c r="EL48" s="10"/>
      <c r="EM48" s="7"/>
      <c r="EN48" s="7"/>
      <c r="EO48" s="11"/>
      <c r="EP48" s="7"/>
      <c r="EQ48" s="10"/>
      <c r="ER48" s="7"/>
      <c r="ES48" s="7"/>
      <c r="ET48" s="7"/>
      <c r="EU48" s="11"/>
      <c r="EV48" s="96"/>
      <c r="EW48" s="10"/>
      <c r="EX48" s="7"/>
      <c r="EY48" s="7"/>
      <c r="EZ48" s="7"/>
      <c r="FA48" s="103"/>
      <c r="FB48" s="107"/>
      <c r="FC48" s="10"/>
      <c r="FD48" s="7"/>
      <c r="FE48" s="7"/>
      <c r="FF48" s="7"/>
      <c r="FG48" s="96"/>
      <c r="FH48" s="10"/>
      <c r="FI48" s="7"/>
      <c r="FJ48" s="7"/>
      <c r="FK48" s="7"/>
      <c r="FL48" s="11"/>
      <c r="FM48" s="96"/>
      <c r="FN48" s="10"/>
      <c r="FO48" s="7"/>
      <c r="FP48" s="7"/>
      <c r="FQ48" s="7"/>
      <c r="FR48" s="96"/>
      <c r="FS48" s="10"/>
      <c r="FT48" s="7"/>
      <c r="FU48" s="7"/>
      <c r="FV48" s="7"/>
      <c r="FW48" s="7"/>
      <c r="FX48" s="96"/>
      <c r="FY48" s="114"/>
      <c r="FZ48" s="7"/>
      <c r="GA48" s="7"/>
      <c r="GB48" s="7"/>
      <c r="GC48" s="7"/>
      <c r="GD48" s="96"/>
      <c r="GE48" s="10"/>
      <c r="GF48" s="7"/>
      <c r="GG48" s="7"/>
      <c r="GH48" s="7"/>
      <c r="GI48" s="11"/>
      <c r="GJ48" s="10"/>
      <c r="GK48" s="10"/>
      <c r="GL48" s="7"/>
      <c r="GM48" s="7"/>
      <c r="GN48" s="11"/>
      <c r="GO48" s="96"/>
      <c r="GP48" s="10"/>
      <c r="GQ48" s="7"/>
      <c r="GR48" s="7"/>
      <c r="GS48" s="7"/>
      <c r="GT48" s="11"/>
      <c r="GU48" s="96"/>
      <c r="GV48" s="114"/>
      <c r="GW48" s="7"/>
      <c r="GX48" s="7"/>
      <c r="GY48" s="7"/>
      <c r="GZ48" s="7"/>
      <c r="HA48" s="10"/>
      <c r="HB48" s="10"/>
      <c r="HC48" s="7"/>
      <c r="HD48" s="7"/>
      <c r="HE48" s="7"/>
      <c r="HF48" s="7"/>
      <c r="HG48" s="7"/>
      <c r="HH48" s="96"/>
      <c r="HI48" s="10"/>
      <c r="HJ48" s="7"/>
      <c r="HK48" s="7"/>
      <c r="HL48" s="7"/>
      <c r="HM48" s="7"/>
      <c r="HN48" s="7"/>
      <c r="HO48" s="127"/>
      <c r="HP48" s="127"/>
      <c r="HQ48" s="128"/>
      <c r="HR48" s="128"/>
      <c r="HS48" s="128"/>
      <c r="HT48" s="128"/>
      <c r="HU48" s="129"/>
      <c r="HV48" s="128"/>
      <c r="HW48" s="127"/>
      <c r="HX48" s="128"/>
      <c r="HY48" s="190"/>
      <c r="HZ48" s="128"/>
      <c r="IA48" s="128"/>
      <c r="IB48" s="129"/>
      <c r="IC48" s="11"/>
      <c r="ID48" s="7"/>
      <c r="IE48" s="7"/>
      <c r="IF48" s="7"/>
      <c r="IG48" s="7"/>
      <c r="IH48" s="7"/>
      <c r="II48" s="7"/>
      <c r="IJ48" s="118"/>
      <c r="IK48" s="10"/>
      <c r="IL48" s="7"/>
      <c r="IM48" s="7"/>
      <c r="IN48" s="7"/>
      <c r="IO48" s="7"/>
      <c r="IP48" s="11"/>
      <c r="IQ48" s="118"/>
      <c r="IR48" s="7"/>
      <c r="IS48" s="7"/>
      <c r="IT48" s="7"/>
      <c r="IU48" s="7"/>
      <c r="IV48" s="7"/>
      <c r="IW48" s="7"/>
      <c r="IX48" s="7"/>
      <c r="IY48" s="7"/>
      <c r="IZ48" s="7"/>
      <c r="JA48" s="103"/>
      <c r="JB48" s="7"/>
      <c r="JC48" s="7"/>
      <c r="JD48" s="7"/>
      <c r="JE48" s="7"/>
      <c r="JF48" s="7"/>
      <c r="JG48" s="7"/>
      <c r="JH48" s="7"/>
      <c r="JI48" s="7"/>
      <c r="JJ48" s="7"/>
      <c r="JK48" s="7"/>
      <c r="JL48" s="7"/>
      <c r="JM48" s="7"/>
      <c r="JN48" s="7"/>
      <c r="JO48" s="7"/>
      <c r="JP48" s="7"/>
      <c r="JQ48" s="7"/>
      <c r="JR48" s="7"/>
      <c r="JS48" s="7"/>
      <c r="JT48" s="7"/>
      <c r="JU48" s="7"/>
      <c r="JV48" s="7"/>
      <c r="JW48" s="7"/>
      <c r="JX48" s="103"/>
      <c r="JY48" s="7"/>
      <c r="JZ48" s="7"/>
      <c r="KA48" s="7"/>
      <c r="KB48" s="7"/>
      <c r="KC48" s="7"/>
      <c r="KD48" s="7"/>
      <c r="KE48" s="7"/>
      <c r="KF48" s="7"/>
      <c r="KG48" s="7"/>
      <c r="KH48" s="7"/>
      <c r="KI48" s="7"/>
      <c r="KJ48" s="7"/>
      <c r="KK48" s="7"/>
      <c r="KL48" s="7"/>
      <c r="KM48" s="7"/>
      <c r="KN48" s="7"/>
      <c r="KO48" s="7"/>
      <c r="KP48" s="7"/>
      <c r="KQ48" s="7"/>
      <c r="KR48" s="7"/>
      <c r="KS48" s="7"/>
      <c r="KT48" s="7"/>
      <c r="KU48" s="103"/>
      <c r="KV48" s="7"/>
      <c r="KW48" s="7"/>
      <c r="KX48" s="7"/>
      <c r="KY48" s="7"/>
      <c r="KZ48" s="7"/>
      <c r="LA48" s="7"/>
      <c r="LB48" s="7"/>
      <c r="LC48" s="7"/>
      <c r="LD48" s="7"/>
      <c r="LE48" s="7"/>
      <c r="LF48" s="7"/>
      <c r="LG48" s="7"/>
      <c r="LH48" s="7"/>
      <c r="LI48" s="7"/>
      <c r="LJ48" s="102"/>
      <c r="LK48" s="102"/>
      <c r="LL48" s="102"/>
      <c r="LM48" s="102"/>
      <c r="LN48" s="102"/>
      <c r="LO48" s="102"/>
      <c r="LP48" s="102"/>
      <c r="LQ48" s="102"/>
      <c r="LR48" s="102"/>
    </row>
    <row r="49" spans="1:330" x14ac:dyDescent="0.25">
      <c r="A49" s="31" t="s">
        <v>10</v>
      </c>
      <c r="B49" s="31"/>
      <c r="C49" s="39"/>
      <c r="W49" s="31"/>
      <c r="X49" s="31"/>
      <c r="Y49" s="31"/>
      <c r="Z49" s="31"/>
      <c r="AA49" s="6"/>
      <c r="AB49" s="2">
        <f>SUM(W6:W10)</f>
        <v>0</v>
      </c>
      <c r="AC49" s="2">
        <f>SUM(X6:X10)</f>
        <v>0</v>
      </c>
      <c r="AD49" s="2">
        <f>SUM(Y6:Y10)</f>
        <v>0</v>
      </c>
      <c r="AE49" s="2">
        <f>SUM(Z6:Z10)</f>
        <v>0</v>
      </c>
      <c r="AF49" s="2">
        <f>SUM(AA6:AA10)</f>
        <v>0</v>
      </c>
      <c r="AG49" s="2">
        <f>SUM(AB6:AB10)</f>
        <v>0</v>
      </c>
      <c r="AH49" s="2">
        <f>SUM(AC6:AC10)</f>
        <v>0</v>
      </c>
      <c r="AI49" s="2">
        <f>SUM(AD6:AD10)</f>
        <v>0</v>
      </c>
      <c r="AJ49" s="2">
        <f>SUM(AE6:AE10)</f>
        <v>0</v>
      </c>
      <c r="AK49" s="2">
        <f>SUM(AF6:AF10)</f>
        <v>0</v>
      </c>
      <c r="AL49" s="2">
        <f>SUM(AG6:AG10)</f>
        <v>0</v>
      </c>
      <c r="AM49" s="2">
        <f>SUM(AH6:AH10)</f>
        <v>0</v>
      </c>
      <c r="AN49" s="2">
        <f>SUM(AI6:AI10)</f>
        <v>0</v>
      </c>
      <c r="AO49" s="2">
        <f>SUM(AJ6:AJ10)</f>
        <v>0</v>
      </c>
      <c r="AP49" s="2">
        <f>SUM(AQ6:AQ10)</f>
        <v>0</v>
      </c>
      <c r="AQ49" s="4">
        <f>SUM(AQ6:AQ47)</f>
        <v>0</v>
      </c>
      <c r="AR49" s="4">
        <f>SUM(AR6:AR47)</f>
        <v>0</v>
      </c>
      <c r="AS49" s="4">
        <f>SUM(AS6:AS47)</f>
        <v>0</v>
      </c>
      <c r="AT49" s="4">
        <f>SUM(AT6:AT47)</f>
        <v>0</v>
      </c>
      <c r="AU49" s="4">
        <f>SUM(AU6:AU47)</f>
        <v>0</v>
      </c>
      <c r="AV49" s="4">
        <f>SUM(AV6:AV47)</f>
        <v>0</v>
      </c>
      <c r="AW49" s="4">
        <f>SUM(AW6:AW47)</f>
        <v>0</v>
      </c>
      <c r="AX49" s="4">
        <f>SUM(AX6:AX47)</f>
        <v>0</v>
      </c>
      <c r="AY49" s="4">
        <f>SUM(AY6:AY47)</f>
        <v>0</v>
      </c>
      <c r="AZ49" s="4">
        <f>SUM(AZ6:AZ47)</f>
        <v>0</v>
      </c>
      <c r="BA49" s="4">
        <f>SUM(BA6:BA47)</f>
        <v>0</v>
      </c>
      <c r="BB49" s="4">
        <f>SUM(BB6:BB47)</f>
        <v>0</v>
      </c>
      <c r="BC49" s="4">
        <f>SUM(BC6:BC47)</f>
        <v>0</v>
      </c>
      <c r="BD49" s="4">
        <f>SUM(BD6:BD47)</f>
        <v>0</v>
      </c>
      <c r="BE49" s="4">
        <f>SUM(BE6:BE47)</f>
        <v>0</v>
      </c>
      <c r="BF49" s="4">
        <f>SUM(BF6:BF47)</f>
        <v>0</v>
      </c>
      <c r="BG49" s="4">
        <f>SUM(BG6:BG47)</f>
        <v>0</v>
      </c>
      <c r="BH49" s="4">
        <f>SUM(BH6:BH47)</f>
        <v>0</v>
      </c>
      <c r="BI49" s="4">
        <f>SUM(BI6:BI47)</f>
        <v>0</v>
      </c>
      <c r="BJ49" s="4">
        <f>SUM(BJ6:BJ47)</f>
        <v>0</v>
      </c>
      <c r="BK49" s="56"/>
      <c r="BL49" s="4">
        <f>SUM(BL6:BL47)</f>
        <v>0</v>
      </c>
      <c r="BM49" s="4">
        <f>SUM(BM6:BM47)</f>
        <v>0</v>
      </c>
      <c r="BN49" s="4">
        <f>SUM(BN6:BN47)</f>
        <v>0</v>
      </c>
      <c r="BO49" s="4">
        <f>SUM(BO6:BO47)</f>
        <v>0</v>
      </c>
      <c r="BP49" s="4">
        <f>SUM(BP6:BP47)</f>
        <v>0</v>
      </c>
      <c r="BQ49" s="4">
        <f>SUM(BQ6:BQ47)</f>
        <v>0</v>
      </c>
      <c r="BR49" s="4">
        <f>SUM(BR6:BR47)</f>
        <v>0</v>
      </c>
      <c r="BS49" s="4">
        <f>SUM(BS6:BS47)</f>
        <v>0</v>
      </c>
      <c r="BT49" s="4">
        <f>SUM(BT6:BT47)</f>
        <v>0</v>
      </c>
      <c r="BU49" s="4">
        <f>SUM(BU6:BU47)</f>
        <v>0</v>
      </c>
      <c r="BV49" s="4">
        <f>SUM(BV6:BV47)</f>
        <v>0</v>
      </c>
      <c r="BW49" s="4">
        <f>SUM(BW6:BW47)</f>
        <v>0</v>
      </c>
      <c r="BX49" s="4">
        <f>SUM(BX6:BX47)</f>
        <v>0</v>
      </c>
      <c r="BY49" s="4">
        <f>SUM(BY6:BY47)</f>
        <v>0</v>
      </c>
      <c r="BZ49" s="4">
        <f>SUM(BZ6:BZ47)</f>
        <v>0</v>
      </c>
      <c r="CA49" s="4">
        <f>SUM(CA6:CA47)</f>
        <v>0</v>
      </c>
      <c r="CB49" s="4">
        <f>SUM(CB6:CB47)</f>
        <v>0</v>
      </c>
      <c r="CC49" s="4">
        <f>SUM(CC6:CC47)</f>
        <v>0</v>
      </c>
      <c r="CD49" s="2">
        <f>SUM(CD6:CD47)</f>
        <v>0</v>
      </c>
      <c r="CE49" s="2">
        <f>SUM(CE6:CE47)</f>
        <v>0</v>
      </c>
      <c r="CF49" s="2">
        <f>SUM(CF6:CF47)</f>
        <v>0</v>
      </c>
      <c r="CG49" s="2">
        <f>SUM(CG6:CG47)</f>
        <v>0</v>
      </c>
      <c r="CH49" s="40"/>
      <c r="CI49" s="4">
        <f>SUM(CI6:CI47)</f>
        <v>0</v>
      </c>
      <c r="CJ49" s="4">
        <f>SUM(CJ6:CJ47)</f>
        <v>0</v>
      </c>
      <c r="CK49" s="4">
        <f>SUM(CK6:CK47)</f>
        <v>0</v>
      </c>
      <c r="CL49" s="4">
        <f>SUM(CL6:CL47)</f>
        <v>0</v>
      </c>
      <c r="CM49" s="4">
        <f>SUM(CM6:CM47)</f>
        <v>0</v>
      </c>
      <c r="CN49" s="4">
        <f>SUM(CN6:CN47)</f>
        <v>0</v>
      </c>
      <c r="CO49" s="4">
        <f>SUM(CO6:CO47)</f>
        <v>0</v>
      </c>
      <c r="CP49" s="4">
        <f>SUM(CP6:CP47)</f>
        <v>0</v>
      </c>
      <c r="CQ49" s="4">
        <f>SUM(CQ6:CQ47)</f>
        <v>0</v>
      </c>
      <c r="CR49" s="4">
        <f>SUM(CR6:CR47)</f>
        <v>0</v>
      </c>
      <c r="CS49" s="4">
        <f>SUM(CS6:CS47)</f>
        <v>0</v>
      </c>
      <c r="CT49" s="4">
        <f>SUM(CT6:CT47)</f>
        <v>0</v>
      </c>
      <c r="CU49" s="4">
        <f>SUM(CU6:CU47)</f>
        <v>0</v>
      </c>
      <c r="CV49" s="4">
        <f>SUM(CV6:CV47)</f>
        <v>0</v>
      </c>
      <c r="CW49" s="4">
        <f>SUM(CW6:CW47)</f>
        <v>0</v>
      </c>
      <c r="CX49" s="4">
        <f>SUM(CX6:CX47)</f>
        <v>0</v>
      </c>
      <c r="CY49" s="4">
        <f>SUM(CY6:CY47)</f>
        <v>0</v>
      </c>
      <c r="CZ49" s="4">
        <f>SUM(CZ6:CZ47)</f>
        <v>0</v>
      </c>
      <c r="DA49" s="4">
        <f>SUM(DA6:DA47)</f>
        <v>0</v>
      </c>
      <c r="DB49" s="4">
        <f>SUM(DB6:DB47)</f>
        <v>0</v>
      </c>
      <c r="DC49" s="2"/>
      <c r="DD49" s="4">
        <f>SUM(DD6:DD47)</f>
        <v>0</v>
      </c>
      <c r="DE49" s="4">
        <f>SUM(DE6:DE47)</f>
        <v>0</v>
      </c>
      <c r="DF49" s="4">
        <f>SUM(DF6:DF47)</f>
        <v>0</v>
      </c>
      <c r="DG49" s="4">
        <f>SUM(DG6:DG47)</f>
        <v>0</v>
      </c>
      <c r="DH49" s="4">
        <f>SUM(DH6:DH47)</f>
        <v>0</v>
      </c>
      <c r="DI49" s="2">
        <f>SUM(DI6:DI47)</f>
        <v>0</v>
      </c>
      <c r="DJ49" s="2">
        <f>SUM(DJ6:DJ47)</f>
        <v>0</v>
      </c>
      <c r="DK49" s="2">
        <f>SUM(DK6:DK47)</f>
        <v>0</v>
      </c>
      <c r="DL49" s="2">
        <f>SUM(DL6:DL47)</f>
        <v>0</v>
      </c>
      <c r="DM49" s="2">
        <f>SUM(DM6:DM47)</f>
        <v>0</v>
      </c>
      <c r="DN49" s="2">
        <f>SUM(DN6:DN47)</f>
        <v>0</v>
      </c>
      <c r="DO49" s="2">
        <f>SUM(DO6:DO47)</f>
        <v>0</v>
      </c>
      <c r="DP49" s="2">
        <f>SUM(DP6:DP47)</f>
        <v>0</v>
      </c>
      <c r="DQ49" s="2">
        <f>SUM(DQ6:DQ47)</f>
        <v>0</v>
      </c>
      <c r="DR49" s="2">
        <f>SUM(DR6:DR47)</f>
        <v>0</v>
      </c>
      <c r="DS49" s="2">
        <f>SUM(DS6:DS47)</f>
        <v>0</v>
      </c>
      <c r="DT49" s="2">
        <f>SUM(DT6:DT47)</f>
        <v>0</v>
      </c>
      <c r="DU49" s="2">
        <f>SUM(DU6:DU47)</f>
        <v>0</v>
      </c>
      <c r="DV49" s="2">
        <f>SUM(DV6:DV47)</f>
        <v>0</v>
      </c>
      <c r="DW49" s="2">
        <f>SUM(DW6:DW47)</f>
        <v>0</v>
      </c>
      <c r="DX49" s="2">
        <f>SUM(DX6:DX47)</f>
        <v>0</v>
      </c>
      <c r="DY49" s="56">
        <f>SUM(DY6:DY47)</f>
        <v>0</v>
      </c>
      <c r="DZ49" s="2">
        <f>SUM(DZ6:DZ47)</f>
        <v>0</v>
      </c>
      <c r="EA49" s="2"/>
      <c r="EB49" s="2">
        <f>SUM(EB6:EB47)</f>
        <v>0</v>
      </c>
      <c r="EC49" s="2">
        <f>SUM(EC6:EC47)</f>
        <v>0</v>
      </c>
      <c r="ED49" s="2">
        <f>SUM(ED6:ED47)</f>
        <v>0</v>
      </c>
      <c r="EE49" s="2">
        <f>SUM(EE6:EE47)</f>
        <v>0</v>
      </c>
      <c r="EF49" s="98">
        <f>SUM(EF6:EF47)</f>
        <v>0</v>
      </c>
      <c r="EG49" s="2">
        <f>SUM(EG6:EG47)</f>
        <v>0</v>
      </c>
      <c r="EH49" s="56">
        <f>SUM(EH6:EH47)</f>
        <v>0</v>
      </c>
      <c r="EI49" s="2">
        <f>SUM(EI6:EI47)</f>
        <v>0</v>
      </c>
      <c r="EJ49" s="2">
        <f>SUM(EJ6:EJ47)</f>
        <v>0</v>
      </c>
      <c r="EK49" s="98"/>
      <c r="EL49" s="105">
        <f>SUM(EL6:EL47)</f>
        <v>0</v>
      </c>
      <c r="EM49" s="4">
        <f>SUM(EM6:EM47)</f>
        <v>0</v>
      </c>
      <c r="EN49" s="4">
        <f>SUM(EN6:EN47)</f>
        <v>0</v>
      </c>
      <c r="EO49" s="4">
        <f>SUM(EO6:EO47)</f>
        <v>0</v>
      </c>
      <c r="EP49" s="2">
        <f>SUM(EP6:EP47)</f>
        <v>0</v>
      </c>
      <c r="EQ49" s="2">
        <f>SUM(EQ6:EQ47)</f>
        <v>0</v>
      </c>
      <c r="ER49" s="2">
        <f>SUM(ER6:ER47)</f>
        <v>0</v>
      </c>
      <c r="ES49" s="2">
        <f>SUM(ES6:ES47)</f>
        <v>0</v>
      </c>
      <c r="ET49" s="2">
        <f>SUM(ET6:ET47)</f>
        <v>0</v>
      </c>
      <c r="EU49" s="2">
        <f>SUM(EU6:EU47)</f>
        <v>0</v>
      </c>
      <c r="EV49" s="2"/>
      <c r="EW49" s="2">
        <f>SUM(EW6:EW47)</f>
        <v>0</v>
      </c>
      <c r="EX49" s="2">
        <f>SUM(EX6:EX47)</f>
        <v>0</v>
      </c>
      <c r="EY49" s="2">
        <f>SUM(EY6:EY47)</f>
        <v>0</v>
      </c>
      <c r="EZ49" s="2">
        <f>SUM(EZ6:EZ47)</f>
        <v>0</v>
      </c>
      <c r="FA49" s="2">
        <f>SUM(FA6:FA47)</f>
        <v>0</v>
      </c>
      <c r="FB49" s="2"/>
      <c r="FC49" s="2">
        <f>SUM(FC6:FC47)</f>
        <v>0</v>
      </c>
      <c r="FD49" s="2">
        <f>SUM(FD6:FD47)</f>
        <v>0</v>
      </c>
      <c r="FE49" s="2">
        <f>SUM(FE6:FE47)</f>
        <v>0</v>
      </c>
      <c r="FF49" s="110">
        <f>SUM(FF6:FF47)</f>
        <v>0</v>
      </c>
      <c r="FG49" s="2"/>
      <c r="FH49" s="2">
        <f>SUM(FH6:FH47)</f>
        <v>0</v>
      </c>
      <c r="FI49" s="2">
        <f>SUM(FI6:FI47)</f>
        <v>0</v>
      </c>
      <c r="FJ49" s="2">
        <f>SUM(FJ6:FJ47)</f>
        <v>0</v>
      </c>
      <c r="FK49" s="2">
        <f>SUM(FK6:FK47)</f>
        <v>0</v>
      </c>
      <c r="FL49" s="2">
        <f>SUM(FL6:FL47)</f>
        <v>0</v>
      </c>
      <c r="FM49" s="2"/>
      <c r="FN49" s="2">
        <f>SUM(FN6:FN47)</f>
        <v>0</v>
      </c>
      <c r="FO49" s="2">
        <f>SUM(FO6:FO47)</f>
        <v>0</v>
      </c>
      <c r="FP49" s="2">
        <f>SUM(FP6:FP47)</f>
        <v>0</v>
      </c>
      <c r="FQ49" s="110">
        <f>SUM(FQ6:FQ47)</f>
        <v>0</v>
      </c>
      <c r="FR49" s="2">
        <f>SUM(FR6:FR47)</f>
        <v>0</v>
      </c>
      <c r="FS49" s="2">
        <f>SUM(FS6:FS47)</f>
        <v>0</v>
      </c>
      <c r="FT49" s="2">
        <f>SUM(FT6:FT47)</f>
        <v>0</v>
      </c>
      <c r="FU49" s="2">
        <f>SUM(FU6:FU47)</f>
        <v>0</v>
      </c>
      <c r="FV49" s="2">
        <f>SUM(FV6:FV47)</f>
        <v>0</v>
      </c>
      <c r="FW49" s="110">
        <f>SUM(FW6:FW47)</f>
        <v>0</v>
      </c>
      <c r="FX49" s="2">
        <f>SUM(FX6:FX47)</f>
        <v>0</v>
      </c>
      <c r="FY49" s="2">
        <f>SUM(FY6:FY47)</f>
        <v>0</v>
      </c>
      <c r="FZ49" s="2">
        <f>SUM(FZ6:FZ47)</f>
        <v>0</v>
      </c>
      <c r="GA49" s="2">
        <f>SUM(GA6:GA47)</f>
        <v>0</v>
      </c>
      <c r="GB49" s="2">
        <f>SUM(GB6:GB47)</f>
        <v>0</v>
      </c>
      <c r="GC49" s="110">
        <f>SUM(GC6:GC47)</f>
        <v>0</v>
      </c>
      <c r="GD49" s="2">
        <f>SUM(GD6:GD47)</f>
        <v>0</v>
      </c>
      <c r="GE49" s="2">
        <f>SUM(GE6:GE47)</f>
        <v>0</v>
      </c>
      <c r="GF49" s="2">
        <f>SUM(GF6:GF47)</f>
        <v>0</v>
      </c>
      <c r="GG49" s="2">
        <f>SUM(GG6:GG47)</f>
        <v>0</v>
      </c>
      <c r="GH49" s="2">
        <f>SUM(GH6:GH47)</f>
        <v>0</v>
      </c>
      <c r="GI49" s="2">
        <f>SUM(GI6:GI47)</f>
        <v>0</v>
      </c>
      <c r="GJ49" s="110">
        <f>SUM(GJ6:GJ47)</f>
        <v>0</v>
      </c>
      <c r="GK49" s="2">
        <f>SUM(GK6:GK47)</f>
        <v>0</v>
      </c>
      <c r="GL49" s="2">
        <f>SUM(GL6:GL47)</f>
        <v>0</v>
      </c>
      <c r="GM49" s="2">
        <f>SUM(GM6:GM47)</f>
        <v>0</v>
      </c>
      <c r="GN49" s="2">
        <f>SUM(GN6:GN47)</f>
        <v>0</v>
      </c>
      <c r="GO49" s="118">
        <f>SUM(GO6:GO47)</f>
        <v>0</v>
      </c>
      <c r="GP49" s="120">
        <f>SUM(GP6:GP47)</f>
        <v>0</v>
      </c>
      <c r="GQ49" s="120">
        <f>SUM(GQ6:GQ47)</f>
        <v>0</v>
      </c>
      <c r="GR49" s="120">
        <f>SUM(GR6:GR47)</f>
        <v>0</v>
      </c>
      <c r="GS49" s="120">
        <f>SUM(GS6:GS47)</f>
        <v>0</v>
      </c>
      <c r="GT49" s="120">
        <f>SUM(GT6:GT47)</f>
        <v>0</v>
      </c>
      <c r="GU49" s="2">
        <f>SUM(GU6:GU47)</f>
        <v>0</v>
      </c>
      <c r="GV49" s="120">
        <f>SUM(GV6:GV47)</f>
        <v>0</v>
      </c>
      <c r="GW49" s="120">
        <f>SUM(GW6:GW47)</f>
        <v>0</v>
      </c>
      <c r="GX49" s="120">
        <f>SUM(GX6:GX47)</f>
        <v>0</v>
      </c>
      <c r="GY49" s="120">
        <f>SUM(GY6:GY47)</f>
        <v>0</v>
      </c>
      <c r="GZ49" s="123">
        <f>SUM(GZ6:GZ47)</f>
        <v>0</v>
      </c>
      <c r="HA49" s="110">
        <f>SUM(HA6:HA47)</f>
        <v>0</v>
      </c>
      <c r="HB49" s="120">
        <f>SUM(HB6:HB47)</f>
        <v>0</v>
      </c>
      <c r="HC49" s="120">
        <f>SUM(HC6:HC47)</f>
        <v>4</v>
      </c>
      <c r="HD49" s="120">
        <f>SUM(HD6:HD47)</f>
        <v>1</v>
      </c>
      <c r="HE49" s="120">
        <f>SUM(HE6:HE47)</f>
        <v>4</v>
      </c>
      <c r="HF49" s="123">
        <f>SUM(HF6:HF47)</f>
        <v>1</v>
      </c>
      <c r="HG49" s="123"/>
      <c r="HH49" s="2"/>
      <c r="HI49" s="2">
        <f>SUM(HI6:HI47)</f>
        <v>3</v>
      </c>
      <c r="HJ49" s="2">
        <f>SUM(HJ6:HJ47)</f>
        <v>3</v>
      </c>
      <c r="HK49" s="2">
        <f>SUM(HK6:HK47)</f>
        <v>3</v>
      </c>
      <c r="HL49" s="2">
        <f>SUM(HL6:HL47)</f>
        <v>3</v>
      </c>
      <c r="HM49" s="2">
        <f>SUM(HM6:HM47)</f>
        <v>4</v>
      </c>
      <c r="HN49" s="2"/>
      <c r="HO49" s="2"/>
      <c r="HP49" s="118">
        <f>SUM(HP6:HP47)</f>
        <v>1</v>
      </c>
      <c r="HQ49" s="118">
        <f>SUM(HQ6:HQ47)</f>
        <v>1</v>
      </c>
      <c r="HR49" s="118">
        <f>SUM(HR6:HR47)</f>
        <v>3</v>
      </c>
      <c r="HS49" s="118">
        <f>SUM(HS6:HS47)</f>
        <v>2</v>
      </c>
      <c r="HT49" s="118">
        <f>SUM(HT6:HT47)</f>
        <v>1</v>
      </c>
      <c r="HU49" s="118">
        <f>SUM(HU6:HU47)</f>
        <v>4</v>
      </c>
      <c r="HV49" s="2"/>
      <c r="HW49" s="118">
        <f>SUM(HW6:HW47)</f>
        <v>1</v>
      </c>
      <c r="HX49" s="118">
        <f>SUM(HX6:HX47)</f>
        <v>1</v>
      </c>
      <c r="HY49" s="118">
        <f>SUM(HY6:HY47)</f>
        <v>1</v>
      </c>
      <c r="HZ49" s="118">
        <f>SUM(HZ6:HZ47)</f>
        <v>0</v>
      </c>
      <c r="IA49" s="118">
        <f>SUM(IA6:IA47)</f>
        <v>11</v>
      </c>
      <c r="IB49" s="118"/>
      <c r="IC49" s="2"/>
      <c r="ID49" s="2">
        <f>SUM(ID6:ID47)</f>
        <v>0</v>
      </c>
      <c r="IE49" s="2">
        <f>SUM(IE6:IE47)</f>
        <v>0</v>
      </c>
      <c r="IF49" s="2">
        <f>SUM(IF6:IF47)</f>
        <v>0</v>
      </c>
      <c r="IG49" s="2">
        <f>SUM(IG6:IG47)</f>
        <v>0</v>
      </c>
      <c r="IH49" s="2">
        <f>SUM(IH6:IH47)</f>
        <v>0</v>
      </c>
      <c r="II49" s="2"/>
      <c r="IJ49" s="2"/>
      <c r="IK49" s="2">
        <f>SUM(IK6:IK47)</f>
        <v>0</v>
      </c>
      <c r="IL49" s="2">
        <f>SUM(IL6:IL47)</f>
        <v>0</v>
      </c>
      <c r="IM49" s="2">
        <f>SUM(IM6:IM47)</f>
        <v>0</v>
      </c>
      <c r="IN49" s="2">
        <f>SUM(IN6:IN47)</f>
        <v>0</v>
      </c>
      <c r="IO49" s="2">
        <f>SUM(IO6:IO47)</f>
        <v>0</v>
      </c>
      <c r="IP49" s="2"/>
      <c r="IQ49" s="2"/>
      <c r="IR49" s="7">
        <f>SUM(IR6:IR47)</f>
        <v>0</v>
      </c>
      <c r="IS49" s="7">
        <f>SUM(IS6:IS47)</f>
        <v>0</v>
      </c>
      <c r="IT49" s="7">
        <f>SUM(IT6:IT47)</f>
        <v>0</v>
      </c>
      <c r="IU49" s="7">
        <f>SUM(IU6:IU47)</f>
        <v>0</v>
      </c>
      <c r="IV49" s="7">
        <f>SUM(IV6:IV47)</f>
        <v>0</v>
      </c>
      <c r="IW49" s="7">
        <f>SUM(IW6:IW47)</f>
        <v>0</v>
      </c>
      <c r="IX49" s="7">
        <f>SUM(IX6:IX47)</f>
        <v>0</v>
      </c>
      <c r="IY49" s="7">
        <f>SUM(IY6:IY47)</f>
        <v>0</v>
      </c>
      <c r="IZ49" s="7">
        <f>SUM(IZ6:IZ47)</f>
        <v>0</v>
      </c>
      <c r="JA49" s="7">
        <f>SUM(JA6:JA47)</f>
        <v>0</v>
      </c>
      <c r="JB49" s="7">
        <f>SUM(JB6:JB47)</f>
        <v>0</v>
      </c>
      <c r="JC49" s="7">
        <f>SUM(JC6:JC47)</f>
        <v>0</v>
      </c>
      <c r="JD49" s="7">
        <f>SUM(JD6:JD47)</f>
        <v>0</v>
      </c>
      <c r="JE49" s="7">
        <f>SUM(JE6:JE47)</f>
        <v>0</v>
      </c>
      <c r="JF49" s="7">
        <f>SUM(JF6:JF47)</f>
        <v>0</v>
      </c>
      <c r="JG49" s="7">
        <f>SUM(JG6:JG47)</f>
        <v>0</v>
      </c>
      <c r="JH49" s="7">
        <f>SUM(JH6:JH47)</f>
        <v>0</v>
      </c>
      <c r="JI49" s="7">
        <f>SUM(JI6:JI47)</f>
        <v>0</v>
      </c>
      <c r="JJ49" s="7">
        <f>SUM(JJ6:JJ47)</f>
        <v>0</v>
      </c>
      <c r="JK49" s="7">
        <f>SUM(JK6:JK47)</f>
        <v>0</v>
      </c>
      <c r="JL49" s="7">
        <f>SUM(JL6:JL47)</f>
        <v>0</v>
      </c>
      <c r="JM49" s="7">
        <f>SUM(JM6:JM47)</f>
        <v>0</v>
      </c>
      <c r="JN49" s="7">
        <f>SUM(JN6:JN47)</f>
        <v>0</v>
      </c>
      <c r="JO49" s="7">
        <f>SUM(JO6:JO47)</f>
        <v>0</v>
      </c>
      <c r="JP49" s="7">
        <f>SUM(JP6:JP47)</f>
        <v>0</v>
      </c>
      <c r="JQ49" s="7">
        <f>SUM(JQ6:JQ47)</f>
        <v>0</v>
      </c>
      <c r="JR49" s="7">
        <f>SUM(JR6:JR47)</f>
        <v>0</v>
      </c>
      <c r="JS49" s="7">
        <f>SUM(JS6:JS47)</f>
        <v>0</v>
      </c>
      <c r="JT49" s="7">
        <f>SUM(JT6:JT47)</f>
        <v>0</v>
      </c>
      <c r="JU49" s="7">
        <f>SUM(JU6:JU47)</f>
        <v>0</v>
      </c>
      <c r="JV49" s="7">
        <f>SUM(JV6:JV47)</f>
        <v>0</v>
      </c>
      <c r="JW49" s="7">
        <f>SUM(JW6:JW47)</f>
        <v>0</v>
      </c>
      <c r="JX49" s="7">
        <f t="shared" ref="JX49:KU49" si="0">SUM(JX6:JX47)</f>
        <v>0</v>
      </c>
      <c r="JY49" s="7">
        <f t="shared" si="0"/>
        <v>0</v>
      </c>
      <c r="JZ49" s="7">
        <f t="shared" si="0"/>
        <v>0</v>
      </c>
      <c r="KA49" s="7">
        <f t="shared" si="0"/>
        <v>0</v>
      </c>
      <c r="KB49" s="7">
        <f t="shared" si="0"/>
        <v>0</v>
      </c>
      <c r="KC49" s="7">
        <f t="shared" si="0"/>
        <v>0</v>
      </c>
      <c r="KD49" s="7">
        <f t="shared" si="0"/>
        <v>0</v>
      </c>
      <c r="KE49" s="7">
        <f t="shared" si="0"/>
        <v>0</v>
      </c>
      <c r="KF49" s="7">
        <f t="shared" si="0"/>
        <v>0</v>
      </c>
      <c r="KG49" s="7">
        <f t="shared" si="0"/>
        <v>0</v>
      </c>
      <c r="KH49" s="7">
        <f t="shared" si="0"/>
        <v>0</v>
      </c>
      <c r="KI49" s="7">
        <f t="shared" si="0"/>
        <v>0</v>
      </c>
      <c r="KJ49" s="7">
        <f t="shared" si="0"/>
        <v>0</v>
      </c>
      <c r="KK49" s="7">
        <f t="shared" si="0"/>
        <v>0</v>
      </c>
      <c r="KL49" s="7">
        <f t="shared" si="0"/>
        <v>0</v>
      </c>
      <c r="KM49" s="7">
        <f t="shared" si="0"/>
        <v>0</v>
      </c>
      <c r="KN49" s="7">
        <f t="shared" si="0"/>
        <v>0</v>
      </c>
      <c r="KO49" s="7">
        <f t="shared" si="0"/>
        <v>0</v>
      </c>
      <c r="KP49" s="7">
        <f t="shared" si="0"/>
        <v>0</v>
      </c>
      <c r="KQ49" s="7">
        <f t="shared" si="0"/>
        <v>0</v>
      </c>
      <c r="KR49" s="7">
        <f t="shared" si="0"/>
        <v>0</v>
      </c>
      <c r="KS49" s="7">
        <f t="shared" si="0"/>
        <v>0</v>
      </c>
      <c r="KT49" s="7">
        <f t="shared" si="0"/>
        <v>0</v>
      </c>
      <c r="KU49" s="7">
        <f t="shared" si="0"/>
        <v>0</v>
      </c>
      <c r="KV49" s="7">
        <f>SUM(KQ6:KQ10)</f>
        <v>0</v>
      </c>
      <c r="KW49" s="7">
        <f>SUM(KR6:KR10)</f>
        <v>0</v>
      </c>
      <c r="KX49" s="7">
        <f>SUM(KS6:KS10)</f>
        <v>0</v>
      </c>
      <c r="KY49" s="7">
        <f>SUM(KT6:KT10)</f>
        <v>0</v>
      </c>
      <c r="KZ49" s="7">
        <f>SUM(KU6:KU10)</f>
        <v>0</v>
      </c>
      <c r="LA49" s="102"/>
      <c r="LB49" s="102"/>
      <c r="LC49" s="7"/>
      <c r="LD49" s="7"/>
      <c r="LE49" s="7"/>
      <c r="LF49" s="7"/>
      <c r="LG49" s="7"/>
      <c r="LH49" s="7"/>
      <c r="LI49" s="7"/>
      <c r="LJ49" s="7"/>
      <c r="LK49" s="7"/>
      <c r="LL49" s="7"/>
      <c r="LM49" s="7"/>
      <c r="LN49" s="7"/>
      <c r="LO49" s="7"/>
      <c r="LP49" s="7"/>
      <c r="LQ49" s="7"/>
      <c r="LR49" s="102"/>
    </row>
    <row r="50" spans="1:330" x14ac:dyDescent="0.25"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  <c r="IW50" s="5"/>
      <c r="IX50" s="5"/>
      <c r="IY50" s="5"/>
      <c r="IZ50" s="5"/>
      <c r="JJ50" s="5"/>
      <c r="JK50" s="5"/>
      <c r="JL50" s="5"/>
      <c r="JM50" s="5"/>
      <c r="JN50" s="5"/>
      <c r="JO50" s="5"/>
      <c r="JP50" s="5"/>
      <c r="JQ50" s="5"/>
      <c r="JR50" s="5"/>
      <c r="JS50" s="5"/>
      <c r="JT50" s="5"/>
      <c r="JU50" s="5"/>
      <c r="JV50" s="5"/>
      <c r="JW50" s="5"/>
      <c r="KG50" s="5"/>
      <c r="KH50" s="5"/>
      <c r="KI50" s="5"/>
      <c r="KJ50" s="5"/>
      <c r="KK50" s="5"/>
      <c r="KL50" s="5"/>
      <c r="KM50" s="5"/>
      <c r="KN50" s="5"/>
      <c r="KO50" s="5"/>
      <c r="KP50" s="5"/>
      <c r="KQ50" s="5"/>
      <c r="KR50" s="5"/>
      <c r="KS50" s="5"/>
      <c r="KT50" s="5"/>
    </row>
    <row r="51" spans="1:330" x14ac:dyDescent="0.25"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IL51" s="5"/>
      <c r="IM51" s="5"/>
      <c r="IN51" s="5"/>
      <c r="IO51" s="5"/>
      <c r="IP51" s="5"/>
      <c r="IQ51" s="5"/>
      <c r="IR51" s="5"/>
      <c r="IS51" s="5"/>
      <c r="IT51" s="5"/>
      <c r="IU51" s="5"/>
      <c r="IV51" s="5"/>
      <c r="IW51" s="5"/>
      <c r="IX51" s="5"/>
      <c r="IY51" s="5"/>
      <c r="IZ51" s="5"/>
      <c r="JJ51" s="5"/>
      <c r="JK51" s="5"/>
      <c r="JL51" s="5"/>
      <c r="JM51" s="5"/>
      <c r="JN51" s="5"/>
      <c r="JO51" s="5"/>
      <c r="JP51" s="5"/>
      <c r="JQ51" s="5"/>
      <c r="JR51" s="5"/>
      <c r="JS51" s="5"/>
      <c r="JT51" s="5"/>
      <c r="JU51" s="5"/>
      <c r="JV51" s="5"/>
      <c r="JW51" s="5"/>
      <c r="KG51" s="5"/>
      <c r="KH51" s="5"/>
      <c r="KI51" s="5"/>
      <c r="KJ51" s="5"/>
      <c r="KK51" s="5"/>
      <c r="KL51" s="5"/>
      <c r="KM51" s="5"/>
      <c r="KN51" s="5"/>
      <c r="KO51" s="5"/>
      <c r="KP51" s="5"/>
      <c r="KQ51" s="5"/>
      <c r="KR51" s="5"/>
      <c r="KS51" s="5"/>
      <c r="KT51" s="5"/>
    </row>
    <row r="52" spans="1:330" x14ac:dyDescent="0.25">
      <c r="K52" s="51">
        <f>16*60</f>
        <v>960</v>
      </c>
      <c r="N52" s="92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P52">
        <v>8</v>
      </c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C52">
        <f>34/48*100</f>
        <v>70.833333333333343</v>
      </c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IL52" s="5"/>
      <c r="IM52" s="5"/>
      <c r="IN52" s="5"/>
      <c r="IO52" s="5"/>
      <c r="IP52" s="5"/>
      <c r="IQ52" s="5"/>
      <c r="IR52" s="5"/>
      <c r="IS52" s="5"/>
      <c r="IT52" s="5"/>
      <c r="IU52" s="5"/>
      <c r="IV52" s="5"/>
      <c r="IW52" s="5"/>
      <c r="IX52" s="5"/>
      <c r="IY52" s="5"/>
      <c r="IZ52" s="5"/>
      <c r="JJ52" s="5"/>
      <c r="JK52" s="5"/>
      <c r="JL52" s="5"/>
      <c r="JM52" s="5"/>
      <c r="JN52" s="5"/>
      <c r="JO52" s="5"/>
      <c r="JP52" s="5"/>
      <c r="JQ52" s="5"/>
      <c r="JR52" s="5"/>
      <c r="JS52" s="5"/>
      <c r="JT52" s="5"/>
      <c r="JU52" s="5"/>
      <c r="JV52" s="5"/>
      <c r="JW52" s="5"/>
      <c r="KG52" s="5"/>
      <c r="KH52" s="5"/>
      <c r="KI52" s="5"/>
      <c r="KJ52" s="5"/>
      <c r="KK52" s="5"/>
      <c r="KL52" s="5"/>
      <c r="KM52" s="5"/>
      <c r="KN52" s="5"/>
      <c r="KO52" s="5"/>
      <c r="KP52" s="5"/>
      <c r="KQ52" s="5"/>
      <c r="KR52" s="5"/>
      <c r="KS52" s="5"/>
      <c r="KT52" s="5"/>
    </row>
    <row r="53" spans="1:330" x14ac:dyDescent="0.25"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S53" t="s">
        <v>86</v>
      </c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IL53" s="5"/>
      <c r="IM53" s="5"/>
      <c r="IN53" s="5"/>
      <c r="IO53" s="5"/>
      <c r="IP53" s="5"/>
      <c r="IQ53" s="5"/>
      <c r="IR53" s="5"/>
      <c r="IS53" s="5"/>
      <c r="IT53" s="5"/>
      <c r="IU53" s="5"/>
      <c r="IV53" s="5"/>
      <c r="IW53" s="5"/>
      <c r="IX53" s="5"/>
      <c r="IY53" s="5"/>
      <c r="IZ53" s="5"/>
      <c r="JJ53" s="5"/>
      <c r="JK53" s="5"/>
      <c r="JL53" s="5"/>
      <c r="JM53" s="5"/>
      <c r="JN53" s="5"/>
      <c r="JO53" s="5"/>
      <c r="JP53" s="5"/>
      <c r="JQ53" s="5"/>
      <c r="JR53" s="5"/>
      <c r="JS53" s="5"/>
      <c r="JT53" s="5"/>
      <c r="JU53" s="5"/>
      <c r="JV53" s="5"/>
      <c r="JW53" s="5"/>
      <c r="KG53" s="5"/>
      <c r="KH53" s="5"/>
      <c r="KI53" s="5"/>
      <c r="KJ53" s="5"/>
      <c r="KK53" s="5"/>
      <c r="KL53" s="5"/>
      <c r="KM53" s="5"/>
      <c r="KN53" s="5"/>
      <c r="KO53" s="5"/>
      <c r="KP53" s="5"/>
      <c r="KQ53" s="5"/>
      <c r="KR53" s="5"/>
      <c r="KS53" s="5"/>
      <c r="KT53" s="5"/>
    </row>
    <row r="54" spans="1:330" x14ac:dyDescent="0.25">
      <c r="N54" s="92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S54" t="s">
        <v>87</v>
      </c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  <c r="IX54" s="5"/>
      <c r="IY54" s="5"/>
      <c r="IZ54" s="5"/>
      <c r="JJ54" s="5"/>
      <c r="JK54" s="5"/>
      <c r="JL54" s="5"/>
      <c r="JM54" s="5"/>
      <c r="JN54" s="5"/>
      <c r="JO54" s="5"/>
      <c r="JP54" s="5"/>
      <c r="JQ54" s="5"/>
      <c r="JR54" s="5"/>
      <c r="JS54" s="5"/>
      <c r="JT54" s="5"/>
      <c r="JU54" s="5"/>
      <c r="JV54" s="5"/>
      <c r="JW54" s="5"/>
      <c r="KG54" s="5"/>
      <c r="KH54" s="5"/>
      <c r="KI54" s="5"/>
      <c r="KJ54" s="5"/>
      <c r="KK54" s="5"/>
      <c r="KL54" s="5"/>
      <c r="KM54" s="5"/>
      <c r="KN54" s="5"/>
      <c r="KO54" s="5"/>
      <c r="KP54" s="5"/>
      <c r="KQ54" s="5"/>
      <c r="KR54" s="5"/>
      <c r="KS54" s="5"/>
      <c r="KT54" s="5"/>
    </row>
    <row r="55" spans="1:330" x14ac:dyDescent="0.25">
      <c r="I55"/>
      <c r="N55" s="91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  <c r="IX55" s="5"/>
      <c r="IY55" s="5"/>
      <c r="IZ55" s="5"/>
      <c r="JJ55" s="5"/>
      <c r="JK55" s="5"/>
      <c r="JL55" s="5"/>
      <c r="JM55" s="5"/>
      <c r="JN55" s="5"/>
      <c r="JO55" s="5"/>
      <c r="JP55" s="5"/>
      <c r="JQ55" s="5"/>
      <c r="JR55" s="5"/>
      <c r="JS55" s="5"/>
      <c r="JT55" s="5"/>
      <c r="JU55" s="5"/>
      <c r="JV55" s="5"/>
      <c r="JW55" s="5"/>
      <c r="KG55" s="5"/>
      <c r="KH55" s="5"/>
      <c r="KI55" s="5"/>
      <c r="KJ55" s="5"/>
      <c r="KK55" s="5"/>
      <c r="KL55" s="5"/>
      <c r="KM55" s="5"/>
      <c r="KN55" s="5"/>
      <c r="KO55" s="5"/>
      <c r="KP55" s="5"/>
      <c r="KQ55" s="5"/>
      <c r="KR55" s="5"/>
      <c r="KS55" s="5"/>
      <c r="KT55" s="5"/>
    </row>
    <row r="59" spans="1:330" x14ac:dyDescent="0.25">
      <c r="R59">
        <f>26*60</f>
        <v>1560</v>
      </c>
    </row>
  </sheetData>
  <mergeCells count="51">
    <mergeCell ref="EB3:EE3"/>
    <mergeCell ref="FN3:FQ3"/>
    <mergeCell ref="FS3:FW3"/>
    <mergeCell ref="FY3:GC3"/>
    <mergeCell ref="GE3:GI3"/>
    <mergeCell ref="EW3:FA3"/>
    <mergeCell ref="EG3:EJ3"/>
    <mergeCell ref="EL3:EO3"/>
    <mergeCell ref="EQ3:EU3"/>
    <mergeCell ref="FH3:FL3"/>
    <mergeCell ref="FC2:FX2"/>
    <mergeCell ref="JY2:KU2"/>
    <mergeCell ref="EB2:FA2"/>
    <mergeCell ref="HZ2:JA2"/>
    <mergeCell ref="JB2:JX2"/>
    <mergeCell ref="BL2:CH2"/>
    <mergeCell ref="CI2:DC2"/>
    <mergeCell ref="DD2:EA2"/>
    <mergeCell ref="BL3:BP3"/>
    <mergeCell ref="BQ3:BU3"/>
    <mergeCell ref="BV3:BZ3"/>
    <mergeCell ref="CA3:CD3"/>
    <mergeCell ref="CE3:CG3"/>
    <mergeCell ref="CI3:CM3"/>
    <mergeCell ref="CN3:CR3"/>
    <mergeCell ref="DS3:DW3"/>
    <mergeCell ref="CS3:CW3"/>
    <mergeCell ref="CX3:DB3"/>
    <mergeCell ref="DD3:DH3"/>
    <mergeCell ref="DI3:DM3"/>
    <mergeCell ref="DO3:DR3"/>
    <mergeCell ref="W2:AP2"/>
    <mergeCell ref="AQ2:BK2"/>
    <mergeCell ref="W3:AA3"/>
    <mergeCell ref="AB3:AE3"/>
    <mergeCell ref="AF3:AJ3"/>
    <mergeCell ref="AK3:AO3"/>
    <mergeCell ref="AQ3:AU3"/>
    <mergeCell ref="AV3:AZ3"/>
    <mergeCell ref="BA3:BE3"/>
    <mergeCell ref="BF3:BJ3"/>
    <mergeCell ref="IK3:IO3"/>
    <mergeCell ref="HB3:HF3"/>
    <mergeCell ref="HI3:HM3"/>
    <mergeCell ref="HP3:HT3"/>
    <mergeCell ref="HW3:IA3"/>
    <mergeCell ref="GV3:GZ3"/>
    <mergeCell ref="GP3:GT3"/>
    <mergeCell ref="FC3:FF3"/>
    <mergeCell ref="GK3:GN3"/>
    <mergeCell ref="ID3:IH3"/>
  </mergeCells>
  <pageMargins left="0.7" right="0.7" top="0.75" bottom="0.75" header="0.3" footer="0.3"/>
  <pageSetup paperSize="9" orientation="portrait" horizontalDpi="200" verticalDpi="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FB11D13-EF91-4C5C-97DC-409E62B4F479}">
          <x14:formula1>
            <xm:f>Responsable!$A$2:$A$5</xm:f>
          </x14:formula1>
          <xm:sqref>I48</xm:sqref>
        </x14:dataValidation>
        <x14:dataValidation type="list" allowBlank="1" showInputMessage="1" showErrorMessage="1" xr:uid="{913323E6-F9F8-4800-81B3-0ECF85C987CD}">
          <x14:formula1>
            <xm:f>Parametros!$A$2:$A$13</xm:f>
          </x14:formula1>
          <xm:sqref>V6:V47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828FC-EA56-462D-9418-DB65D0EC6150}">
  <dimension ref="A1:AN997"/>
  <sheetViews>
    <sheetView showGridLines="0" topLeftCell="B4" zoomScaleNormal="100" workbookViewId="0">
      <selection activeCell="S9" sqref="S9"/>
    </sheetView>
  </sheetViews>
  <sheetFormatPr baseColWidth="10" defaultColWidth="14.42578125" defaultRowHeight="15" customHeight="1" x14ac:dyDescent="0.2"/>
  <cols>
    <col min="1" max="2" width="6.85546875" style="147" customWidth="1"/>
    <col min="3" max="3" width="10.7109375" style="147" customWidth="1"/>
    <col min="4" max="4" width="19.85546875" style="147" customWidth="1"/>
    <col min="5" max="5" width="37.140625" style="147" customWidth="1"/>
    <col min="6" max="6" width="9.42578125" style="147" customWidth="1"/>
    <col min="7" max="11" width="6.85546875" style="147" customWidth="1"/>
    <col min="12" max="12" width="6.42578125" style="147" customWidth="1"/>
    <col min="13" max="13" width="10.7109375" style="147" hidden="1" customWidth="1"/>
    <col min="14" max="14" width="12.5703125" style="147" customWidth="1"/>
    <col min="15" max="15" width="10.7109375" style="147" customWidth="1"/>
    <col min="16" max="16" width="6" style="147" customWidth="1"/>
    <col min="17" max="17" width="12.140625" style="147" customWidth="1"/>
    <col min="18" max="19" width="10.7109375" style="147" customWidth="1"/>
    <col min="20" max="20" width="12" style="147" customWidth="1"/>
    <col min="21" max="23" width="10.7109375" style="147" customWidth="1"/>
    <col min="24" max="24" width="18.42578125" style="147" customWidth="1"/>
    <col min="25" max="25" width="25.85546875" style="147" customWidth="1"/>
    <col min="26" max="27" width="5" style="147" customWidth="1"/>
    <col min="28" max="31" width="10.7109375" style="147" customWidth="1"/>
    <col min="32" max="32" width="14.42578125" style="147"/>
    <col min="33" max="33" width="9.28515625" style="147" customWidth="1"/>
    <col min="34" max="16379" width="14.42578125" style="147"/>
    <col min="16380" max="16380" width="9.42578125" style="147" customWidth="1"/>
    <col min="16381" max="16381" width="10.5703125" style="147" customWidth="1"/>
    <col min="16382" max="16384" width="14.42578125" style="147"/>
  </cols>
  <sheetData>
    <row r="1" spans="1:40" ht="14.25" x14ac:dyDescent="0.2">
      <c r="A1" s="145"/>
      <c r="B1" s="145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</row>
    <row r="2" spans="1:40" thickBot="1" x14ac:dyDescent="0.25">
      <c r="A2" s="145"/>
      <c r="B2" s="148"/>
      <c r="G2" s="147" t="s">
        <v>116</v>
      </c>
      <c r="H2" s="147" t="s">
        <v>116</v>
      </c>
      <c r="I2" s="147" t="s">
        <v>116</v>
      </c>
      <c r="J2" s="147" t="s">
        <v>116</v>
      </c>
      <c r="K2" s="147" t="s">
        <v>116</v>
      </c>
      <c r="L2" s="147" t="s">
        <v>116</v>
      </c>
      <c r="P2" s="146"/>
      <c r="Z2" s="146"/>
      <c r="AA2" s="149"/>
      <c r="AI2" s="146"/>
    </row>
    <row r="3" spans="1:40" x14ac:dyDescent="0.25">
      <c r="A3" s="145"/>
      <c r="B3" s="148"/>
      <c r="C3" s="150"/>
      <c r="D3" s="151"/>
      <c r="E3" s="151"/>
      <c r="F3" s="152" t="s">
        <v>117</v>
      </c>
      <c r="G3" s="152">
        <v>6</v>
      </c>
      <c r="H3" s="152">
        <v>7</v>
      </c>
      <c r="I3" s="152">
        <v>8</v>
      </c>
      <c r="J3" s="152">
        <v>9</v>
      </c>
      <c r="K3" s="152">
        <v>10</v>
      </c>
      <c r="L3" s="152">
        <v>11</v>
      </c>
      <c r="M3" s="152"/>
      <c r="N3" s="153"/>
      <c r="P3" s="146"/>
      <c r="Z3" s="146"/>
      <c r="AA3" s="149"/>
      <c r="AI3" s="146"/>
      <c r="AL3" s="154" t="s">
        <v>118</v>
      </c>
      <c r="AM3" s="154"/>
      <c r="AN3" s="154"/>
    </row>
    <row r="4" spans="1:40" ht="60" x14ac:dyDescent="0.25">
      <c r="A4" s="145"/>
      <c r="B4" s="148"/>
      <c r="C4" s="155" t="s">
        <v>119</v>
      </c>
      <c r="D4" s="156" t="s">
        <v>120</v>
      </c>
      <c r="E4" s="156" t="s">
        <v>29</v>
      </c>
      <c r="F4" s="157" t="s">
        <v>121</v>
      </c>
      <c r="G4" s="156" t="s">
        <v>122</v>
      </c>
      <c r="H4" s="156" t="s">
        <v>123</v>
      </c>
      <c r="I4" s="156" t="s">
        <v>124</v>
      </c>
      <c r="J4" s="156" t="s">
        <v>125</v>
      </c>
      <c r="K4" s="156" t="s">
        <v>126</v>
      </c>
      <c r="L4" s="156" t="s">
        <v>127</v>
      </c>
      <c r="M4" s="158" t="s">
        <v>128</v>
      </c>
      <c r="N4" s="159" t="s">
        <v>129</v>
      </c>
      <c r="P4" s="146"/>
      <c r="Z4" s="146"/>
      <c r="AA4" s="149"/>
      <c r="AI4" s="146"/>
      <c r="AL4" s="154"/>
      <c r="AM4" s="154"/>
      <c r="AN4" s="154"/>
    </row>
    <row r="5" spans="1:40" x14ac:dyDescent="0.25">
      <c r="A5" s="145"/>
      <c r="B5" s="148"/>
      <c r="C5" s="155" t="s">
        <v>159</v>
      </c>
      <c r="D5" s="160" t="s">
        <v>192</v>
      </c>
      <c r="E5" s="161" t="str">
        <f>VLOOKUP(D5,Tabla4[[#All],[Tarea]:[Actividad]],2,0)</f>
        <v>Crear plan de trabajo y cronograma general</v>
      </c>
      <c r="F5" s="156">
        <v>4</v>
      </c>
      <c r="G5" s="156">
        <v>2</v>
      </c>
      <c r="H5" s="156">
        <v>2</v>
      </c>
      <c r="I5" s="156"/>
      <c r="J5" s="156"/>
      <c r="K5" s="156"/>
      <c r="L5" s="156"/>
      <c r="M5" s="156"/>
      <c r="N5" s="162">
        <f>SUM(G5:M5)</f>
        <v>4</v>
      </c>
      <c r="P5" s="146"/>
      <c r="Z5" s="146"/>
      <c r="AA5" s="149"/>
      <c r="AI5" s="146"/>
      <c r="AL5" s="154" t="s">
        <v>110</v>
      </c>
      <c r="AM5" s="154" t="s">
        <v>111</v>
      </c>
      <c r="AN5" s="154"/>
    </row>
    <row r="6" spans="1:40" ht="25.5" customHeight="1" x14ac:dyDescent="0.25">
      <c r="A6" s="145"/>
      <c r="B6" s="148"/>
      <c r="C6" s="155" t="s">
        <v>159</v>
      </c>
      <c r="D6" s="160" t="s">
        <v>194</v>
      </c>
      <c r="E6" s="161" t="str">
        <f>VLOOKUP(D6,Tabla4[[#All],[Tarea]:[Actividad]],2,0)</f>
        <v>Planteamiento del Problema</v>
      </c>
      <c r="F6" s="156">
        <v>2</v>
      </c>
      <c r="G6" s="156"/>
      <c r="H6" s="156"/>
      <c r="I6" s="156"/>
      <c r="J6" s="156">
        <v>2</v>
      </c>
      <c r="K6" s="156"/>
      <c r="L6" s="156"/>
      <c r="M6" s="156"/>
      <c r="N6" s="163">
        <f>SUM(G6:M6)</f>
        <v>2</v>
      </c>
      <c r="P6" s="146"/>
      <c r="Z6" s="146"/>
      <c r="AA6" s="149"/>
      <c r="AI6" s="146"/>
      <c r="AL6" s="164">
        <v>0.1</v>
      </c>
      <c r="AM6" s="154">
        <v>1</v>
      </c>
      <c r="AN6" s="154"/>
    </row>
    <row r="7" spans="1:40" ht="35.25" customHeight="1" x14ac:dyDescent="0.25">
      <c r="A7" s="145"/>
      <c r="B7" s="148"/>
      <c r="C7" s="155" t="s">
        <v>159</v>
      </c>
      <c r="D7" s="160" t="s">
        <v>196</v>
      </c>
      <c r="E7" s="161" t="str">
        <f>VLOOKUP(D7,Tabla4[[#All],[Tarea]:[Actividad]],2,0)</f>
        <v>Asignación de Roles y Tareas</v>
      </c>
      <c r="F7" s="156">
        <v>1</v>
      </c>
      <c r="G7" s="156"/>
      <c r="H7" s="156"/>
      <c r="I7" s="156">
        <v>1</v>
      </c>
      <c r="J7" s="156"/>
      <c r="K7" s="156"/>
      <c r="L7" s="156"/>
      <c r="M7" s="156"/>
      <c r="N7" s="163">
        <f>SUM(G7:M7)</f>
        <v>1</v>
      </c>
      <c r="P7" s="146"/>
      <c r="Z7" s="146"/>
      <c r="AA7" s="149"/>
      <c r="AI7" s="146"/>
      <c r="AL7" s="164">
        <v>0.2</v>
      </c>
      <c r="AM7" s="154">
        <v>1</v>
      </c>
      <c r="AN7" s="154"/>
    </row>
    <row r="8" spans="1:40" ht="36" customHeight="1" x14ac:dyDescent="0.25">
      <c r="A8" s="145"/>
      <c r="B8" s="148"/>
      <c r="C8" s="155" t="s">
        <v>159</v>
      </c>
      <c r="D8" s="160" t="s">
        <v>198</v>
      </c>
      <c r="E8" s="161" t="str">
        <f>VLOOKUP(D8,Tabla4[[#All],[Tarea]:[Actividad]],2,0)</f>
        <v>Crear repositorio y tablero Kanban</v>
      </c>
      <c r="F8" s="156">
        <v>2</v>
      </c>
      <c r="G8" s="156"/>
      <c r="H8" s="156"/>
      <c r="I8" s="156"/>
      <c r="J8" s="156"/>
      <c r="K8" s="156">
        <v>2</v>
      </c>
      <c r="L8" s="156"/>
      <c r="M8" s="156"/>
      <c r="N8" s="163">
        <f>SUM(G8:M8)</f>
        <v>2</v>
      </c>
      <c r="P8" s="146"/>
      <c r="Z8" s="146"/>
      <c r="AA8" s="149"/>
      <c r="AI8" s="146"/>
      <c r="AL8" s="164">
        <v>0.3</v>
      </c>
      <c r="AM8" s="154">
        <v>1</v>
      </c>
      <c r="AN8" s="154"/>
    </row>
    <row r="9" spans="1:40" ht="36.75" customHeight="1" x14ac:dyDescent="0.25">
      <c r="A9" s="145"/>
      <c r="B9" s="148"/>
      <c r="C9" s="155" t="s">
        <v>159</v>
      </c>
      <c r="D9" s="160" t="s">
        <v>202</v>
      </c>
      <c r="E9" s="161" t="str">
        <f>VLOOKUP(D9,Tabla4[[#All],[Tarea]:[Actividad]],2,0)</f>
        <v>Asistencia Tutoria 1</v>
      </c>
      <c r="F9" s="156">
        <v>1</v>
      </c>
      <c r="G9" s="156"/>
      <c r="H9" s="156"/>
      <c r="I9" s="156"/>
      <c r="J9" s="156"/>
      <c r="K9" s="156"/>
      <c r="L9" s="156">
        <v>1</v>
      </c>
      <c r="M9" s="156"/>
      <c r="N9" s="163"/>
      <c r="P9" s="146"/>
      <c r="Z9" s="146"/>
      <c r="AA9" s="149"/>
      <c r="AI9" s="146"/>
      <c r="AL9" s="164">
        <v>0.4</v>
      </c>
      <c r="AM9" s="154">
        <v>1</v>
      </c>
      <c r="AN9" s="154"/>
    </row>
    <row r="10" spans="1:40" ht="35.25" customHeight="1" x14ac:dyDescent="0.25">
      <c r="A10" s="145"/>
      <c r="B10" s="148"/>
      <c r="C10" s="155"/>
      <c r="D10" s="160"/>
      <c r="E10" s="161"/>
      <c r="F10" s="156"/>
      <c r="G10" s="156"/>
      <c r="H10" s="156"/>
      <c r="I10" s="156"/>
      <c r="J10" s="156"/>
      <c r="K10" s="156"/>
      <c r="L10" s="156"/>
      <c r="M10" s="156"/>
      <c r="N10" s="163">
        <f>SUM(G10:M10)</f>
        <v>0</v>
      </c>
      <c r="P10" s="146"/>
      <c r="Z10" s="146"/>
      <c r="AA10" s="149"/>
      <c r="AI10" s="146"/>
      <c r="AL10" s="164">
        <v>0.5</v>
      </c>
      <c r="AM10" s="154">
        <v>1</v>
      </c>
      <c r="AN10" s="154"/>
    </row>
    <row r="11" spans="1:40" x14ac:dyDescent="0.25">
      <c r="A11" s="145"/>
      <c r="B11" s="148"/>
      <c r="C11" s="155"/>
      <c r="D11" s="160"/>
      <c r="E11" s="161"/>
      <c r="F11" s="156"/>
      <c r="G11" s="156"/>
      <c r="H11" s="156"/>
      <c r="I11" s="156"/>
      <c r="J11" s="156"/>
      <c r="K11" s="156"/>
      <c r="L11" s="156"/>
      <c r="M11" s="156"/>
      <c r="N11" s="163">
        <f>SUM(G11:M11)</f>
        <v>0</v>
      </c>
      <c r="P11" s="146"/>
      <c r="Z11" s="146"/>
      <c r="AA11" s="149"/>
      <c r="AI11" s="146"/>
      <c r="AL11" s="164">
        <v>0.6</v>
      </c>
      <c r="AM11" s="154">
        <v>1</v>
      </c>
      <c r="AN11" s="154"/>
    </row>
    <row r="12" spans="1:40" x14ac:dyDescent="0.25">
      <c r="A12" s="145"/>
      <c r="B12" s="148"/>
      <c r="C12" s="155"/>
      <c r="D12" s="160"/>
      <c r="E12" s="161"/>
      <c r="F12" s="156"/>
      <c r="G12" s="156"/>
      <c r="H12" s="156"/>
      <c r="I12" s="156"/>
      <c r="J12" s="156"/>
      <c r="K12" s="156"/>
      <c r="L12" s="156"/>
      <c r="M12" s="156"/>
      <c r="N12" s="163">
        <f>SUM(G12:M12)</f>
        <v>0</v>
      </c>
      <c r="P12" s="146"/>
      <c r="Z12" s="146"/>
      <c r="AA12" s="149"/>
      <c r="AI12" s="146"/>
      <c r="AL12" s="164">
        <v>0.7</v>
      </c>
      <c r="AM12" s="154">
        <v>1</v>
      </c>
      <c r="AN12" s="154"/>
    </row>
    <row r="13" spans="1:40" ht="15" customHeight="1" x14ac:dyDescent="0.25">
      <c r="A13" s="145"/>
      <c r="B13" s="148"/>
      <c r="C13" s="155"/>
      <c r="D13" s="160"/>
      <c r="E13" s="161"/>
      <c r="F13" s="156"/>
      <c r="G13" s="156"/>
      <c r="H13" s="156"/>
      <c r="I13" s="156"/>
      <c r="J13" s="156"/>
      <c r="K13" s="156"/>
      <c r="L13" s="156"/>
      <c r="M13" s="156"/>
      <c r="N13" s="163">
        <f>SUM(G13:M13)</f>
        <v>0</v>
      </c>
      <c r="P13" s="146"/>
      <c r="Z13" s="146"/>
      <c r="AA13" s="149"/>
      <c r="AI13" s="146"/>
      <c r="AL13" s="164">
        <v>0.8</v>
      </c>
      <c r="AM13" s="154">
        <v>1</v>
      </c>
      <c r="AN13" s="154"/>
    </row>
    <row r="14" spans="1:40" x14ac:dyDescent="0.25">
      <c r="A14" s="145"/>
      <c r="B14" s="148"/>
      <c r="C14" s="155"/>
      <c r="D14" s="156"/>
      <c r="E14" s="161"/>
      <c r="F14" s="156"/>
      <c r="G14" s="156"/>
      <c r="H14" s="156"/>
      <c r="I14" s="156"/>
      <c r="J14" s="156"/>
      <c r="K14" s="156"/>
      <c r="L14" s="156"/>
      <c r="M14" s="156"/>
      <c r="N14" s="163">
        <f>SUM(G14:M14)</f>
        <v>0</v>
      </c>
      <c r="P14" s="146"/>
      <c r="Z14" s="146"/>
      <c r="AA14" s="149"/>
      <c r="AI14" s="146"/>
      <c r="AL14" s="164">
        <v>0.9</v>
      </c>
      <c r="AM14" s="154">
        <v>1</v>
      </c>
      <c r="AN14" s="154"/>
    </row>
    <row r="15" spans="1:40" ht="14.25" x14ac:dyDescent="0.2">
      <c r="A15" s="145"/>
      <c r="B15" s="148"/>
      <c r="C15" s="165"/>
      <c r="N15" s="166"/>
      <c r="P15" s="146"/>
      <c r="Z15" s="146"/>
      <c r="AA15" s="149"/>
      <c r="AI15" s="146"/>
      <c r="AL15" s="164">
        <v>1</v>
      </c>
      <c r="AM15" s="154">
        <v>9</v>
      </c>
      <c r="AN15" s="154"/>
    </row>
    <row r="16" spans="1:40" ht="15" customHeight="1" x14ac:dyDescent="0.25">
      <c r="A16" s="145"/>
      <c r="B16" s="148"/>
      <c r="C16" s="165"/>
      <c r="D16" s="167" t="s">
        <v>130</v>
      </c>
      <c r="E16" s="167"/>
      <c r="F16" s="168">
        <f>SUM(F5:F14)</f>
        <v>10</v>
      </c>
      <c r="G16" s="168">
        <f>F16-SUM(G5:G14)</f>
        <v>8</v>
      </c>
      <c r="H16" s="168">
        <f t="shared" ref="H16:M16" si="0">G16-SUM(H5:H14)</f>
        <v>6</v>
      </c>
      <c r="I16" s="168">
        <f t="shared" si="0"/>
        <v>5</v>
      </c>
      <c r="J16" s="168">
        <f t="shared" si="0"/>
        <v>3</v>
      </c>
      <c r="K16" s="168">
        <f t="shared" si="0"/>
        <v>1</v>
      </c>
      <c r="L16" s="168">
        <f t="shared" si="0"/>
        <v>0</v>
      </c>
      <c r="M16" s="168">
        <f t="shared" si="0"/>
        <v>0</v>
      </c>
      <c r="N16" s="166">
        <f>SUM(N5:N14)</f>
        <v>9</v>
      </c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L16" s="154"/>
      <c r="AM16" s="154"/>
      <c r="AN16" s="164">
        <f>+AE24</f>
        <v>0.9</v>
      </c>
    </row>
    <row r="17" spans="1:40" ht="15" customHeight="1" x14ac:dyDescent="0.25">
      <c r="A17" s="145"/>
      <c r="B17" s="148"/>
      <c r="C17" s="165"/>
      <c r="D17" s="167" t="s">
        <v>131</v>
      </c>
      <c r="E17" s="167"/>
      <c r="F17" s="168">
        <f>SUM(F5:F14)</f>
        <v>10</v>
      </c>
      <c r="G17" s="169">
        <f t="shared" ref="G17:M17" si="1">F17-(SUM($F$5:$F$14)/COUNTIF($F$2:$M$2,"x"))</f>
        <v>8.3333333333333339</v>
      </c>
      <c r="H17" s="169">
        <f t="shared" si="1"/>
        <v>6.666666666666667</v>
      </c>
      <c r="I17" s="169">
        <f t="shared" si="1"/>
        <v>5</v>
      </c>
      <c r="J17" s="169">
        <f t="shared" si="1"/>
        <v>3.333333333333333</v>
      </c>
      <c r="K17" s="169">
        <f t="shared" si="1"/>
        <v>1.6666666666666663</v>
      </c>
      <c r="L17" s="169">
        <f t="shared" si="1"/>
        <v>0</v>
      </c>
      <c r="M17" s="169">
        <f t="shared" si="1"/>
        <v>-1.6666666666666667</v>
      </c>
      <c r="N17" s="166"/>
      <c r="P17" s="146"/>
      <c r="Z17" s="146"/>
      <c r="AA17" s="149"/>
      <c r="AI17" s="146"/>
      <c r="AL17" s="154" t="s">
        <v>112</v>
      </c>
      <c r="AM17" s="154">
        <f>+AN16*PI()</f>
        <v>2.8274333882308138</v>
      </c>
      <c r="AN17" s="154"/>
    </row>
    <row r="18" spans="1:40" ht="15.75" customHeight="1" thickBot="1" x14ac:dyDescent="0.4">
      <c r="A18" s="145"/>
      <c r="B18" s="148"/>
      <c r="C18" s="170"/>
      <c r="D18" s="171"/>
      <c r="E18" s="171"/>
      <c r="F18" s="171"/>
      <c r="G18" s="171"/>
      <c r="H18" s="171"/>
      <c r="I18" s="171"/>
      <c r="J18" s="171"/>
      <c r="K18" s="171"/>
      <c r="L18" s="171"/>
      <c r="M18" s="171"/>
      <c r="N18" s="172"/>
      <c r="P18" s="146"/>
      <c r="Q18" s="173" t="s">
        <v>132</v>
      </c>
      <c r="Z18" s="146"/>
      <c r="AA18" s="149"/>
      <c r="AB18" s="174" t="s">
        <v>133</v>
      </c>
      <c r="AC18" s="175"/>
      <c r="AD18" s="174"/>
      <c r="AE18" s="175"/>
      <c r="AI18" s="146"/>
      <c r="AL18" s="154"/>
      <c r="AM18" s="154" t="s">
        <v>7</v>
      </c>
      <c r="AN18" s="154" t="s">
        <v>113</v>
      </c>
    </row>
    <row r="19" spans="1:40" ht="15.75" customHeight="1" x14ac:dyDescent="0.3">
      <c r="A19" s="145"/>
      <c r="B19" s="148"/>
      <c r="P19" s="146"/>
      <c r="Q19" s="176" t="s">
        <v>134</v>
      </c>
      <c r="Z19" s="146"/>
      <c r="AA19" s="149"/>
      <c r="AB19" s="175"/>
      <c r="AC19" s="174" t="s">
        <v>135</v>
      </c>
      <c r="AD19" s="174"/>
      <c r="AE19" s="175"/>
      <c r="AI19" s="146"/>
      <c r="AL19" s="154" t="s">
        <v>114</v>
      </c>
      <c r="AM19" s="154">
        <v>0</v>
      </c>
      <c r="AN19" s="154">
        <v>0</v>
      </c>
    </row>
    <row r="20" spans="1:40" ht="15.75" customHeight="1" x14ac:dyDescent="0.3">
      <c r="A20" s="145"/>
      <c r="B20" s="145"/>
      <c r="C20" s="146"/>
      <c r="D20" s="146"/>
      <c r="E20" s="146"/>
      <c r="F20" s="146"/>
      <c r="G20" s="177"/>
      <c r="H20" s="177"/>
      <c r="I20" s="177"/>
      <c r="J20" s="177"/>
      <c r="K20" s="177"/>
      <c r="L20" s="177"/>
      <c r="M20" s="177"/>
      <c r="N20" s="146"/>
      <c r="O20" s="146"/>
      <c r="P20" s="146"/>
      <c r="Q20" s="178" t="s">
        <v>136</v>
      </c>
      <c r="R20" s="179" t="s">
        <v>137</v>
      </c>
      <c r="Z20" s="146"/>
      <c r="AA20" s="149"/>
      <c r="AB20" s="175"/>
      <c r="AC20" s="174" t="s">
        <v>47</v>
      </c>
      <c r="AD20" s="174"/>
      <c r="AE20" s="175"/>
      <c r="AI20" s="146"/>
      <c r="AL20" s="154" t="s">
        <v>115</v>
      </c>
      <c r="AM20" s="154">
        <f>+COS(AM17)*-1</f>
        <v>0.95105651629515353</v>
      </c>
      <c r="AN20" s="154">
        <f>+SIN(AM17)</f>
        <v>0.30901699437494751</v>
      </c>
    </row>
    <row r="21" spans="1:40" ht="15.75" customHeight="1" x14ac:dyDescent="0.3">
      <c r="A21" s="145"/>
      <c r="B21" s="145"/>
      <c r="C21" s="146"/>
      <c r="D21" s="146"/>
      <c r="E21" s="146"/>
      <c r="F21" s="146"/>
      <c r="G21" s="177"/>
      <c r="H21" s="177"/>
      <c r="I21" s="177"/>
      <c r="J21" s="177"/>
      <c r="K21" s="177"/>
      <c r="L21" s="177"/>
      <c r="M21" s="177"/>
      <c r="N21" s="146"/>
      <c r="O21" s="146"/>
      <c r="P21" s="146"/>
      <c r="Q21" s="178" t="s">
        <v>138</v>
      </c>
      <c r="R21" s="179" t="s">
        <v>139</v>
      </c>
      <c r="Z21" s="146"/>
      <c r="AA21" s="149"/>
      <c r="AB21" s="175"/>
      <c r="AC21" s="174"/>
      <c r="AD21" s="174"/>
      <c r="AE21" s="175"/>
      <c r="AI21" s="146"/>
    </row>
    <row r="22" spans="1:40" ht="15.75" customHeight="1" x14ac:dyDescent="0.3">
      <c r="A22" s="145"/>
      <c r="B22" s="145"/>
      <c r="C22" s="146"/>
      <c r="D22" s="146"/>
      <c r="E22" s="146"/>
      <c r="F22" s="146"/>
      <c r="G22" s="146"/>
      <c r="H22" s="146"/>
      <c r="I22" s="146"/>
      <c r="J22" s="146"/>
      <c r="K22" s="146"/>
      <c r="L22" s="146"/>
      <c r="M22" s="146"/>
      <c r="N22" s="146"/>
      <c r="O22" s="146"/>
      <c r="P22" s="146"/>
      <c r="R22" s="179" t="s">
        <v>140</v>
      </c>
      <c r="Z22" s="146"/>
      <c r="AA22" s="149"/>
      <c r="AB22" s="175"/>
      <c r="AC22" s="174" t="s">
        <v>141</v>
      </c>
      <c r="AD22" s="174"/>
      <c r="AE22" s="175"/>
      <c r="AI22" s="146"/>
    </row>
    <row r="23" spans="1:40" ht="15.75" customHeight="1" x14ac:dyDescent="0.3">
      <c r="A23" s="145"/>
      <c r="B23" s="145"/>
      <c r="C23" s="146"/>
      <c r="D23" s="146"/>
      <c r="E23" s="146"/>
      <c r="F23" s="146"/>
      <c r="G23" s="146"/>
      <c r="H23" s="146"/>
      <c r="I23" s="146"/>
      <c r="J23" s="146"/>
      <c r="K23" s="146"/>
      <c r="L23" s="146"/>
      <c r="M23" s="146"/>
      <c r="N23" s="146"/>
      <c r="O23" s="146"/>
      <c r="P23" s="146"/>
      <c r="R23" s="179" t="s">
        <v>142</v>
      </c>
      <c r="Z23" s="146"/>
      <c r="AA23" s="149"/>
      <c r="AB23" s="175"/>
      <c r="AC23" s="174" t="s">
        <v>41</v>
      </c>
      <c r="AD23" s="174"/>
      <c r="AE23" s="175"/>
      <c r="AI23" s="146"/>
    </row>
    <row r="24" spans="1:40" ht="15.75" customHeight="1" x14ac:dyDescent="0.3">
      <c r="A24" s="145"/>
      <c r="B24" s="145"/>
      <c r="C24" s="146"/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6"/>
      <c r="R24" s="179" t="s">
        <v>143</v>
      </c>
      <c r="Z24" s="146"/>
      <c r="AA24" s="149"/>
      <c r="AB24" s="175"/>
      <c r="AC24" s="174" t="s">
        <v>59</v>
      </c>
      <c r="AE24" s="180">
        <f>N16/F16</f>
        <v>0.9</v>
      </c>
      <c r="AI24" s="146"/>
    </row>
    <row r="25" spans="1:40" ht="15.75" customHeight="1" x14ac:dyDescent="0.25">
      <c r="A25" s="145"/>
      <c r="B25" s="145"/>
      <c r="C25" s="146"/>
      <c r="D25" s="146"/>
      <c r="E25" s="146"/>
      <c r="F25" s="146"/>
      <c r="G25" s="146"/>
      <c r="H25" s="146"/>
      <c r="I25" s="146"/>
      <c r="J25" s="146"/>
      <c r="K25" s="146"/>
      <c r="L25" s="146"/>
      <c r="M25" s="146"/>
      <c r="N25" s="146"/>
      <c r="O25" s="146"/>
      <c r="P25" s="146"/>
      <c r="R25" s="179" t="s">
        <v>144</v>
      </c>
      <c r="Z25" s="146"/>
      <c r="AA25" s="149"/>
      <c r="AI25" s="146"/>
    </row>
    <row r="26" spans="1:40" ht="15.75" customHeight="1" x14ac:dyDescent="0.25">
      <c r="A26" s="145"/>
      <c r="B26" s="145"/>
      <c r="C26" s="146"/>
      <c r="D26" s="146"/>
      <c r="E26" s="146"/>
      <c r="F26" s="146"/>
      <c r="G26" s="146"/>
      <c r="H26" s="146"/>
      <c r="I26" s="146"/>
      <c r="J26" s="146"/>
      <c r="K26" s="146"/>
      <c r="L26" s="146"/>
      <c r="M26" s="146"/>
      <c r="N26" s="146"/>
      <c r="O26" s="146"/>
      <c r="P26" s="146"/>
      <c r="R26" s="179" t="s">
        <v>145</v>
      </c>
      <c r="Z26" s="146"/>
      <c r="AA26" s="149"/>
      <c r="AI26" s="146"/>
    </row>
    <row r="27" spans="1:40" ht="15.75" customHeight="1" x14ac:dyDescent="0.25">
      <c r="A27" s="145"/>
      <c r="B27" s="145"/>
      <c r="C27" s="146"/>
      <c r="D27" s="146"/>
      <c r="E27" s="146"/>
      <c r="F27" s="146"/>
      <c r="G27" s="146"/>
      <c r="H27" s="146"/>
      <c r="I27" s="146"/>
      <c r="J27" s="146"/>
      <c r="K27" s="146"/>
      <c r="L27" s="146"/>
      <c r="M27" s="146"/>
      <c r="N27" s="146"/>
      <c r="O27" s="146"/>
      <c r="P27" s="146"/>
      <c r="R27" s="179" t="s">
        <v>146</v>
      </c>
      <c r="Z27" s="146"/>
      <c r="AA27" s="149"/>
      <c r="AI27" s="146"/>
    </row>
    <row r="28" spans="1:40" ht="15.75" customHeight="1" x14ac:dyDescent="0.25">
      <c r="A28" s="145"/>
      <c r="B28" s="145"/>
      <c r="C28" s="146"/>
      <c r="D28" s="146"/>
      <c r="E28" s="146"/>
      <c r="F28" s="146"/>
      <c r="G28" s="146"/>
      <c r="H28" s="146"/>
      <c r="I28" s="146"/>
      <c r="J28" s="146"/>
      <c r="K28" s="146"/>
      <c r="L28" s="146"/>
      <c r="M28" s="146"/>
      <c r="N28" s="146"/>
      <c r="O28" s="146"/>
      <c r="P28" s="146"/>
      <c r="R28" s="179" t="s">
        <v>147</v>
      </c>
      <c r="Z28" s="146"/>
      <c r="AA28" s="149"/>
      <c r="AI28" s="146"/>
    </row>
    <row r="29" spans="1:40" ht="15.75" customHeight="1" x14ac:dyDescent="0.25">
      <c r="A29" s="145"/>
      <c r="B29" s="145"/>
      <c r="C29" s="146"/>
      <c r="D29" s="146"/>
      <c r="E29" s="146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R29" s="179" t="s">
        <v>148</v>
      </c>
      <c r="Z29" s="146"/>
      <c r="AA29" s="149"/>
      <c r="AI29" s="146"/>
    </row>
    <row r="30" spans="1:40" ht="15.75" customHeight="1" x14ac:dyDescent="0.2">
      <c r="A30" s="145"/>
      <c r="B30" s="145"/>
      <c r="C30" s="146"/>
      <c r="D30" s="146"/>
      <c r="E30" s="146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6"/>
      <c r="Z30" s="146"/>
      <c r="AA30" s="149"/>
      <c r="AI30" s="146"/>
    </row>
    <row r="31" spans="1:40" ht="15.75" customHeight="1" x14ac:dyDescent="0.2">
      <c r="A31" s="145"/>
      <c r="B31" s="145"/>
      <c r="C31" s="146"/>
      <c r="D31" s="146"/>
      <c r="E31" s="146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6"/>
      <c r="AC31" s="146"/>
      <c r="AD31" s="146"/>
      <c r="AE31" s="146"/>
      <c r="AF31" s="146"/>
      <c r="AG31" s="146"/>
      <c r="AH31" s="146"/>
      <c r="AI31" s="146"/>
    </row>
    <row r="32" spans="1:40" ht="15.75" customHeight="1" x14ac:dyDescent="0.2">
      <c r="A32" s="145"/>
      <c r="B32" s="145"/>
      <c r="C32" s="146"/>
      <c r="D32" s="146"/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  <c r="W32" s="146"/>
      <c r="X32" s="146"/>
      <c r="Y32" s="146"/>
      <c r="Z32" s="146"/>
      <c r="AA32" s="146"/>
      <c r="AB32" s="146"/>
      <c r="AC32" s="146"/>
      <c r="AD32" s="146"/>
      <c r="AE32" s="146"/>
      <c r="AF32" s="146"/>
      <c r="AG32" s="146"/>
      <c r="AH32" s="146"/>
      <c r="AI32" s="146"/>
    </row>
    <row r="33" spans="1:35" ht="15.75" customHeight="1" x14ac:dyDescent="0.2">
      <c r="A33" s="145"/>
      <c r="B33" s="145"/>
      <c r="C33" s="146"/>
      <c r="D33" s="146"/>
      <c r="E33" s="146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  <c r="W33" s="146"/>
      <c r="X33" s="146"/>
      <c r="Y33" s="146"/>
      <c r="Z33" s="146"/>
      <c r="AA33" s="146"/>
      <c r="AB33" s="146"/>
      <c r="AC33" s="146"/>
      <c r="AD33" s="146"/>
      <c r="AE33" s="146"/>
      <c r="AF33" s="146"/>
      <c r="AG33" s="146"/>
      <c r="AH33" s="146"/>
      <c r="AI33" s="146"/>
    </row>
    <row r="34" spans="1:35" ht="15.75" customHeight="1" x14ac:dyDescent="0.2"/>
    <row r="35" spans="1:35" ht="15.75" customHeight="1" x14ac:dyDescent="0.2"/>
    <row r="36" spans="1:35" ht="15.75" customHeight="1" x14ac:dyDescent="0.2"/>
    <row r="37" spans="1:35" ht="15.75" customHeight="1" x14ac:dyDescent="0.2"/>
    <row r="38" spans="1:35" ht="15.75" customHeight="1" x14ac:dyDescent="0.2"/>
    <row r="39" spans="1:35" ht="15.75" customHeight="1" x14ac:dyDescent="0.2"/>
    <row r="40" spans="1:35" ht="15.75" customHeight="1" x14ac:dyDescent="0.2"/>
    <row r="41" spans="1:35" ht="15.75" customHeight="1" x14ac:dyDescent="0.2"/>
    <row r="42" spans="1:35" ht="15.75" customHeight="1" x14ac:dyDescent="0.2"/>
    <row r="43" spans="1:35" ht="15.75" customHeight="1" x14ac:dyDescent="0.2"/>
    <row r="44" spans="1:35" ht="15.75" customHeight="1" x14ac:dyDescent="0.2"/>
    <row r="45" spans="1:35" ht="15.75" customHeight="1" x14ac:dyDescent="0.2"/>
    <row r="46" spans="1:35" ht="15.75" customHeight="1" x14ac:dyDescent="0.2"/>
    <row r="47" spans="1:35" ht="15.75" customHeight="1" x14ac:dyDescent="0.2"/>
    <row r="48" spans="1:3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</sheetData>
  <pageMargins left="0.7" right="0.7" top="0.75" bottom="0.75" header="0" footer="0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F199011-92F8-4926-8CD4-873CCA3C7B3F}">
          <x14:formula1>
            <xm:f>Parametros!$A$18:$A$24</xm:f>
          </x14:formula1>
          <xm:sqref>C5:C14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394A4-F35C-4DD3-8D4E-D5DDC43F7268}">
  <dimension ref="A1:AN997"/>
  <sheetViews>
    <sheetView showGridLines="0" topLeftCell="G1" zoomScale="90" zoomScaleNormal="90" workbookViewId="0">
      <selection activeCell="L23" sqref="L23"/>
    </sheetView>
  </sheetViews>
  <sheetFormatPr baseColWidth="10" defaultColWidth="14.42578125" defaultRowHeight="15" customHeight="1" x14ac:dyDescent="0.2"/>
  <cols>
    <col min="1" max="2" width="6.85546875" style="147" customWidth="1"/>
    <col min="3" max="3" width="10.7109375" style="147" customWidth="1"/>
    <col min="4" max="4" width="12.140625" style="147" customWidth="1"/>
    <col min="5" max="5" width="37.140625" style="147" customWidth="1"/>
    <col min="6" max="6" width="9.42578125" style="147" customWidth="1"/>
    <col min="7" max="10" width="6.85546875" style="147" customWidth="1"/>
    <col min="11" max="11" width="7.5703125" style="147" customWidth="1"/>
    <col min="12" max="12" width="7.85546875" style="147" customWidth="1"/>
    <col min="13" max="13" width="10.7109375" style="147" hidden="1" customWidth="1"/>
    <col min="14" max="14" width="12.5703125" style="147" customWidth="1"/>
    <col min="15" max="15" width="10.7109375" style="147" customWidth="1"/>
    <col min="16" max="16" width="6" style="147" customWidth="1"/>
    <col min="17" max="17" width="12.140625" style="147" customWidth="1"/>
    <col min="18" max="19" width="10.7109375" style="147" customWidth="1"/>
    <col min="20" max="20" width="12" style="147" customWidth="1"/>
    <col min="21" max="23" width="10.7109375" style="147" customWidth="1"/>
    <col min="24" max="24" width="18.42578125" style="147" customWidth="1"/>
    <col min="25" max="25" width="25.85546875" style="147" customWidth="1"/>
    <col min="26" max="27" width="5" style="147" customWidth="1"/>
    <col min="28" max="31" width="10.7109375" style="147" customWidth="1"/>
    <col min="32" max="32" width="14.42578125" style="147"/>
    <col min="33" max="33" width="9.28515625" style="147" customWidth="1"/>
    <col min="34" max="16379" width="14.42578125" style="147"/>
    <col min="16380" max="16380" width="9.42578125" style="147" customWidth="1"/>
    <col min="16381" max="16381" width="10.5703125" style="147" customWidth="1"/>
    <col min="16382" max="16384" width="14.42578125" style="147"/>
  </cols>
  <sheetData>
    <row r="1" spans="1:40" ht="14.25" x14ac:dyDescent="0.2">
      <c r="A1" s="145"/>
      <c r="B1" s="145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</row>
    <row r="2" spans="1:40" thickBot="1" x14ac:dyDescent="0.25">
      <c r="A2" s="145"/>
      <c r="B2" s="148"/>
      <c r="G2" s="147" t="s">
        <v>116</v>
      </c>
      <c r="H2" s="147" t="s">
        <v>116</v>
      </c>
      <c r="I2" s="147" t="s">
        <v>116</v>
      </c>
      <c r="J2" s="147" t="s">
        <v>116</v>
      </c>
      <c r="K2" s="147" t="s">
        <v>116</v>
      </c>
      <c r="L2" s="147" t="s">
        <v>7</v>
      </c>
      <c r="P2" s="146"/>
      <c r="Z2" s="146"/>
      <c r="AA2" s="149"/>
      <c r="AI2" s="146"/>
    </row>
    <row r="3" spans="1:40" x14ac:dyDescent="0.25">
      <c r="A3" s="145"/>
      <c r="B3" s="148"/>
      <c r="C3" s="150"/>
      <c r="D3" s="151"/>
      <c r="E3" s="151"/>
      <c r="F3" s="152" t="s">
        <v>117</v>
      </c>
      <c r="G3" s="152">
        <v>13</v>
      </c>
      <c r="H3" s="152">
        <v>14</v>
      </c>
      <c r="I3" s="152">
        <v>15</v>
      </c>
      <c r="J3" s="152">
        <v>16</v>
      </c>
      <c r="K3" s="152">
        <v>17</v>
      </c>
      <c r="L3" s="152">
        <v>18</v>
      </c>
      <c r="M3" s="152"/>
      <c r="N3" s="153"/>
      <c r="P3" s="146"/>
      <c r="Z3" s="146"/>
      <c r="AA3" s="149"/>
      <c r="AI3" s="146"/>
      <c r="AL3" s="154" t="s">
        <v>118</v>
      </c>
      <c r="AM3" s="154"/>
      <c r="AN3" s="154"/>
    </row>
    <row r="4" spans="1:40" ht="60" x14ac:dyDescent="0.25">
      <c r="A4" s="145"/>
      <c r="B4" s="148"/>
      <c r="C4" s="155" t="s">
        <v>119</v>
      </c>
      <c r="D4" s="156" t="s">
        <v>120</v>
      </c>
      <c r="E4" s="156" t="s">
        <v>29</v>
      </c>
      <c r="F4" s="157" t="s">
        <v>121</v>
      </c>
      <c r="G4" s="156" t="s">
        <v>122</v>
      </c>
      <c r="H4" s="156" t="s">
        <v>123</v>
      </c>
      <c r="I4" s="156" t="s">
        <v>124</v>
      </c>
      <c r="J4" s="156" t="s">
        <v>125</v>
      </c>
      <c r="K4" s="156" t="s">
        <v>126</v>
      </c>
      <c r="L4" s="156" t="s">
        <v>127</v>
      </c>
      <c r="M4" s="158" t="s">
        <v>128</v>
      </c>
      <c r="N4" s="159" t="s">
        <v>129</v>
      </c>
      <c r="P4" s="146"/>
      <c r="Z4" s="146"/>
      <c r="AA4" s="149"/>
      <c r="AI4" s="146"/>
      <c r="AL4" s="154"/>
      <c r="AM4" s="154"/>
      <c r="AN4" s="154"/>
    </row>
    <row r="5" spans="1:40" x14ac:dyDescent="0.25">
      <c r="A5" s="145"/>
      <c r="B5" s="148"/>
      <c r="C5" s="155" t="s">
        <v>160</v>
      </c>
      <c r="D5" s="156" t="s">
        <v>200</v>
      </c>
      <c r="E5" s="191" t="str">
        <f>VLOOKUP(D5,Tabla4[[#All],[Tarea]:[Actividad]],2,0)</f>
        <v>Listar Entidades y Atributos</v>
      </c>
      <c r="F5" s="156">
        <v>4</v>
      </c>
      <c r="G5" s="156">
        <v>1</v>
      </c>
      <c r="H5" s="156"/>
      <c r="I5" s="156"/>
      <c r="J5" s="156">
        <v>1</v>
      </c>
      <c r="K5" s="156">
        <v>2</v>
      </c>
      <c r="L5" s="156"/>
      <c r="M5" s="156"/>
      <c r="N5" s="162">
        <f>SUM(G5:M5)</f>
        <v>4</v>
      </c>
      <c r="P5" s="146"/>
      <c r="Z5" s="146"/>
      <c r="AA5" s="149"/>
      <c r="AI5" s="146"/>
      <c r="AL5" s="154" t="s">
        <v>110</v>
      </c>
      <c r="AM5" s="154" t="s">
        <v>111</v>
      </c>
      <c r="AN5" s="154"/>
    </row>
    <row r="6" spans="1:40" ht="25.5" customHeight="1" x14ac:dyDescent="0.25">
      <c r="A6" s="145"/>
      <c r="B6" s="148"/>
      <c r="C6" s="155" t="s">
        <v>160</v>
      </c>
      <c r="D6" s="156" t="s">
        <v>206</v>
      </c>
      <c r="E6" s="191" t="str">
        <f>VLOOKUP(D6,Tabla4[[#All],[Tarea]:[Actividad]],2,0)</f>
        <v>Crear Modelo Conceptual del Sistema</v>
      </c>
      <c r="F6" s="156">
        <v>2</v>
      </c>
      <c r="G6" s="156">
        <v>1</v>
      </c>
      <c r="H6" s="156">
        <v>1</v>
      </c>
      <c r="I6" s="156"/>
      <c r="J6" s="156"/>
      <c r="K6" s="156"/>
      <c r="L6" s="156"/>
      <c r="M6" s="156"/>
      <c r="N6" s="163">
        <f>SUM(G6:M6)</f>
        <v>2</v>
      </c>
      <c r="P6" s="146"/>
      <c r="Z6" s="146"/>
      <c r="AA6" s="149"/>
      <c r="AI6" s="146"/>
      <c r="AL6" s="164">
        <v>0.1</v>
      </c>
      <c r="AM6" s="154">
        <v>1</v>
      </c>
      <c r="AN6" s="154"/>
    </row>
    <row r="7" spans="1:40" ht="35.25" customHeight="1" x14ac:dyDescent="0.25">
      <c r="A7" s="145"/>
      <c r="B7" s="148"/>
      <c r="C7" s="155" t="s">
        <v>160</v>
      </c>
      <c r="D7" s="156" t="s">
        <v>207</v>
      </c>
      <c r="E7" s="191" t="str">
        <f>VLOOKUP(D7,Tabla4[[#All],[Tarea]:[Actividad]],2,0)</f>
        <v>Documentar Historias de Usuario</v>
      </c>
      <c r="F7" s="156">
        <v>3</v>
      </c>
      <c r="G7" s="156"/>
      <c r="H7" s="156">
        <v>2</v>
      </c>
      <c r="I7" s="156">
        <v>1</v>
      </c>
      <c r="J7" s="156"/>
      <c r="K7" s="156"/>
      <c r="L7" s="156"/>
      <c r="M7" s="156"/>
      <c r="N7" s="163">
        <f>SUM(G7:M7)</f>
        <v>3</v>
      </c>
      <c r="P7" s="146"/>
      <c r="Z7" s="146"/>
      <c r="AA7" s="149"/>
      <c r="AI7" s="146"/>
      <c r="AL7" s="164">
        <v>0.2</v>
      </c>
      <c r="AM7" s="154">
        <v>1</v>
      </c>
      <c r="AN7" s="154"/>
    </row>
    <row r="8" spans="1:40" ht="36" customHeight="1" x14ac:dyDescent="0.25">
      <c r="A8" s="145"/>
      <c r="B8" s="148"/>
      <c r="C8" s="155" t="s">
        <v>160</v>
      </c>
      <c r="D8" s="156" t="s">
        <v>208</v>
      </c>
      <c r="E8" s="191" t="str">
        <f>VLOOKUP(D8,Tabla4[[#All],[Tarea]:[Actividad]],2,0)</f>
        <v>Documentar Requerimientos Funcionales</v>
      </c>
      <c r="F8" s="156">
        <v>2</v>
      </c>
      <c r="G8" s="156"/>
      <c r="H8" s="156"/>
      <c r="I8" s="156">
        <v>2</v>
      </c>
      <c r="J8" s="156"/>
      <c r="K8" s="156"/>
      <c r="L8" s="156"/>
      <c r="M8" s="156"/>
      <c r="N8" s="163">
        <f>SUM(G8:M8)</f>
        <v>2</v>
      </c>
      <c r="P8" s="146"/>
      <c r="Z8" s="146"/>
      <c r="AA8" s="149"/>
      <c r="AI8" s="146"/>
      <c r="AL8" s="164">
        <v>0.3</v>
      </c>
      <c r="AM8" s="154">
        <v>1</v>
      </c>
      <c r="AN8" s="154"/>
    </row>
    <row r="9" spans="1:40" ht="36.75" customHeight="1" x14ac:dyDescent="0.25">
      <c r="A9" s="145"/>
      <c r="B9" s="148"/>
      <c r="C9" s="155" t="s">
        <v>160</v>
      </c>
      <c r="D9" s="156" t="s">
        <v>210</v>
      </c>
      <c r="E9" s="191" t="str">
        <f>VLOOKUP(D9,Tabla4[[#All],[Tarea]:[Actividad]],2,0)</f>
        <v>Documentar Requerimientos No Funcionales</v>
      </c>
      <c r="F9" s="156">
        <v>1</v>
      </c>
      <c r="G9" s="156"/>
      <c r="H9" s="156"/>
      <c r="I9" s="156"/>
      <c r="J9" s="156">
        <v>1</v>
      </c>
      <c r="K9" s="156"/>
      <c r="L9" s="156"/>
      <c r="M9" s="156"/>
      <c r="N9" s="163"/>
      <c r="P9" s="146"/>
      <c r="Z9" s="146"/>
      <c r="AA9" s="149"/>
      <c r="AI9" s="146"/>
      <c r="AL9" s="164">
        <v>0.4</v>
      </c>
      <c r="AM9" s="154">
        <v>1</v>
      </c>
      <c r="AN9" s="154"/>
    </row>
    <row r="10" spans="1:40" ht="35.25" customHeight="1" x14ac:dyDescent="0.25">
      <c r="A10" s="145"/>
      <c r="B10" s="148"/>
      <c r="C10" s="155" t="s">
        <v>160</v>
      </c>
      <c r="D10" s="156" t="s">
        <v>212</v>
      </c>
      <c r="E10" s="191" t="str">
        <f>VLOOKUP(D10,Tabla4[[#All],[Tarea]:[Actividad]],2,0)</f>
        <v>Consolidar documento entregable</v>
      </c>
      <c r="F10" s="156">
        <v>1</v>
      </c>
      <c r="G10" s="156"/>
      <c r="H10" s="156"/>
      <c r="I10" s="156"/>
      <c r="J10" s="156"/>
      <c r="K10" s="156">
        <v>1</v>
      </c>
      <c r="L10" s="156"/>
      <c r="M10" s="156"/>
      <c r="N10" s="163">
        <f>SUM(G10:M10)</f>
        <v>1</v>
      </c>
      <c r="P10" s="146"/>
      <c r="Z10" s="146"/>
      <c r="AA10" s="149"/>
      <c r="AI10" s="146"/>
      <c r="AL10" s="164">
        <v>0.5</v>
      </c>
      <c r="AM10" s="154">
        <v>1</v>
      </c>
      <c r="AN10" s="154"/>
    </row>
    <row r="11" spans="1:40" x14ac:dyDescent="0.25">
      <c r="A11" s="145"/>
      <c r="B11" s="148"/>
      <c r="C11" s="155" t="s">
        <v>160</v>
      </c>
      <c r="D11" s="156" t="s">
        <v>214</v>
      </c>
      <c r="E11" s="191" t="str">
        <f>VLOOKUP(D11,Tabla4[[#All],[Tarea]:[Actividad]],2,0)</f>
        <v>Cargar documento Sprint 3 - Curso</v>
      </c>
      <c r="F11" s="156">
        <v>0</v>
      </c>
      <c r="G11" s="156"/>
      <c r="H11" s="156"/>
      <c r="I11" s="156"/>
      <c r="J11" s="156"/>
      <c r="K11" s="156">
        <v>0</v>
      </c>
      <c r="L11" s="156"/>
      <c r="M11" s="156"/>
      <c r="N11" s="163">
        <f>SUM(G11:M11)</f>
        <v>0</v>
      </c>
      <c r="P11" s="146"/>
      <c r="Z11" s="146"/>
      <c r="AA11" s="149"/>
      <c r="AI11" s="146"/>
      <c r="AL11" s="164">
        <v>0.6</v>
      </c>
      <c r="AM11" s="154">
        <v>1</v>
      </c>
      <c r="AN11" s="154"/>
    </row>
    <row r="12" spans="1:40" ht="30" x14ac:dyDescent="0.25">
      <c r="A12" s="145"/>
      <c r="B12" s="148"/>
      <c r="C12" s="155" t="s">
        <v>160</v>
      </c>
      <c r="D12" s="156" t="s">
        <v>218</v>
      </c>
      <c r="E12" s="191" t="str">
        <f>VLOOKUP(D12,Tabla4[[#All],[Tarea]:[Actividad]],2,0)</f>
        <v>Consolidar documento seguimiento Sprint 3</v>
      </c>
      <c r="F12" s="156">
        <v>1</v>
      </c>
      <c r="G12" s="156"/>
      <c r="H12" s="156"/>
      <c r="I12" s="156"/>
      <c r="J12" s="156"/>
      <c r="K12" s="156">
        <v>1</v>
      </c>
      <c r="L12" s="156"/>
      <c r="M12" s="156"/>
      <c r="N12" s="163">
        <f>SUM(G12:M12)</f>
        <v>1</v>
      </c>
      <c r="P12" s="146"/>
      <c r="Z12" s="146"/>
      <c r="AA12" s="149"/>
      <c r="AI12" s="146"/>
      <c r="AL12" s="164">
        <v>0.7</v>
      </c>
      <c r="AM12" s="154">
        <v>1</v>
      </c>
      <c r="AN12" s="154"/>
    </row>
    <row r="13" spans="1:40" ht="15" customHeight="1" x14ac:dyDescent="0.25">
      <c r="A13" s="145"/>
      <c r="B13" s="148"/>
      <c r="C13" s="155" t="s">
        <v>160</v>
      </c>
      <c r="D13" s="156" t="s">
        <v>219</v>
      </c>
      <c r="E13" s="191" t="str">
        <f>VLOOKUP(D13,Tabla4[[#All],[Tarea]:[Actividad]],2,0)</f>
        <v>Cargar evidencia para seguimiento</v>
      </c>
      <c r="F13" s="156">
        <v>1</v>
      </c>
      <c r="G13" s="156"/>
      <c r="H13" s="156"/>
      <c r="I13" s="156"/>
      <c r="J13" s="156"/>
      <c r="K13" s="156">
        <v>1</v>
      </c>
      <c r="L13" s="156"/>
      <c r="M13" s="156"/>
      <c r="N13" s="163">
        <f>SUM(G13:M13)</f>
        <v>1</v>
      </c>
      <c r="P13" s="146"/>
      <c r="Z13" s="146"/>
      <c r="AA13" s="149"/>
      <c r="AI13" s="146"/>
      <c r="AL13" s="164">
        <v>0.8</v>
      </c>
      <c r="AM13" s="154">
        <v>1</v>
      </c>
      <c r="AN13" s="154"/>
    </row>
    <row r="14" spans="1:40" x14ac:dyDescent="0.25">
      <c r="A14" s="145"/>
      <c r="B14" s="148"/>
      <c r="C14" s="155"/>
      <c r="D14" s="156"/>
      <c r="E14" s="161"/>
      <c r="F14" s="156"/>
      <c r="G14" s="156"/>
      <c r="H14" s="156"/>
      <c r="I14" s="156"/>
      <c r="J14" s="156"/>
      <c r="K14" s="156"/>
      <c r="L14" s="156"/>
      <c r="M14" s="156"/>
      <c r="N14" s="163">
        <f>SUM(G14:M14)</f>
        <v>0</v>
      </c>
      <c r="P14" s="146"/>
      <c r="Z14" s="146"/>
      <c r="AA14" s="149"/>
      <c r="AI14" s="146"/>
      <c r="AL14" s="164">
        <v>0.9</v>
      </c>
      <c r="AM14" s="154">
        <v>1</v>
      </c>
      <c r="AN14" s="154"/>
    </row>
    <row r="15" spans="1:40" ht="14.25" x14ac:dyDescent="0.2">
      <c r="A15" s="145"/>
      <c r="B15" s="148"/>
      <c r="C15" s="165"/>
      <c r="N15" s="166"/>
      <c r="P15" s="146"/>
      <c r="Z15" s="146"/>
      <c r="AA15" s="149"/>
      <c r="AI15" s="146"/>
      <c r="AL15" s="164">
        <v>1</v>
      </c>
      <c r="AM15" s="154">
        <v>9</v>
      </c>
      <c r="AN15" s="154"/>
    </row>
    <row r="16" spans="1:40" ht="15" customHeight="1" x14ac:dyDescent="0.25">
      <c r="A16" s="145"/>
      <c r="B16" s="148"/>
      <c r="C16" s="165"/>
      <c r="D16" s="167" t="s">
        <v>130</v>
      </c>
      <c r="E16" s="167"/>
      <c r="F16" s="168">
        <f>SUM(F5:F14)</f>
        <v>15</v>
      </c>
      <c r="G16" s="168">
        <f>F16-SUM(G5:G14)</f>
        <v>13</v>
      </c>
      <c r="H16" s="168">
        <f t="shared" ref="H16:M16" si="0">G16-SUM(H5:H14)</f>
        <v>10</v>
      </c>
      <c r="I16" s="168">
        <f t="shared" si="0"/>
        <v>7</v>
      </c>
      <c r="J16" s="168">
        <f t="shared" si="0"/>
        <v>5</v>
      </c>
      <c r="K16" s="168">
        <f t="shared" si="0"/>
        <v>0</v>
      </c>
      <c r="L16" s="168">
        <f t="shared" si="0"/>
        <v>0</v>
      </c>
      <c r="M16" s="168">
        <f t="shared" si="0"/>
        <v>0</v>
      </c>
      <c r="N16" s="166">
        <f>SUM(N5:N14)</f>
        <v>14</v>
      </c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L16" s="154"/>
      <c r="AM16" s="154"/>
      <c r="AN16" s="164">
        <f>+AE24</f>
        <v>0.93333333333333335</v>
      </c>
    </row>
    <row r="17" spans="1:40" ht="15" customHeight="1" x14ac:dyDescent="0.25">
      <c r="A17" s="145"/>
      <c r="B17" s="148"/>
      <c r="C17" s="165"/>
      <c r="D17" s="167" t="s">
        <v>131</v>
      </c>
      <c r="E17" s="167"/>
      <c r="F17" s="168">
        <f>SUM(F5:F14)</f>
        <v>15</v>
      </c>
      <c r="G17" s="169">
        <f t="shared" ref="G17:M17" si="1">F17-(SUM($F$5:$F$14)/COUNTIF($F$2:$M$2,"x"))</f>
        <v>12.5</v>
      </c>
      <c r="H17" s="169">
        <f t="shared" si="1"/>
        <v>10</v>
      </c>
      <c r="I17" s="169">
        <f t="shared" si="1"/>
        <v>7.5</v>
      </c>
      <c r="J17" s="169">
        <f t="shared" si="1"/>
        <v>5</v>
      </c>
      <c r="K17" s="169">
        <f t="shared" si="1"/>
        <v>2.5</v>
      </c>
      <c r="L17" s="169">
        <f t="shared" si="1"/>
        <v>0</v>
      </c>
      <c r="M17" s="169">
        <f t="shared" si="1"/>
        <v>-2.5</v>
      </c>
      <c r="N17" s="166"/>
      <c r="P17" s="146"/>
      <c r="Z17" s="146"/>
      <c r="AA17" s="149"/>
      <c r="AI17" s="146"/>
      <c r="AL17" s="154" t="s">
        <v>112</v>
      </c>
      <c r="AM17" s="154">
        <f>+AN16*PI()</f>
        <v>2.9321531433504737</v>
      </c>
      <c r="AN17" s="154"/>
    </row>
    <row r="18" spans="1:40" ht="15.75" customHeight="1" thickBot="1" x14ac:dyDescent="0.4">
      <c r="A18" s="145"/>
      <c r="B18" s="148"/>
      <c r="C18" s="170"/>
      <c r="D18" s="171"/>
      <c r="E18" s="171"/>
      <c r="F18" s="171"/>
      <c r="G18" s="171"/>
      <c r="H18" s="171"/>
      <c r="I18" s="171"/>
      <c r="J18" s="171"/>
      <c r="K18" s="171"/>
      <c r="L18" s="171"/>
      <c r="M18" s="171"/>
      <c r="N18" s="172"/>
      <c r="P18" s="146"/>
      <c r="Q18" s="173" t="s">
        <v>132</v>
      </c>
      <c r="Z18" s="146"/>
      <c r="AA18" s="149"/>
      <c r="AB18" s="174" t="s">
        <v>133</v>
      </c>
      <c r="AC18" s="175"/>
      <c r="AD18" s="174"/>
      <c r="AE18" s="175"/>
      <c r="AI18" s="146"/>
      <c r="AL18" s="154"/>
      <c r="AM18" s="154" t="s">
        <v>7</v>
      </c>
      <c r="AN18" s="154" t="s">
        <v>113</v>
      </c>
    </row>
    <row r="19" spans="1:40" ht="15.75" customHeight="1" x14ac:dyDescent="0.3">
      <c r="A19" s="145"/>
      <c r="B19" s="148"/>
      <c r="P19" s="146"/>
      <c r="Q19" s="176" t="s">
        <v>134</v>
      </c>
      <c r="Z19" s="146"/>
      <c r="AA19" s="149"/>
      <c r="AB19" s="175"/>
      <c r="AC19" s="174" t="s">
        <v>135</v>
      </c>
      <c r="AD19" s="174"/>
      <c r="AE19" s="175"/>
      <c r="AI19" s="146"/>
      <c r="AL19" s="154" t="s">
        <v>114</v>
      </c>
      <c r="AM19" s="154">
        <v>0</v>
      </c>
      <c r="AN19" s="154">
        <v>0</v>
      </c>
    </row>
    <row r="20" spans="1:40" ht="15.75" customHeight="1" x14ac:dyDescent="0.3">
      <c r="A20" s="145"/>
      <c r="B20" s="145"/>
      <c r="C20" s="146"/>
      <c r="D20" s="146"/>
      <c r="E20" s="146"/>
      <c r="F20" s="146"/>
      <c r="G20" s="177"/>
      <c r="H20" s="177"/>
      <c r="I20" s="177"/>
      <c r="J20" s="177"/>
      <c r="K20" s="177"/>
      <c r="L20" s="177"/>
      <c r="M20" s="177"/>
      <c r="N20" s="146"/>
      <c r="O20" s="146"/>
      <c r="P20" s="146"/>
      <c r="Q20" s="178" t="s">
        <v>136</v>
      </c>
      <c r="R20" s="179" t="s">
        <v>137</v>
      </c>
      <c r="Z20" s="146"/>
      <c r="AA20" s="149"/>
      <c r="AB20" s="175"/>
      <c r="AC20" s="174" t="s">
        <v>47</v>
      </c>
      <c r="AD20" s="174"/>
      <c r="AE20" s="175"/>
      <c r="AI20" s="146"/>
      <c r="AL20" s="154" t="s">
        <v>115</v>
      </c>
      <c r="AM20" s="154">
        <f>+COS(AM17)*-1</f>
        <v>0.97814760073380569</v>
      </c>
      <c r="AN20" s="154">
        <f>+SIN(AM17)</f>
        <v>0.20791169081775931</v>
      </c>
    </row>
    <row r="21" spans="1:40" ht="15.75" customHeight="1" x14ac:dyDescent="0.3">
      <c r="A21" s="145"/>
      <c r="B21" s="145"/>
      <c r="C21" s="146"/>
      <c r="D21" s="146"/>
      <c r="E21" s="146"/>
      <c r="F21" s="146"/>
      <c r="G21" s="177"/>
      <c r="H21" s="177"/>
      <c r="I21" s="177"/>
      <c r="J21" s="177"/>
      <c r="K21" s="177"/>
      <c r="L21" s="177"/>
      <c r="M21" s="177"/>
      <c r="N21" s="146"/>
      <c r="O21" s="146"/>
      <c r="P21" s="146"/>
      <c r="Q21" s="178" t="s">
        <v>138</v>
      </c>
      <c r="R21" s="179" t="s">
        <v>139</v>
      </c>
      <c r="Z21" s="146"/>
      <c r="AA21" s="149"/>
      <c r="AB21" s="175"/>
      <c r="AC21" s="174"/>
      <c r="AD21" s="174"/>
      <c r="AE21" s="175"/>
      <c r="AI21" s="146"/>
    </row>
    <row r="22" spans="1:40" ht="15.75" customHeight="1" x14ac:dyDescent="0.3">
      <c r="A22" s="145"/>
      <c r="B22" s="145"/>
      <c r="C22" s="146"/>
      <c r="D22" s="146"/>
      <c r="E22" s="146"/>
      <c r="F22" s="146"/>
      <c r="G22" s="146"/>
      <c r="H22" s="146"/>
      <c r="I22" s="146"/>
      <c r="J22" s="146"/>
      <c r="K22" s="146"/>
      <c r="L22" s="146"/>
      <c r="M22" s="146"/>
      <c r="N22" s="146"/>
      <c r="O22" s="146"/>
      <c r="P22" s="146"/>
      <c r="R22" s="179" t="s">
        <v>140</v>
      </c>
      <c r="Z22" s="146"/>
      <c r="AA22" s="149"/>
      <c r="AB22" s="175"/>
      <c r="AC22" s="174" t="s">
        <v>141</v>
      </c>
      <c r="AD22" s="174"/>
      <c r="AE22" s="175"/>
      <c r="AI22" s="146"/>
    </row>
    <row r="23" spans="1:40" ht="15.75" customHeight="1" x14ac:dyDescent="0.3">
      <c r="A23" s="145"/>
      <c r="B23" s="145"/>
      <c r="C23" s="146"/>
      <c r="D23" s="146"/>
      <c r="E23" s="146"/>
      <c r="F23" s="146"/>
      <c r="G23" s="146"/>
      <c r="H23" s="146"/>
      <c r="I23" s="146"/>
      <c r="J23" s="146"/>
      <c r="K23" s="146"/>
      <c r="L23" s="146"/>
      <c r="M23" s="146"/>
      <c r="N23" s="146"/>
      <c r="O23" s="146"/>
      <c r="P23" s="146"/>
      <c r="R23" s="179" t="s">
        <v>142</v>
      </c>
      <c r="Z23" s="146"/>
      <c r="AA23" s="149"/>
      <c r="AB23" s="175"/>
      <c r="AC23" s="174" t="s">
        <v>41</v>
      </c>
      <c r="AD23" s="174"/>
      <c r="AE23" s="175"/>
      <c r="AI23" s="146"/>
    </row>
    <row r="24" spans="1:40" ht="15.75" customHeight="1" x14ac:dyDescent="0.3">
      <c r="A24" s="145"/>
      <c r="B24" s="145"/>
      <c r="C24" s="146"/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6"/>
      <c r="R24" s="179" t="s">
        <v>143</v>
      </c>
      <c r="Z24" s="146"/>
      <c r="AA24" s="149"/>
      <c r="AB24" s="175"/>
      <c r="AC24" s="174" t="s">
        <v>59</v>
      </c>
      <c r="AE24" s="180">
        <f>N16/F16</f>
        <v>0.93333333333333335</v>
      </c>
      <c r="AI24" s="146"/>
    </row>
    <row r="25" spans="1:40" ht="15.75" customHeight="1" x14ac:dyDescent="0.25">
      <c r="A25" s="145"/>
      <c r="B25" s="145"/>
      <c r="C25" s="146"/>
      <c r="D25" s="146"/>
      <c r="E25" s="146"/>
      <c r="F25" s="146"/>
      <c r="G25" s="146"/>
      <c r="H25" s="146"/>
      <c r="I25" s="146"/>
      <c r="J25" s="146"/>
      <c r="K25" s="146"/>
      <c r="L25" s="146"/>
      <c r="M25" s="146"/>
      <c r="N25" s="146"/>
      <c r="O25" s="146"/>
      <c r="P25" s="146"/>
      <c r="R25" s="179" t="s">
        <v>144</v>
      </c>
      <c r="Z25" s="146"/>
      <c r="AA25" s="149"/>
      <c r="AI25" s="146"/>
    </row>
    <row r="26" spans="1:40" ht="15.75" customHeight="1" x14ac:dyDescent="0.25">
      <c r="A26" s="145"/>
      <c r="B26" s="145"/>
      <c r="C26" s="146"/>
      <c r="D26" s="146"/>
      <c r="E26" s="146"/>
      <c r="F26" s="146"/>
      <c r="G26" s="146"/>
      <c r="H26" s="146"/>
      <c r="I26" s="146"/>
      <c r="J26" s="146"/>
      <c r="K26" s="146"/>
      <c r="L26" s="146"/>
      <c r="M26" s="146"/>
      <c r="N26" s="146"/>
      <c r="O26" s="146"/>
      <c r="P26" s="146"/>
      <c r="R26" s="179" t="s">
        <v>145</v>
      </c>
      <c r="Z26" s="146"/>
      <c r="AA26" s="149"/>
      <c r="AI26" s="146"/>
    </row>
    <row r="27" spans="1:40" ht="15.75" customHeight="1" x14ac:dyDescent="0.25">
      <c r="A27" s="145"/>
      <c r="B27" s="145"/>
      <c r="C27" s="146"/>
      <c r="D27" s="146"/>
      <c r="E27" s="146"/>
      <c r="F27" s="146"/>
      <c r="G27" s="146"/>
      <c r="H27" s="146"/>
      <c r="I27" s="146"/>
      <c r="J27" s="146"/>
      <c r="K27" s="146"/>
      <c r="L27" s="146"/>
      <c r="M27" s="146"/>
      <c r="N27" s="146"/>
      <c r="O27" s="146"/>
      <c r="P27" s="146"/>
      <c r="R27" s="179" t="s">
        <v>146</v>
      </c>
      <c r="Z27" s="146"/>
      <c r="AA27" s="149"/>
      <c r="AI27" s="146"/>
    </row>
    <row r="28" spans="1:40" ht="15.75" customHeight="1" x14ac:dyDescent="0.25">
      <c r="A28" s="145"/>
      <c r="B28" s="145"/>
      <c r="C28" s="146"/>
      <c r="D28" s="146"/>
      <c r="E28" s="146"/>
      <c r="F28" s="146"/>
      <c r="G28" s="146"/>
      <c r="H28" s="146"/>
      <c r="I28" s="146"/>
      <c r="J28" s="146"/>
      <c r="K28" s="146"/>
      <c r="L28" s="146"/>
      <c r="M28" s="146"/>
      <c r="N28" s="146"/>
      <c r="O28" s="146"/>
      <c r="P28" s="146"/>
      <c r="R28" s="179" t="s">
        <v>147</v>
      </c>
      <c r="Z28" s="146"/>
      <c r="AA28" s="149"/>
      <c r="AI28" s="146"/>
    </row>
    <row r="29" spans="1:40" ht="15.75" customHeight="1" x14ac:dyDescent="0.25">
      <c r="A29" s="145"/>
      <c r="B29" s="145"/>
      <c r="C29" s="146"/>
      <c r="D29" s="146"/>
      <c r="E29" s="146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R29" s="179" t="s">
        <v>148</v>
      </c>
      <c r="Z29" s="146"/>
      <c r="AA29" s="149"/>
      <c r="AI29" s="146"/>
    </row>
    <row r="30" spans="1:40" ht="15.75" customHeight="1" x14ac:dyDescent="0.2">
      <c r="A30" s="145"/>
      <c r="B30" s="145"/>
      <c r="C30" s="146"/>
      <c r="D30" s="146"/>
      <c r="E30" s="146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6"/>
      <c r="Z30" s="146"/>
      <c r="AA30" s="149"/>
      <c r="AI30" s="146"/>
    </row>
    <row r="31" spans="1:40" ht="15.75" customHeight="1" x14ac:dyDescent="0.2">
      <c r="A31" s="145"/>
      <c r="B31" s="145"/>
      <c r="C31" s="146"/>
      <c r="D31" s="146"/>
      <c r="E31" s="146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6"/>
      <c r="AC31" s="146"/>
      <c r="AD31" s="146"/>
      <c r="AE31" s="146"/>
      <c r="AF31" s="146"/>
      <c r="AG31" s="146"/>
      <c r="AH31" s="146"/>
      <c r="AI31" s="146"/>
    </row>
    <row r="32" spans="1:40" ht="15.75" customHeight="1" x14ac:dyDescent="0.2">
      <c r="A32" s="145"/>
      <c r="B32" s="145"/>
      <c r="C32" s="146"/>
      <c r="D32" s="146"/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  <c r="W32" s="146"/>
      <c r="X32" s="146"/>
      <c r="Y32" s="146"/>
      <c r="Z32" s="146"/>
      <c r="AA32" s="146"/>
      <c r="AB32" s="146"/>
      <c r="AC32" s="146"/>
      <c r="AD32" s="146"/>
      <c r="AE32" s="146"/>
      <c r="AF32" s="146"/>
      <c r="AG32" s="146"/>
      <c r="AH32" s="146"/>
      <c r="AI32" s="146"/>
    </row>
    <row r="33" spans="1:35" ht="15.75" customHeight="1" x14ac:dyDescent="0.2">
      <c r="A33" s="145"/>
      <c r="B33" s="145"/>
      <c r="C33" s="146"/>
      <c r="D33" s="146"/>
      <c r="E33" s="146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  <c r="W33" s="146"/>
      <c r="X33" s="146"/>
      <c r="Y33" s="146"/>
      <c r="Z33" s="146"/>
      <c r="AA33" s="146"/>
      <c r="AB33" s="146"/>
      <c r="AC33" s="146"/>
      <c r="AD33" s="146"/>
      <c r="AE33" s="146"/>
      <c r="AF33" s="146"/>
      <c r="AG33" s="146"/>
      <c r="AH33" s="146"/>
      <c r="AI33" s="146"/>
    </row>
    <row r="34" spans="1:35" ht="15.75" customHeight="1" x14ac:dyDescent="0.2"/>
    <row r="35" spans="1:35" ht="15.75" customHeight="1" x14ac:dyDescent="0.2"/>
    <row r="36" spans="1:35" ht="15.75" customHeight="1" x14ac:dyDescent="0.2"/>
    <row r="37" spans="1:35" ht="15.75" customHeight="1" x14ac:dyDescent="0.2"/>
    <row r="38" spans="1:35" ht="15.75" customHeight="1" x14ac:dyDescent="0.2"/>
    <row r="39" spans="1:35" ht="15.75" customHeight="1" x14ac:dyDescent="0.2"/>
    <row r="40" spans="1:35" ht="15.75" customHeight="1" x14ac:dyDescent="0.2"/>
    <row r="41" spans="1:35" ht="15.75" customHeight="1" x14ac:dyDescent="0.2"/>
    <row r="42" spans="1:35" ht="15.75" customHeight="1" x14ac:dyDescent="0.2"/>
    <row r="43" spans="1:35" ht="15.75" customHeight="1" x14ac:dyDescent="0.2"/>
    <row r="44" spans="1:35" ht="15.75" customHeight="1" x14ac:dyDescent="0.2"/>
    <row r="45" spans="1:35" ht="15.75" customHeight="1" x14ac:dyDescent="0.2"/>
    <row r="46" spans="1:35" ht="15.75" customHeight="1" x14ac:dyDescent="0.2"/>
    <row r="47" spans="1:35" ht="15.75" customHeight="1" x14ac:dyDescent="0.2"/>
    <row r="48" spans="1:3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</sheetData>
  <pageMargins left="0.7" right="0.7" top="0.75" bottom="0.75" header="0" footer="0"/>
  <pageSetup paperSize="9" scale="37" orientation="portrait" r:id="rId1"/>
  <colBreaks count="2" manualBreakCount="2">
    <brk id="15" max="1048575" man="1"/>
    <brk id="35" max="29" man="1"/>
  </colBreak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DE27F94-745D-4020-B781-23DFE9426E68}">
          <x14:formula1>
            <xm:f>Parametros!$A$18:$A$24</xm:f>
          </x14:formula1>
          <xm:sqref>C5:C14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F9AA3-6070-4D33-834F-C1860C19E30C}">
  <dimension ref="A1:AN997"/>
  <sheetViews>
    <sheetView showGridLines="0" topLeftCell="A3" zoomScale="70" zoomScaleNormal="70" workbookViewId="0">
      <selection activeCell="D11" sqref="D11"/>
    </sheetView>
  </sheetViews>
  <sheetFormatPr baseColWidth="10" defaultColWidth="14.42578125" defaultRowHeight="15" customHeight="1" x14ac:dyDescent="0.2"/>
  <cols>
    <col min="1" max="1" width="6.85546875" style="147" customWidth="1"/>
    <col min="2" max="2" width="2.7109375" style="147" customWidth="1"/>
    <col min="3" max="3" width="10.7109375" style="147" customWidth="1"/>
    <col min="4" max="4" width="8.28515625" style="147" customWidth="1"/>
    <col min="5" max="5" width="37.140625" style="147" customWidth="1"/>
    <col min="6" max="6" width="9.42578125" style="147" customWidth="1"/>
    <col min="7" max="10" width="6.85546875" style="147" customWidth="1"/>
    <col min="11" max="11" width="7.5703125" style="147" customWidth="1"/>
    <col min="12" max="12" width="7.85546875" style="147" customWidth="1"/>
    <col min="13" max="13" width="10.7109375" style="147" hidden="1" customWidth="1"/>
    <col min="14" max="14" width="12.5703125" style="147" customWidth="1"/>
    <col min="15" max="15" width="3.7109375" style="147" customWidth="1"/>
    <col min="16" max="16" width="2.42578125" style="147" customWidth="1"/>
    <col min="17" max="17" width="12.140625" style="147" customWidth="1"/>
    <col min="18" max="19" width="10.7109375" style="147" customWidth="1"/>
    <col min="20" max="20" width="12" style="147" customWidth="1"/>
    <col min="21" max="23" width="10.7109375" style="147" customWidth="1"/>
    <col min="24" max="24" width="18.42578125" style="147" customWidth="1"/>
    <col min="25" max="25" width="25.85546875" style="147" customWidth="1"/>
    <col min="26" max="27" width="5" style="147" customWidth="1"/>
    <col min="28" max="31" width="10.7109375" style="147" customWidth="1"/>
    <col min="32" max="32" width="14.42578125" style="147"/>
    <col min="33" max="33" width="9.28515625" style="147" customWidth="1"/>
    <col min="34" max="16379" width="14.42578125" style="147"/>
    <col min="16380" max="16380" width="9.42578125" style="147" customWidth="1"/>
    <col min="16381" max="16381" width="10.5703125" style="147" customWidth="1"/>
    <col min="16382" max="16384" width="14.42578125" style="147"/>
  </cols>
  <sheetData>
    <row r="1" spans="1:40" ht="14.25" x14ac:dyDescent="0.2">
      <c r="A1" s="145"/>
      <c r="B1" s="145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</row>
    <row r="2" spans="1:40" thickBot="1" x14ac:dyDescent="0.25">
      <c r="A2" s="145"/>
      <c r="B2" s="148"/>
      <c r="G2" s="147" t="s">
        <v>116</v>
      </c>
      <c r="H2" s="147" t="s">
        <v>116</v>
      </c>
      <c r="I2" s="147" t="s">
        <v>116</v>
      </c>
      <c r="J2" s="147" t="s">
        <v>116</v>
      </c>
      <c r="K2" s="147" t="s">
        <v>116</v>
      </c>
      <c r="L2" s="147" t="s">
        <v>7</v>
      </c>
      <c r="P2" s="146"/>
      <c r="Z2" s="146"/>
      <c r="AA2" s="149"/>
      <c r="AI2" s="146"/>
    </row>
    <row r="3" spans="1:40" x14ac:dyDescent="0.25">
      <c r="A3" s="145"/>
      <c r="B3" s="148"/>
      <c r="C3" s="150"/>
      <c r="D3" s="151"/>
      <c r="E3" s="151"/>
      <c r="F3" s="152" t="s">
        <v>117</v>
      </c>
      <c r="G3" s="152">
        <v>20</v>
      </c>
      <c r="H3" s="152">
        <v>21</v>
      </c>
      <c r="I3" s="152">
        <v>22</v>
      </c>
      <c r="J3" s="152">
        <v>23</v>
      </c>
      <c r="K3" s="152">
        <v>24</v>
      </c>
      <c r="L3" s="152">
        <v>25</v>
      </c>
      <c r="M3" s="152"/>
      <c r="N3" s="153"/>
      <c r="P3" s="146"/>
      <c r="Z3" s="146"/>
      <c r="AA3" s="149"/>
      <c r="AI3" s="146"/>
      <c r="AL3" s="154" t="s">
        <v>118</v>
      </c>
      <c r="AM3" s="154"/>
      <c r="AN3" s="154"/>
    </row>
    <row r="4" spans="1:40" ht="60" x14ac:dyDescent="0.25">
      <c r="A4" s="145"/>
      <c r="B4" s="148"/>
      <c r="C4" s="155" t="s">
        <v>119</v>
      </c>
      <c r="D4" s="156" t="s">
        <v>120</v>
      </c>
      <c r="E4" s="156" t="s">
        <v>29</v>
      </c>
      <c r="F4" s="157" t="s">
        <v>121</v>
      </c>
      <c r="G4" s="156" t="s">
        <v>122</v>
      </c>
      <c r="H4" s="156" t="s">
        <v>123</v>
      </c>
      <c r="I4" s="156" t="s">
        <v>124</v>
      </c>
      <c r="J4" s="156" t="s">
        <v>125</v>
      </c>
      <c r="K4" s="156" t="s">
        <v>126</v>
      </c>
      <c r="L4" s="156" t="s">
        <v>127</v>
      </c>
      <c r="M4" s="158" t="s">
        <v>128</v>
      </c>
      <c r="N4" s="159" t="s">
        <v>129</v>
      </c>
      <c r="P4" s="146"/>
      <c r="Z4" s="146"/>
      <c r="AA4" s="149"/>
      <c r="AI4" s="146"/>
      <c r="AL4" s="154"/>
      <c r="AM4" s="154"/>
      <c r="AN4" s="154"/>
    </row>
    <row r="5" spans="1:40" ht="17.25" x14ac:dyDescent="0.3">
      <c r="A5" s="145"/>
      <c r="B5" s="148"/>
      <c r="C5" s="193" t="s">
        <v>159</v>
      </c>
      <c r="D5" s="194" t="s">
        <v>232</v>
      </c>
      <c r="E5" s="195" t="str">
        <f>VLOOKUP(D5,Tabla4[[#All],[Tarea]:[Actividad]],2,0)</f>
        <v>Planeación Sprint 4 -Diseños</v>
      </c>
      <c r="F5" s="156">
        <v>1</v>
      </c>
      <c r="G5" s="156">
        <v>1</v>
      </c>
      <c r="H5" s="156"/>
      <c r="I5" s="156"/>
      <c r="J5" s="156"/>
      <c r="K5" s="156"/>
      <c r="L5" s="156"/>
      <c r="M5" s="156"/>
      <c r="N5" s="162">
        <f>SUM(G5:M5)</f>
        <v>1</v>
      </c>
      <c r="P5" s="146"/>
      <c r="Z5" s="146"/>
      <c r="AA5" s="149"/>
      <c r="AI5" s="146"/>
      <c r="AL5" s="154" t="s">
        <v>110</v>
      </c>
      <c r="AM5" s="154" t="s">
        <v>111</v>
      </c>
      <c r="AN5" s="154"/>
    </row>
    <row r="6" spans="1:40" ht="40.5" customHeight="1" x14ac:dyDescent="0.3">
      <c r="A6" s="145"/>
      <c r="B6" s="148"/>
      <c r="C6" s="193" t="s">
        <v>159</v>
      </c>
      <c r="D6" s="194" t="s">
        <v>221</v>
      </c>
      <c r="E6" s="195" t="str">
        <f>VLOOKUP(D6,Tabla4[[#All],[Tarea]:[Actividad]],2,0)</f>
        <v>Crear Diagrama Entidad -Relación</v>
      </c>
      <c r="F6" s="156">
        <v>3</v>
      </c>
      <c r="G6" s="156"/>
      <c r="H6" s="156">
        <v>1</v>
      </c>
      <c r="I6" s="156">
        <v>1</v>
      </c>
      <c r="J6" s="156">
        <v>1</v>
      </c>
      <c r="K6" s="156"/>
      <c r="L6" s="156"/>
      <c r="M6" s="156"/>
      <c r="N6" s="163">
        <f>SUM(G6:M6)</f>
        <v>3</v>
      </c>
      <c r="P6" s="146"/>
      <c r="Z6" s="146"/>
      <c r="AA6" s="149"/>
      <c r="AI6" s="146"/>
      <c r="AL6" s="164">
        <v>0.1</v>
      </c>
      <c r="AM6" s="154">
        <v>1</v>
      </c>
      <c r="AN6" s="154"/>
    </row>
    <row r="7" spans="1:40" ht="35.25" customHeight="1" x14ac:dyDescent="0.3">
      <c r="A7" s="145"/>
      <c r="B7" s="148"/>
      <c r="C7" s="193" t="s">
        <v>159</v>
      </c>
      <c r="D7" s="194" t="s">
        <v>225</v>
      </c>
      <c r="E7" s="195" t="str">
        <f>VLOOKUP(D7,Tabla4[[#All],[Tarea]:[Actividad]],2,0)</f>
        <v>Generar Script creación base de datos</v>
      </c>
      <c r="F7" s="156">
        <v>2</v>
      </c>
      <c r="G7" s="156"/>
      <c r="H7" s="156"/>
      <c r="I7" s="156"/>
      <c r="J7" s="156">
        <v>1</v>
      </c>
      <c r="K7" s="156">
        <v>1</v>
      </c>
      <c r="L7" s="156"/>
      <c r="M7" s="156"/>
      <c r="N7" s="163">
        <f>SUM(G7:M7)</f>
        <v>2</v>
      </c>
      <c r="P7" s="146"/>
      <c r="Z7" s="146"/>
      <c r="AA7" s="149"/>
      <c r="AI7" s="146"/>
      <c r="AL7" s="164">
        <v>0.2</v>
      </c>
      <c r="AM7" s="154">
        <v>1</v>
      </c>
      <c r="AN7" s="154"/>
    </row>
    <row r="8" spans="1:40" ht="36" customHeight="1" x14ac:dyDescent="0.3">
      <c r="A8" s="145"/>
      <c r="B8" s="148"/>
      <c r="C8" s="193" t="s">
        <v>159</v>
      </c>
      <c r="D8" s="194" t="s">
        <v>226</v>
      </c>
      <c r="E8" s="195" t="str">
        <f>VLOOKUP(D8,Tabla4[[#All],[Tarea]:[Actividad]],2,0)</f>
        <v>Diseñar formato de reportes</v>
      </c>
      <c r="F8" s="156">
        <v>2</v>
      </c>
      <c r="G8" s="156"/>
      <c r="H8" s="156"/>
      <c r="I8" s="156">
        <v>2</v>
      </c>
      <c r="J8" s="156"/>
      <c r="K8" s="156"/>
      <c r="L8" s="156"/>
      <c r="M8" s="156"/>
      <c r="N8" s="163">
        <f>SUM(G8:M8)</f>
        <v>2</v>
      </c>
      <c r="P8" s="146"/>
      <c r="Z8" s="146"/>
      <c r="AA8" s="149"/>
      <c r="AI8" s="146"/>
      <c r="AL8" s="164">
        <v>0.3</v>
      </c>
      <c r="AM8" s="154">
        <v>1</v>
      </c>
      <c r="AN8" s="154"/>
    </row>
    <row r="9" spans="1:40" ht="36.75" customHeight="1" x14ac:dyDescent="0.3">
      <c r="A9" s="145"/>
      <c r="B9" s="148"/>
      <c r="C9" s="193" t="s">
        <v>159</v>
      </c>
      <c r="D9" s="194" t="s">
        <v>234</v>
      </c>
      <c r="E9" s="195" t="str">
        <f>VLOOKUP(D9,Tabla4[[#All],[Tarea]:[Actividad]],2,0)</f>
        <v>Consolidar documento seguimiento Sprint 2</v>
      </c>
      <c r="F9" s="156">
        <v>1</v>
      </c>
      <c r="G9" s="156"/>
      <c r="H9" s="156"/>
      <c r="I9" s="156"/>
      <c r="J9" s="156"/>
      <c r="K9" s="156"/>
      <c r="L9" s="156">
        <v>1</v>
      </c>
      <c r="M9" s="156"/>
      <c r="N9" s="163"/>
      <c r="P9" s="146"/>
      <c r="Z9" s="146"/>
      <c r="AA9" s="149"/>
      <c r="AI9" s="146"/>
      <c r="AL9" s="164">
        <v>0.4</v>
      </c>
      <c r="AM9" s="154">
        <v>1</v>
      </c>
      <c r="AN9" s="154"/>
    </row>
    <row r="10" spans="1:40" ht="35.25" customHeight="1" x14ac:dyDescent="0.3">
      <c r="A10" s="145"/>
      <c r="B10" s="148"/>
      <c r="C10" s="193" t="s">
        <v>159</v>
      </c>
      <c r="D10" s="194" t="s">
        <v>250</v>
      </c>
      <c r="E10" s="195" t="str">
        <f>VLOOKUP(D10,Tabla4[[#All],[Tarea]:[Actividad]],2,0)</f>
        <v>Cargar evidencia para seguimiento</v>
      </c>
      <c r="F10" s="156">
        <v>1</v>
      </c>
      <c r="G10" s="156"/>
      <c r="H10" s="156"/>
      <c r="I10" s="156"/>
      <c r="J10" s="156"/>
      <c r="K10" s="156"/>
      <c r="L10" s="156">
        <v>1</v>
      </c>
      <c r="M10" s="156"/>
      <c r="N10" s="163">
        <f>SUM(G10:M10)</f>
        <v>1</v>
      </c>
      <c r="P10" s="146"/>
      <c r="Z10" s="146"/>
      <c r="AA10" s="149"/>
      <c r="AI10" s="146"/>
      <c r="AL10" s="164">
        <v>0.5</v>
      </c>
      <c r="AM10" s="154">
        <v>1</v>
      </c>
      <c r="AN10" s="154"/>
    </row>
    <row r="11" spans="1:40" x14ac:dyDescent="0.25">
      <c r="A11" s="145"/>
      <c r="B11" s="148"/>
      <c r="C11" s="155"/>
      <c r="D11" s="160"/>
      <c r="E11" s="161"/>
      <c r="F11" s="156"/>
      <c r="G11" s="156"/>
      <c r="H11" s="156"/>
      <c r="I11" s="156"/>
      <c r="J11" s="156"/>
      <c r="K11" s="156"/>
      <c r="L11" s="156"/>
      <c r="M11" s="156"/>
      <c r="N11" s="163">
        <f>SUM(G11:M11)</f>
        <v>0</v>
      </c>
      <c r="P11" s="146"/>
      <c r="Z11" s="146"/>
      <c r="AA11" s="149"/>
      <c r="AI11" s="146"/>
      <c r="AL11" s="164">
        <v>0.6</v>
      </c>
      <c r="AM11" s="154">
        <v>1</v>
      </c>
      <c r="AN11" s="154"/>
    </row>
    <row r="12" spans="1:40" x14ac:dyDescent="0.25">
      <c r="A12" s="145"/>
      <c r="B12" s="148"/>
      <c r="C12" s="155"/>
      <c r="D12" s="160"/>
      <c r="E12" s="161"/>
      <c r="F12" s="156"/>
      <c r="G12" s="156"/>
      <c r="H12" s="156"/>
      <c r="I12" s="156"/>
      <c r="J12" s="156"/>
      <c r="K12" s="156"/>
      <c r="L12" s="156"/>
      <c r="M12" s="156"/>
      <c r="N12" s="163">
        <f>SUM(G12:M12)</f>
        <v>0</v>
      </c>
      <c r="P12" s="146"/>
      <c r="Z12" s="146"/>
      <c r="AA12" s="149"/>
      <c r="AI12" s="146"/>
      <c r="AL12" s="164">
        <v>0.7</v>
      </c>
      <c r="AM12" s="154">
        <v>1</v>
      </c>
      <c r="AN12" s="154"/>
    </row>
    <row r="13" spans="1:40" ht="15" customHeight="1" x14ac:dyDescent="0.25">
      <c r="A13" s="145"/>
      <c r="B13" s="148"/>
      <c r="C13" s="155"/>
      <c r="D13" s="160"/>
      <c r="E13" s="161"/>
      <c r="F13" s="156"/>
      <c r="G13" s="156"/>
      <c r="H13" s="156"/>
      <c r="I13" s="156"/>
      <c r="J13" s="156"/>
      <c r="K13" s="156"/>
      <c r="L13" s="156"/>
      <c r="M13" s="156"/>
      <c r="N13" s="163">
        <f>SUM(G13:M13)</f>
        <v>0</v>
      </c>
      <c r="P13" s="146"/>
      <c r="Z13" s="146"/>
      <c r="AA13" s="149"/>
      <c r="AI13" s="146"/>
      <c r="AL13" s="164">
        <v>0.8</v>
      </c>
      <c r="AM13" s="154">
        <v>1</v>
      </c>
      <c r="AN13" s="154"/>
    </row>
    <row r="14" spans="1:40" x14ac:dyDescent="0.25">
      <c r="A14" s="145"/>
      <c r="B14" s="148"/>
      <c r="C14" s="155"/>
      <c r="D14" s="156"/>
      <c r="E14" s="161"/>
      <c r="F14" s="156"/>
      <c r="G14" s="156"/>
      <c r="H14" s="156"/>
      <c r="I14" s="156"/>
      <c r="J14" s="156"/>
      <c r="K14" s="156"/>
      <c r="L14" s="156"/>
      <c r="M14" s="156"/>
      <c r="N14" s="163">
        <f>SUM(G14:M14)</f>
        <v>0</v>
      </c>
      <c r="P14" s="146"/>
      <c r="Z14" s="146"/>
      <c r="AA14" s="149"/>
      <c r="AI14" s="146"/>
      <c r="AL14" s="164">
        <v>0.9</v>
      </c>
      <c r="AM14" s="154">
        <v>1</v>
      </c>
      <c r="AN14" s="154"/>
    </row>
    <row r="15" spans="1:40" ht="14.25" x14ac:dyDescent="0.2">
      <c r="A15" s="145"/>
      <c r="B15" s="148"/>
      <c r="C15" s="165"/>
      <c r="N15" s="166"/>
      <c r="P15" s="146"/>
      <c r="Z15" s="146"/>
      <c r="AA15" s="149"/>
      <c r="AI15" s="146"/>
      <c r="AL15" s="164">
        <v>1</v>
      </c>
      <c r="AM15" s="154">
        <v>9</v>
      </c>
      <c r="AN15" s="154"/>
    </row>
    <row r="16" spans="1:40" ht="15" customHeight="1" x14ac:dyDescent="0.25">
      <c r="A16" s="145"/>
      <c r="B16" s="148"/>
      <c r="C16" s="165"/>
      <c r="D16" s="167" t="s">
        <v>130</v>
      </c>
      <c r="E16" s="167"/>
      <c r="F16" s="168">
        <f>SUM(F5:F14)</f>
        <v>10</v>
      </c>
      <c r="G16" s="168">
        <f>F16-SUM(G5:G14)</f>
        <v>9</v>
      </c>
      <c r="H16" s="168">
        <f t="shared" ref="H16:M16" si="0">G16-SUM(H5:H14)</f>
        <v>8</v>
      </c>
      <c r="I16" s="168">
        <f t="shared" si="0"/>
        <v>5</v>
      </c>
      <c r="J16" s="168">
        <f t="shared" si="0"/>
        <v>3</v>
      </c>
      <c r="K16" s="168">
        <f t="shared" si="0"/>
        <v>2</v>
      </c>
      <c r="L16" s="168">
        <f t="shared" si="0"/>
        <v>0</v>
      </c>
      <c r="M16" s="168">
        <f t="shared" si="0"/>
        <v>0</v>
      </c>
      <c r="N16" s="166">
        <f>SUM(N5:N14)</f>
        <v>9</v>
      </c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L16" s="154"/>
      <c r="AM16" s="154"/>
      <c r="AN16" s="164">
        <f>+AE24</f>
        <v>0.9</v>
      </c>
    </row>
    <row r="17" spans="1:40" ht="15" customHeight="1" x14ac:dyDescent="0.25">
      <c r="A17" s="145"/>
      <c r="B17" s="148"/>
      <c r="C17" s="165"/>
      <c r="D17" s="167" t="s">
        <v>131</v>
      </c>
      <c r="E17" s="167"/>
      <c r="F17" s="168">
        <f>SUM(F5:F14)</f>
        <v>10</v>
      </c>
      <c r="G17" s="169">
        <f t="shared" ref="G17:M17" si="1">F17-(SUM($F$5:$F$14)/COUNTIF($F$2:$M$2,"x"))</f>
        <v>8.3333333333333339</v>
      </c>
      <c r="H17" s="169">
        <f t="shared" si="1"/>
        <v>6.666666666666667</v>
      </c>
      <c r="I17" s="169">
        <f t="shared" si="1"/>
        <v>5</v>
      </c>
      <c r="J17" s="169">
        <f t="shared" si="1"/>
        <v>3.333333333333333</v>
      </c>
      <c r="K17" s="169">
        <f t="shared" si="1"/>
        <v>1.6666666666666663</v>
      </c>
      <c r="L17" s="169">
        <f t="shared" si="1"/>
        <v>0</v>
      </c>
      <c r="M17" s="169">
        <f t="shared" si="1"/>
        <v>-1.6666666666666667</v>
      </c>
      <c r="N17" s="166"/>
      <c r="P17" s="146"/>
      <c r="Z17" s="146"/>
      <c r="AA17" s="149"/>
      <c r="AI17" s="146"/>
      <c r="AL17" s="154" t="s">
        <v>112</v>
      </c>
      <c r="AM17" s="154">
        <f>+AN16*PI()</f>
        <v>2.8274333882308138</v>
      </c>
      <c r="AN17" s="154"/>
    </row>
    <row r="18" spans="1:40" ht="15.75" customHeight="1" thickBot="1" x14ac:dyDescent="0.4">
      <c r="A18" s="145"/>
      <c r="B18" s="148"/>
      <c r="C18" s="170"/>
      <c r="D18" s="171"/>
      <c r="E18" s="171"/>
      <c r="F18" s="171"/>
      <c r="G18" s="171"/>
      <c r="H18" s="171"/>
      <c r="I18" s="171"/>
      <c r="J18" s="171"/>
      <c r="K18" s="171"/>
      <c r="L18" s="171"/>
      <c r="M18" s="171"/>
      <c r="N18" s="172"/>
      <c r="P18" s="146"/>
      <c r="Q18" s="173" t="s">
        <v>132</v>
      </c>
      <c r="Z18" s="146"/>
      <c r="AA18" s="149"/>
      <c r="AB18" s="174" t="s">
        <v>133</v>
      </c>
      <c r="AC18" s="175"/>
      <c r="AD18" s="174"/>
      <c r="AE18" s="175"/>
      <c r="AI18" s="146"/>
      <c r="AL18" s="154"/>
      <c r="AM18" s="154" t="s">
        <v>7</v>
      </c>
      <c r="AN18" s="154" t="s">
        <v>113</v>
      </c>
    </row>
    <row r="19" spans="1:40" ht="15.75" customHeight="1" x14ac:dyDescent="0.3">
      <c r="A19" s="145"/>
      <c r="B19" s="148"/>
      <c r="P19" s="146"/>
      <c r="Q19" s="176" t="s">
        <v>134</v>
      </c>
      <c r="Z19" s="146"/>
      <c r="AA19" s="149"/>
      <c r="AB19" s="175"/>
      <c r="AC19" s="174" t="s">
        <v>135</v>
      </c>
      <c r="AD19" s="174"/>
      <c r="AE19" s="175"/>
      <c r="AI19" s="146"/>
      <c r="AL19" s="154" t="s">
        <v>114</v>
      </c>
      <c r="AM19" s="154">
        <v>0</v>
      </c>
      <c r="AN19" s="154">
        <v>0</v>
      </c>
    </row>
    <row r="20" spans="1:40" ht="15.75" customHeight="1" x14ac:dyDescent="0.3">
      <c r="A20" s="145"/>
      <c r="B20" s="145"/>
      <c r="C20" s="146"/>
      <c r="D20" s="146"/>
      <c r="E20" s="146"/>
      <c r="F20" s="146"/>
      <c r="G20" s="177"/>
      <c r="H20" s="177"/>
      <c r="I20" s="177"/>
      <c r="J20" s="177"/>
      <c r="K20" s="177"/>
      <c r="L20" s="177"/>
      <c r="M20" s="177"/>
      <c r="N20" s="146"/>
      <c r="O20" s="146"/>
      <c r="P20" s="146"/>
      <c r="Q20" s="178" t="s">
        <v>136</v>
      </c>
      <c r="R20" s="179" t="s">
        <v>137</v>
      </c>
      <c r="Z20" s="146"/>
      <c r="AA20" s="149"/>
      <c r="AB20" s="175"/>
      <c r="AC20" s="174" t="s">
        <v>47</v>
      </c>
      <c r="AD20" s="174"/>
      <c r="AE20" s="175"/>
      <c r="AI20" s="146"/>
      <c r="AL20" s="154" t="s">
        <v>115</v>
      </c>
      <c r="AM20" s="154">
        <f>+COS(AM17)*-1</f>
        <v>0.95105651629515353</v>
      </c>
      <c r="AN20" s="154">
        <f>+SIN(AM17)</f>
        <v>0.30901699437494751</v>
      </c>
    </row>
    <row r="21" spans="1:40" ht="15.75" customHeight="1" x14ac:dyDescent="0.3">
      <c r="A21" s="145"/>
      <c r="B21" s="145"/>
      <c r="C21" s="146"/>
      <c r="D21" s="146"/>
      <c r="E21" s="146"/>
      <c r="F21" s="146"/>
      <c r="G21" s="177"/>
      <c r="H21" s="177"/>
      <c r="I21" s="177"/>
      <c r="J21" s="177"/>
      <c r="K21" s="177"/>
      <c r="L21" s="177"/>
      <c r="M21" s="177"/>
      <c r="N21" s="146"/>
      <c r="O21" s="146"/>
      <c r="P21" s="146"/>
      <c r="Q21" s="178" t="s">
        <v>138</v>
      </c>
      <c r="R21" s="179" t="s">
        <v>139</v>
      </c>
      <c r="Z21" s="146"/>
      <c r="AA21" s="149"/>
      <c r="AB21" s="175"/>
      <c r="AC21" s="174"/>
      <c r="AD21" s="174"/>
      <c r="AE21" s="175"/>
      <c r="AI21" s="146"/>
    </row>
    <row r="22" spans="1:40" ht="15.75" customHeight="1" x14ac:dyDescent="0.3">
      <c r="A22" s="145"/>
      <c r="B22" s="145"/>
      <c r="C22" s="146"/>
      <c r="D22" s="146"/>
      <c r="E22" s="146"/>
      <c r="F22" s="146"/>
      <c r="G22" s="146"/>
      <c r="H22" s="146"/>
      <c r="I22" s="146"/>
      <c r="J22" s="146"/>
      <c r="K22" s="146"/>
      <c r="L22" s="146"/>
      <c r="M22" s="146"/>
      <c r="N22" s="146"/>
      <c r="O22" s="146"/>
      <c r="P22" s="146"/>
      <c r="R22" s="179" t="s">
        <v>140</v>
      </c>
      <c r="Z22" s="146"/>
      <c r="AA22" s="149"/>
      <c r="AB22" s="175"/>
      <c r="AC22" s="174" t="s">
        <v>141</v>
      </c>
      <c r="AD22" s="174"/>
      <c r="AE22" s="175"/>
      <c r="AI22" s="146"/>
    </row>
    <row r="23" spans="1:40" ht="15.75" customHeight="1" x14ac:dyDescent="0.3">
      <c r="A23" s="145"/>
      <c r="B23" s="145"/>
      <c r="C23" s="146"/>
      <c r="D23" s="146"/>
      <c r="E23" s="146"/>
      <c r="F23" s="146"/>
      <c r="G23" s="146"/>
      <c r="H23" s="146"/>
      <c r="I23" s="146"/>
      <c r="J23" s="146"/>
      <c r="K23" s="146"/>
      <c r="L23" s="146"/>
      <c r="M23" s="146"/>
      <c r="N23" s="146"/>
      <c r="O23" s="146"/>
      <c r="P23" s="146"/>
      <c r="R23" s="179" t="s">
        <v>142</v>
      </c>
      <c r="Z23" s="146"/>
      <c r="AA23" s="149"/>
      <c r="AB23" s="175"/>
      <c r="AC23" s="174" t="s">
        <v>41</v>
      </c>
      <c r="AD23" s="174"/>
      <c r="AE23" s="175"/>
      <c r="AI23" s="146"/>
    </row>
    <row r="24" spans="1:40" ht="15.75" customHeight="1" x14ac:dyDescent="0.3">
      <c r="A24" s="145"/>
      <c r="B24" s="145"/>
      <c r="C24" s="146"/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6"/>
      <c r="R24" s="179" t="s">
        <v>143</v>
      </c>
      <c r="Z24" s="146"/>
      <c r="AA24" s="149"/>
      <c r="AB24" s="175"/>
      <c r="AC24" s="174" t="s">
        <v>59</v>
      </c>
      <c r="AE24" s="180">
        <f>N16/F16</f>
        <v>0.9</v>
      </c>
      <c r="AI24" s="146"/>
    </row>
    <row r="25" spans="1:40" ht="15.75" customHeight="1" x14ac:dyDescent="0.25">
      <c r="A25" s="145"/>
      <c r="B25" s="145"/>
      <c r="C25" s="146"/>
      <c r="D25" s="146"/>
      <c r="E25" s="146"/>
      <c r="F25" s="146"/>
      <c r="G25" s="146"/>
      <c r="H25" s="146"/>
      <c r="I25" s="146"/>
      <c r="J25" s="146"/>
      <c r="K25" s="146"/>
      <c r="L25" s="146"/>
      <c r="M25" s="146"/>
      <c r="N25" s="146"/>
      <c r="O25" s="146"/>
      <c r="P25" s="146"/>
      <c r="R25" s="179" t="s">
        <v>144</v>
      </c>
      <c r="Z25" s="146"/>
      <c r="AA25" s="149"/>
      <c r="AI25" s="146"/>
    </row>
    <row r="26" spans="1:40" ht="15.75" customHeight="1" x14ac:dyDescent="0.25">
      <c r="A26" s="145"/>
      <c r="B26" s="145"/>
      <c r="C26" s="146"/>
      <c r="D26" s="146"/>
      <c r="E26" s="146"/>
      <c r="F26" s="146"/>
      <c r="G26" s="146"/>
      <c r="H26" s="146"/>
      <c r="I26" s="146"/>
      <c r="J26" s="146"/>
      <c r="K26" s="146"/>
      <c r="L26" s="146"/>
      <c r="M26" s="146"/>
      <c r="N26" s="146"/>
      <c r="O26" s="146"/>
      <c r="P26" s="146"/>
      <c r="R26" s="179" t="s">
        <v>145</v>
      </c>
      <c r="Z26" s="146"/>
      <c r="AA26" s="149"/>
      <c r="AI26" s="146"/>
    </row>
    <row r="27" spans="1:40" ht="15.75" customHeight="1" x14ac:dyDescent="0.25">
      <c r="A27" s="145"/>
      <c r="B27" s="145"/>
      <c r="C27" s="146"/>
      <c r="D27" s="146"/>
      <c r="E27" s="146"/>
      <c r="F27" s="146"/>
      <c r="G27" s="146"/>
      <c r="H27" s="146"/>
      <c r="I27" s="146"/>
      <c r="J27" s="146"/>
      <c r="K27" s="146"/>
      <c r="L27" s="146"/>
      <c r="M27" s="146"/>
      <c r="N27" s="146"/>
      <c r="O27" s="146"/>
      <c r="P27" s="146"/>
      <c r="R27" s="179" t="s">
        <v>146</v>
      </c>
      <c r="Z27" s="146"/>
      <c r="AA27" s="149"/>
      <c r="AI27" s="146"/>
    </row>
    <row r="28" spans="1:40" ht="15.75" customHeight="1" x14ac:dyDescent="0.25">
      <c r="A28" s="145"/>
      <c r="B28" s="145"/>
      <c r="C28" s="146"/>
      <c r="D28" s="146"/>
      <c r="E28" s="146"/>
      <c r="F28" s="146"/>
      <c r="G28" s="146"/>
      <c r="H28" s="146"/>
      <c r="I28" s="146"/>
      <c r="J28" s="146"/>
      <c r="K28" s="146"/>
      <c r="L28" s="146"/>
      <c r="M28" s="146"/>
      <c r="N28" s="146"/>
      <c r="O28" s="146"/>
      <c r="P28" s="146"/>
      <c r="R28" s="179" t="s">
        <v>147</v>
      </c>
      <c r="Z28" s="146"/>
      <c r="AA28" s="149"/>
      <c r="AI28" s="146"/>
    </row>
    <row r="29" spans="1:40" ht="15.75" customHeight="1" x14ac:dyDescent="0.25">
      <c r="A29" s="145"/>
      <c r="B29" s="145"/>
      <c r="C29" s="146"/>
      <c r="D29" s="146"/>
      <c r="E29" s="146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R29" s="179" t="s">
        <v>148</v>
      </c>
      <c r="Z29" s="146"/>
      <c r="AA29" s="149"/>
      <c r="AI29" s="146"/>
    </row>
    <row r="30" spans="1:40" ht="15.75" customHeight="1" x14ac:dyDescent="0.2">
      <c r="A30" s="145"/>
      <c r="B30" s="145"/>
      <c r="C30" s="146"/>
      <c r="D30" s="146"/>
      <c r="E30" s="146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6"/>
      <c r="Z30" s="146"/>
      <c r="AA30" s="149"/>
      <c r="AI30" s="146"/>
    </row>
    <row r="31" spans="1:40" ht="15.75" customHeight="1" x14ac:dyDescent="0.2">
      <c r="A31" s="145"/>
      <c r="B31" s="145"/>
      <c r="C31" s="146"/>
      <c r="D31" s="146"/>
      <c r="E31" s="146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6"/>
      <c r="AC31" s="146"/>
      <c r="AD31" s="146"/>
      <c r="AE31" s="146"/>
      <c r="AF31" s="146"/>
      <c r="AG31" s="146"/>
      <c r="AH31" s="146"/>
      <c r="AI31" s="146"/>
    </row>
    <row r="32" spans="1:40" ht="15.75" customHeight="1" x14ac:dyDescent="0.2">
      <c r="A32" s="145"/>
      <c r="B32" s="145"/>
      <c r="C32" s="146"/>
      <c r="D32" s="146"/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  <c r="W32" s="146"/>
      <c r="X32" s="146"/>
      <c r="Y32" s="146"/>
      <c r="Z32" s="146"/>
      <c r="AA32" s="146"/>
      <c r="AB32" s="146"/>
      <c r="AC32" s="146"/>
      <c r="AD32" s="146"/>
      <c r="AE32" s="146"/>
      <c r="AF32" s="146"/>
      <c r="AG32" s="146"/>
      <c r="AH32" s="146"/>
      <c r="AI32" s="146"/>
    </row>
    <row r="33" spans="1:35" ht="15.75" customHeight="1" x14ac:dyDescent="0.2">
      <c r="A33" s="145"/>
      <c r="B33" s="145"/>
      <c r="C33" s="146"/>
      <c r="D33" s="146"/>
      <c r="E33" s="146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  <c r="W33" s="146"/>
      <c r="X33" s="146"/>
      <c r="Y33" s="146"/>
      <c r="Z33" s="146"/>
      <c r="AA33" s="146"/>
      <c r="AB33" s="146"/>
      <c r="AC33" s="146"/>
      <c r="AD33" s="146"/>
      <c r="AE33" s="146"/>
      <c r="AF33" s="146"/>
      <c r="AG33" s="146"/>
      <c r="AH33" s="146"/>
      <c r="AI33" s="146"/>
    </row>
    <row r="34" spans="1:35" ht="15.75" customHeight="1" x14ac:dyDescent="0.2"/>
    <row r="35" spans="1:35" ht="15.75" customHeight="1" x14ac:dyDescent="0.2"/>
    <row r="36" spans="1:35" ht="15.75" customHeight="1" x14ac:dyDescent="0.2"/>
    <row r="37" spans="1:35" ht="15.75" customHeight="1" x14ac:dyDescent="0.2"/>
    <row r="38" spans="1:35" ht="15.75" customHeight="1" x14ac:dyDescent="0.2"/>
    <row r="39" spans="1:35" ht="15.75" customHeight="1" x14ac:dyDescent="0.2"/>
    <row r="40" spans="1:35" ht="15.75" customHeight="1" x14ac:dyDescent="0.2"/>
    <row r="41" spans="1:35" ht="15.75" customHeight="1" x14ac:dyDescent="0.2"/>
    <row r="42" spans="1:35" ht="15.75" customHeight="1" x14ac:dyDescent="0.2"/>
    <row r="43" spans="1:35" ht="15.75" customHeight="1" x14ac:dyDescent="0.2"/>
    <row r="44" spans="1:35" ht="15.75" customHeight="1" x14ac:dyDescent="0.2"/>
    <row r="45" spans="1:35" ht="15.75" customHeight="1" x14ac:dyDescent="0.2"/>
    <row r="46" spans="1:35" ht="15.75" customHeight="1" x14ac:dyDescent="0.2"/>
    <row r="47" spans="1:35" ht="15.75" customHeight="1" x14ac:dyDescent="0.2"/>
    <row r="48" spans="1:3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</sheetData>
  <phoneticPr fontId="5" type="noConversion"/>
  <pageMargins left="0.7" right="0.7" top="0.75" bottom="0.75" header="0" footer="0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1A9B3F3-49A2-4964-A834-2515036EEF6C}">
          <x14:formula1>
            <xm:f>Parametros!$A$18:$A$24</xm:f>
          </x14:formula1>
          <xm:sqref>C5:C14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heets xmlns="https://www.miplanilla.com"/>
</file>

<file path=customXml/itemProps1.xml><?xml version="1.0" encoding="utf-8"?>
<ds:datastoreItem xmlns:ds="http://schemas.openxmlformats.org/officeDocument/2006/customXml" ds:itemID="{51DB9918-B2E9-44FE-88CE-8BE4CB44EA8C}">
  <ds:schemaRefs>
    <ds:schemaRef ds:uri="https://www.miplanilla.com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16</vt:i4>
      </vt:variant>
    </vt:vector>
  </HeadingPairs>
  <TitlesOfParts>
    <vt:vector size="30" baseType="lpstr">
      <vt:lpstr>Responsable</vt:lpstr>
      <vt:lpstr>Parametros</vt:lpstr>
      <vt:lpstr>Backlog</vt:lpstr>
      <vt:lpstr>Dashboard</vt:lpstr>
      <vt:lpstr>Grafico de Avance</vt:lpstr>
      <vt:lpstr>Sprint_Backlog</vt:lpstr>
      <vt:lpstr>BURNDOWN CHART_1</vt:lpstr>
      <vt:lpstr>BURNDOWN CHART_2</vt:lpstr>
      <vt:lpstr>BURNDOWN CHART_3</vt:lpstr>
      <vt:lpstr>BURNDOWN CHART_5</vt:lpstr>
      <vt:lpstr>BURNDOWN CHART_6</vt:lpstr>
      <vt:lpstr>BURNDOWN CHART_7</vt:lpstr>
      <vt:lpstr>BURNDOWN CHART_4</vt:lpstr>
      <vt:lpstr>Tabla Resumen</vt:lpstr>
      <vt:lpstr>'BURNDOWN CHART_2'!Área_de_impresión</vt:lpstr>
      <vt:lpstr>'BURNDOWN CHART_2'!casos</vt:lpstr>
      <vt:lpstr>'BURNDOWN CHART_3'!casos</vt:lpstr>
      <vt:lpstr>'BURNDOWN CHART_4'!casos</vt:lpstr>
      <vt:lpstr>'BURNDOWN CHART_5'!casos</vt:lpstr>
      <vt:lpstr>'BURNDOWN CHART_6'!casos</vt:lpstr>
      <vt:lpstr>'BURNDOWN CHART_7'!casos</vt:lpstr>
      <vt:lpstr>casos</vt:lpstr>
      <vt:lpstr>casos2</vt:lpstr>
      <vt:lpstr>'BURNDOWN CHART_1'!Escalas_del_Grafico</vt:lpstr>
      <vt:lpstr>'BURNDOWN CHART_2'!Escalas_del_Grafico</vt:lpstr>
      <vt:lpstr>'BURNDOWN CHART_3'!Escalas_del_Grafico</vt:lpstr>
      <vt:lpstr>'BURNDOWN CHART_4'!Escalas_del_Grafico</vt:lpstr>
      <vt:lpstr>'BURNDOWN CHART_5'!Escalas_del_Grafico</vt:lpstr>
      <vt:lpstr>'BURNDOWN CHART_6'!Escalas_del_Grafico</vt:lpstr>
      <vt:lpstr>'BURNDOWN CHART_7'!Escalas_del_Grafico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Entelgy</dc:creator>
  <cp:lastModifiedBy>Andtrs Villamil</cp:lastModifiedBy>
  <cp:lastPrinted>2021-09-17T01:00:37Z</cp:lastPrinted>
  <dcterms:created xsi:type="dcterms:W3CDTF">2019-03-21T21:59:55Z</dcterms:created>
  <dcterms:modified xsi:type="dcterms:W3CDTF">2021-10-03T19:02:54Z</dcterms:modified>
</cp:coreProperties>
</file>