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rdi\Desktop\"/>
    </mc:Choice>
  </mc:AlternateContent>
  <xr:revisionPtr revIDLastSave="0" documentId="13_ncr:1_{049853B4-BE75-4013-9531-C2206C866367}" xr6:coauthVersionLast="36" xr6:coauthVersionMax="47" xr10:uidLastSave="{00000000-0000-0000-0000-000000000000}"/>
  <bookViews>
    <workbookView xWindow="-120" yWindow="-120" windowWidth="29040" windowHeight="15840" activeTab="1" xr2:uid="{8AD32914-4B15-4D3E-BE69-CC0C4E489E04}"/>
  </bookViews>
  <sheets>
    <sheet name="Armadura flexion simple" sheetId="1" r:id="rId1"/>
    <sheet name="H MIN LOSA CRUZADA" sheetId="2" r:id="rId2"/>
  </sheets>
  <definedNames>
    <definedName name="solver_adj" localSheetId="0" hidden="1">'Armadura flexion simple'!$B$13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'Armadura flexion simple'!$H$16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2.7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3" i="2"/>
  <c r="J10" i="2"/>
  <c r="J7" i="2"/>
  <c r="I16" i="2"/>
  <c r="L16" i="2" s="1"/>
  <c r="I13" i="2"/>
  <c r="L13" i="2" s="1"/>
  <c r="I10" i="2"/>
  <c r="L10" i="2" s="1"/>
  <c r="I7" i="2"/>
  <c r="K7" i="2" s="1"/>
  <c r="G4" i="2"/>
  <c r="I4" i="2" s="1"/>
  <c r="N4" i="2"/>
  <c r="C16" i="2"/>
  <c r="C10" i="2"/>
  <c r="C13" i="2"/>
  <c r="C7" i="2"/>
  <c r="G10" i="2"/>
  <c r="M10" i="2" s="1"/>
  <c r="G13" i="2"/>
  <c r="M13" i="2" s="1"/>
  <c r="G16" i="2"/>
  <c r="M16" i="2" s="1"/>
  <c r="N16" i="2" l="1"/>
  <c r="K16" i="2"/>
  <c r="L7" i="2"/>
  <c r="K10" i="2"/>
  <c r="K13" i="2"/>
  <c r="N13" i="2"/>
  <c r="N10" i="2"/>
  <c r="B20" i="1"/>
  <c r="E15" i="1" s="1"/>
  <c r="G14" i="1"/>
  <c r="E14" i="1"/>
  <c r="G2" i="1"/>
  <c r="H15" i="1" s="1"/>
  <c r="B8" i="1"/>
  <c r="E3" i="1" s="1"/>
  <c r="E2" i="1"/>
  <c r="G7" i="2" l="1"/>
  <c r="M7" i="2" s="1"/>
  <c r="N7" i="2" s="1"/>
  <c r="M4" i="2" s="1"/>
  <c r="N1" i="2" s="1"/>
  <c r="H5" i="1"/>
  <c r="K5" i="1" s="1"/>
  <c r="J15" i="1"/>
  <c r="K3" i="1"/>
  <c r="I3" i="1"/>
  <c r="I15" i="1"/>
  <c r="K15" i="1"/>
  <c r="H3" i="1"/>
  <c r="J3" i="1"/>
  <c r="E16" i="1"/>
  <c r="E17" i="1" s="1"/>
  <c r="E18" i="1" s="1"/>
  <c r="H16" i="1" s="1"/>
  <c r="E4" i="1"/>
  <c r="E5" i="1" s="1"/>
  <c r="E6" i="1" s="1"/>
  <c r="H4" i="1" s="1"/>
  <c r="K4" i="1" s="1"/>
</calcChain>
</file>

<file path=xl/sharedStrings.xml><?xml version="1.0" encoding="utf-8"?>
<sst xmlns="http://schemas.openxmlformats.org/spreadsheetml/2006/main" count="107" uniqueCount="44">
  <si>
    <r>
      <t>f´</t>
    </r>
    <r>
      <rPr>
        <vertAlign val="subscript"/>
        <sz val="11"/>
        <color theme="1"/>
        <rFont val="Calibri "/>
      </rPr>
      <t>c</t>
    </r>
  </si>
  <si>
    <r>
      <t>f</t>
    </r>
    <r>
      <rPr>
        <vertAlign val="subscript"/>
        <sz val="11"/>
        <color theme="1"/>
        <rFont val="Calibri "/>
      </rPr>
      <t>y</t>
    </r>
  </si>
  <si>
    <t>b</t>
  </si>
  <si>
    <r>
      <t>b</t>
    </r>
    <r>
      <rPr>
        <vertAlign val="subscript"/>
        <sz val="11"/>
        <color theme="1"/>
        <rFont val="Symbol"/>
        <family val="1"/>
        <charset val="2"/>
      </rPr>
      <t>1</t>
    </r>
    <r>
      <rPr>
        <sz val="11"/>
        <color theme="1"/>
        <rFont val="Symbol"/>
        <family val="1"/>
        <charset val="2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</si>
  <si>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</si>
  <si>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</si>
  <si>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</si>
  <si>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</t>
    </r>
  </si>
  <si>
    <t>h</t>
  </si>
  <si>
    <t>rec</t>
  </si>
  <si>
    <t>Ø</t>
  </si>
  <si>
    <t>Mu</t>
  </si>
  <si>
    <t>d</t>
  </si>
  <si>
    <t>As</t>
  </si>
  <si>
    <t>As req</t>
  </si>
  <si>
    <t>As min</t>
  </si>
  <si>
    <t>Losa</t>
  </si>
  <si>
    <t>I</t>
  </si>
  <si>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g</t>
    </r>
  </si>
  <si>
    <r>
      <t>Ø</t>
    </r>
    <r>
      <rPr>
        <vertAlign val="subscript"/>
        <sz val="11"/>
        <color theme="1"/>
        <rFont val="Calibri"/>
        <family val="2"/>
        <scheme val="minor"/>
      </rPr>
      <t>f</t>
    </r>
  </si>
  <si>
    <r>
      <t>I</t>
    </r>
    <r>
      <rPr>
        <vertAlign val="subscript"/>
        <sz val="11"/>
        <color theme="1"/>
        <rFont val="Calibri"/>
        <family val="2"/>
        <scheme val="minor"/>
      </rPr>
      <t>f</t>
    </r>
  </si>
  <si>
    <t>Viga 1-2</t>
  </si>
  <si>
    <t>Viga 3-4</t>
  </si>
  <si>
    <t>Viga 2-3</t>
  </si>
  <si>
    <t>Viga 4-1</t>
  </si>
  <si>
    <t>L</t>
  </si>
  <si>
    <t>Tipo</t>
  </si>
  <si>
    <r>
      <t>α</t>
    </r>
    <r>
      <rPr>
        <vertAlign val="subscript"/>
        <sz val="12"/>
        <color rgb="FF202124"/>
        <rFont val="Arial"/>
        <family val="2"/>
      </rPr>
      <t>f(1-2)</t>
    </r>
  </si>
  <si>
    <t>Rect</t>
  </si>
  <si>
    <r>
      <t>α</t>
    </r>
    <r>
      <rPr>
        <vertAlign val="subscript"/>
        <sz val="12"/>
        <color rgb="FF202124"/>
        <rFont val="Arial"/>
        <family val="2"/>
      </rPr>
      <t>fm</t>
    </r>
  </si>
  <si>
    <t>ß</t>
  </si>
  <si>
    <r>
      <t>y</t>
    </r>
    <r>
      <rPr>
        <vertAlign val="subscript"/>
        <sz val="11"/>
        <color theme="1"/>
        <rFont val="Calibri"/>
        <family val="2"/>
        <scheme val="minor"/>
      </rPr>
      <t>g</t>
    </r>
  </si>
  <si>
    <t>IL</t>
  </si>
  <si>
    <t>IT</t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</si>
  <si>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</si>
  <si>
    <t>ALTURA MINIMA POR DEFORMACION SIN CALCULO DE FLECHAS</t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</si>
  <si>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</si>
  <si>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</si>
  <si>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f'</t>
    </r>
    <r>
      <rPr>
        <b/>
        <i/>
        <vertAlign val="subscript"/>
        <sz val="11"/>
        <color theme="1"/>
        <rFont val="Calibri"/>
        <family val="2"/>
        <scheme val="minor"/>
      </rPr>
      <t>c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</si>
  <si>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1-2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</si>
  <si>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2-3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</si>
  <si>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3-4</t>
    </r>
  </si>
  <si>
    <r>
      <t>L</t>
    </r>
    <r>
      <rPr>
        <b/>
        <i/>
        <vertAlign val="subscript"/>
        <sz val="11"/>
        <color theme="1"/>
        <rFont val="Calibri"/>
        <family val="2"/>
        <scheme val="minor"/>
      </rPr>
      <t>4-1</t>
    </r>
  </si>
  <si>
    <r>
      <t>h</t>
    </r>
    <r>
      <rPr>
        <b/>
        <i/>
        <vertAlign val="subscript"/>
        <sz val="11"/>
        <color theme="1"/>
        <rFont val="Calibri"/>
        <family val="2"/>
        <scheme val="minor"/>
      </rPr>
      <t>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</si>
</sst>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 &quot;MPa&quot;"/>
    <numFmt numFmtId="165" formatCode="General\ &quot;=&quot;"/>
    <numFmt numFmtId="166" formatCode="0.000"/>
    <numFmt numFmtId="167" formatCode="&quot;Ø&quot;0\ "/>
    <numFmt numFmtId="168" formatCode="&quot;c/&quot;\ 0\ &quot;cm&quot;"/>
  </numFmts>
  <fonts count="12">
    <font>
      <sz val="11"/>
      <color theme="1"/>
      <name val="Calibri"/>
      <family val="2"/>
      <scheme val="minor"/>
    </font>
    <font>
      <sz val="11"/>
      <color theme="1"/>
      <name val="Calibri "/>
    </font>
    <font>
      <vertAlign val="subscript"/>
      <sz val="11"/>
      <color theme="1"/>
      <name val="Calibri 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sz val="12"/>
      <color rgb="FF202124"/>
      <name val="Arial"/>
      <family val="2"/>
    </font>
    <font>
      <vertAlign val="subscript"/>
      <sz val="12"/>
      <color rgb="FF202124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 vertic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B1D6-7491-47D9-A28B-D1F1E81D9E73}">
  <dimension ref="A1:K20"/>
  <sheetViews>
    <sheetView workbookViewId="0">
      <selection activeCell="I11" sqref="I11"/>
    </sheetView>
  </sheetViews>
  <sheetFormatPr defaultColWidth="11.42578125" defaultRowHeight="15"/>
  <cols>
    <col min="7" max="7" width="11.42578125" style="2"/>
    <col min="8" max="10" width="12.5703125" style="2" bestFit="1" customWidth="1"/>
  </cols>
  <sheetData>
    <row r="1" spans="1:11">
      <c r="A1" s="10" t="s">
        <v>11</v>
      </c>
      <c r="B1" s="10">
        <v>41</v>
      </c>
    </row>
    <row r="2" spans="1:11" ht="18.75">
      <c r="A2" s="11" t="s">
        <v>0</v>
      </c>
      <c r="B2" s="9">
        <v>20</v>
      </c>
      <c r="D2" s="3" t="s">
        <v>3</v>
      </c>
      <c r="E2" s="5">
        <f>+_xlfn.IFS(B2&lt;=25,0.85,B2=30,0.832,B2=35,0.796,B2=40,0.76,B2=45,0.724,B2=50,0.688,B2=60,0.65)</f>
        <v>0.85</v>
      </c>
      <c r="G2" s="6">
        <f>+B7</f>
        <v>10</v>
      </c>
      <c r="H2" s="7">
        <v>10</v>
      </c>
      <c r="I2" s="7">
        <v>12.5</v>
      </c>
      <c r="J2" s="7">
        <v>15</v>
      </c>
      <c r="K2" s="7">
        <v>20</v>
      </c>
    </row>
    <row r="3" spans="1:11" ht="18.75">
      <c r="A3" s="11" t="s">
        <v>1</v>
      </c>
      <c r="B3" s="9">
        <v>420</v>
      </c>
      <c r="D3" s="4" t="s">
        <v>4</v>
      </c>
      <c r="E3" s="5">
        <f>+(B8/100)/((B1/(1000*0.9*B5/100))^0.5)</f>
        <v>0.7857340827407755</v>
      </c>
      <c r="G3" s="2" t="s">
        <v>13</v>
      </c>
      <c r="H3" s="8">
        <f>+(($G$2/10)^2*PI()/4)/H2*100</f>
        <v>7.8539816339744828</v>
      </c>
      <c r="I3" s="8">
        <f>+(($G$2/10)^2*PI()/4)/I2*100</f>
        <v>6.2831853071795871</v>
      </c>
      <c r="J3" s="8">
        <f t="shared" ref="J3:K3" si="0">+(($G$2/10)^2*PI()/4)/J2*100</f>
        <v>5.2359877559829879</v>
      </c>
      <c r="K3" s="8">
        <f t="shared" si="0"/>
        <v>3.9269908169872414</v>
      </c>
    </row>
    <row r="4" spans="1:11" ht="18">
      <c r="A4" s="10" t="s">
        <v>8</v>
      </c>
      <c r="B4" s="10">
        <v>40</v>
      </c>
      <c r="D4" s="1" t="s">
        <v>5</v>
      </c>
      <c r="E4" s="5">
        <f>+(1/2)*((2/E2)-((((2/E2)^2)-(4*(2/(0.85*B2*(E2^2)*(E3^2)))))^0.5))</f>
        <v>0.11801260338569319</v>
      </c>
      <c r="G4" s="2" t="s">
        <v>14</v>
      </c>
      <c r="H4" s="12">
        <f>+E6*B1/(1000*B8/100)</f>
        <v>2.7406319768409624</v>
      </c>
      <c r="I4" s="12"/>
      <c r="J4" s="12"/>
      <c r="K4">
        <f>H4/((PI()/4)*(B7/10)^2)</f>
        <v>3.4894810104796159</v>
      </c>
    </row>
    <row r="5" spans="1:11" ht="18">
      <c r="A5" s="10" t="s">
        <v>2</v>
      </c>
      <c r="B5" s="10">
        <v>20</v>
      </c>
      <c r="D5" s="1" t="s">
        <v>6</v>
      </c>
      <c r="E5" s="5">
        <f>1-(E2*E4)/2</f>
        <v>0.94984464356108034</v>
      </c>
      <c r="G5" s="2" t="s">
        <v>15</v>
      </c>
      <c r="H5" s="13">
        <f>MAX(((B2^0.5)*B5*B8/(4*100*100*B3)),((1.4/(B3*100*100))*B8*B5))*100^2</f>
        <v>2.5</v>
      </c>
      <c r="I5" s="13"/>
      <c r="J5" s="13"/>
      <c r="K5">
        <f>H5/((PI()/4)*(B7/10)^2)</f>
        <v>3.183098861837907</v>
      </c>
    </row>
    <row r="6" spans="1:11" ht="18">
      <c r="A6" s="10" t="s">
        <v>9</v>
      </c>
      <c r="B6" s="10">
        <v>2</v>
      </c>
      <c r="D6" s="1" t="s">
        <v>7</v>
      </c>
      <c r="E6" s="5">
        <f>(1/(E5*B3))*10000</f>
        <v>25.066755885740513</v>
      </c>
    </row>
    <row r="7" spans="1:11">
      <c r="A7" s="10" t="s">
        <v>10</v>
      </c>
      <c r="B7" s="10">
        <v>10</v>
      </c>
    </row>
    <row r="8" spans="1:11">
      <c r="A8" s="10" t="s">
        <v>12</v>
      </c>
      <c r="B8" s="10">
        <f>+(B4-B6-B7/20)</f>
        <v>37.5</v>
      </c>
    </row>
    <row r="13" spans="1:11">
      <c r="A13" s="10" t="s">
        <v>11</v>
      </c>
      <c r="B13" s="10">
        <v>42.146776928782103</v>
      </c>
    </row>
    <row r="14" spans="1:11" ht="18.75">
      <c r="A14" s="11" t="s">
        <v>0</v>
      </c>
      <c r="B14" s="9">
        <v>20</v>
      </c>
      <c r="D14" s="3" t="s">
        <v>3</v>
      </c>
      <c r="E14" s="5">
        <f>+_xlfn.IFS(B14&lt;=25,0.85,B14=30,0.832,B14=35,0.796,B14=40,0.76,B14=45,0.724,B14=50,0.688,B14=60,0.65)</f>
        <v>0.85</v>
      </c>
      <c r="G14" s="6">
        <f>+B19</f>
        <v>10</v>
      </c>
      <c r="H14" s="7">
        <v>10</v>
      </c>
      <c r="I14" s="7">
        <v>12</v>
      </c>
      <c r="J14" s="7">
        <v>15</v>
      </c>
      <c r="K14" s="7">
        <v>20</v>
      </c>
    </row>
    <row r="15" spans="1:11" ht="18.75">
      <c r="A15" s="11" t="s">
        <v>1</v>
      </c>
      <c r="B15" s="9">
        <v>420</v>
      </c>
      <c r="D15" s="4" t="s">
        <v>4</v>
      </c>
      <c r="E15" s="5">
        <f>+(B20/100)/((B13/(1000))^0.5)</f>
        <v>1.8266236798115958</v>
      </c>
      <c r="G15" s="2" t="s">
        <v>13</v>
      </c>
      <c r="H15" s="8">
        <f>+(($G$2/10)^2*PI()/4)/H14*100</f>
        <v>7.8539816339744828</v>
      </c>
      <c r="I15" s="8">
        <f>+(($G$2/10)^2*PI()/4)/I14*100</f>
        <v>6.5449846949787354</v>
      </c>
      <c r="J15" s="8">
        <f t="shared" ref="J15:K15" si="1">+(($G$2/10)^2*PI()/4)/J14*100</f>
        <v>5.2359877559829879</v>
      </c>
      <c r="K15" s="8">
        <f t="shared" si="1"/>
        <v>3.9269908169872414</v>
      </c>
    </row>
    <row r="16" spans="1:11" ht="18">
      <c r="A16" s="10" t="s">
        <v>8</v>
      </c>
      <c r="B16" s="10">
        <v>40</v>
      </c>
      <c r="D16" s="1" t="s">
        <v>5</v>
      </c>
      <c r="E16" s="5">
        <f>+(1/2)*((2/E14)-((((2/E14)^2)-(4*(2/(0.85*B14*(E14^2)*(E15^2)))))^0.5))</f>
        <v>2.0927335280259696E-2</v>
      </c>
      <c r="G16" s="2" t="s">
        <v>14</v>
      </c>
      <c r="H16" s="12">
        <f>+E18*B13/(1000*B20/100)</f>
        <v>2.6999999535692067</v>
      </c>
      <c r="I16" s="12"/>
      <c r="J16" s="12"/>
    </row>
    <row r="17" spans="1:5" ht="18">
      <c r="A17" s="10" t="s">
        <v>2</v>
      </c>
      <c r="B17" s="10">
        <v>100</v>
      </c>
      <c r="D17" s="1" t="s">
        <v>6</v>
      </c>
      <c r="E17" s="5">
        <f>1-(E14*E16)/2</f>
        <v>0.9911058825058896</v>
      </c>
    </row>
    <row r="18" spans="1:5" ht="18">
      <c r="A18" s="10" t="s">
        <v>9</v>
      </c>
      <c r="B18" s="10">
        <v>2</v>
      </c>
      <c r="D18" s="1" t="s">
        <v>7</v>
      </c>
      <c r="E18" s="5">
        <f>(1/(E17*B15))*10000</f>
        <v>24.023188873951941</v>
      </c>
    </row>
    <row r="19" spans="1:5">
      <c r="A19" s="10" t="s">
        <v>10</v>
      </c>
      <c r="B19" s="10">
        <v>10</v>
      </c>
    </row>
    <row r="20" spans="1:5">
      <c r="A20" s="10" t="s">
        <v>12</v>
      </c>
      <c r="B20" s="10">
        <f>+(B16-B18-B19/20)</f>
        <v>37.5</v>
      </c>
    </row>
  </sheetData>
  <mergeCells count="3">
    <mergeCell ref="H4:J4"/>
    <mergeCell ref="H16:J16"/>
    <mergeCell ref="H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BDEC-0E18-44EE-9846-E2837908B2B1}">
  <dimension ref="A1:P16"/>
  <sheetViews>
    <sheetView tabSelected="1" workbookViewId="0">
      <selection activeCell="G30" sqref="G30"/>
    </sheetView>
  </sheetViews>
  <sheetFormatPr defaultRowHeight="15"/>
  <cols>
    <col min="2" max="9" width="9.140625" style="14"/>
    <col min="10" max="10" width="11" style="14" hidden="1" customWidth="1"/>
    <col min="11" max="12" width="9.140625" style="14" hidden="1" customWidth="1"/>
    <col min="16" max="16" width="0" hidden="1" customWidth="1"/>
  </cols>
  <sheetData>
    <row r="1" spans="1:16" ht="18.75" thickBot="1">
      <c r="A1" s="35" t="s">
        <v>35</v>
      </c>
      <c r="B1" s="36"/>
      <c r="C1" s="36"/>
      <c r="D1" s="36"/>
      <c r="E1" s="36"/>
      <c r="F1" s="36"/>
      <c r="G1" s="36"/>
      <c r="H1" s="36"/>
      <c r="I1" s="36"/>
      <c r="J1" s="20"/>
      <c r="K1" s="20"/>
      <c r="L1" s="20"/>
      <c r="M1" s="26" t="s">
        <v>43</v>
      </c>
      <c r="N1" s="21">
        <f ca="1">_xlfn.IFS(M4&lt;=0.2,12,0.2&lt;M4&lt;=2,MAX(B4,C4)*((0.8+A4/1400)/(36+5*N4(M4-0.2))),M4&gt;2,MAX(9,MAX(B4,C4)*((0.8+A4/1400)/(36+9*N4))))</f>
        <v>17.111111111111111</v>
      </c>
    </row>
    <row r="2" spans="1:16" ht="15.75" thickBot="1">
      <c r="A2" s="38" t="s">
        <v>16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  <c r="O2" s="15"/>
    </row>
    <row r="3" spans="1:16" ht="19.5">
      <c r="A3" s="31" t="s">
        <v>34</v>
      </c>
      <c r="B3" s="41" t="s">
        <v>36</v>
      </c>
      <c r="C3" s="42" t="s">
        <v>37</v>
      </c>
      <c r="D3" s="42" t="s">
        <v>8</v>
      </c>
      <c r="E3" s="42" t="s">
        <v>2</v>
      </c>
      <c r="F3" s="43" t="s">
        <v>38</v>
      </c>
      <c r="G3" s="28" t="s">
        <v>18</v>
      </c>
      <c r="H3" s="29" t="s">
        <v>19</v>
      </c>
      <c r="I3" s="29" t="s">
        <v>20</v>
      </c>
      <c r="J3" s="29"/>
      <c r="K3" s="29"/>
      <c r="L3" s="29"/>
      <c r="M3" s="32" t="s">
        <v>29</v>
      </c>
      <c r="N3" s="33" t="s">
        <v>30</v>
      </c>
      <c r="P3" t="s">
        <v>28</v>
      </c>
    </row>
    <row r="4" spans="1:16" ht="15.75" thickBot="1">
      <c r="A4" s="25">
        <v>420</v>
      </c>
      <c r="B4" s="24">
        <v>700</v>
      </c>
      <c r="C4" s="18">
        <v>700</v>
      </c>
      <c r="D4" s="18">
        <v>15</v>
      </c>
      <c r="E4" s="18">
        <v>350</v>
      </c>
      <c r="F4" s="19">
        <v>30</v>
      </c>
      <c r="G4" s="24">
        <f>(E4*POWER(D4,3)/12)</f>
        <v>98437.5</v>
      </c>
      <c r="H4" s="18">
        <v>0.25</v>
      </c>
      <c r="I4" s="18">
        <f>H4*G4</f>
        <v>24609.375</v>
      </c>
      <c r="J4" s="18"/>
      <c r="K4" s="18"/>
      <c r="L4" s="18"/>
      <c r="M4" s="18">
        <f>AVERAGE(N7,N10,N13,N16)</f>
        <v>6.6251851851851846</v>
      </c>
      <c r="N4" s="19">
        <f>MAX(B4,C4)/MIN(B4,C4)</f>
        <v>1</v>
      </c>
      <c r="P4" t="s">
        <v>25</v>
      </c>
    </row>
    <row r="5" spans="1:16" ht="15.75" thickBot="1">
      <c r="A5" s="35" t="s">
        <v>21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1:16" ht="19.5">
      <c r="A6" s="27" t="s">
        <v>26</v>
      </c>
      <c r="B6" s="46"/>
      <c r="C6" s="48" t="s">
        <v>39</v>
      </c>
      <c r="D6" s="44" t="s">
        <v>8</v>
      </c>
      <c r="E6" s="44" t="s">
        <v>2</v>
      </c>
      <c r="F6" s="45" t="s">
        <v>38</v>
      </c>
      <c r="G6" s="28" t="s">
        <v>18</v>
      </c>
      <c r="H6" s="29" t="s">
        <v>19</v>
      </c>
      <c r="I6" s="29" t="s">
        <v>31</v>
      </c>
      <c r="J6" s="29" t="s">
        <v>17</v>
      </c>
      <c r="K6" s="29" t="s">
        <v>32</v>
      </c>
      <c r="L6" s="29" t="s">
        <v>33</v>
      </c>
      <c r="M6" s="29" t="s">
        <v>20</v>
      </c>
      <c r="N6" s="30" t="s">
        <v>27</v>
      </c>
    </row>
    <row r="7" spans="1:16" ht="15.75" thickBot="1">
      <c r="A7" s="17" t="s">
        <v>28</v>
      </c>
      <c r="B7" s="47"/>
      <c r="C7" s="49">
        <f>B4</f>
        <v>700</v>
      </c>
      <c r="D7" s="18">
        <v>70</v>
      </c>
      <c r="E7" s="18">
        <v>20</v>
      </c>
      <c r="F7" s="19">
        <v>30</v>
      </c>
      <c r="G7" s="16">
        <f>+_xlfn.IFS(A7=P3,J7,A7=P4,K7,A7=#REF!,L7)</f>
        <v>571666.66666666663</v>
      </c>
      <c r="H7" s="22">
        <v>0.35</v>
      </c>
      <c r="I7" s="22">
        <f>_xlfn.IFS(A7=$P$3,D7/2,A7=$P$4,(POWER(D7,2)*E7/2+POWER($D$4,2)*(MIN(D7-$D$4,4*$D$4))/2)/($D$4*(MIN(D7-$D$4,4*$D$4))+D7*E7),A7=#REF!,(POWER(D7,2)*E7/2+2*POWER($D$4,2)*(MIN(D7-$D$4,4*$D$4))/2)/(2*$D$4*(MIN(D7-$D$4,4*$D$4))+D7*E7))</f>
        <v>35</v>
      </c>
      <c r="J7" s="22">
        <f>(E7*POWER(D7,3)/12)</f>
        <v>571666.66666666663</v>
      </c>
      <c r="K7" s="22">
        <f>IF($D$4&lt;I7,POWER(D7,3)*E7/12+D7*E7*POWER((D7/2)-I7,2)+POWER($D$4,3)*MIN(4*$D$4,D7-$D$4)/12+$D$4*MIN(4*$D$4,D7-$D$4)*POWER(I7-$D$4/2,2),POWER(D7,3)*E7/12+D7*E7*POWER((D7/2)-I7,2)+POWER($D$4,3)*MIN(4*$D$4,D7-$D$4)/12+$D$4*MIN(4*$D$4,D7-$D$4)*POWER(-I7+$D$4/2,2))</f>
        <v>1211041.6666666665</v>
      </c>
      <c r="L7" s="22">
        <f>IF($D$4&lt;I7,POWER(D7,3)*E7/12+D7*E7*POWER((D7/2)-I7,2)+2*POWER($D$4,3)*MIN(4*$D$4,D7-$D$4)/12+2*$D$4*MIN(4*$D$4,D7-$D$4)*POWER(I7-$D$4/2,2),POWER(D7,3)*E7/12+D7*E7*POWER((D7/2)-I7,2)+2*POWER($D$4,3)*MIN(4*$D$4,D7-$D$4)/12+2*$D$4*MIN(4*$D$4,D7-$D$4)*POWER(-I7+$D$4/2,2))</f>
        <v>1850416.6666666665</v>
      </c>
      <c r="M7" s="22">
        <f>H7*G7</f>
        <v>200083.33333333331</v>
      </c>
      <c r="N7" s="23">
        <f>(POWER(F7,0.5)/POWER($F$4,0.5))*(M7/$I$4)</f>
        <v>8.13037037037037</v>
      </c>
    </row>
    <row r="8" spans="1:16" ht="15.75" thickBot="1">
      <c r="A8" s="35" t="s">
        <v>23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</row>
    <row r="9" spans="1:16" ht="19.5">
      <c r="A9" s="34" t="s">
        <v>26</v>
      </c>
      <c r="B9" s="50"/>
      <c r="C9" s="48" t="s">
        <v>40</v>
      </c>
      <c r="D9" s="44" t="s">
        <v>8</v>
      </c>
      <c r="E9" s="44" t="s">
        <v>2</v>
      </c>
      <c r="F9" s="45" t="s">
        <v>38</v>
      </c>
      <c r="G9" s="28" t="s">
        <v>18</v>
      </c>
      <c r="H9" s="29" t="s">
        <v>19</v>
      </c>
      <c r="I9" s="29" t="s">
        <v>31</v>
      </c>
      <c r="J9" s="29" t="s">
        <v>17</v>
      </c>
      <c r="K9" s="29" t="s">
        <v>32</v>
      </c>
      <c r="L9" s="29" t="s">
        <v>33</v>
      </c>
      <c r="M9" s="29" t="s">
        <v>20</v>
      </c>
      <c r="N9" s="30" t="s">
        <v>27</v>
      </c>
    </row>
    <row r="10" spans="1:16" ht="15.75" thickBot="1">
      <c r="A10" s="17" t="s">
        <v>28</v>
      </c>
      <c r="B10" s="47"/>
      <c r="C10" s="49">
        <f>C4</f>
        <v>700</v>
      </c>
      <c r="D10" s="18">
        <v>60</v>
      </c>
      <c r="E10" s="18">
        <v>20</v>
      </c>
      <c r="F10" s="19">
        <v>30</v>
      </c>
      <c r="G10" s="24">
        <f>(E10*POWER(D10,3)/12)</f>
        <v>360000</v>
      </c>
      <c r="H10" s="18">
        <v>0.35</v>
      </c>
      <c r="I10" s="18">
        <f>_xlfn.IFS(A10=$P$3,D10/2,A10=$P$4,(POWER(D10,2)*E10/2+POWER($D$4,2)*(MIN(D10-$D$4,4*$D$4))/2)/($D$4*(MIN(D10-$D$4,4*$D$4))+D10*E10),A10=#REF!,(POWER(D10,2)*E10/2+2*POWER($D$4,2)*(MIN(D10-$D$4,4*$D$4))/2)/(2*$D$4*(MIN(D10-$D$4,4*$D$4))+D10*E10))</f>
        <v>30</v>
      </c>
      <c r="J10" s="18">
        <f>(E10*POWER(D10,3)/12)</f>
        <v>360000</v>
      </c>
      <c r="K10" s="18">
        <f>IF($D$4&lt;I10,POWER(D10,3)*E10/12+D10*E10*POWER((D10/2)-I10,2)+POWER($D$4,3)*MIN(4*$D$4,D10-$D$4)/12+$D$4*MIN(4*$D$4,D10-$D$4)*POWER(I10-$D$4/2,2),POWER(D10,3)*E10/12+D10*E10*POWER((D10/2)-I10,2)+POWER($D$4,3)*MIN(4*$D$4,D10-$D$4)/12+$D$4*MIN(4*$D$4,D10-$D$4)*POWER(-I10+$D$4/2,2))</f>
        <v>714375</v>
      </c>
      <c r="L10" s="18">
        <f>IF($D$4&lt;I10,POWER(D10,3)*E10/12+D10*E10*POWER((D10/2)-I10,2)+2*POWER($D$4,3)*MIN(4*$D$4,D10-$D$4)/12+2*$D$4*MIN(4*$D$4,D10-$D$4)*POWER(I10-$D$4/2,2),POWER(D10,3)*E10/12+D10*E10*POWER((D10/2)-I10,2)+2*POWER($D$4,3)*MIN(4*$D$4,D10-$D$4)/12+2*$D$4*MIN(4*$D$4,D10-$D$4)*POWER(-I10+$D$4/2,2))</f>
        <v>1068750</v>
      </c>
      <c r="M10" s="18">
        <f>H10*G10</f>
        <v>125999.99999999999</v>
      </c>
      <c r="N10" s="19">
        <f>(POWER(F10,0.5)/POWER($F$4,0.5))*(M10/$I$4)</f>
        <v>5.1199999999999992</v>
      </c>
    </row>
    <row r="11" spans="1:16" ht="15.75" thickBot="1">
      <c r="A11" s="35" t="s">
        <v>22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7"/>
    </row>
    <row r="12" spans="1:16" ht="19.5">
      <c r="A12" s="34" t="s">
        <v>26</v>
      </c>
      <c r="B12" s="50"/>
      <c r="C12" s="48" t="s">
        <v>41</v>
      </c>
      <c r="D12" s="44" t="s">
        <v>8</v>
      </c>
      <c r="E12" s="44" t="s">
        <v>2</v>
      </c>
      <c r="F12" s="45" t="s">
        <v>38</v>
      </c>
      <c r="G12" s="28" t="s">
        <v>18</v>
      </c>
      <c r="H12" s="29" t="s">
        <v>19</v>
      </c>
      <c r="I12" s="29" t="s">
        <v>31</v>
      </c>
      <c r="J12" s="29" t="s">
        <v>17</v>
      </c>
      <c r="K12" s="29" t="s">
        <v>32</v>
      </c>
      <c r="L12" s="29" t="s">
        <v>33</v>
      </c>
      <c r="M12" s="29" t="s">
        <v>20</v>
      </c>
      <c r="N12" s="30" t="s">
        <v>27</v>
      </c>
    </row>
    <row r="13" spans="1:16" ht="15.75" thickBot="1">
      <c r="A13" s="17" t="s">
        <v>28</v>
      </c>
      <c r="B13" s="47"/>
      <c r="C13" s="51">
        <f>B4</f>
        <v>700</v>
      </c>
      <c r="D13" s="52">
        <v>70</v>
      </c>
      <c r="E13" s="52">
        <v>20</v>
      </c>
      <c r="F13" s="53">
        <v>30</v>
      </c>
      <c r="G13" s="16">
        <f>(E13*POWER(D13,3)/12)</f>
        <v>571666.66666666663</v>
      </c>
      <c r="H13" s="22">
        <v>0.35</v>
      </c>
      <c r="I13" s="22">
        <f>_xlfn.IFS(A13=$P$3,D13/2,A13=$P$4,(POWER(D13,2)*E13/2+POWER($D$4,2)*(MIN(D13-$D$4,4*$D$4))/2)/($D$4*(MIN(D13-$D$4,4*$D$4))+D13*E13),A13=#REF!,(POWER(D13,2)*E13/2+2*POWER($D$4,2)*(MIN(D13-$D$4,4*$D$4))/2)/(2*$D$4*(MIN(D13-$D$4,4*$D$4))+D13*E13))</f>
        <v>35</v>
      </c>
      <c r="J13" s="22">
        <f>(E13*POWER(D13,3)/12)</f>
        <v>571666.66666666663</v>
      </c>
      <c r="K13" s="22">
        <f>IF($D$4&lt;I13,POWER(D13,3)*E13/12+D13*E13*POWER((D13/2)-I13,2)+POWER($D$4,3)*MIN(4*$D$4,D13-$D$4)/12+$D$4*MIN(4*$D$4,D13-$D$4)*POWER(I13-$D$4/2,2),POWER(D13,3)*E13/12+D13*E13*POWER((D13/2)-I13,2)+POWER($D$4,3)*MIN(4*$D$4,D13-$D$4)/12+$D$4*MIN(4*$D$4,D13-$D$4)*POWER(-I13+$D$4/2,2))</f>
        <v>1211041.6666666665</v>
      </c>
      <c r="L13" s="22">
        <f>IF($D$4&lt;I13,POWER(D13,3)*E13/12+D13*E13*POWER((D13/2)-I13,2)+2*POWER($D$4,3)*MIN(4*$D$4,D13-$D$4)/12+2*$D$4*MIN(4*$D$4,D13-$D$4)*POWER(I13-$D$4/2,2),POWER(D13,3)*E13/12+D13*E13*POWER((D13/2)-I13,2)+2*POWER($D$4,3)*MIN(4*$D$4,D13-$D$4)/12+2*$D$4*MIN(4*$D$4,D13-$D$4)*POWER(-I13+$D$4/2,2))</f>
        <v>1850416.6666666665</v>
      </c>
      <c r="M13" s="22">
        <f>H13*G13</f>
        <v>200083.33333333331</v>
      </c>
      <c r="N13" s="23">
        <f>(POWER(F13,0.5)/POWER($F$4,0.5))*(M13/$I$4)</f>
        <v>8.13037037037037</v>
      </c>
    </row>
    <row r="14" spans="1:16" ht="15.75" thickBot="1">
      <c r="A14" s="35" t="s">
        <v>24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7"/>
    </row>
    <row r="15" spans="1:16" ht="19.5">
      <c r="A15" s="34" t="s">
        <v>26</v>
      </c>
      <c r="B15" s="50"/>
      <c r="C15" s="48" t="s">
        <v>42</v>
      </c>
      <c r="D15" s="44" t="s">
        <v>8</v>
      </c>
      <c r="E15" s="44" t="s">
        <v>2</v>
      </c>
      <c r="F15" s="45" t="s">
        <v>38</v>
      </c>
      <c r="G15" s="28" t="s">
        <v>18</v>
      </c>
      <c r="H15" s="29" t="s">
        <v>19</v>
      </c>
      <c r="I15" s="29" t="s">
        <v>31</v>
      </c>
      <c r="J15" s="29" t="s">
        <v>17</v>
      </c>
      <c r="K15" s="29" t="s">
        <v>32</v>
      </c>
      <c r="L15" s="29" t="s">
        <v>33</v>
      </c>
      <c r="M15" s="29" t="s">
        <v>20</v>
      </c>
      <c r="N15" s="30" t="s">
        <v>27</v>
      </c>
    </row>
    <row r="16" spans="1:16" ht="15.75" thickBot="1">
      <c r="A16" s="17" t="s">
        <v>28</v>
      </c>
      <c r="B16" s="47"/>
      <c r="C16" s="49">
        <f>C4</f>
        <v>700</v>
      </c>
      <c r="D16" s="18">
        <v>60</v>
      </c>
      <c r="E16" s="18">
        <v>20</v>
      </c>
      <c r="F16" s="19">
        <v>30</v>
      </c>
      <c r="G16" s="24">
        <f>(E16*POWER(D16,3)/12)</f>
        <v>360000</v>
      </c>
      <c r="H16" s="18">
        <v>0.35</v>
      </c>
      <c r="I16" s="18">
        <f>_xlfn.IFS(A16=$P$3,D16/2,A16=$P$4,(POWER(D16,2)*E16/2+POWER($D$4,2)*(MIN(D16-$D$4,4*$D$4))/2)/($D$4*(MIN(D16-$D$4,4*$D$4))+D16*E16),A16=#REF!,(POWER(D16,2)*E16/2+2*POWER($D$4,2)*(MIN(D16-$D$4,4*$D$4))/2)/(2*$D$4*(MIN(D16-$D$4,4*$D$4))+D16*E16))</f>
        <v>30</v>
      </c>
      <c r="J16" s="18">
        <f>(E16*POWER(D16,3)/12)</f>
        <v>360000</v>
      </c>
      <c r="K16" s="18">
        <f>IF($D$4&lt;I16,POWER(D16,3)*E16/12+D16*E16*POWER((D16/2)-I16,2)+POWER($D$4,3)*MIN(4*$D$4,D16-$D$4)/12+$D$4*MIN(4*$D$4,D16-$D$4)*POWER(I16-$D$4/2,2),POWER(D16,3)*E16/12+D16*E16*POWER((D16/2)-I16,2)+POWER($D$4,3)*MIN(4*$D$4,D16-$D$4)/12+$D$4*MIN(4*$D$4,D16-$D$4)*POWER(-I16+$D$4/2,2))</f>
        <v>714375</v>
      </c>
      <c r="L16" s="18">
        <f>IF($D$4&lt;I16,POWER(D16,3)*E16/12+D16*E16*POWER((D16/2)-I16,2)+2*POWER($D$4,3)*MIN(4*$D$4,D16-$D$4)/12+2*$D$4*MIN(4*$D$4,D16-$D$4)*POWER(I16-$D$4/2,2),POWER(D16,3)*E16/12+D16*E16*POWER((D16/2)-I16,2)+2*POWER($D$4,3)*MIN(4*$D$4,D16-$D$4)/12+2*$D$4*MIN(4*$D$4,D16-$D$4)*POWER(-I16+$D$4/2,2))</f>
        <v>1068750</v>
      </c>
      <c r="M16" s="18">
        <f>H16*G16</f>
        <v>125999.99999999999</v>
      </c>
      <c r="N16" s="19">
        <f>(POWER(F16,0.5)/POWER($F$4,0.5))*(M16/$I$4)</f>
        <v>5.1199999999999992</v>
      </c>
    </row>
  </sheetData>
  <mergeCells count="14">
    <mergeCell ref="A12:B12"/>
    <mergeCell ref="A13:B13"/>
    <mergeCell ref="A16:B16"/>
    <mergeCell ref="A15:B15"/>
    <mergeCell ref="A5:N5"/>
    <mergeCell ref="A8:N8"/>
    <mergeCell ref="A11:N11"/>
    <mergeCell ref="A14:N14"/>
    <mergeCell ref="A6:B6"/>
    <mergeCell ref="A7:B7"/>
    <mergeCell ref="A9:B9"/>
    <mergeCell ref="A10:B10"/>
    <mergeCell ref="A1:I1"/>
    <mergeCell ref="A2:N2"/>
  </mergeCells>
  <dataValidations disablePrompts="1" count="1">
    <dataValidation type="list" allowBlank="1" showInputMessage="1" showErrorMessage="1" sqref="A7 A16 A13 A10" xr:uid="{22B076A7-0FB5-4A9B-9F92-5D25EAA4767E}">
      <formula1>$P$3:$P$4</formula1>
    </dataValidation>
  </dataValidation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Armadura flexion simple</vt:lpstr>
      <vt:lpstr>H MIN LOSA CRUZADA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airdi</dc:creator>
  <cp:lastModifiedBy>airdi</cp:lastModifiedBy>
  <dcterms:created xsi:type="dcterms:W3CDTF">2022-07-14T19:44:48Z</dcterms:created>
  <dcterms:modified xsi:type="dcterms:W3CDTF">2023-04-11T19:08:38Z</dcterms:modified>
</cp:coreProperties>
</file>