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MA\Memorias Genericas\Viviendas\Prototipo Duplex\"/>
    </mc:Choice>
  </mc:AlternateContent>
  <xr:revisionPtr revIDLastSave="0" documentId="13_ncr:1_{FBF1E57B-EF15-4784-A908-A44B375CAB94}" xr6:coauthVersionLast="46" xr6:coauthVersionMax="46" xr10:uidLastSave="{00000000-0000-0000-0000-000000000000}"/>
  <bookViews>
    <workbookView xWindow="-120" yWindow="-120" windowWidth="29040" windowHeight="15840" activeTab="1" xr2:uid="{5C974C7A-46EB-425B-9478-7DF5ABDB583C}"/>
  </bookViews>
  <sheets>
    <sheet name="Figura 3" sheetId="3" r:id="rId1"/>
    <sheet name="Figura 3 Cubierta" sheetId="4" r:id="rId2"/>
    <sheet name="Figura 4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4" l="1"/>
  <c r="C70" i="4"/>
  <c r="D71" i="4"/>
  <c r="D70" i="4"/>
  <c r="B71" i="4"/>
  <c r="B70" i="4"/>
  <c r="B23" i="4"/>
  <c r="D64" i="4"/>
  <c r="D63" i="4"/>
  <c r="B107" i="4"/>
  <c r="B106" i="4"/>
  <c r="D96" i="4"/>
  <c r="C96" i="4"/>
  <c r="B96" i="4"/>
  <c r="D95" i="4"/>
  <c r="C95" i="4"/>
  <c r="B95" i="4"/>
  <c r="D94" i="4"/>
  <c r="C94" i="4"/>
  <c r="B94" i="4"/>
  <c r="E91" i="4"/>
  <c r="C91" i="4"/>
  <c r="B91" i="4"/>
  <c r="E90" i="4"/>
  <c r="C90" i="4"/>
  <c r="B90" i="4"/>
  <c r="E89" i="4"/>
  <c r="C89" i="4"/>
  <c r="B89" i="4"/>
  <c r="C84" i="4"/>
  <c r="D83" i="4"/>
  <c r="C83" i="4"/>
  <c r="D82" i="4"/>
  <c r="C82" i="4"/>
  <c r="C80" i="4"/>
  <c r="D79" i="4"/>
  <c r="C79" i="4"/>
  <c r="D78" i="4"/>
  <c r="C78" i="4"/>
  <c r="C101" i="4"/>
  <c r="G102" i="4"/>
  <c r="G101" i="4"/>
  <c r="C104" i="4"/>
  <c r="C103" i="4"/>
  <c r="B51" i="4"/>
  <c r="B44" i="4"/>
  <c r="B37" i="4"/>
  <c r="A37" i="4"/>
  <c r="B25" i="4"/>
  <c r="C64" i="4" s="1"/>
  <c r="C22" i="4"/>
  <c r="C39" i="3"/>
  <c r="D70" i="3"/>
  <c r="F70" i="3" s="1"/>
  <c r="D71" i="3"/>
  <c r="E71" i="3" s="1"/>
  <c r="D72" i="3"/>
  <c r="E70" i="3"/>
  <c r="E119" i="3" s="1"/>
  <c r="B59" i="3"/>
  <c r="B52" i="3"/>
  <c r="D54" i="3"/>
  <c r="D52" i="3"/>
  <c r="D53" i="3"/>
  <c r="L52" i="2"/>
  <c r="B123" i="3"/>
  <c r="B122" i="3"/>
  <c r="D112" i="3"/>
  <c r="C112" i="3"/>
  <c r="B112" i="3"/>
  <c r="D111" i="3"/>
  <c r="C111" i="3"/>
  <c r="B111" i="3"/>
  <c r="D110" i="3"/>
  <c r="C110" i="3"/>
  <c r="B110" i="3"/>
  <c r="E107" i="3"/>
  <c r="C107" i="3"/>
  <c r="B107" i="3"/>
  <c r="E106" i="3"/>
  <c r="C106" i="3"/>
  <c r="B106" i="3"/>
  <c r="E105" i="3"/>
  <c r="C105" i="3"/>
  <c r="B105" i="3"/>
  <c r="C100" i="3"/>
  <c r="D99" i="3"/>
  <c r="C99" i="3"/>
  <c r="D98" i="3"/>
  <c r="C98" i="3"/>
  <c r="C96" i="3"/>
  <c r="D95" i="3"/>
  <c r="C95" i="3"/>
  <c r="D94" i="3"/>
  <c r="C94" i="3"/>
  <c r="F87" i="3"/>
  <c r="E87" i="3"/>
  <c r="F86" i="3"/>
  <c r="E86" i="3"/>
  <c r="F85" i="3"/>
  <c r="G118" i="3" s="1"/>
  <c r="E85" i="3"/>
  <c r="F117" i="3" s="1"/>
  <c r="F84" i="3"/>
  <c r="H118" i="3" s="1"/>
  <c r="E84" i="3"/>
  <c r="C117" i="3" s="1"/>
  <c r="F83" i="3"/>
  <c r="J118" i="3" s="1"/>
  <c r="E83" i="3"/>
  <c r="J117" i="3" s="1"/>
  <c r="F82" i="3"/>
  <c r="E82" i="3"/>
  <c r="F81" i="3"/>
  <c r="E81" i="3"/>
  <c r="F80" i="3"/>
  <c r="I118" i="3" s="1"/>
  <c r="E80" i="3"/>
  <c r="I117" i="3" s="1"/>
  <c r="F79" i="3"/>
  <c r="E79" i="3"/>
  <c r="F78" i="3"/>
  <c r="E78" i="3"/>
  <c r="F77" i="3"/>
  <c r="E77" i="3"/>
  <c r="F72" i="3"/>
  <c r="G120" i="3" s="1"/>
  <c r="E72" i="3"/>
  <c r="G119" i="3" s="1"/>
  <c r="F69" i="3"/>
  <c r="J120" i="3" s="1"/>
  <c r="E69" i="3"/>
  <c r="J119" i="3" s="1"/>
  <c r="F68" i="3"/>
  <c r="H120" i="3" s="1"/>
  <c r="E68" i="3"/>
  <c r="H119" i="3" s="1"/>
  <c r="F67" i="3"/>
  <c r="C120" i="3" s="1"/>
  <c r="E67" i="3"/>
  <c r="C119" i="3" s="1"/>
  <c r="F66" i="3"/>
  <c r="E66" i="3"/>
  <c r="D46" i="3"/>
  <c r="D45" i="3"/>
  <c r="B39" i="3"/>
  <c r="A39" i="3"/>
  <c r="D29" i="3"/>
  <c r="D28" i="3"/>
  <c r="D27" i="3"/>
  <c r="D26" i="3"/>
  <c r="D25" i="3"/>
  <c r="D24" i="3"/>
  <c r="C23" i="3"/>
  <c r="I130" i="3" l="1"/>
  <c r="C63" i="4"/>
  <c r="C37" i="4"/>
  <c r="D37" i="4" s="1"/>
  <c r="E37" i="4" s="1"/>
  <c r="G104" i="4"/>
  <c r="C102" i="4"/>
  <c r="G103" i="4"/>
  <c r="D39" i="3"/>
  <c r="E39" i="3" s="1"/>
  <c r="F71" i="3"/>
  <c r="D117" i="3"/>
  <c r="C127" i="3" s="1"/>
  <c r="F119" i="3"/>
  <c r="G129" i="3" s="1"/>
  <c r="D120" i="3"/>
  <c r="B130" i="3" s="1"/>
  <c r="E120" i="3"/>
  <c r="F120" i="3"/>
  <c r="D129" i="3"/>
  <c r="E129" i="3"/>
  <c r="H128" i="3"/>
  <c r="I128" i="3"/>
  <c r="I129" i="3"/>
  <c r="H129" i="3"/>
  <c r="G127" i="3"/>
  <c r="F127" i="3"/>
  <c r="G117" i="3"/>
  <c r="H130" i="3"/>
  <c r="H117" i="3"/>
  <c r="D119" i="3"/>
  <c r="I120" i="3"/>
  <c r="C118" i="3"/>
  <c r="E118" i="3"/>
  <c r="I119" i="3"/>
  <c r="E117" i="3"/>
  <c r="D118" i="3"/>
  <c r="C128" i="3" s="1"/>
  <c r="F118" i="3"/>
  <c r="E64" i="4" l="1"/>
  <c r="E104" i="4" s="1"/>
  <c r="E114" i="4" s="1"/>
  <c r="F70" i="4"/>
  <c r="E70" i="4"/>
  <c r="E71" i="4"/>
  <c r="F71" i="4"/>
  <c r="E63" i="4"/>
  <c r="E103" i="4" s="1"/>
  <c r="F63" i="4"/>
  <c r="F64" i="4"/>
  <c r="F104" i="4" s="1"/>
  <c r="B127" i="3"/>
  <c r="C130" i="3"/>
  <c r="F129" i="3"/>
  <c r="D130" i="3"/>
  <c r="E130" i="3"/>
  <c r="G130" i="3"/>
  <c r="F130" i="3"/>
  <c r="D127" i="3"/>
  <c r="E127" i="3"/>
  <c r="C129" i="3"/>
  <c r="B129" i="3"/>
  <c r="G128" i="3"/>
  <c r="F128" i="3"/>
  <c r="H127" i="3"/>
  <c r="I127" i="3"/>
  <c r="E128" i="3"/>
  <c r="D128" i="3"/>
  <c r="B128" i="3"/>
  <c r="D104" i="4" l="1"/>
  <c r="C114" i="4" s="1"/>
  <c r="D114" i="4"/>
  <c r="F101" i="4"/>
  <c r="F111" i="4" s="1"/>
  <c r="D101" i="4"/>
  <c r="E101" i="4"/>
  <c r="F103" i="4"/>
  <c r="F113" i="4" s="1"/>
  <c r="D102" i="4"/>
  <c r="E102" i="4"/>
  <c r="F102" i="4"/>
  <c r="F112" i="4" s="1"/>
  <c r="D103" i="4"/>
  <c r="B113" i="4" s="1"/>
  <c r="E113" i="4"/>
  <c r="D113" i="4"/>
  <c r="F114" i="4"/>
  <c r="B114" i="4" l="1"/>
  <c r="C113" i="4"/>
  <c r="C111" i="4"/>
  <c r="B111" i="4"/>
  <c r="E112" i="4"/>
  <c r="D112" i="4"/>
  <c r="C112" i="4"/>
  <c r="B112" i="4"/>
  <c r="E111" i="4"/>
  <c r="D111" i="4"/>
  <c r="C25" i="2"/>
  <c r="A46" i="2"/>
  <c r="E26" i="2"/>
  <c r="F53" i="2" s="1"/>
  <c r="A41" i="2"/>
  <c r="K52" i="2" s="1"/>
  <c r="B26" i="2"/>
  <c r="B114" i="2"/>
  <c r="B113" i="2"/>
  <c r="D103" i="2"/>
  <c r="C103" i="2"/>
  <c r="B103" i="2"/>
  <c r="D102" i="2"/>
  <c r="C102" i="2"/>
  <c r="B102" i="2"/>
  <c r="D101" i="2"/>
  <c r="C101" i="2"/>
  <c r="B101" i="2"/>
  <c r="E98" i="2"/>
  <c r="C98" i="2"/>
  <c r="B98" i="2"/>
  <c r="E97" i="2"/>
  <c r="C97" i="2"/>
  <c r="B97" i="2"/>
  <c r="E96" i="2"/>
  <c r="C96" i="2"/>
  <c r="B96" i="2"/>
  <c r="C91" i="2"/>
  <c r="D90" i="2"/>
  <c r="C90" i="2"/>
  <c r="D89" i="2"/>
  <c r="C89" i="2"/>
  <c r="C87" i="2"/>
  <c r="D86" i="2"/>
  <c r="C86" i="2"/>
  <c r="D85" i="2"/>
  <c r="C85" i="2"/>
  <c r="E109" i="2"/>
  <c r="E108" i="2"/>
  <c r="H109" i="2"/>
  <c r="C108" i="2"/>
  <c r="J109" i="2"/>
  <c r="J108" i="2"/>
  <c r="I109" i="2"/>
  <c r="I108" i="2"/>
  <c r="G111" i="2"/>
  <c r="E111" i="2"/>
  <c r="E110" i="2"/>
  <c r="J111" i="2"/>
  <c r="J110" i="2"/>
  <c r="H111" i="2"/>
  <c r="H110" i="2"/>
  <c r="C111" i="2"/>
  <c r="C110" i="2"/>
  <c r="E49" i="2" l="1"/>
  <c r="E53" i="2"/>
  <c r="D53" i="2"/>
  <c r="C53" i="2"/>
  <c r="B48" i="2"/>
  <c r="B52" i="2"/>
  <c r="G48" i="2"/>
  <c r="G52" i="2"/>
  <c r="F48" i="2"/>
  <c r="F52" i="2"/>
  <c r="D49" i="2"/>
  <c r="C49" i="2"/>
  <c r="E48" i="2"/>
  <c r="E52" i="2"/>
  <c r="D48" i="2"/>
  <c r="D52" i="2"/>
  <c r="C48" i="2"/>
  <c r="C52" i="2"/>
  <c r="B49" i="2"/>
  <c r="B53" i="2"/>
  <c r="G49" i="2"/>
  <c r="G53" i="2"/>
  <c r="F49" i="2"/>
  <c r="Q52" i="2"/>
  <c r="G42" i="2" s="1"/>
  <c r="G43" i="2" s="1"/>
  <c r="R52" i="2"/>
  <c r="H42" i="2" s="1"/>
  <c r="H44" i="2" s="1"/>
  <c r="S52" i="2"/>
  <c r="I42" i="2" s="1"/>
  <c r="I43" i="2" s="1"/>
  <c r="M52" i="2"/>
  <c r="C42" i="2" s="1"/>
  <c r="C43" i="2" s="1"/>
  <c r="B42" i="2"/>
  <c r="B44" i="2" s="1"/>
  <c r="N52" i="2"/>
  <c r="D42" i="2" s="1"/>
  <c r="D44" i="2" s="1"/>
  <c r="O52" i="2"/>
  <c r="E42" i="2" s="1"/>
  <c r="E44" i="2" s="1"/>
  <c r="P52" i="2"/>
  <c r="F42" i="2" s="1"/>
  <c r="F43" i="2" s="1"/>
  <c r="F111" i="2"/>
  <c r="F121" i="2" s="1"/>
  <c r="I121" i="2"/>
  <c r="F108" i="2"/>
  <c r="F118" i="2" s="1"/>
  <c r="G108" i="2"/>
  <c r="I118" i="2" s="1"/>
  <c r="F110" i="2"/>
  <c r="G120" i="2" s="1"/>
  <c r="H108" i="2"/>
  <c r="C109" i="2"/>
  <c r="I110" i="2"/>
  <c r="E118" i="2"/>
  <c r="D118" i="2"/>
  <c r="E119" i="2"/>
  <c r="D119" i="2"/>
  <c r="E120" i="2"/>
  <c r="D120" i="2"/>
  <c r="E121" i="2"/>
  <c r="D121" i="2"/>
  <c r="H121" i="2"/>
  <c r="D110" i="2"/>
  <c r="C120" i="2" s="1"/>
  <c r="I111" i="2"/>
  <c r="D109" i="2"/>
  <c r="C119" i="2" s="1"/>
  <c r="F109" i="2"/>
  <c r="G109" i="2"/>
  <c r="D108" i="2"/>
  <c r="C118" i="2" s="1"/>
  <c r="D111" i="2"/>
  <c r="C121" i="2" s="1"/>
  <c r="G110" i="2"/>
  <c r="E43" i="2" l="1"/>
  <c r="D43" i="2"/>
  <c r="B43" i="2"/>
  <c r="F44" i="2"/>
  <c r="C44" i="2"/>
  <c r="I44" i="2"/>
  <c r="G44" i="2"/>
  <c r="H43" i="2"/>
  <c r="B121" i="2"/>
  <c r="G121" i="2"/>
  <c r="H118" i="2"/>
  <c r="G118" i="2"/>
  <c r="F120" i="2"/>
  <c r="B120" i="2"/>
  <c r="B119" i="2"/>
  <c r="I120" i="2"/>
  <c r="H120" i="2"/>
  <c r="B118" i="2"/>
  <c r="I119" i="2"/>
  <c r="H119" i="2"/>
  <c r="F119" i="2"/>
  <c r="G119" i="2"/>
  <c r="B56" i="2" l="1"/>
  <c r="B55" i="2"/>
</calcChain>
</file>

<file path=xl/sharedStrings.xml><?xml version="1.0" encoding="utf-8"?>
<sst xmlns="http://schemas.openxmlformats.org/spreadsheetml/2006/main" count="500" uniqueCount="186">
  <si>
    <t>CALCULO DE VIENTO PARA NAVE INDUSTRIAL</t>
  </si>
  <si>
    <t>Carasteristicas Generales</t>
  </si>
  <si>
    <t>Tipo de Exposición</t>
  </si>
  <si>
    <t>C</t>
  </si>
  <si>
    <t>Categoría</t>
  </si>
  <si>
    <t>II</t>
  </si>
  <si>
    <t>Factor de importancia (I)</t>
  </si>
  <si>
    <t>Velocidad Básica             [m/s]</t>
  </si>
  <si>
    <t>Lado Mayor</t>
  </si>
  <si>
    <t>Lado Menor</t>
  </si>
  <si>
    <t>Altura de Cumbrera</t>
  </si>
  <si>
    <t>Altura media de Cumbrera</t>
  </si>
  <si>
    <t>PRESIÓN DINÁMICA</t>
  </si>
  <si>
    <t>Kzt - Factor de terreno</t>
  </si>
  <si>
    <t>Terreno Plano</t>
  </si>
  <si>
    <t>Kd - Factor de direccionalidad del viento</t>
  </si>
  <si>
    <t>Edificio</t>
  </si>
  <si>
    <t>VALORES DE Kz</t>
  </si>
  <si>
    <t>Denominación</t>
  </si>
  <si>
    <t xml:space="preserve">Altura            </t>
  </si>
  <si>
    <t xml:space="preserve">Exposición              </t>
  </si>
  <si>
    <t>q</t>
  </si>
  <si>
    <t>[m]</t>
  </si>
  <si>
    <t>[N/m2]</t>
  </si>
  <si>
    <t>Laterales</t>
  </si>
  <si>
    <t>0-5</t>
  </si>
  <si>
    <t>Alero</t>
  </si>
  <si>
    <t>Cubierta</t>
  </si>
  <si>
    <t>Altura media - h</t>
  </si>
  <si>
    <t>Cumbrera</t>
  </si>
  <si>
    <t>PRESIONES DE VIENTO DE DISEÑO - SPRFV</t>
  </si>
  <si>
    <t>Factor de Rafaga - G</t>
  </si>
  <si>
    <t>Altura media h</t>
  </si>
  <si>
    <t>Ancho menor</t>
  </si>
  <si>
    <t>h/ancho menor</t>
  </si>
  <si>
    <t>Estructura</t>
  </si>
  <si>
    <t>G</t>
  </si>
  <si>
    <t>Coeficiente de Presión Externa - Cp - Paredes</t>
  </si>
  <si>
    <t>Figura 3</t>
  </si>
  <si>
    <t>Todas las Paredes</t>
  </si>
  <si>
    <t>Para todo h</t>
  </si>
  <si>
    <t>Superficie</t>
  </si>
  <si>
    <t>Direccion del viento</t>
  </si>
  <si>
    <t>L/B</t>
  </si>
  <si>
    <t>Cp</t>
  </si>
  <si>
    <t>Usar con</t>
  </si>
  <si>
    <t>Pared a Barlovento</t>
  </si>
  <si>
    <t>Todas</t>
  </si>
  <si>
    <t>Todos los valores</t>
  </si>
  <si>
    <t>qz</t>
  </si>
  <si>
    <t>Pared a Sotavento</t>
  </si>
  <si>
    <t>Paralelo a la cumbrera</t>
  </si>
  <si>
    <t>qh</t>
  </si>
  <si>
    <t>Normal a la cumbrera</t>
  </si>
  <si>
    <t>Paredes Laterales</t>
  </si>
  <si>
    <t>COEFICIENTE DE PRESION EXTERNA (Cp) p/Cubierta - VIENTO PERPENDICULAR A CUMBRERA</t>
  </si>
  <si>
    <t xml:space="preserve">Superficie </t>
  </si>
  <si>
    <t>h/L</t>
  </si>
  <si>
    <t>Angulo - Cp</t>
  </si>
  <si>
    <t>A barlovento</t>
  </si>
  <si>
    <t xml:space="preserve">A sotavento </t>
  </si>
  <si>
    <t>COEFICIENTE DE PRESION EXTERNA (Cp) p/Cubierta - VIENTO PARALELO A CUMBRERA</t>
  </si>
  <si>
    <t>Distancia horizontal desde el borde a barlovento</t>
  </si>
  <si>
    <t>0 - h</t>
  </si>
  <si>
    <t>≥ 2h</t>
  </si>
  <si>
    <t>PRESIONES DE DISEÑO SOBRE EL SPRFV - VIENTO NORMAL A LA CUMBRERA</t>
  </si>
  <si>
    <t>z                                     [m]</t>
  </si>
  <si>
    <t>q                  [N/m2]</t>
  </si>
  <si>
    <t>Presion Neta [N/m2]</t>
  </si>
  <si>
    <t>Gcpi+</t>
  </si>
  <si>
    <t>Gcpi-</t>
  </si>
  <si>
    <t>0 - 5</t>
  </si>
  <si>
    <t xml:space="preserve">Paredes Laterales </t>
  </si>
  <si>
    <t>Cubierta a Barlovento</t>
  </si>
  <si>
    <t>Cubierta a Sotavento</t>
  </si>
  <si>
    <t>PRESIONES DE DISEÑO SOBRE EL SPRFV - VIENTO PARALELO A LA CUMBRERA</t>
  </si>
  <si>
    <t>z                         [m]</t>
  </si>
  <si>
    <t>h - 2h</t>
  </si>
  <si>
    <t>PRESIONES DE VIENTO DE DISEÑO  - COMPONENTES Y REVESTIMIENTOS</t>
  </si>
  <si>
    <t>Coeficiente GCp p/ Cubiertas y Revestimientos</t>
  </si>
  <si>
    <t>Componentes</t>
  </si>
  <si>
    <t>Areas</t>
  </si>
  <si>
    <t>Areas efectivas</t>
  </si>
  <si>
    <t>GCp</t>
  </si>
  <si>
    <t>[m2]</t>
  </si>
  <si>
    <t xml:space="preserve"> PAREDES</t>
  </si>
  <si>
    <t xml:space="preserve">Zonas 4 y 5 </t>
  </si>
  <si>
    <t>Zona 4</t>
  </si>
  <si>
    <t>Zona 5</t>
  </si>
  <si>
    <t>Largueros</t>
  </si>
  <si>
    <t>Panel</t>
  </si>
  <si>
    <t>Fijador</t>
  </si>
  <si>
    <t>-</t>
  </si>
  <si>
    <t>CUBIERTA</t>
  </si>
  <si>
    <t>Zonas 1, 2 y 3</t>
  </si>
  <si>
    <t>Zona 1</t>
  </si>
  <si>
    <t>Zonas 2 y 3</t>
  </si>
  <si>
    <t>Correas</t>
  </si>
  <si>
    <t>PRESIONES NETAS SOBRE COMPONENTES Y REVESTIMIENTOS [N/m2]</t>
  </si>
  <si>
    <t>PAREDES</t>
  </si>
  <si>
    <t>(+)</t>
  </si>
  <si>
    <t>(-)</t>
  </si>
  <si>
    <t>Larguero</t>
  </si>
  <si>
    <t xml:space="preserve">Zonas 1,2 Y 3 </t>
  </si>
  <si>
    <t xml:space="preserve">Zona 1 </t>
  </si>
  <si>
    <t xml:space="preserve">Zona 2 y 3 </t>
  </si>
  <si>
    <t>Correa</t>
  </si>
  <si>
    <t>CALCULO DE CARGAS DEBIDAS AL VIENTO</t>
  </si>
  <si>
    <t>Dirección del viento</t>
  </si>
  <si>
    <t>Estados</t>
  </si>
  <si>
    <t>A [kN/m]</t>
  </si>
  <si>
    <t>B</t>
  </si>
  <si>
    <t>D [kN/m]</t>
  </si>
  <si>
    <t>E [kN/m]</t>
  </si>
  <si>
    <t>F [kN/m]</t>
  </si>
  <si>
    <t>B1 [kN]</t>
  </si>
  <si>
    <t>B2 [kN]</t>
  </si>
  <si>
    <t>C1 [kN]</t>
  </si>
  <si>
    <t>C2 [kN]</t>
  </si>
  <si>
    <t>W1 - Gcpi +</t>
  </si>
  <si>
    <t>W2 - Gcpi -</t>
  </si>
  <si>
    <t>W3 - Gcpi +</t>
  </si>
  <si>
    <t>W4 - Gcpi -</t>
  </si>
  <si>
    <r>
      <t xml:space="preserve">SEN </t>
    </r>
    <r>
      <rPr>
        <sz val="10"/>
        <color theme="1"/>
        <rFont val="Calibri"/>
        <family val="2"/>
      </rPr>
      <t>θ</t>
    </r>
  </si>
  <si>
    <t>COS θ</t>
  </si>
  <si>
    <t>DESCOMPOSICION DE LAS CARGAS SEGÚN LOS EJES X e Y</t>
  </si>
  <si>
    <t>ESTADO</t>
  </si>
  <si>
    <t>B1x</t>
  </si>
  <si>
    <t>B1z</t>
  </si>
  <si>
    <t>B2x</t>
  </si>
  <si>
    <t>B2z</t>
  </si>
  <si>
    <t>C1x</t>
  </si>
  <si>
    <t>C1z</t>
  </si>
  <si>
    <t>C2x</t>
  </si>
  <si>
    <t>C2z</t>
  </si>
  <si>
    <t>W1</t>
  </si>
  <si>
    <t>W2</t>
  </si>
  <si>
    <t>W3</t>
  </si>
  <si>
    <t>W4</t>
  </si>
  <si>
    <t>REF: Ingresar valor</t>
  </si>
  <si>
    <t>Figura 4</t>
  </si>
  <si>
    <t>Angulo de la cubierta en grados θ</t>
  </si>
  <si>
    <t>Angulo de la cubierta θ</t>
  </si>
  <si>
    <t>Superficie del edificio</t>
  </si>
  <si>
    <t>1E</t>
  </si>
  <si>
    <t>2E</t>
  </si>
  <si>
    <t>3E</t>
  </si>
  <si>
    <t>4E</t>
  </si>
  <si>
    <t xml:space="preserve">Velocidad Básica            </t>
  </si>
  <si>
    <t>Coeficiente de Presión Externa - Cp</t>
  </si>
  <si>
    <t>Coeficiente de Presión Interna - Gcpi</t>
  </si>
  <si>
    <t>Clasificación de cerramiento</t>
  </si>
  <si>
    <t>Edificio Cerrado</t>
  </si>
  <si>
    <t>CASO A</t>
  </si>
  <si>
    <t>GCpf</t>
  </si>
  <si>
    <t>Presión (+Gcpi)</t>
  </si>
  <si>
    <t>Presión (-Gcpi)</t>
  </si>
  <si>
    <t>Interpolación</t>
  </si>
  <si>
    <t>θ</t>
  </si>
  <si>
    <t>CASO B</t>
  </si>
  <si>
    <t>(+Gcpi)</t>
  </si>
  <si>
    <t>(-Gcpi)</t>
  </si>
  <si>
    <t>5E</t>
  </si>
  <si>
    <t>6E</t>
  </si>
  <si>
    <t>MAXIMA</t>
  </si>
  <si>
    <t>MINIMA</t>
  </si>
  <si>
    <t>N/m²</t>
  </si>
  <si>
    <t>ANÁLISIS DE VIENTO</t>
  </si>
  <si>
    <t>CIRSOC 102 - 2005 - FIGURA 4</t>
  </si>
  <si>
    <t>h a 2h</t>
  </si>
  <si>
    <t xml:space="preserve">Velocidad Básica </t>
  </si>
  <si>
    <t>Kz - Coeficiente de exposición</t>
  </si>
  <si>
    <t>→</t>
  </si>
  <si>
    <t>m</t>
  </si>
  <si>
    <t>SPRFV - CUBIERTA</t>
  </si>
  <si>
    <t>FACTOR DE RAFAGA - G</t>
  </si>
  <si>
    <t>PRESIONES DE DISEÑO SOBRE EL SPRFV - VIENTO PERPENDICULAR A LA CUMBRERA</t>
  </si>
  <si>
    <t>COEFICIENTE DE PRESION INTERNA - (Gcpi)</t>
  </si>
  <si>
    <t>Clasificación de Cerramiento</t>
  </si>
  <si>
    <t>+GCpi</t>
  </si>
  <si>
    <t>-GCpi</t>
  </si>
  <si>
    <t>CARRGAR LADO MENOR</t>
  </si>
  <si>
    <t>CARGAR LADO MAYOR</t>
  </si>
  <si>
    <t xml:space="preserve">CARGAR ANGULO </t>
  </si>
  <si>
    <t>0 - h/2</t>
  </si>
  <si>
    <t>CIRSOC 102 - 2005 - FIGURA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</si>
</sst>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88">
    <xf numFmtId="0" fontId="0" fillId="0" borderId="0" xfId="0"/>
    <xf numFmtId="0" fontId="1" fillId="0" borderId="0" xfId="1" applyFont="1"/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4" borderId="9" xfId="1" applyFont="1" applyFill="1" applyBorder="1" applyAlignment="1">
      <alignment horizontal="left"/>
    </xf>
    <xf numFmtId="0" fontId="1" fillId="0" borderId="9" xfId="1" applyFont="1" applyBorder="1" applyAlignment="1">
      <alignment horizontal="center"/>
    </xf>
    <xf numFmtId="0" fontId="1" fillId="4" borderId="9" xfId="1" applyFont="1" applyFill="1" applyBorder="1" applyAlignment="1">
      <alignment horizontal="left" wrapText="1"/>
    </xf>
    <xf numFmtId="0" fontId="1" fillId="0" borderId="9" xfId="1" applyFont="1" applyBorder="1" applyAlignment="1">
      <alignment horizontal="center" vertical="center"/>
    </xf>
    <xf numFmtId="0" fontId="1" fillId="0" borderId="9" xfId="1" applyFont="1" applyBorder="1"/>
    <xf numFmtId="0" fontId="2" fillId="0" borderId="9" xfId="1" applyFont="1" applyBorder="1" applyAlignment="1">
      <alignment horizontal="center" wrapText="1"/>
    </xf>
    <xf numFmtId="0" fontId="1" fillId="5" borderId="9" xfId="1" applyFont="1" applyFill="1" applyBorder="1"/>
    <xf numFmtId="0" fontId="1" fillId="5" borderId="9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9" xfId="1" applyFont="1" applyBorder="1" applyAlignment="1">
      <alignment horizontal="center" vertical="center"/>
    </xf>
    <xf numFmtId="0" fontId="2" fillId="5" borderId="9" xfId="1" applyFont="1" applyFill="1" applyBorder="1" applyAlignment="1">
      <alignment horizontal="center"/>
    </xf>
    <xf numFmtId="0" fontId="2" fillId="0" borderId="9" xfId="1" applyFont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2" fontId="1" fillId="0" borderId="9" xfId="1" applyNumberFormat="1" applyFont="1" applyBorder="1" applyAlignment="1">
      <alignment horizontal="right"/>
    </xf>
    <xf numFmtId="0" fontId="1" fillId="0" borderId="9" xfId="1" applyFont="1" applyBorder="1" applyAlignment="1">
      <alignment horizontal="left" vertical="center"/>
    </xf>
    <xf numFmtId="0" fontId="1" fillId="6" borderId="10" xfId="1" applyFont="1" applyFill="1" applyBorder="1"/>
    <xf numFmtId="0" fontId="1" fillId="6" borderId="12" xfId="1" applyFont="1" applyFill="1" applyBorder="1"/>
    <xf numFmtId="2" fontId="1" fillId="0" borderId="9" xfId="1" applyNumberFormat="1" applyFont="1" applyBorder="1"/>
    <xf numFmtId="0" fontId="1" fillId="0" borderId="9" xfId="1" applyFont="1" applyBorder="1" applyAlignment="1">
      <alignment horizontal="left"/>
    </xf>
    <xf numFmtId="0" fontId="2" fillId="3" borderId="8" xfId="1" applyFont="1" applyFill="1" applyBorder="1"/>
    <xf numFmtId="0" fontId="2" fillId="0" borderId="17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 wrapText="1"/>
    </xf>
    <xf numFmtId="0" fontId="2" fillId="5" borderId="9" xfId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4" borderId="9" xfId="1" applyFont="1" applyFill="1" applyBorder="1"/>
    <xf numFmtId="2" fontId="1" fillId="0" borderId="9" xfId="1" applyNumberFormat="1" applyFont="1" applyBorder="1" applyAlignment="1">
      <alignment horizontal="right" vertical="center"/>
    </xf>
    <xf numFmtId="2" fontId="1" fillId="4" borderId="9" xfId="1" applyNumberFormat="1" applyFont="1" applyFill="1" applyBorder="1"/>
    <xf numFmtId="0" fontId="1" fillId="0" borderId="8" xfId="1" applyFont="1" applyBorder="1" applyAlignment="1">
      <alignment horizontal="center"/>
    </xf>
    <xf numFmtId="0" fontId="1" fillId="0" borderId="9" xfId="1" applyFont="1" applyBorder="1" applyAlignment="1">
      <alignment horizontal="right"/>
    </xf>
    <xf numFmtId="0" fontId="2" fillId="5" borderId="13" xfId="1" applyFont="1" applyFill="1" applyBorder="1" applyAlignment="1">
      <alignment vertical="center"/>
    </xf>
    <xf numFmtId="0" fontId="1" fillId="5" borderId="13" xfId="1" applyFont="1" applyFill="1" applyBorder="1" applyAlignment="1">
      <alignment vertical="center"/>
    </xf>
    <xf numFmtId="0" fontId="1" fillId="5" borderId="8" xfId="1" applyFont="1" applyFill="1" applyBorder="1"/>
    <xf numFmtId="2" fontId="1" fillId="0" borderId="9" xfId="1" applyNumberFormat="1" applyFont="1" applyBorder="1" applyAlignment="1">
      <alignment horizontal="right" vertical="center" indent="1"/>
    </xf>
    <xf numFmtId="164" fontId="1" fillId="0" borderId="9" xfId="1" applyNumberFormat="1" applyFont="1" applyBorder="1" applyAlignment="1">
      <alignment horizontal="center" vertical="center"/>
    </xf>
    <xf numFmtId="164" fontId="1" fillId="0" borderId="9" xfId="1" applyNumberFormat="1" applyFont="1" applyBorder="1" applyAlignment="1">
      <alignment vertical="center"/>
    </xf>
    <xf numFmtId="0" fontId="1" fillId="4" borderId="20" xfId="1" applyFont="1" applyFill="1" applyBorder="1"/>
    <xf numFmtId="0" fontId="1" fillId="4" borderId="21" xfId="1" applyFont="1" applyFill="1" applyBorder="1"/>
    <xf numFmtId="0" fontId="1" fillId="4" borderId="22" xfId="1" applyFont="1" applyFill="1" applyBorder="1"/>
    <xf numFmtId="0" fontId="1" fillId="4" borderId="23" xfId="1" applyFont="1" applyFill="1" applyBorder="1"/>
    <xf numFmtId="0" fontId="1" fillId="4" borderId="0" xfId="1" applyFont="1" applyFill="1"/>
    <xf numFmtId="0" fontId="1" fillId="4" borderId="24" xfId="1" applyFont="1" applyFill="1" applyBorder="1"/>
    <xf numFmtId="0" fontId="4" fillId="5" borderId="9" xfId="1" applyFont="1" applyFill="1" applyBorder="1" applyAlignment="1">
      <alignment horizontal="center" vertical="center" wrapText="1"/>
    </xf>
    <xf numFmtId="0" fontId="3" fillId="0" borderId="9" xfId="1" applyBorder="1" applyAlignment="1">
      <alignment horizontal="center"/>
    </xf>
    <xf numFmtId="2" fontId="3" fillId="0" borderId="9" xfId="1" applyNumberFormat="1" applyBorder="1" applyAlignment="1">
      <alignment horizontal="center" wrapText="1"/>
    </xf>
    <xf numFmtId="2" fontId="3" fillId="0" borderId="18" xfId="1" applyNumberFormat="1" applyBorder="1" applyAlignment="1">
      <alignment horizontal="center" wrapText="1"/>
    </xf>
    <xf numFmtId="2" fontId="3" fillId="0" borderId="0" xfId="1" applyNumberFormat="1" applyAlignment="1">
      <alignment horizontal="center" wrapText="1"/>
    </xf>
    <xf numFmtId="165" fontId="1" fillId="0" borderId="0" xfId="1" applyNumberFormat="1" applyFont="1" applyAlignment="1">
      <alignment horizontal="center"/>
    </xf>
    <xf numFmtId="0" fontId="2" fillId="5" borderId="9" xfId="1" applyFont="1" applyFill="1" applyBorder="1"/>
    <xf numFmtId="0" fontId="1" fillId="4" borderId="25" xfId="1" applyFont="1" applyFill="1" applyBorder="1"/>
    <xf numFmtId="0" fontId="1" fillId="4" borderId="26" xfId="1" applyFont="1" applyFill="1" applyBorder="1"/>
    <xf numFmtId="0" fontId="1" fillId="4" borderId="27" xfId="1" applyFont="1" applyFill="1" applyBorder="1"/>
    <xf numFmtId="0" fontId="1" fillId="9" borderId="9" xfId="1" applyFont="1" applyFill="1" applyBorder="1"/>
    <xf numFmtId="0" fontId="1" fillId="9" borderId="9" xfId="1" applyFont="1" applyFill="1" applyBorder="1" applyAlignment="1">
      <alignment horizontal="center"/>
    </xf>
    <xf numFmtId="2" fontId="1" fillId="9" borderId="0" xfId="1" applyNumberFormat="1" applyFont="1" applyFill="1" applyBorder="1" applyAlignment="1">
      <alignment horizontal="center" vertical="center"/>
    </xf>
    <xf numFmtId="2" fontId="1" fillId="9" borderId="0" xfId="1" applyNumberFormat="1" applyFont="1" applyFill="1" applyBorder="1" applyAlignment="1">
      <alignment horizontal="center"/>
    </xf>
    <xf numFmtId="0" fontId="1" fillId="8" borderId="9" xfId="1" applyFont="1" applyFill="1" applyBorder="1" applyAlignment="1">
      <alignment horizontal="center"/>
    </xf>
    <xf numFmtId="2" fontId="1" fillId="8" borderId="9" xfId="1" applyNumberFormat="1" applyFont="1" applyFill="1" applyBorder="1" applyAlignment="1">
      <alignment horizontal="center"/>
    </xf>
    <xf numFmtId="0" fontId="1" fillId="8" borderId="0" xfId="1" applyFont="1" applyFill="1" applyAlignment="1">
      <alignment horizontal="center" vertical="center"/>
    </xf>
    <xf numFmtId="0" fontId="1" fillId="8" borderId="0" xfId="1" applyFont="1" applyFill="1"/>
    <xf numFmtId="0" fontId="1" fillId="8" borderId="0" xfId="1" applyFont="1" applyFill="1" applyAlignment="1">
      <alignment horizontal="center"/>
    </xf>
    <xf numFmtId="0" fontId="1" fillId="8" borderId="0" xfId="1" applyFont="1" applyFill="1" applyBorder="1" applyAlignment="1">
      <alignment horizontal="left"/>
    </xf>
    <xf numFmtId="0" fontId="1" fillId="8" borderId="0" xfId="1" applyFont="1" applyFill="1" applyBorder="1" applyAlignment="1">
      <alignment horizontal="left" wrapText="1"/>
    </xf>
    <xf numFmtId="0" fontId="1" fillId="8" borderId="0" xfId="1" applyFont="1" applyFill="1" applyAlignment="1">
      <alignment horizontal="left" wrapText="1"/>
    </xf>
    <xf numFmtId="0" fontId="1" fillId="8" borderId="9" xfId="1" applyFont="1" applyFill="1" applyBorder="1" applyAlignment="1">
      <alignment horizontal="center" vertical="center"/>
    </xf>
    <xf numFmtId="0" fontId="2" fillId="8" borderId="0" xfId="1" applyFont="1" applyFill="1" applyAlignment="1">
      <alignment horizontal="center"/>
    </xf>
    <xf numFmtId="0" fontId="2" fillId="8" borderId="9" xfId="1" applyFont="1" applyFill="1" applyBorder="1" applyAlignment="1">
      <alignment horizontal="center"/>
    </xf>
    <xf numFmtId="0" fontId="1" fillId="8" borderId="0" xfId="1" applyFont="1" applyFill="1" applyBorder="1" applyAlignment="1">
      <alignment horizontal="center"/>
    </xf>
    <xf numFmtId="0" fontId="1" fillId="8" borderId="9" xfId="1" applyFont="1" applyFill="1" applyBorder="1"/>
    <xf numFmtId="0" fontId="2" fillId="8" borderId="9" xfId="1" applyFont="1" applyFill="1" applyBorder="1" applyAlignment="1">
      <alignment horizontal="center" vertical="center"/>
    </xf>
    <xf numFmtId="2" fontId="1" fillId="8" borderId="9" xfId="1" applyNumberFormat="1" applyFont="1" applyFill="1" applyBorder="1" applyAlignment="1">
      <alignment horizontal="right" vertical="center"/>
    </xf>
    <xf numFmtId="0" fontId="2" fillId="8" borderId="9" xfId="1" applyFont="1" applyFill="1" applyBorder="1" applyAlignment="1">
      <alignment horizontal="center" vertical="center" wrapText="1"/>
    </xf>
    <xf numFmtId="2" fontId="1" fillId="8" borderId="9" xfId="1" applyNumberFormat="1" applyFont="1" applyFill="1" applyBorder="1" applyAlignment="1">
      <alignment horizontal="right"/>
    </xf>
    <xf numFmtId="0" fontId="4" fillId="8" borderId="9" xfId="1" applyFont="1" applyFill="1" applyBorder="1" applyAlignment="1">
      <alignment horizontal="center" vertical="center" wrapText="1"/>
    </xf>
    <xf numFmtId="2" fontId="3" fillId="8" borderId="9" xfId="1" applyNumberFormat="1" applyFill="1" applyBorder="1" applyAlignment="1">
      <alignment horizontal="center" wrapText="1"/>
    </xf>
    <xf numFmtId="2" fontId="3" fillId="8" borderId="18" xfId="1" applyNumberFormat="1" applyFill="1" applyBorder="1" applyAlignment="1">
      <alignment horizontal="center" wrapText="1"/>
    </xf>
    <xf numFmtId="0" fontId="2" fillId="5" borderId="17" xfId="1" applyFont="1" applyFill="1" applyBorder="1" applyAlignment="1">
      <alignment horizontal="center"/>
    </xf>
    <xf numFmtId="0" fontId="2" fillId="8" borderId="0" xfId="1" applyFont="1" applyFill="1" applyBorder="1" applyAlignment="1"/>
    <xf numFmtId="0" fontId="2" fillId="0" borderId="0" xfId="1" applyFont="1" applyBorder="1" applyAlignment="1">
      <alignment horizontal="center"/>
    </xf>
    <xf numFmtId="0" fontId="2" fillId="8" borderId="16" xfId="1" applyFont="1" applyFill="1" applyBorder="1"/>
    <xf numFmtId="2" fontId="1" fillId="0" borderId="0" xfId="1" applyNumberFormat="1" applyFont="1" applyBorder="1" applyAlignment="1">
      <alignment horizontal="center"/>
    </xf>
    <xf numFmtId="0" fontId="2" fillId="8" borderId="0" xfId="1" applyFon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2" fillId="8" borderId="9" xfId="1" applyNumberFormat="1" applyFont="1" applyFill="1" applyBorder="1" applyAlignment="1">
      <alignment horizontal="center"/>
    </xf>
    <xf numFmtId="2" fontId="1" fillId="8" borderId="0" xfId="1" applyNumberFormat="1" applyFont="1" applyFill="1" applyBorder="1" applyAlignment="1">
      <alignment horizontal="center" vertical="center"/>
    </xf>
    <xf numFmtId="2" fontId="1" fillId="8" borderId="0" xfId="1" applyNumberFormat="1" applyFont="1" applyFill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1" fillId="11" borderId="9" xfId="1" applyNumberFormat="1" applyFont="1" applyFill="1" applyBorder="1" applyAlignment="1">
      <alignment horizontal="center"/>
    </xf>
    <xf numFmtId="2" fontId="2" fillId="7" borderId="7" xfId="1" applyNumberFormat="1" applyFont="1" applyFill="1" applyBorder="1" applyAlignment="1">
      <alignment horizontal="center"/>
    </xf>
    <xf numFmtId="0" fontId="2" fillId="8" borderId="13" xfId="1" applyFont="1" applyFill="1" applyBorder="1" applyAlignment="1">
      <alignment horizontal="right"/>
    </xf>
    <xf numFmtId="0" fontId="2" fillId="8" borderId="8" xfId="1" applyFont="1" applyFill="1" applyBorder="1" applyAlignment="1">
      <alignment horizontal="left"/>
    </xf>
    <xf numFmtId="0" fontId="1" fillId="10" borderId="9" xfId="1" applyFont="1" applyFill="1" applyBorder="1" applyAlignment="1">
      <alignment horizontal="center"/>
    </xf>
    <xf numFmtId="2" fontId="9" fillId="0" borderId="9" xfId="1" applyNumberFormat="1" applyFont="1" applyBorder="1"/>
    <xf numFmtId="0" fontId="2" fillId="8" borderId="9" xfId="1" applyFont="1" applyFill="1" applyBorder="1"/>
    <xf numFmtId="0" fontId="1" fillId="8" borderId="14" xfId="1" applyFont="1" applyFill="1" applyBorder="1"/>
    <xf numFmtId="0" fontId="1" fillId="8" borderId="14" xfId="1" applyFont="1" applyFill="1" applyBorder="1" applyAlignment="1">
      <alignment horizontal="center"/>
    </xf>
    <xf numFmtId="0" fontId="4" fillId="5" borderId="7" xfId="1" applyFont="1" applyFill="1" applyBorder="1" applyAlignment="1">
      <alignment horizontal="center" vertical="center" wrapText="1"/>
    </xf>
    <xf numFmtId="0" fontId="1" fillId="4" borderId="32" xfId="1" applyFont="1" applyFill="1" applyBorder="1"/>
    <xf numFmtId="0" fontId="3" fillId="8" borderId="0" xfId="1" applyFont="1" applyFill="1" applyAlignment="1">
      <alignment horizontal="center" vertical="center"/>
    </xf>
    <xf numFmtId="0" fontId="3" fillId="8" borderId="0" xfId="1" applyFont="1" applyFill="1" applyBorder="1" applyAlignment="1">
      <alignment horizontal="left"/>
    </xf>
    <xf numFmtId="0" fontId="3" fillId="8" borderId="0" xfId="1" applyFont="1" applyFill="1" applyBorder="1" applyAlignment="1">
      <alignment horizontal="right"/>
    </xf>
    <xf numFmtId="0" fontId="3" fillId="8" borderId="0" xfId="1" applyFont="1" applyFill="1"/>
    <xf numFmtId="0" fontId="3" fillId="8" borderId="0" xfId="1" applyFont="1" applyFill="1" applyBorder="1" applyAlignment="1">
      <alignment horizontal="left" wrapText="1"/>
    </xf>
    <xf numFmtId="2" fontId="3" fillId="8" borderId="0" xfId="1" applyNumberFormat="1" applyFont="1" applyFill="1" applyBorder="1" applyAlignment="1">
      <alignment horizontal="right"/>
    </xf>
    <xf numFmtId="2" fontId="3" fillId="8" borderId="0" xfId="1" applyNumberFormat="1" applyFont="1" applyFill="1" applyBorder="1" applyAlignment="1">
      <alignment horizontal="right" vertical="center"/>
    </xf>
    <xf numFmtId="0" fontId="3" fillId="8" borderId="0" xfId="1" applyFont="1" applyFill="1" applyAlignment="1">
      <alignment horizontal="left" wrapText="1"/>
    </xf>
    <xf numFmtId="0" fontId="3" fillId="8" borderId="9" xfId="1" applyFont="1" applyFill="1" applyBorder="1" applyAlignment="1">
      <alignment horizontal="center" vertical="center"/>
    </xf>
    <xf numFmtId="2" fontId="4" fillId="8" borderId="9" xfId="1" applyNumberFormat="1" applyFont="1" applyFill="1" applyBorder="1"/>
    <xf numFmtId="0" fontId="3" fillId="8" borderId="9" xfId="1" applyFont="1" applyFill="1" applyBorder="1" applyAlignment="1">
      <alignment horizontal="center"/>
    </xf>
    <xf numFmtId="0" fontId="4" fillId="8" borderId="9" xfId="1" applyFont="1" applyFill="1" applyBorder="1"/>
    <xf numFmtId="0" fontId="3" fillId="8" borderId="9" xfId="1" applyFont="1" applyFill="1" applyBorder="1" applyAlignment="1">
      <alignment horizontal="center" wrapText="1"/>
    </xf>
    <xf numFmtId="2" fontId="3" fillId="8" borderId="9" xfId="1" applyNumberFormat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3" fillId="8" borderId="0" xfId="1" applyFont="1" applyFill="1" applyAlignment="1">
      <alignment horizontal="center"/>
    </xf>
    <xf numFmtId="0" fontId="3" fillId="8" borderId="0" xfId="1" applyFont="1" applyFill="1" applyBorder="1"/>
    <xf numFmtId="0" fontId="4" fillId="10" borderId="0" xfId="1" applyFont="1" applyFill="1" applyBorder="1" applyAlignment="1">
      <alignment horizontal="center"/>
    </xf>
    <xf numFmtId="2" fontId="4" fillId="8" borderId="0" xfId="1" applyNumberFormat="1" applyFont="1" applyFill="1" applyBorder="1" applyAlignment="1">
      <alignment horizontal="right"/>
    </xf>
    <xf numFmtId="0" fontId="4" fillId="8" borderId="0" xfId="1" applyFont="1" applyFill="1" applyBorder="1" applyAlignment="1">
      <alignment horizontal="left" vertical="center"/>
    </xf>
    <xf numFmtId="0" fontId="4" fillId="8" borderId="0" xfId="1" applyFont="1" applyFill="1" applyBorder="1" applyAlignment="1">
      <alignment horizontal="center"/>
    </xf>
    <xf numFmtId="2" fontId="4" fillId="8" borderId="0" xfId="1" applyNumberFormat="1" applyFont="1" applyFill="1" applyBorder="1" applyAlignment="1">
      <alignment horizontal="center"/>
    </xf>
    <xf numFmtId="0" fontId="4" fillId="8" borderId="0" xfId="1" applyFont="1" applyFill="1" applyAlignment="1">
      <alignment horizontal="center"/>
    </xf>
    <xf numFmtId="0" fontId="4" fillId="8" borderId="31" xfId="1" applyFont="1" applyFill="1" applyBorder="1" applyAlignment="1">
      <alignment horizontal="center" vertical="center" wrapText="1"/>
    </xf>
    <xf numFmtId="0" fontId="4" fillId="8" borderId="0" xfId="1" applyFont="1" applyFill="1" applyBorder="1" applyAlignment="1">
      <alignment horizontal="center" vertical="center" wrapText="1"/>
    </xf>
    <xf numFmtId="0" fontId="4" fillId="8" borderId="9" xfId="1" applyFont="1" applyFill="1" applyBorder="1" applyAlignment="1">
      <alignment horizontal="center" vertical="center"/>
    </xf>
    <xf numFmtId="0" fontId="4" fillId="8" borderId="31" xfId="1" applyFont="1" applyFill="1" applyBorder="1" applyAlignment="1">
      <alignment horizontal="center"/>
    </xf>
    <xf numFmtId="0" fontId="3" fillId="8" borderId="9" xfId="1" applyFont="1" applyFill="1" applyBorder="1"/>
    <xf numFmtId="2" fontId="3" fillId="0" borderId="9" xfId="1" applyNumberFormat="1" applyFont="1" applyBorder="1" applyAlignment="1">
      <alignment horizontal="center" vertical="center"/>
    </xf>
    <xf numFmtId="49" fontId="4" fillId="8" borderId="9" xfId="1" applyNumberFormat="1" applyFont="1" applyFill="1" applyBorder="1" applyAlignment="1">
      <alignment horizontal="center"/>
    </xf>
    <xf numFmtId="0" fontId="3" fillId="0" borderId="0" xfId="1" applyFont="1"/>
    <xf numFmtId="0" fontId="4" fillId="0" borderId="9" xfId="1" applyFont="1" applyBorder="1" applyAlignment="1">
      <alignment horizontal="center" vertical="center"/>
    </xf>
    <xf numFmtId="2" fontId="3" fillId="0" borderId="9" xfId="1" applyNumberFormat="1" applyFont="1" applyBorder="1" applyAlignment="1">
      <alignment horizontal="center"/>
    </xf>
    <xf numFmtId="2" fontId="3" fillId="0" borderId="9" xfId="1" applyNumberFormat="1" applyFont="1" applyBorder="1" applyAlignment="1">
      <alignment horizontal="right"/>
    </xf>
    <xf numFmtId="0" fontId="3" fillId="0" borderId="9" xfId="1" applyFont="1" applyBorder="1" applyAlignment="1">
      <alignment horizontal="left" vertical="center"/>
    </xf>
    <xf numFmtId="0" fontId="3" fillId="0" borderId="9" xfId="1" applyFont="1" applyBorder="1" applyAlignment="1">
      <alignment horizontal="center"/>
    </xf>
    <xf numFmtId="2" fontId="11" fillId="0" borderId="9" xfId="1" applyNumberFormat="1" applyFont="1" applyBorder="1"/>
    <xf numFmtId="2" fontId="12" fillId="0" borderId="9" xfId="1" applyNumberFormat="1" applyFont="1" applyBorder="1"/>
    <xf numFmtId="0" fontId="4" fillId="8" borderId="9" xfId="1" applyFont="1" applyFill="1" applyBorder="1" applyAlignment="1">
      <alignment horizontal="center"/>
    </xf>
    <xf numFmtId="2" fontId="3" fillId="8" borderId="9" xfId="0" applyNumberFormat="1" applyFont="1" applyFill="1" applyBorder="1" applyAlignment="1">
      <alignment horizontal="center"/>
    </xf>
    <xf numFmtId="0" fontId="3" fillId="11" borderId="9" xfId="1" applyFont="1" applyFill="1" applyBorder="1" applyAlignment="1"/>
    <xf numFmtId="0" fontId="3" fillId="0" borderId="9" xfId="1" applyFont="1" applyBorder="1" applyAlignment="1">
      <alignment vertical="center"/>
    </xf>
    <xf numFmtId="0" fontId="3" fillId="8" borderId="9" xfId="1" applyFont="1" applyFill="1" applyBorder="1" applyAlignment="1">
      <alignment vertical="center"/>
    </xf>
    <xf numFmtId="0" fontId="2" fillId="4" borderId="9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wrapText="1"/>
    </xf>
    <xf numFmtId="0" fontId="2" fillId="3" borderId="11" xfId="1" applyFont="1" applyFill="1" applyBorder="1" applyAlignment="1">
      <alignment horizontal="center" wrapText="1"/>
    </xf>
    <xf numFmtId="0" fontId="2" fillId="3" borderId="12" xfId="1" applyFont="1" applyFill="1" applyBorder="1" applyAlignment="1">
      <alignment horizontal="center" wrapText="1"/>
    </xf>
    <xf numFmtId="0" fontId="2" fillId="4" borderId="9" xfId="1" applyFont="1" applyFill="1" applyBorder="1" applyAlignment="1">
      <alignment horizontal="left" wrapText="1"/>
    </xf>
    <xf numFmtId="0" fontId="2" fillId="4" borderId="9" xfId="1" applyFont="1" applyFill="1" applyBorder="1" applyAlignment="1">
      <alignment horizontal="left"/>
    </xf>
    <xf numFmtId="0" fontId="2" fillId="8" borderId="9" xfId="1" applyFont="1" applyFill="1" applyBorder="1" applyAlignment="1">
      <alignment horizontal="center" vertical="center" wrapText="1"/>
    </xf>
    <xf numFmtId="0" fontId="2" fillId="8" borderId="9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2" fontId="2" fillId="5" borderId="9" xfId="1" applyNumberFormat="1" applyFont="1" applyFill="1" applyBorder="1" applyAlignment="1">
      <alignment horizontal="center"/>
    </xf>
    <xf numFmtId="0" fontId="2" fillId="3" borderId="10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4" borderId="9" xfId="1" applyFont="1" applyFill="1" applyBorder="1" applyAlignment="1">
      <alignment horizontal="center" vertical="center" wrapText="1"/>
    </xf>
    <xf numFmtId="0" fontId="1" fillId="8" borderId="9" xfId="1" applyFont="1" applyFill="1" applyBorder="1" applyAlignment="1">
      <alignment horizontal="left" vertical="center"/>
    </xf>
    <xf numFmtId="0" fontId="1" fillId="8" borderId="9" xfId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/>
    </xf>
    <xf numFmtId="0" fontId="2" fillId="5" borderId="13" xfId="1" applyFont="1" applyFill="1" applyBorder="1" applyAlignment="1">
      <alignment horizontal="center"/>
    </xf>
    <xf numFmtId="0" fontId="2" fillId="5" borderId="8" xfId="1" applyFont="1" applyFill="1" applyBorder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2" fillId="8" borderId="7" xfId="1" applyFont="1" applyFill="1" applyBorder="1" applyAlignment="1">
      <alignment horizontal="center" vertical="center"/>
    </xf>
    <xf numFmtId="0" fontId="2" fillId="8" borderId="8" xfId="1" applyFont="1" applyFill="1" applyBorder="1" applyAlignment="1">
      <alignment horizontal="center" vertical="center"/>
    </xf>
    <xf numFmtId="0" fontId="1" fillId="8" borderId="15" xfId="1" applyFont="1" applyFill="1" applyBorder="1" applyAlignment="1">
      <alignment horizontal="center"/>
    </xf>
    <xf numFmtId="0" fontId="1" fillId="8" borderId="16" xfId="1" applyFont="1" applyFill="1" applyBorder="1" applyAlignment="1">
      <alignment horizontal="center"/>
    </xf>
    <xf numFmtId="0" fontId="1" fillId="8" borderId="17" xfId="1" applyFont="1" applyFill="1" applyBorder="1" applyAlignment="1">
      <alignment horizontal="left" vertical="center"/>
    </xf>
    <xf numFmtId="0" fontId="1" fillId="8" borderId="14" xfId="1" applyFont="1" applyFill="1" applyBorder="1" applyAlignment="1">
      <alignment horizontal="left" vertical="center"/>
    </xf>
    <xf numFmtId="0" fontId="1" fillId="8" borderId="7" xfId="1" applyFont="1" applyFill="1" applyBorder="1" applyAlignment="1">
      <alignment horizontal="center"/>
    </xf>
    <xf numFmtId="0" fontId="1" fillId="8" borderId="8" xfId="1" applyFont="1" applyFill="1" applyBorder="1" applyAlignment="1">
      <alignment horizontal="center"/>
    </xf>
    <xf numFmtId="0" fontId="1" fillId="8" borderId="17" xfId="1" applyFont="1" applyFill="1" applyBorder="1" applyAlignment="1">
      <alignment horizontal="center" vertical="center"/>
    </xf>
    <xf numFmtId="0" fontId="1" fillId="8" borderId="14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/>
    </xf>
    <xf numFmtId="0" fontId="2" fillId="4" borderId="13" xfId="1" applyFont="1" applyFill="1" applyBorder="1" applyAlignment="1">
      <alignment horizontal="center"/>
    </xf>
    <xf numFmtId="0" fontId="2" fillId="4" borderId="8" xfId="1" applyFont="1" applyFill="1" applyBorder="1" applyAlignment="1">
      <alignment horizontal="center"/>
    </xf>
    <xf numFmtId="0" fontId="2" fillId="8" borderId="9" xfId="1" applyFont="1" applyFill="1" applyBorder="1" applyAlignment="1">
      <alignment horizontal="center"/>
    </xf>
    <xf numFmtId="0" fontId="1" fillId="0" borderId="17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9" xfId="1" applyFont="1" applyBorder="1" applyAlignment="1">
      <alignment horizontal="center"/>
    </xf>
    <xf numFmtId="0" fontId="2" fillId="4" borderId="9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/>
    </xf>
    <xf numFmtId="0" fontId="1" fillId="0" borderId="17" xfId="1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1" fillId="5" borderId="17" xfId="1" applyFont="1" applyFill="1" applyBorder="1" applyAlignment="1">
      <alignment horizontal="center"/>
    </xf>
    <xf numFmtId="0" fontId="1" fillId="5" borderId="18" xfId="1" applyFont="1" applyFill="1" applyBorder="1" applyAlignment="1">
      <alignment horizontal="center"/>
    </xf>
    <xf numFmtId="0" fontId="1" fillId="5" borderId="14" xfId="1" applyFont="1" applyFill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1" fillId="0" borderId="9" xfId="1" applyFont="1" applyBorder="1" applyAlignment="1">
      <alignment horizontal="left" vertical="center"/>
    </xf>
    <xf numFmtId="0" fontId="2" fillId="3" borderId="7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164" fontId="1" fillId="0" borderId="9" xfId="1" applyNumberFormat="1" applyFont="1" applyBorder="1" applyAlignment="1">
      <alignment horizontal="center" vertical="center"/>
    </xf>
    <xf numFmtId="0" fontId="2" fillId="5" borderId="19" xfId="1" applyFont="1" applyFill="1" applyBorder="1" applyAlignment="1">
      <alignment horizontal="center" vertical="center"/>
    </xf>
    <xf numFmtId="0" fontId="2" fillId="5" borderId="18" xfId="1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/>
    </xf>
    <xf numFmtId="0" fontId="2" fillId="5" borderId="17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5" borderId="17" xfId="1" applyFont="1" applyFill="1" applyBorder="1" applyAlignment="1">
      <alignment horizontal="center" vertical="center" wrapText="1"/>
    </xf>
    <xf numFmtId="0" fontId="4" fillId="5" borderId="14" xfId="1" applyFont="1" applyFill="1" applyBorder="1" applyAlignment="1">
      <alignment horizontal="center" vertical="center" wrapText="1"/>
    </xf>
    <xf numFmtId="0" fontId="4" fillId="5" borderId="17" xfId="1" applyFont="1" applyFill="1" applyBorder="1" applyAlignment="1">
      <alignment horizontal="center" vertical="center"/>
    </xf>
    <xf numFmtId="0" fontId="4" fillId="5" borderId="14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  <xf numFmtId="0" fontId="3" fillId="0" borderId="17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3" fillId="8" borderId="17" xfId="1" applyFont="1" applyFill="1" applyBorder="1" applyAlignment="1">
      <alignment horizontal="center" vertical="center"/>
    </xf>
    <xf numFmtId="0" fontId="3" fillId="8" borderId="14" xfId="1" applyFont="1" applyFill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4" fillId="10" borderId="9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/>
    </xf>
    <xf numFmtId="0" fontId="4" fillId="0" borderId="9" xfId="1" applyFont="1" applyBorder="1" applyAlignment="1">
      <alignment horizontal="center" vertical="center"/>
    </xf>
    <xf numFmtId="0" fontId="4" fillId="7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7" borderId="9" xfId="1" applyFont="1" applyFill="1" applyBorder="1" applyAlignment="1">
      <alignment horizontal="center"/>
    </xf>
    <xf numFmtId="0" fontId="4" fillId="8" borderId="7" xfId="1" applyFont="1" applyFill="1" applyBorder="1" applyAlignment="1">
      <alignment horizontal="left"/>
    </xf>
    <xf numFmtId="0" fontId="4" fillId="8" borderId="13" xfId="1" applyFont="1" applyFill="1" applyBorder="1" applyAlignment="1">
      <alignment horizontal="left"/>
    </xf>
    <xf numFmtId="0" fontId="4" fillId="8" borderId="8" xfId="1" applyFont="1" applyFill="1" applyBorder="1" applyAlignment="1">
      <alignment horizontal="left"/>
    </xf>
    <xf numFmtId="0" fontId="4" fillId="10" borderId="7" xfId="1" applyFont="1" applyFill="1" applyBorder="1" applyAlignment="1">
      <alignment horizontal="center" vertical="center" wrapText="1"/>
    </xf>
    <xf numFmtId="0" fontId="4" fillId="10" borderId="13" xfId="1" applyFont="1" applyFill="1" applyBorder="1" applyAlignment="1">
      <alignment horizontal="center" vertical="center" wrapText="1"/>
    </xf>
    <xf numFmtId="0" fontId="4" fillId="10" borderId="8" xfId="1" applyFont="1" applyFill="1" applyBorder="1" applyAlignment="1">
      <alignment horizontal="center" vertical="center" wrapText="1"/>
    </xf>
    <xf numFmtId="0" fontId="4" fillId="10" borderId="7" xfId="1" applyFont="1" applyFill="1" applyBorder="1" applyAlignment="1">
      <alignment horizontal="center"/>
    </xf>
    <xf numFmtId="0" fontId="4" fillId="10" borderId="13" xfId="1" applyFont="1" applyFill="1" applyBorder="1" applyAlignment="1">
      <alignment horizontal="center"/>
    </xf>
    <xf numFmtId="0" fontId="4" fillId="10" borderId="8" xfId="1" applyFont="1" applyFill="1" applyBorder="1" applyAlignment="1">
      <alignment horizontal="center"/>
    </xf>
    <xf numFmtId="0" fontId="4" fillId="8" borderId="19" xfId="1" applyFont="1" applyFill="1" applyBorder="1" applyAlignment="1">
      <alignment horizontal="center" vertical="center"/>
    </xf>
    <xf numFmtId="0" fontId="4" fillId="8" borderId="29" xfId="1" applyFont="1" applyFill="1" applyBorder="1" applyAlignment="1">
      <alignment horizontal="center" vertical="center"/>
    </xf>
    <xf numFmtId="0" fontId="4" fillId="8" borderId="30" xfId="1" applyFont="1" applyFill="1" applyBorder="1" applyAlignment="1">
      <alignment horizontal="center" vertical="center"/>
    </xf>
    <xf numFmtId="0" fontId="4" fillId="7" borderId="7" xfId="1" applyFont="1" applyFill="1" applyBorder="1" applyAlignment="1">
      <alignment horizontal="center"/>
    </xf>
    <xf numFmtId="0" fontId="4" fillId="7" borderId="13" xfId="1" applyFont="1" applyFill="1" applyBorder="1" applyAlignment="1">
      <alignment horizontal="center"/>
    </xf>
    <xf numFmtId="0" fontId="4" fillId="7" borderId="8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 vertical="center" wrapText="1"/>
    </xf>
    <xf numFmtId="0" fontId="10" fillId="8" borderId="0" xfId="1" applyFont="1" applyFill="1" applyBorder="1" applyAlignment="1">
      <alignment horizontal="left" vertical="center"/>
    </xf>
    <xf numFmtId="0" fontId="4" fillId="7" borderId="9" xfId="1" applyFont="1" applyFill="1" applyBorder="1" applyAlignment="1">
      <alignment horizontal="center" wrapText="1"/>
    </xf>
    <xf numFmtId="0" fontId="4" fillId="8" borderId="9" xfId="1" applyFont="1" applyFill="1" applyBorder="1" applyAlignment="1">
      <alignment horizontal="left" wrapText="1"/>
    </xf>
    <xf numFmtId="0" fontId="4" fillId="8" borderId="9" xfId="1" applyFont="1" applyFill="1" applyBorder="1" applyAlignment="1">
      <alignment horizontal="left"/>
    </xf>
    <xf numFmtId="0" fontId="4" fillId="8" borderId="15" xfId="1" applyFont="1" applyFill="1" applyBorder="1" applyAlignment="1">
      <alignment horizontal="center" vertical="center"/>
    </xf>
    <xf numFmtId="0" fontId="4" fillId="8" borderId="28" xfId="1" applyFont="1" applyFill="1" applyBorder="1" applyAlignment="1">
      <alignment horizontal="center" vertical="center"/>
    </xf>
    <xf numFmtId="0" fontId="4" fillId="8" borderId="16" xfId="1" applyFont="1" applyFill="1" applyBorder="1" applyAlignment="1">
      <alignment horizontal="center" vertical="center"/>
    </xf>
    <xf numFmtId="0" fontId="2" fillId="7" borderId="7" xfId="1" applyFont="1" applyFill="1" applyBorder="1" applyAlignment="1">
      <alignment horizontal="center" vertical="center"/>
    </xf>
    <xf numFmtId="0" fontId="2" fillId="7" borderId="13" xfId="1" applyFont="1" applyFill="1" applyBorder="1" applyAlignment="1">
      <alignment horizontal="center" vertical="center"/>
    </xf>
    <xf numFmtId="0" fontId="2" fillId="7" borderId="8" xfId="1" applyFont="1" applyFill="1" applyBorder="1" applyAlignment="1">
      <alignment horizontal="center" vertical="center"/>
    </xf>
    <xf numFmtId="0" fontId="7" fillId="8" borderId="0" xfId="1" applyFont="1" applyFill="1" applyBorder="1" applyAlignment="1">
      <alignment horizontal="left" vertical="center"/>
    </xf>
    <xf numFmtId="0" fontId="2" fillId="7" borderId="7" xfId="1" applyFont="1" applyFill="1" applyBorder="1" applyAlignment="1">
      <alignment horizontal="center" wrapText="1"/>
    </xf>
    <xf numFmtId="0" fontId="2" fillId="7" borderId="13" xfId="1" applyFont="1" applyFill="1" applyBorder="1" applyAlignment="1">
      <alignment horizontal="center" wrapText="1"/>
    </xf>
    <xf numFmtId="0" fontId="2" fillId="7" borderId="8" xfId="1" applyFont="1" applyFill="1" applyBorder="1" applyAlignment="1">
      <alignment horizontal="center" wrapText="1"/>
    </xf>
    <xf numFmtId="0" fontId="2" fillId="8" borderId="9" xfId="1" applyFont="1" applyFill="1" applyBorder="1" applyAlignment="1">
      <alignment horizontal="left" wrapText="1"/>
    </xf>
    <xf numFmtId="0" fontId="6" fillId="9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2" fillId="8" borderId="9" xfId="1" applyFont="1" applyFill="1" applyBorder="1" applyAlignment="1">
      <alignment horizontal="left"/>
    </xf>
    <xf numFmtId="0" fontId="2" fillId="10" borderId="9" xfId="1" applyFont="1" applyFill="1" applyBorder="1" applyAlignment="1">
      <alignment horizontal="center"/>
    </xf>
    <xf numFmtId="0" fontId="2" fillId="7" borderId="9" xfId="1" applyFont="1" applyFill="1" applyBorder="1" applyAlignment="1">
      <alignment horizontal="center"/>
    </xf>
    <xf numFmtId="2" fontId="2" fillId="8" borderId="9" xfId="1" applyNumberFormat="1" applyFont="1" applyFill="1" applyBorder="1" applyAlignment="1">
      <alignment horizontal="center"/>
    </xf>
    <xf numFmtId="0" fontId="2" fillId="7" borderId="31" xfId="1" applyFont="1" applyFill="1" applyBorder="1" applyAlignment="1">
      <alignment horizontal="center"/>
    </xf>
    <xf numFmtId="0" fontId="2" fillId="7" borderId="0" xfId="1" applyFont="1" applyFill="1" applyBorder="1" applyAlignment="1">
      <alignment horizontal="center"/>
    </xf>
    <xf numFmtId="0" fontId="2" fillId="10" borderId="9" xfId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8" borderId="17" xfId="1" applyFont="1" applyFill="1" applyBorder="1" applyAlignment="1">
      <alignment horizontal="center" vertical="center" wrapText="1"/>
    </xf>
    <xf numFmtId="0" fontId="4" fillId="8" borderId="1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75EE34F-5108-46D8-A15A-5080547B2E3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14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1D28B7-F9A0-4B16-84F8-9F3ADBA684FF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1D28B7-F9A0-4B16-84F8-9F3ADBA684FF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32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C076D6-FD0C-41CB-9261-B5BCEDED00CE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C076D6-FD0C-41CB-9261-B5BCEDED00CE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 𝑥 𝐺 𝑥 𝐶𝑝 −𝑞𝑖 𝑥 (𝐺𝐶𝑝𝑖)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11</xdr:col>
      <xdr:colOff>89646</xdr:colOff>
      <xdr:row>113</xdr:row>
      <xdr:rowOff>80681</xdr:rowOff>
    </xdr:from>
    <xdr:to>
      <xdr:col>15</xdr:col>
      <xdr:colOff>690283</xdr:colOff>
      <xdr:row>129</xdr:row>
      <xdr:rowOff>71719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8B2085-EEE5-4332-9BDD-1B13C424D8E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8096" y="19064006"/>
          <a:ext cx="3686737" cy="27437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14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A11D91-4179-4F07-897B-BE0970867A5F}"/>
                </a:ext>
              </a:extLst>
            </xdr:cNvPr>
            <xdr:cNvSpPr txBox="1"/>
          </xdr:nvSpPr>
          <xdr:spPr>
            <a:xfrm>
              <a:off x="1560195" y="2630805"/>
              <a:ext cx="3192780" cy="26670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A11D91-4179-4F07-897B-BE0970867A5F}"/>
                </a:ext>
              </a:extLst>
            </xdr:cNvPr>
            <xdr:cNvSpPr txBox="1"/>
          </xdr:nvSpPr>
          <xdr:spPr>
            <a:xfrm>
              <a:off x="1560195" y="2630805"/>
              <a:ext cx="3192780" cy="26670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29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60A93E-F930-4BB3-9281-597ECBFF2D30}"/>
                </a:ext>
              </a:extLst>
            </xdr:cNvPr>
            <xdr:cNvSpPr txBox="1"/>
          </xdr:nvSpPr>
          <xdr:spPr>
            <a:xfrm>
              <a:off x="1697355" y="5473065"/>
              <a:ext cx="3040380" cy="22678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60A93E-F930-4BB3-9281-597ECBFF2D30}"/>
                </a:ext>
              </a:extLst>
            </xdr:cNvPr>
            <xdr:cNvSpPr txBox="1"/>
          </xdr:nvSpPr>
          <xdr:spPr>
            <a:xfrm>
              <a:off x="1697355" y="5473065"/>
              <a:ext cx="3040380" cy="22678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 𝑥 𝐺 𝑥 𝐶𝑝 −𝑞𝑖 𝑥 (𝐺𝐶𝑝𝑖)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8</xdr:col>
      <xdr:colOff>89646</xdr:colOff>
      <xdr:row>97</xdr:row>
      <xdr:rowOff>80681</xdr:rowOff>
    </xdr:from>
    <xdr:to>
      <xdr:col>12</xdr:col>
      <xdr:colOff>690284</xdr:colOff>
      <xdr:row>113</xdr:row>
      <xdr:rowOff>71719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DBA36A-DE91-4FB2-84A6-955FFC2DF0E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8096" y="18702056"/>
          <a:ext cx="3686737" cy="27437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16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409DCA2-EC4A-40C1-BCCA-496C0818D635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409DCA2-EC4A-40C1-BCCA-496C0818D635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29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D27776-4E5B-40A3-A15F-58511051CA30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𝑞h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𝐺𝐶𝑝𝑓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𝑞h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D27776-4E5B-40A3-A15F-58511051CA30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𝑝=𝑞ℎ 𝑥 𝐺𝐶𝑝𝑓 −𝑞ℎ 𝑥 (𝐺𝐶𝑝𝑖)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11</xdr:col>
      <xdr:colOff>89646</xdr:colOff>
      <xdr:row>101</xdr:row>
      <xdr:rowOff>80681</xdr:rowOff>
    </xdr:from>
    <xdr:to>
      <xdr:col>15</xdr:col>
      <xdr:colOff>690283</xdr:colOff>
      <xdr:row>117</xdr:row>
      <xdr:rowOff>71718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E9BD5C-B550-4561-A121-1CEC4AE40B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8096" y="19064006"/>
          <a:ext cx="3686737" cy="27437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289042</xdr:colOff>
      <xdr:row>17</xdr:row>
      <xdr:rowOff>26276</xdr:rowOff>
    </xdr:from>
    <xdr:to>
      <xdr:col>16</xdr:col>
      <xdr:colOff>147154</xdr:colOff>
      <xdr:row>46</xdr:row>
      <xdr:rowOff>159014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D1EBAA0-68F6-4119-B999-3B9F2A69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714" y="3093983"/>
          <a:ext cx="5238095" cy="4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cho/Facultad/5to/1er%20Cuatri/Construcciones%20Metalicas/CM%20-%20Nave%20Industrial/CM%20-%20Nave%20Industrial%20-%20Calc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Viento"/>
      <sheetName val="Dimensionado de revestimiento"/>
      <sheetName val="Solicitaciones"/>
      <sheetName val="Combinaciones de Cargas"/>
      <sheetName val="GII - Compresion"/>
      <sheetName val="GII - Tracción"/>
      <sheetName val="PERFILES"/>
    </sheetNames>
    <sheetDataSet>
      <sheetData sheetId="0"/>
      <sheetData sheetId="1">
        <row r="15">
          <cell r="C15">
            <v>0.29129545215785363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9766-11D0-4387-9ACA-B64D1110C8DB}">
  <dimension ref="A1:P133"/>
  <sheetViews>
    <sheetView topLeftCell="A28" zoomScale="145" zoomScaleNormal="145" workbookViewId="0">
      <selection activeCell="G33" sqref="G33"/>
    </sheetView>
  </sheetViews>
  <sheetFormatPr baseColWidth="10" defaultColWidth="11.5703125" defaultRowHeight="12.75" x14ac:dyDescent="0.2"/>
  <cols>
    <col min="1" max="1" width="23.28515625" style="1" customWidth="1"/>
    <col min="2" max="2" width="19.5703125" style="3" customWidth="1"/>
    <col min="3" max="3" width="12.7109375" style="1" customWidth="1"/>
    <col min="4" max="4" width="16" style="1" customWidth="1"/>
    <col min="5" max="5" width="15.7109375" style="1" customWidth="1"/>
    <col min="6" max="6" width="11.7109375" style="1" customWidth="1"/>
    <col min="7" max="16384" width="11.5703125" style="1"/>
  </cols>
  <sheetData>
    <row r="1" spans="1:14" ht="14.45" customHeight="1" x14ac:dyDescent="0.2">
      <c r="A1" s="152" t="s">
        <v>0</v>
      </c>
      <c r="B1" s="153"/>
      <c r="C1" s="153"/>
      <c r="D1" s="153"/>
      <c r="E1" s="153"/>
      <c r="F1" s="154"/>
    </row>
    <row r="2" spans="1:14" ht="14.45" customHeight="1" thickBot="1" x14ac:dyDescent="0.25">
      <c r="A2" s="155"/>
      <c r="B2" s="156"/>
      <c r="C2" s="156"/>
      <c r="D2" s="156"/>
      <c r="E2" s="156"/>
      <c r="F2" s="157"/>
    </row>
    <row r="3" spans="1:14" ht="14.45" customHeight="1" x14ac:dyDescent="0.2">
      <c r="A3" s="64"/>
      <c r="B3" s="64"/>
      <c r="C3" s="64"/>
      <c r="D3" s="64"/>
      <c r="E3" s="64"/>
      <c r="F3" s="64"/>
      <c r="G3" s="2"/>
      <c r="H3" s="2"/>
      <c r="I3" s="2"/>
      <c r="J3" s="2"/>
      <c r="K3" s="2"/>
      <c r="L3" s="2"/>
      <c r="M3" s="2"/>
      <c r="N3" s="2"/>
    </row>
    <row r="4" spans="1:14" ht="14.45" customHeight="1" x14ac:dyDescent="0.2">
      <c r="A4" s="158" t="s">
        <v>1</v>
      </c>
      <c r="B4" s="158"/>
      <c r="C4" s="64"/>
      <c r="D4" s="64"/>
      <c r="E4" s="64"/>
      <c r="F4" s="64"/>
      <c r="G4" s="2"/>
      <c r="H4" s="2"/>
      <c r="I4" s="2"/>
      <c r="J4" s="2"/>
      <c r="K4" s="2"/>
      <c r="L4" s="2"/>
      <c r="M4" s="2"/>
      <c r="N4" s="2"/>
    </row>
    <row r="5" spans="1:14" x14ac:dyDescent="0.2">
      <c r="A5" s="4" t="s">
        <v>2</v>
      </c>
      <c r="B5" s="5" t="s">
        <v>111</v>
      </c>
      <c r="C5" s="65"/>
      <c r="D5" s="65"/>
      <c r="E5" s="65"/>
      <c r="F5" s="65"/>
    </row>
    <row r="6" spans="1:14" x14ac:dyDescent="0.2">
      <c r="A6" s="4" t="s">
        <v>4</v>
      </c>
      <c r="B6" s="5" t="s">
        <v>5</v>
      </c>
      <c r="C6" s="65"/>
      <c r="D6" s="65"/>
      <c r="E6" s="65"/>
      <c r="F6" s="65"/>
    </row>
    <row r="7" spans="1:14" x14ac:dyDescent="0.2">
      <c r="A7" s="6" t="s">
        <v>6</v>
      </c>
      <c r="B7" s="5">
        <v>1</v>
      </c>
      <c r="C7" s="65"/>
      <c r="D7" s="65"/>
      <c r="E7" s="65"/>
      <c r="F7" s="65"/>
    </row>
    <row r="8" spans="1:14" ht="25.5" x14ac:dyDescent="0.2">
      <c r="A8" s="6" t="s">
        <v>7</v>
      </c>
      <c r="B8" s="7">
        <v>45</v>
      </c>
      <c r="C8" s="65"/>
      <c r="D8" s="65"/>
      <c r="E8" s="65"/>
      <c r="F8" s="65"/>
    </row>
    <row r="9" spans="1:14" x14ac:dyDescent="0.2">
      <c r="A9" s="6" t="s">
        <v>8</v>
      </c>
      <c r="B9" s="7">
        <v>13.5</v>
      </c>
      <c r="C9" s="65"/>
      <c r="D9" s="65"/>
      <c r="E9" s="65"/>
      <c r="F9" s="65"/>
    </row>
    <row r="10" spans="1:14" x14ac:dyDescent="0.2">
      <c r="A10" s="6" t="s">
        <v>9</v>
      </c>
      <c r="B10" s="7">
        <v>11.4</v>
      </c>
      <c r="C10" s="65"/>
      <c r="D10" s="65"/>
      <c r="E10" s="65"/>
      <c r="F10" s="65"/>
    </row>
    <row r="11" spans="1:14" x14ac:dyDescent="0.2">
      <c r="A11" s="6" t="s">
        <v>10</v>
      </c>
      <c r="B11" s="5">
        <v>6.15</v>
      </c>
      <c r="C11" s="65"/>
      <c r="D11" s="65"/>
      <c r="E11" s="65"/>
      <c r="F11" s="65"/>
    </row>
    <row r="12" spans="1:14" x14ac:dyDescent="0.2">
      <c r="A12" s="6" t="s">
        <v>11</v>
      </c>
      <c r="B12" s="5">
        <v>5</v>
      </c>
      <c r="C12" s="65"/>
      <c r="D12" s="65"/>
      <c r="E12" s="65"/>
      <c r="F12" s="65"/>
    </row>
    <row r="13" spans="1:14" ht="13.5" thickBot="1" x14ac:dyDescent="0.25">
      <c r="A13" s="69"/>
      <c r="B13" s="64"/>
      <c r="C13" s="65"/>
      <c r="D13" s="65"/>
      <c r="E13" s="65"/>
      <c r="F13" s="65"/>
    </row>
    <row r="14" spans="1:14" ht="13.5" thickBot="1" x14ac:dyDescent="0.25">
      <c r="A14" s="159" t="s">
        <v>12</v>
      </c>
      <c r="B14" s="160"/>
      <c r="C14" s="160"/>
      <c r="D14" s="160"/>
      <c r="E14" s="160"/>
      <c r="F14" s="161"/>
    </row>
    <row r="15" spans="1:14" x14ac:dyDescent="0.2">
      <c r="A15" s="69"/>
      <c r="B15" s="64"/>
      <c r="C15" s="65"/>
      <c r="D15" s="65"/>
      <c r="E15" s="65"/>
      <c r="F15" s="65"/>
    </row>
    <row r="16" spans="1:14" x14ac:dyDescent="0.2">
      <c r="A16" s="69"/>
      <c r="B16" s="64"/>
      <c r="C16" s="65"/>
      <c r="D16" s="65"/>
      <c r="E16" s="65"/>
      <c r="F16" s="65"/>
    </row>
    <row r="17" spans="1:8" x14ac:dyDescent="0.2">
      <c r="A17" s="69"/>
      <c r="B17" s="64"/>
      <c r="C17" s="65"/>
      <c r="D17" s="65"/>
      <c r="E17" s="65"/>
      <c r="F17" s="65"/>
    </row>
    <row r="18" spans="1:8" x14ac:dyDescent="0.2">
      <c r="A18" s="162" t="s">
        <v>13</v>
      </c>
      <c r="B18" s="162"/>
      <c r="C18" s="70" t="s">
        <v>14</v>
      </c>
      <c r="D18" s="74">
        <v>1</v>
      </c>
      <c r="E18" s="65"/>
      <c r="F18" s="65"/>
    </row>
    <row r="19" spans="1:8" x14ac:dyDescent="0.2">
      <c r="A19" s="163" t="s">
        <v>15</v>
      </c>
      <c r="B19" s="163"/>
      <c r="C19" s="62" t="s">
        <v>16</v>
      </c>
      <c r="D19" s="74">
        <v>0.85</v>
      </c>
      <c r="E19" s="65"/>
      <c r="F19" s="65"/>
    </row>
    <row r="20" spans="1:8" x14ac:dyDescent="0.2">
      <c r="A20" s="65"/>
      <c r="B20" s="66"/>
      <c r="C20" s="65"/>
      <c r="D20" s="65"/>
      <c r="E20" s="65"/>
      <c r="F20" s="65"/>
    </row>
    <row r="21" spans="1:8" x14ac:dyDescent="0.2">
      <c r="A21" s="150" t="s">
        <v>17</v>
      </c>
      <c r="B21" s="150"/>
      <c r="C21" s="150"/>
      <c r="D21" s="151" t="s">
        <v>12</v>
      </c>
      <c r="E21" s="151"/>
      <c r="F21" s="65"/>
    </row>
    <row r="22" spans="1:8" x14ac:dyDescent="0.2">
      <c r="A22" s="166" t="s">
        <v>18</v>
      </c>
      <c r="B22" s="9" t="s">
        <v>19</v>
      </c>
      <c r="C22" s="9" t="s">
        <v>20</v>
      </c>
      <c r="D22" s="167" t="s">
        <v>21</v>
      </c>
      <c r="E22" s="167"/>
      <c r="F22" s="65"/>
    </row>
    <row r="23" spans="1:8" x14ac:dyDescent="0.2">
      <c r="A23" s="166"/>
      <c r="B23" s="9" t="s">
        <v>22</v>
      </c>
      <c r="C23" s="9" t="str">
        <f>+B5</f>
        <v>B</v>
      </c>
      <c r="D23" s="166" t="s">
        <v>23</v>
      </c>
      <c r="E23" s="166"/>
      <c r="F23" s="65"/>
    </row>
    <row r="24" spans="1:8" x14ac:dyDescent="0.2">
      <c r="A24" s="8" t="s">
        <v>24</v>
      </c>
      <c r="B24" s="5" t="s">
        <v>25</v>
      </c>
      <c r="C24" s="8">
        <v>0.87</v>
      </c>
      <c r="D24" s="168">
        <f t="shared" ref="D24:D29" si="0">0.613*C24*$D$18*$D$19*($B$8^2)*$B$7</f>
        <v>917.95983749999982</v>
      </c>
      <c r="E24" s="168"/>
      <c r="F24" s="65"/>
    </row>
    <row r="25" spans="1:8" x14ac:dyDescent="0.2">
      <c r="A25" s="8" t="s">
        <v>26</v>
      </c>
      <c r="B25" s="5">
        <v>5.5</v>
      </c>
      <c r="C25" s="8">
        <v>0.88500000000000001</v>
      </c>
      <c r="D25" s="168">
        <f t="shared" si="0"/>
        <v>933.78673125</v>
      </c>
      <c r="E25" s="168"/>
      <c r="F25" s="65"/>
    </row>
    <row r="26" spans="1:8" x14ac:dyDescent="0.2">
      <c r="A26" s="8" t="s">
        <v>27</v>
      </c>
      <c r="B26" s="5">
        <v>6.5</v>
      </c>
      <c r="C26" s="8">
        <v>0.91300000000000003</v>
      </c>
      <c r="D26" s="168">
        <f t="shared" si="0"/>
        <v>963.33026624999991</v>
      </c>
      <c r="E26" s="168"/>
      <c r="F26" s="65"/>
    </row>
    <row r="27" spans="1:8" x14ac:dyDescent="0.2">
      <c r="A27" s="10" t="s">
        <v>28</v>
      </c>
      <c r="B27" s="11">
        <v>5</v>
      </c>
      <c r="C27" s="10">
        <v>0.59</v>
      </c>
      <c r="D27" s="169">
        <f t="shared" si="0"/>
        <v>622.52448750000008</v>
      </c>
      <c r="E27" s="169"/>
      <c r="F27" s="65"/>
    </row>
    <row r="28" spans="1:8" x14ac:dyDescent="0.2">
      <c r="A28" s="8" t="s">
        <v>27</v>
      </c>
      <c r="B28" s="5">
        <v>7.5</v>
      </c>
      <c r="C28" s="8">
        <v>0.94</v>
      </c>
      <c r="D28" s="168">
        <f t="shared" si="0"/>
        <v>991.81867499999998</v>
      </c>
      <c r="E28" s="168"/>
      <c r="F28" s="65"/>
    </row>
    <row r="29" spans="1:8" x14ac:dyDescent="0.2">
      <c r="A29" s="8" t="s">
        <v>29</v>
      </c>
      <c r="B29" s="5">
        <v>8.5</v>
      </c>
      <c r="C29" s="8">
        <v>0.96399999999999997</v>
      </c>
      <c r="D29" s="168">
        <f t="shared" si="0"/>
        <v>1017.1417049999999</v>
      </c>
      <c r="E29" s="168"/>
      <c r="F29" s="65"/>
    </row>
    <row r="30" spans="1:8" ht="13.5" thickBot="1" x14ac:dyDescent="0.25">
      <c r="A30" s="65"/>
      <c r="B30" s="66"/>
      <c r="C30" s="65"/>
      <c r="D30" s="65"/>
      <c r="E30" s="65"/>
      <c r="F30" s="65"/>
    </row>
    <row r="31" spans="1:8" ht="13.5" thickBot="1" x14ac:dyDescent="0.25">
      <c r="A31" s="170" t="s">
        <v>30</v>
      </c>
      <c r="B31" s="171"/>
      <c r="C31" s="171"/>
      <c r="D31" s="171"/>
      <c r="E31" s="171"/>
      <c r="F31" s="172"/>
    </row>
    <row r="32" spans="1:8" x14ac:dyDescent="0.2">
      <c r="A32" s="65"/>
      <c r="B32" s="71"/>
      <c r="C32" s="71"/>
      <c r="D32" s="71"/>
      <c r="E32" s="71"/>
      <c r="F32" s="71"/>
      <c r="G32" s="12"/>
      <c r="H32" s="12"/>
    </row>
    <row r="33" spans="1:8" x14ac:dyDescent="0.2">
      <c r="A33" s="65"/>
      <c r="B33" s="71"/>
      <c r="C33" s="71"/>
      <c r="D33" s="71"/>
      <c r="E33" s="71"/>
      <c r="F33" s="71"/>
      <c r="G33" s="12"/>
      <c r="H33" s="12"/>
    </row>
    <row r="34" spans="1:8" x14ac:dyDescent="0.2">
      <c r="A34" s="65"/>
      <c r="B34" s="71"/>
      <c r="C34" s="71"/>
      <c r="D34" s="71"/>
      <c r="E34" s="71"/>
      <c r="F34" s="71"/>
      <c r="G34" s="12"/>
      <c r="H34" s="12"/>
    </row>
    <row r="35" spans="1:8" x14ac:dyDescent="0.2">
      <c r="A35" s="65"/>
      <c r="B35" s="66"/>
      <c r="C35" s="65"/>
      <c r="D35" s="65"/>
      <c r="E35" s="65"/>
      <c r="F35" s="65"/>
    </row>
    <row r="36" spans="1:8" x14ac:dyDescent="0.2">
      <c r="A36" s="173" t="s">
        <v>31</v>
      </c>
      <c r="B36" s="173"/>
      <c r="C36" s="173"/>
      <c r="D36" s="173"/>
      <c r="E36" s="173"/>
      <c r="F36" s="65"/>
    </row>
    <row r="37" spans="1:8" x14ac:dyDescent="0.2">
      <c r="A37" s="75" t="s">
        <v>32</v>
      </c>
      <c r="B37" s="75" t="s">
        <v>33</v>
      </c>
      <c r="C37" s="164" t="s">
        <v>34</v>
      </c>
      <c r="D37" s="165" t="s">
        <v>35</v>
      </c>
      <c r="E37" s="165" t="s">
        <v>36</v>
      </c>
      <c r="F37" s="65"/>
    </row>
    <row r="38" spans="1:8" x14ac:dyDescent="0.2">
      <c r="A38" s="77" t="s">
        <v>22</v>
      </c>
      <c r="B38" s="77" t="s">
        <v>22</v>
      </c>
      <c r="C38" s="164"/>
      <c r="D38" s="165"/>
      <c r="E38" s="165"/>
      <c r="F38" s="65"/>
    </row>
    <row r="39" spans="1:8" x14ac:dyDescent="0.2">
      <c r="A39" s="62">
        <f>+$B$12</f>
        <v>5</v>
      </c>
      <c r="B39" s="62">
        <f>+$B$10</f>
        <v>11.4</v>
      </c>
      <c r="C39" s="62">
        <f>+ROUND(A39/B39,2)</f>
        <v>0.44</v>
      </c>
      <c r="D39" s="62" t="str">
        <f>+IF(C39&lt;1.4, "Rígida", "Flexible")</f>
        <v>Rígida</v>
      </c>
      <c r="E39" s="62">
        <f>+IF(D39="Rígida", 0.85, "Ver 5.8")</f>
        <v>0.85</v>
      </c>
      <c r="F39" s="65"/>
    </row>
    <row r="40" spans="1:8" x14ac:dyDescent="0.2">
      <c r="A40" s="65"/>
      <c r="B40" s="65"/>
      <c r="C40" s="65"/>
      <c r="D40" s="65"/>
      <c r="E40" s="65"/>
      <c r="F40" s="65"/>
    </row>
    <row r="41" spans="1:8" x14ac:dyDescent="0.2">
      <c r="A41" s="150" t="s">
        <v>37</v>
      </c>
      <c r="B41" s="150"/>
      <c r="C41" s="150"/>
      <c r="D41" s="150"/>
      <c r="E41" s="150"/>
      <c r="F41" s="150"/>
    </row>
    <row r="42" spans="1:8" x14ac:dyDescent="0.2">
      <c r="A42" s="176" t="s">
        <v>38</v>
      </c>
      <c r="B42" s="177"/>
      <c r="C42" s="178"/>
      <c r="D42" s="179" t="s">
        <v>39</v>
      </c>
      <c r="E42" s="179"/>
      <c r="F42" s="14" t="s">
        <v>40</v>
      </c>
    </row>
    <row r="43" spans="1:8" x14ac:dyDescent="0.2">
      <c r="A43" s="102" t="s">
        <v>41</v>
      </c>
      <c r="B43" s="180" t="s">
        <v>42</v>
      </c>
      <c r="C43" s="181"/>
      <c r="D43" s="72" t="s">
        <v>43</v>
      </c>
      <c r="E43" s="72" t="s">
        <v>44</v>
      </c>
      <c r="F43" s="72" t="s">
        <v>45</v>
      </c>
    </row>
    <row r="44" spans="1:8" x14ac:dyDescent="0.2">
      <c r="A44" s="103" t="s">
        <v>46</v>
      </c>
      <c r="B44" s="182" t="s">
        <v>47</v>
      </c>
      <c r="C44" s="183"/>
      <c r="D44" s="104" t="s">
        <v>48</v>
      </c>
      <c r="E44" s="104">
        <v>0.8</v>
      </c>
      <c r="F44" s="104" t="s">
        <v>49</v>
      </c>
    </row>
    <row r="45" spans="1:8" x14ac:dyDescent="0.2">
      <c r="A45" s="184" t="s">
        <v>50</v>
      </c>
      <c r="B45" s="186" t="s">
        <v>51</v>
      </c>
      <c r="C45" s="187"/>
      <c r="D45" s="62">
        <f>100/20</f>
        <v>5</v>
      </c>
      <c r="E45" s="62">
        <v>-0.5</v>
      </c>
      <c r="F45" s="188" t="s">
        <v>52</v>
      </c>
    </row>
    <row r="46" spans="1:8" x14ac:dyDescent="0.2">
      <c r="A46" s="185"/>
      <c r="B46" s="186" t="s">
        <v>53</v>
      </c>
      <c r="C46" s="187"/>
      <c r="D46" s="62">
        <f>20/100</f>
        <v>0.2</v>
      </c>
      <c r="E46" s="62">
        <v>-0.2</v>
      </c>
      <c r="F46" s="189"/>
    </row>
    <row r="47" spans="1:8" x14ac:dyDescent="0.2">
      <c r="A47" s="74" t="s">
        <v>54</v>
      </c>
      <c r="B47" s="186" t="s">
        <v>47</v>
      </c>
      <c r="C47" s="187"/>
      <c r="D47" s="62" t="s">
        <v>48</v>
      </c>
      <c r="E47" s="62">
        <v>-0.7</v>
      </c>
      <c r="F47" s="62" t="s">
        <v>52</v>
      </c>
    </row>
    <row r="48" spans="1:8" x14ac:dyDescent="0.2">
      <c r="A48" s="65"/>
      <c r="B48" s="66"/>
      <c r="C48" s="65"/>
      <c r="D48" s="65"/>
      <c r="E48" s="65"/>
      <c r="F48" s="65"/>
    </row>
    <row r="49" spans="1:6" x14ac:dyDescent="0.2">
      <c r="A49" s="190" t="s">
        <v>55</v>
      </c>
      <c r="B49" s="191"/>
      <c r="C49" s="191"/>
      <c r="D49" s="191"/>
      <c r="E49" s="192"/>
      <c r="F49" s="65"/>
    </row>
    <row r="50" spans="1:6" x14ac:dyDescent="0.2">
      <c r="A50" s="165" t="s">
        <v>56</v>
      </c>
      <c r="B50" s="165" t="s">
        <v>57</v>
      </c>
      <c r="C50" s="193" t="s">
        <v>58</v>
      </c>
      <c r="D50" s="193"/>
      <c r="E50" s="193"/>
      <c r="F50" s="65"/>
    </row>
    <row r="51" spans="1:6" x14ac:dyDescent="0.2">
      <c r="A51" s="165"/>
      <c r="B51" s="165"/>
      <c r="C51" s="72">
        <v>10</v>
      </c>
      <c r="D51" s="72">
        <v>11.67</v>
      </c>
      <c r="E51" s="72">
        <v>15</v>
      </c>
      <c r="F51" s="65"/>
    </row>
    <row r="52" spans="1:6" x14ac:dyDescent="0.2">
      <c r="A52" s="174" t="s">
        <v>59</v>
      </c>
      <c r="B52" s="175">
        <f>+ROUND(B12/B9,2)</f>
        <v>0.37</v>
      </c>
      <c r="C52" s="62">
        <v>-0.7</v>
      </c>
      <c r="D52" s="88">
        <f>+(E53-C52)*($D$51-$C$51)/($E$51-$C$51)+C52</f>
        <v>-0.4662</v>
      </c>
      <c r="E52" s="62">
        <v>-0.5</v>
      </c>
      <c r="F52" s="65"/>
    </row>
    <row r="53" spans="1:6" x14ac:dyDescent="0.2">
      <c r="A53" s="174"/>
      <c r="B53" s="175"/>
      <c r="C53" s="62">
        <v>0</v>
      </c>
      <c r="D53" s="88">
        <f>+(E53-C53)*($D$51-$C$51)/($E$51-$C$51)+C53</f>
        <v>0</v>
      </c>
      <c r="E53" s="62">
        <v>0</v>
      </c>
      <c r="F53" s="65"/>
    </row>
    <row r="54" spans="1:6" x14ac:dyDescent="0.2">
      <c r="A54" s="74" t="s">
        <v>60</v>
      </c>
      <c r="B54" s="175"/>
      <c r="C54" s="62">
        <v>-0.3</v>
      </c>
      <c r="D54" s="88">
        <f>+(E54-C54)*($D$51-$C$51)/($E$51-$C$51)+C54</f>
        <v>-0.36680000000000001</v>
      </c>
      <c r="E54" s="62">
        <v>-0.5</v>
      </c>
      <c r="F54" s="65"/>
    </row>
    <row r="55" spans="1:6" x14ac:dyDescent="0.2">
      <c r="A55" s="65"/>
      <c r="B55" s="66"/>
      <c r="C55" s="65"/>
      <c r="D55" s="65"/>
      <c r="E55" s="65"/>
      <c r="F55" s="65"/>
    </row>
    <row r="56" spans="1:6" x14ac:dyDescent="0.2">
      <c r="A56" s="150" t="s">
        <v>61</v>
      </c>
      <c r="B56" s="150"/>
      <c r="C56" s="150"/>
      <c r="D56" s="150"/>
      <c r="E56" s="150"/>
      <c r="F56" s="150"/>
    </row>
    <row r="57" spans="1:6" ht="14.45" customHeight="1" x14ac:dyDescent="0.2">
      <c r="A57" s="166" t="s">
        <v>41</v>
      </c>
      <c r="B57" s="166" t="s">
        <v>57</v>
      </c>
      <c r="C57" s="166" t="s">
        <v>62</v>
      </c>
      <c r="D57" s="166"/>
      <c r="E57" s="166"/>
      <c r="F57" s="166" t="s">
        <v>44</v>
      </c>
    </row>
    <row r="58" spans="1:6" x14ac:dyDescent="0.2">
      <c r="A58" s="166"/>
      <c r="B58" s="166"/>
      <c r="C58" s="166"/>
      <c r="D58" s="166"/>
      <c r="E58" s="166"/>
      <c r="F58" s="166"/>
    </row>
    <row r="59" spans="1:6" x14ac:dyDescent="0.2">
      <c r="A59" s="194" t="s">
        <v>27</v>
      </c>
      <c r="B59" s="197">
        <f>+ROUND(B12/B10,2)</f>
        <v>0.44</v>
      </c>
      <c r="C59" s="198" t="s">
        <v>63</v>
      </c>
      <c r="D59" s="198"/>
      <c r="E59" s="198"/>
      <c r="F59" s="7">
        <v>-0.9</v>
      </c>
    </row>
    <row r="60" spans="1:6" x14ac:dyDescent="0.2">
      <c r="A60" s="195"/>
      <c r="B60" s="197"/>
      <c r="C60" s="198" t="s">
        <v>169</v>
      </c>
      <c r="D60" s="198"/>
      <c r="E60" s="198"/>
      <c r="F60" s="7">
        <v>-0.5</v>
      </c>
    </row>
    <row r="61" spans="1:6" x14ac:dyDescent="0.2">
      <c r="A61" s="196"/>
      <c r="B61" s="197"/>
      <c r="C61" s="198" t="s">
        <v>64</v>
      </c>
      <c r="D61" s="198"/>
      <c r="E61" s="198"/>
      <c r="F61" s="7">
        <v>-0.3</v>
      </c>
    </row>
    <row r="63" spans="1:6" x14ac:dyDescent="0.2">
      <c r="A63" s="199" t="s">
        <v>65</v>
      </c>
      <c r="B63" s="199"/>
      <c r="C63" s="199"/>
      <c r="D63" s="199"/>
      <c r="E63" s="199"/>
      <c r="F63" s="199"/>
    </row>
    <row r="64" spans="1:6" x14ac:dyDescent="0.2">
      <c r="A64" s="200" t="s">
        <v>41</v>
      </c>
      <c r="B64" s="201" t="s">
        <v>66</v>
      </c>
      <c r="C64" s="201" t="s">
        <v>67</v>
      </c>
      <c r="D64" s="203" t="s">
        <v>44</v>
      </c>
      <c r="E64" s="200" t="s">
        <v>68</v>
      </c>
      <c r="F64" s="200"/>
    </row>
    <row r="65" spans="1:10" x14ac:dyDescent="0.2">
      <c r="A65" s="166"/>
      <c r="B65" s="202"/>
      <c r="C65" s="202"/>
      <c r="D65" s="200"/>
      <c r="E65" s="13" t="s">
        <v>69</v>
      </c>
      <c r="F65" s="13" t="s">
        <v>70</v>
      </c>
    </row>
    <row r="66" spans="1:10" x14ac:dyDescent="0.2">
      <c r="A66" s="204" t="s">
        <v>46</v>
      </c>
      <c r="B66" s="5" t="s">
        <v>71</v>
      </c>
      <c r="C66" s="16">
        <v>917.96</v>
      </c>
      <c r="D66" s="16">
        <v>0.8</v>
      </c>
      <c r="E66" s="17">
        <f>+(C66*0.85*D66)-(J73*0.18)</f>
        <v>448.15480000000002</v>
      </c>
      <c r="F66" s="17">
        <f t="shared" ref="F66:F72" si="1">+(C66*0.85*D66)-($J$73*-0.18)</f>
        <v>800.27080000000001</v>
      </c>
    </row>
    <row r="67" spans="1:10" x14ac:dyDescent="0.2">
      <c r="A67" s="205"/>
      <c r="B67" s="5">
        <v>5.5</v>
      </c>
      <c r="C67" s="16">
        <v>933.79</v>
      </c>
      <c r="D67" s="16">
        <v>0.8</v>
      </c>
      <c r="E67" s="17">
        <f>+(C67*0.85*D67)-(J66*0.18)</f>
        <v>634.97720000000004</v>
      </c>
      <c r="F67" s="17">
        <f t="shared" si="1"/>
        <v>811.03520000000003</v>
      </c>
    </row>
    <row r="68" spans="1:10" x14ac:dyDescent="0.2">
      <c r="A68" s="18" t="s">
        <v>50</v>
      </c>
      <c r="B68" s="5" t="s">
        <v>47</v>
      </c>
      <c r="C68" s="16">
        <v>978.1</v>
      </c>
      <c r="D68" s="16">
        <v>-0.2</v>
      </c>
      <c r="E68" s="17">
        <f>+(C68*0.85*D68)-(J73*0.18)</f>
        <v>-342.33500000000004</v>
      </c>
      <c r="F68" s="17">
        <f t="shared" si="1"/>
        <v>9.7809999999999775</v>
      </c>
    </row>
    <row r="69" spans="1:10" x14ac:dyDescent="0.2">
      <c r="A69" s="18" t="s">
        <v>72</v>
      </c>
      <c r="B69" s="5" t="s">
        <v>47</v>
      </c>
      <c r="C69" s="16">
        <v>978.1</v>
      </c>
      <c r="D69" s="16">
        <v>-0.7</v>
      </c>
      <c r="E69" s="17">
        <f>+(C69*0.85*D69)-(J73*0.18)</f>
        <v>-758.02749999999992</v>
      </c>
      <c r="F69" s="17">
        <f t="shared" si="1"/>
        <v>-405.91149999999993</v>
      </c>
    </row>
    <row r="70" spans="1:10" x14ac:dyDescent="0.2">
      <c r="A70" s="204" t="s">
        <v>73</v>
      </c>
      <c r="B70" s="206"/>
      <c r="C70" s="16">
        <v>622.52</v>
      </c>
      <c r="D70" s="16">
        <f>+D52</f>
        <v>-0.4662</v>
      </c>
      <c r="E70" s="17">
        <f>+(C70*0.85*D70)-($J$73*0.18)</f>
        <v>-422.7440004</v>
      </c>
      <c r="F70" s="17">
        <f t="shared" si="1"/>
        <v>-70.628000399999991</v>
      </c>
    </row>
    <row r="71" spans="1:10" x14ac:dyDescent="0.2">
      <c r="A71" s="205"/>
      <c r="B71" s="207"/>
      <c r="C71" s="16">
        <v>622.52</v>
      </c>
      <c r="D71" s="16">
        <f t="shared" ref="D71:D72" si="2">+D53</f>
        <v>0</v>
      </c>
      <c r="E71" s="17">
        <f>+(C71*0.85*D71)-($J$73*0.18)</f>
        <v>-176.05799999999999</v>
      </c>
      <c r="F71" s="17">
        <f t="shared" si="1"/>
        <v>176.05799999999999</v>
      </c>
    </row>
    <row r="72" spans="1:10" ht="13.5" thickBot="1" x14ac:dyDescent="0.25">
      <c r="A72" s="18" t="s">
        <v>74</v>
      </c>
      <c r="B72" s="208"/>
      <c r="C72" s="16">
        <v>622.52</v>
      </c>
      <c r="D72" s="16">
        <f t="shared" si="2"/>
        <v>-0.36680000000000001</v>
      </c>
      <c r="E72" s="17">
        <f>+(C72*0.85*D72)-($J$73*0.18)</f>
        <v>-370.14728559999998</v>
      </c>
      <c r="F72" s="17">
        <f t="shared" si="1"/>
        <v>-18.03128559999999</v>
      </c>
    </row>
    <row r="73" spans="1:10" ht="13.5" thickBot="1" x14ac:dyDescent="0.25">
      <c r="I73" s="19" t="s">
        <v>52</v>
      </c>
      <c r="J73" s="20">
        <v>978.1</v>
      </c>
    </row>
    <row r="74" spans="1:10" x14ac:dyDescent="0.2">
      <c r="A74" s="150" t="s">
        <v>75</v>
      </c>
      <c r="B74" s="150"/>
      <c r="C74" s="150"/>
      <c r="D74" s="150"/>
      <c r="E74" s="150"/>
      <c r="F74" s="150"/>
    </row>
    <row r="75" spans="1:10" x14ac:dyDescent="0.2">
      <c r="A75" s="200" t="s">
        <v>41</v>
      </c>
      <c r="B75" s="201" t="s">
        <v>76</v>
      </c>
      <c r="C75" s="201" t="s">
        <v>67</v>
      </c>
      <c r="D75" s="200" t="s">
        <v>44</v>
      </c>
      <c r="E75" s="209" t="s">
        <v>68</v>
      </c>
      <c r="F75" s="210"/>
    </row>
    <row r="76" spans="1:10" x14ac:dyDescent="0.2">
      <c r="A76" s="166"/>
      <c r="B76" s="202"/>
      <c r="C76" s="202"/>
      <c r="D76" s="166"/>
      <c r="E76" s="13" t="s">
        <v>69</v>
      </c>
      <c r="F76" s="13" t="s">
        <v>70</v>
      </c>
    </row>
    <row r="77" spans="1:10" x14ac:dyDescent="0.2">
      <c r="A77" s="211" t="s">
        <v>46</v>
      </c>
      <c r="B77" s="5" t="s">
        <v>25</v>
      </c>
      <c r="C77" s="21">
        <v>917.96</v>
      </c>
      <c r="D77" s="16">
        <v>0.8</v>
      </c>
      <c r="E77" s="21">
        <f>+(C77*0.85*D77)-($J$73*0.18)</f>
        <v>448.15480000000002</v>
      </c>
      <c r="F77" s="21">
        <f>+(C77*0.85*D77)-($J$73*-0.18)</f>
        <v>800.27080000000001</v>
      </c>
    </row>
    <row r="78" spans="1:10" x14ac:dyDescent="0.2">
      <c r="A78" s="211"/>
      <c r="B78" s="5">
        <v>5.5</v>
      </c>
      <c r="C78" s="21">
        <v>933.79</v>
      </c>
      <c r="D78" s="16">
        <v>0.8</v>
      </c>
      <c r="E78" s="21">
        <f t="shared" ref="E78:E85" si="3">+(C78*0.85*D78)-($J$73*0.18)</f>
        <v>458.91920000000005</v>
      </c>
      <c r="F78" s="21">
        <f t="shared" ref="F78:F87" si="4">+(C78*0.85*D78)-($J$73*-0.18)</f>
        <v>811.03520000000003</v>
      </c>
    </row>
    <row r="79" spans="1:10" x14ac:dyDescent="0.2">
      <c r="A79" s="211"/>
      <c r="B79" s="5">
        <v>6.5</v>
      </c>
      <c r="C79" s="21">
        <v>963.33</v>
      </c>
      <c r="D79" s="16">
        <v>0.8</v>
      </c>
      <c r="E79" s="21">
        <f t="shared" si="3"/>
        <v>479.0064000000001</v>
      </c>
      <c r="F79" s="21">
        <f t="shared" si="4"/>
        <v>831.12240000000008</v>
      </c>
    </row>
    <row r="80" spans="1:10" x14ac:dyDescent="0.2">
      <c r="A80" s="211"/>
      <c r="B80" s="5">
        <v>7</v>
      </c>
      <c r="C80" s="21">
        <v>978.1</v>
      </c>
      <c r="D80" s="16">
        <v>0.8</v>
      </c>
      <c r="E80" s="21">
        <f t="shared" si="3"/>
        <v>489.05000000000007</v>
      </c>
      <c r="F80" s="21">
        <f t="shared" si="4"/>
        <v>841.16600000000005</v>
      </c>
    </row>
    <row r="81" spans="1:7" x14ac:dyDescent="0.2">
      <c r="A81" s="211"/>
      <c r="B81" s="5">
        <v>7.5</v>
      </c>
      <c r="C81" s="21">
        <v>991.82</v>
      </c>
      <c r="D81" s="16">
        <v>0.8</v>
      </c>
      <c r="E81" s="21">
        <f t="shared" si="3"/>
        <v>498.3796000000001</v>
      </c>
      <c r="F81" s="21">
        <f t="shared" si="4"/>
        <v>850.49560000000008</v>
      </c>
    </row>
    <row r="82" spans="1:7" x14ac:dyDescent="0.2">
      <c r="A82" s="211"/>
      <c r="B82" s="5">
        <v>8.5</v>
      </c>
      <c r="C82" s="21">
        <v>1017.14</v>
      </c>
      <c r="D82" s="16">
        <v>0.8</v>
      </c>
      <c r="E82" s="21">
        <f t="shared" si="3"/>
        <v>515.59720000000004</v>
      </c>
      <c r="F82" s="21">
        <f t="shared" si="4"/>
        <v>867.71320000000003</v>
      </c>
    </row>
    <row r="83" spans="1:7" x14ac:dyDescent="0.2">
      <c r="A83" s="22" t="s">
        <v>50</v>
      </c>
      <c r="B83" s="5" t="s">
        <v>47</v>
      </c>
      <c r="C83" s="21">
        <v>978.1</v>
      </c>
      <c r="D83" s="16">
        <v>-0.5</v>
      </c>
      <c r="E83" s="21">
        <f t="shared" si="3"/>
        <v>-591.75049999999999</v>
      </c>
      <c r="F83" s="21">
        <f t="shared" si="4"/>
        <v>-239.6345</v>
      </c>
    </row>
    <row r="84" spans="1:7" x14ac:dyDescent="0.2">
      <c r="A84" s="22" t="s">
        <v>54</v>
      </c>
      <c r="B84" s="5" t="s">
        <v>47</v>
      </c>
      <c r="C84" s="21">
        <v>978.1</v>
      </c>
      <c r="D84" s="16">
        <v>-0.7</v>
      </c>
      <c r="E84" s="21">
        <f t="shared" si="3"/>
        <v>-758.02749999999992</v>
      </c>
      <c r="F84" s="21">
        <f t="shared" si="4"/>
        <v>-405.91149999999993</v>
      </c>
    </row>
    <row r="85" spans="1:7" x14ac:dyDescent="0.2">
      <c r="A85" s="211" t="s">
        <v>27</v>
      </c>
      <c r="B85" s="5" t="s">
        <v>63</v>
      </c>
      <c r="C85" s="17">
        <v>622.52</v>
      </c>
      <c r="D85" s="16">
        <v>-0.9</v>
      </c>
      <c r="E85" s="101">
        <f t="shared" si="3"/>
        <v>-652.28579999999988</v>
      </c>
      <c r="F85" s="21">
        <f t="shared" si="4"/>
        <v>-300.16979999999995</v>
      </c>
    </row>
    <row r="86" spans="1:7" x14ac:dyDescent="0.2">
      <c r="A86" s="211"/>
      <c r="B86" s="5" t="s">
        <v>77</v>
      </c>
      <c r="C86" s="17">
        <v>622.52</v>
      </c>
      <c r="D86" s="16">
        <v>-0.5</v>
      </c>
      <c r="E86" s="21">
        <f>+(C86*0.85*D86)-($J$73*0.18)</f>
        <v>-440.62899999999996</v>
      </c>
      <c r="F86" s="21">
        <f t="shared" si="4"/>
        <v>-88.512999999999977</v>
      </c>
    </row>
    <row r="87" spans="1:7" x14ac:dyDescent="0.2">
      <c r="A87" s="211"/>
      <c r="B87" s="5" t="s">
        <v>64</v>
      </c>
      <c r="C87" s="17">
        <v>622.52</v>
      </c>
      <c r="D87" s="16">
        <v>-0.3</v>
      </c>
      <c r="E87" s="21">
        <f>+(C87*0.85*D87)-($J$73*0.18)</f>
        <v>-334.80059999999997</v>
      </c>
      <c r="F87" s="21">
        <f t="shared" si="4"/>
        <v>17.315400000000011</v>
      </c>
    </row>
    <row r="89" spans="1:7" x14ac:dyDescent="0.2">
      <c r="A89" s="212" t="s">
        <v>78</v>
      </c>
      <c r="B89" s="213"/>
      <c r="C89" s="213"/>
      <c r="D89" s="213"/>
      <c r="E89" s="213"/>
      <c r="F89" s="213"/>
      <c r="G89" s="23"/>
    </row>
    <row r="90" spans="1:7" x14ac:dyDescent="0.2">
      <c r="A90" s="190" t="s">
        <v>79</v>
      </c>
      <c r="B90" s="191"/>
      <c r="C90" s="191"/>
      <c r="D90" s="191"/>
      <c r="E90" s="191"/>
      <c r="F90" s="191"/>
      <c r="G90" s="192"/>
    </row>
    <row r="91" spans="1:7" x14ac:dyDescent="0.2">
      <c r="A91" s="166" t="s">
        <v>41</v>
      </c>
      <c r="B91" s="166" t="s">
        <v>80</v>
      </c>
      <c r="C91" s="24" t="s">
        <v>81</v>
      </c>
      <c r="D91" s="24" t="s">
        <v>82</v>
      </c>
      <c r="E91" s="166" t="s">
        <v>83</v>
      </c>
      <c r="F91" s="166"/>
      <c r="G91" s="166"/>
    </row>
    <row r="92" spans="1:7" x14ac:dyDescent="0.2">
      <c r="A92" s="166"/>
      <c r="B92" s="166"/>
      <c r="C92" s="25" t="s">
        <v>84</v>
      </c>
      <c r="D92" s="25" t="s">
        <v>84</v>
      </c>
      <c r="E92" s="166"/>
      <c r="F92" s="166"/>
      <c r="G92" s="166"/>
    </row>
    <row r="93" spans="1:7" x14ac:dyDescent="0.2">
      <c r="A93" s="215" t="s">
        <v>85</v>
      </c>
      <c r="B93" s="26"/>
      <c r="C93" s="26"/>
      <c r="D93" s="27"/>
      <c r="E93" s="28" t="s">
        <v>86</v>
      </c>
      <c r="F93" s="29" t="s">
        <v>87</v>
      </c>
      <c r="G93" s="29" t="s">
        <v>88</v>
      </c>
    </row>
    <row r="94" spans="1:7" x14ac:dyDescent="0.2">
      <c r="A94" s="216"/>
      <c r="B94" s="30" t="s">
        <v>89</v>
      </c>
      <c r="C94" s="31">
        <f>5*1.2</f>
        <v>6</v>
      </c>
      <c r="D94" s="17">
        <f>5*5/3</f>
        <v>8.3333333333333339</v>
      </c>
      <c r="E94" s="32">
        <v>0.85</v>
      </c>
      <c r="F94" s="32">
        <v>-0.93</v>
      </c>
      <c r="G94" s="32">
        <v>-1.1000000000000001</v>
      </c>
    </row>
    <row r="95" spans="1:7" x14ac:dyDescent="0.2">
      <c r="A95" s="216"/>
      <c r="B95" s="30" t="s">
        <v>90</v>
      </c>
      <c r="C95" s="33">
        <f>1.2*1.1</f>
        <v>1.32</v>
      </c>
      <c r="D95" s="17">
        <f>1.75*1.75/3</f>
        <v>1.0208333333333333</v>
      </c>
      <c r="E95" s="32">
        <v>0.97</v>
      </c>
      <c r="F95" s="32">
        <v>-1.05</v>
      </c>
      <c r="G95" s="32">
        <v>-1.3</v>
      </c>
    </row>
    <row r="96" spans="1:7" x14ac:dyDescent="0.2">
      <c r="A96" s="217"/>
      <c r="B96" s="34" t="s">
        <v>91</v>
      </c>
      <c r="C96" s="21">
        <f>0.253*1.75</f>
        <v>0.44274999999999998</v>
      </c>
      <c r="D96" s="35" t="s">
        <v>92</v>
      </c>
      <c r="E96" s="32">
        <v>1</v>
      </c>
      <c r="F96" s="32">
        <v>-1.1000000000000001</v>
      </c>
      <c r="G96" s="32">
        <v>-1.4</v>
      </c>
    </row>
    <row r="97" spans="1:7" x14ac:dyDescent="0.2">
      <c r="A97" s="215" t="s">
        <v>93</v>
      </c>
      <c r="B97" s="36"/>
      <c r="C97" s="37"/>
      <c r="D97" s="38"/>
      <c r="E97" s="28" t="s">
        <v>94</v>
      </c>
      <c r="F97" s="28" t="s">
        <v>95</v>
      </c>
      <c r="G97" s="28" t="s">
        <v>96</v>
      </c>
    </row>
    <row r="98" spans="1:7" x14ac:dyDescent="0.2">
      <c r="A98" s="216"/>
      <c r="B98" s="7" t="s">
        <v>97</v>
      </c>
      <c r="C98" s="31">
        <f>5*2.09</f>
        <v>10.45</v>
      </c>
      <c r="D98" s="17">
        <f>5+5/3</f>
        <v>6.666666666666667</v>
      </c>
      <c r="E98" s="17">
        <v>0.3</v>
      </c>
      <c r="F98" s="17">
        <v>-0.8</v>
      </c>
      <c r="G98" s="17">
        <v>-1.4</v>
      </c>
    </row>
    <row r="99" spans="1:7" x14ac:dyDescent="0.2">
      <c r="A99" s="216"/>
      <c r="B99" s="7" t="s">
        <v>90</v>
      </c>
      <c r="C99" s="33">
        <f>0.951*2.09</f>
        <v>1.9875899999999997</v>
      </c>
      <c r="D99" s="17">
        <f>2.09*2.09/3</f>
        <v>1.4560333333333331</v>
      </c>
      <c r="E99" s="17">
        <v>0.41</v>
      </c>
      <c r="F99" s="17">
        <v>-0.85</v>
      </c>
      <c r="G99" s="17">
        <v>-1.8</v>
      </c>
    </row>
    <row r="100" spans="1:7" x14ac:dyDescent="0.2">
      <c r="A100" s="217"/>
      <c r="B100" s="5" t="s">
        <v>91</v>
      </c>
      <c r="C100" s="21">
        <f>0.253*2.09</f>
        <v>0.52876999999999996</v>
      </c>
      <c r="D100" s="35" t="s">
        <v>92</v>
      </c>
      <c r="E100" s="17">
        <v>-0.5</v>
      </c>
      <c r="F100" s="17">
        <v>-0.9</v>
      </c>
      <c r="G100" s="17">
        <v>-2.1</v>
      </c>
    </row>
    <row r="102" spans="1:7" x14ac:dyDescent="0.2">
      <c r="A102" s="150" t="s">
        <v>98</v>
      </c>
      <c r="B102" s="150"/>
      <c r="C102" s="150"/>
      <c r="D102" s="150"/>
      <c r="E102" s="150"/>
    </row>
    <row r="103" spans="1:7" x14ac:dyDescent="0.2">
      <c r="A103" s="216" t="s">
        <v>99</v>
      </c>
      <c r="B103" s="218" t="s">
        <v>87</v>
      </c>
      <c r="C103" s="218"/>
      <c r="D103" s="218" t="s">
        <v>88</v>
      </c>
      <c r="E103" s="218"/>
    </row>
    <row r="104" spans="1:7" x14ac:dyDescent="0.2">
      <c r="A104" s="217"/>
      <c r="B104" s="14" t="s">
        <v>100</v>
      </c>
      <c r="C104" s="29" t="s">
        <v>101</v>
      </c>
      <c r="D104" s="14" t="s">
        <v>100</v>
      </c>
      <c r="E104" s="14" t="s">
        <v>101</v>
      </c>
    </row>
    <row r="105" spans="1:7" x14ac:dyDescent="0.2">
      <c r="A105" s="8" t="s">
        <v>102</v>
      </c>
      <c r="B105" s="39">
        <f>+$J$73*(E94+0.18)</f>
        <v>1007.4430000000001</v>
      </c>
      <c r="C105" s="39">
        <f>+$J$73*(F94-0.18)</f>
        <v>-1085.691</v>
      </c>
      <c r="D105" s="39">
        <v>1007.4430000000001</v>
      </c>
      <c r="E105" s="39">
        <f>+J73*(G94-0.18)</f>
        <v>-1251.9680000000001</v>
      </c>
    </row>
    <row r="106" spans="1:7" x14ac:dyDescent="0.2">
      <c r="A106" s="8" t="s">
        <v>90</v>
      </c>
      <c r="B106" s="39">
        <f>+J73*(E95+0.18)</f>
        <v>1124.8149999999998</v>
      </c>
      <c r="C106" s="39">
        <f>+J73*(F95-0.18)</f>
        <v>-1203.0630000000001</v>
      </c>
      <c r="D106" s="39">
        <v>1124.8149999999998</v>
      </c>
      <c r="E106" s="39">
        <f>+J73*(G95-0.18)</f>
        <v>-1447.588</v>
      </c>
    </row>
    <row r="107" spans="1:7" x14ac:dyDescent="0.2">
      <c r="A107" s="8" t="s">
        <v>91</v>
      </c>
      <c r="B107" s="39">
        <f>+J73*(E96+0.18)</f>
        <v>1154.1579999999999</v>
      </c>
      <c r="C107" s="39">
        <f>+J73*(F96-0.18)</f>
        <v>-1251.9680000000001</v>
      </c>
      <c r="D107" s="39">
        <v>1154.1579999999999</v>
      </c>
      <c r="E107" s="39">
        <f>+J73*(G96-0.18)</f>
        <v>-1545.3979999999999</v>
      </c>
    </row>
    <row r="108" spans="1:7" x14ac:dyDescent="0.2">
      <c r="A108" s="219" t="s">
        <v>93</v>
      </c>
      <c r="B108" s="14" t="s">
        <v>103</v>
      </c>
      <c r="C108" s="14" t="s">
        <v>104</v>
      </c>
      <c r="D108" s="179" t="s">
        <v>105</v>
      </c>
      <c r="E108" s="179"/>
    </row>
    <row r="109" spans="1:7" x14ac:dyDescent="0.2">
      <c r="A109" s="217"/>
      <c r="B109" s="14" t="s">
        <v>100</v>
      </c>
      <c r="C109" s="14" t="s">
        <v>101</v>
      </c>
      <c r="D109" s="179" t="s">
        <v>101</v>
      </c>
      <c r="E109" s="179"/>
    </row>
    <row r="110" spans="1:7" x14ac:dyDescent="0.2">
      <c r="A110" s="8" t="s">
        <v>106</v>
      </c>
      <c r="B110" s="40">
        <f>+J73*(E98+0.18)</f>
        <v>469.488</v>
      </c>
      <c r="C110" s="41">
        <f>+J73*(F98-0.18)</f>
        <v>-958.53800000000001</v>
      </c>
      <c r="D110" s="214">
        <f>+J73*(G98-0.18)</f>
        <v>-1545.3979999999999</v>
      </c>
      <c r="E110" s="214"/>
    </row>
    <row r="111" spans="1:7" x14ac:dyDescent="0.2">
      <c r="A111" s="8" t="s">
        <v>90</v>
      </c>
      <c r="B111" s="40">
        <f>+J73*(E99+0.18)</f>
        <v>577.07899999999995</v>
      </c>
      <c r="C111" s="41">
        <f>+J73*(F99-0.18)</f>
        <v>-1007.4430000000001</v>
      </c>
      <c r="D111" s="214">
        <f>+J73*(G99-0.18)</f>
        <v>-1936.6379999999999</v>
      </c>
      <c r="E111" s="214"/>
    </row>
    <row r="112" spans="1:7" x14ac:dyDescent="0.2">
      <c r="A112" s="8" t="s">
        <v>91</v>
      </c>
      <c r="B112" s="40">
        <f>+J73*(E100+0.18)</f>
        <v>-312.99200000000002</v>
      </c>
      <c r="C112" s="41">
        <f>+J73*(F100-0.18)</f>
        <v>-1056.3480000000002</v>
      </c>
      <c r="D112" s="214">
        <f>+J73*(G100-0.18)</f>
        <v>-2230.0680000000002</v>
      </c>
      <c r="E112" s="214"/>
    </row>
    <row r="113" spans="1:16" ht="13.5" thickBot="1" x14ac:dyDescent="0.25"/>
    <row r="114" spans="1:16" x14ac:dyDescent="0.2">
      <c r="A114" s="150" t="s">
        <v>107</v>
      </c>
      <c r="B114" s="150"/>
      <c r="C114" s="150"/>
      <c r="D114" s="150"/>
      <c r="E114" s="150"/>
      <c r="F114" s="150"/>
      <c r="G114" s="150"/>
      <c r="H114" s="150"/>
      <c r="I114" s="150"/>
      <c r="J114" s="150"/>
      <c r="L114" s="42"/>
      <c r="M114" s="43"/>
      <c r="N114" s="43"/>
      <c r="O114" s="43"/>
      <c r="P114" s="44"/>
    </row>
    <row r="115" spans="1:16" ht="15" x14ac:dyDescent="0.2">
      <c r="A115" s="223" t="s">
        <v>108</v>
      </c>
      <c r="B115" s="225" t="s">
        <v>109</v>
      </c>
      <c r="C115" s="223" t="s">
        <v>110</v>
      </c>
      <c r="D115" s="227" t="s">
        <v>111</v>
      </c>
      <c r="E115" s="228"/>
      <c r="F115" s="227" t="s">
        <v>3</v>
      </c>
      <c r="G115" s="228"/>
      <c r="H115" s="223" t="s">
        <v>112</v>
      </c>
      <c r="I115" s="223" t="s">
        <v>113</v>
      </c>
      <c r="J115" s="223" t="s">
        <v>114</v>
      </c>
      <c r="L115" s="45"/>
      <c r="M115" s="46"/>
      <c r="N115" s="46"/>
      <c r="O115" s="46"/>
      <c r="P115" s="47"/>
    </row>
    <row r="116" spans="1:16" ht="15" x14ac:dyDescent="0.2">
      <c r="A116" s="224"/>
      <c r="B116" s="226"/>
      <c r="C116" s="224"/>
      <c r="D116" s="48" t="s">
        <v>115</v>
      </c>
      <c r="E116" s="48" t="s">
        <v>116</v>
      </c>
      <c r="F116" s="48" t="s">
        <v>117</v>
      </c>
      <c r="G116" s="48" t="s">
        <v>118</v>
      </c>
      <c r="H116" s="224"/>
      <c r="I116" s="224"/>
      <c r="J116" s="224"/>
      <c r="L116" s="45"/>
      <c r="M116" s="46"/>
      <c r="N116" s="46"/>
      <c r="O116" s="46"/>
      <c r="P116" s="47"/>
    </row>
    <row r="117" spans="1:16" ht="15" x14ac:dyDescent="0.25">
      <c r="A117" s="220" t="s">
        <v>51</v>
      </c>
      <c r="B117" s="49" t="s">
        <v>119</v>
      </c>
      <c r="C117" s="50">
        <f>+E84*1.2/1000</f>
        <v>-0.90963299999999991</v>
      </c>
      <c r="D117" s="50">
        <f>+$E$85*2.09*5/1000</f>
        <v>-6.8163866099999986</v>
      </c>
      <c r="E117" s="50">
        <f>+($E$85*2.09*5/2)/1000</f>
        <v>-3.4081933049999993</v>
      </c>
      <c r="F117" s="50">
        <f>+$E$85*2.09*5/1000</f>
        <v>-6.8163866099999986</v>
      </c>
      <c r="G117" s="50">
        <f>+$E$85*2.09*5/1000/2</f>
        <v>-3.4081933049999993</v>
      </c>
      <c r="H117" s="50">
        <f>+E69*1.2/1000</f>
        <v>-0.90963299999999991</v>
      </c>
      <c r="I117" s="51">
        <f>+E80*1.2/1000</f>
        <v>0.58686000000000005</v>
      </c>
      <c r="J117" s="50">
        <f>+E83*1.2/1000</f>
        <v>-0.71010059999999997</v>
      </c>
      <c r="L117" s="45"/>
      <c r="M117" s="46"/>
      <c r="N117" s="46"/>
      <c r="O117" s="46"/>
      <c r="P117" s="47"/>
    </row>
    <row r="118" spans="1:16" ht="15" x14ac:dyDescent="0.25">
      <c r="A118" s="221"/>
      <c r="B118" s="49" t="s">
        <v>120</v>
      </c>
      <c r="C118" s="52">
        <f>+F84*1.2/1000</f>
        <v>-0.48709379999999985</v>
      </c>
      <c r="D118" s="50">
        <f>+$F$85*2.09*5/1000</f>
        <v>-3.1367744099999992</v>
      </c>
      <c r="E118" s="50">
        <f>+($F$85*2.09*5/2)/1000</f>
        <v>-1.5683872049999996</v>
      </c>
      <c r="F118" s="50">
        <f>+$F$85*2.09*5/1000</f>
        <v>-3.1367744099999992</v>
      </c>
      <c r="G118" s="50">
        <f>+$F$85*2.09*5/1000/2</f>
        <v>-1.5683872049999996</v>
      </c>
      <c r="H118" s="50">
        <f>+F84*1.2/1000</f>
        <v>-0.48709379999999985</v>
      </c>
      <c r="I118" s="50">
        <f>+F80*1.2/1000</f>
        <v>1.0093992000000001</v>
      </c>
      <c r="J118" s="50">
        <f>+F83*1.2/1000</f>
        <v>-0.28756139999999997</v>
      </c>
      <c r="L118" s="45"/>
      <c r="M118" s="46"/>
      <c r="N118" s="46"/>
      <c r="O118" s="46"/>
      <c r="P118" s="47"/>
    </row>
    <row r="119" spans="1:16" ht="15" x14ac:dyDescent="0.25">
      <c r="A119" s="222" t="s">
        <v>53</v>
      </c>
      <c r="B119" s="49" t="s">
        <v>121</v>
      </c>
      <c r="C119" s="50">
        <f>+E67*1.2/1000</f>
        <v>0.76197264000000009</v>
      </c>
      <c r="D119" s="50">
        <f>+$E$70*2.09*5/1000</f>
        <v>-4.4176748041799998</v>
      </c>
      <c r="E119" s="50">
        <f>+$E$70*2.09*5/1000/2</f>
        <v>-2.2088374020899999</v>
      </c>
      <c r="F119" s="50">
        <f>+$E$72*2.09*5/1000</f>
        <v>-3.8680391345199996</v>
      </c>
      <c r="G119" s="50">
        <f>+$E$72*2.09*5/1000/2</f>
        <v>-1.9340195672599998</v>
      </c>
      <c r="H119" s="50">
        <f>+E68*1.2/1000</f>
        <v>-0.410802</v>
      </c>
      <c r="I119" s="50">
        <f>+$E$69*1.2/1000</f>
        <v>-0.90963299999999991</v>
      </c>
      <c r="J119" s="50">
        <f>+$E$69*1.2/1000</f>
        <v>-0.90963299999999991</v>
      </c>
      <c r="L119" s="45"/>
      <c r="M119" s="46"/>
      <c r="N119" s="46"/>
      <c r="O119" s="46"/>
      <c r="P119" s="47"/>
    </row>
    <row r="120" spans="1:16" ht="15" x14ac:dyDescent="0.25">
      <c r="A120" s="221"/>
      <c r="B120" s="49" t="s">
        <v>122</v>
      </c>
      <c r="C120" s="50">
        <f>+F67*1.2/1000</f>
        <v>0.97324224000000004</v>
      </c>
      <c r="D120" s="50">
        <f>+$E$72*2.09*5/1000</f>
        <v>-3.8680391345199996</v>
      </c>
      <c r="E120" s="50">
        <f>+$E$72*2.09*5/1000/2</f>
        <v>-1.9340195672599998</v>
      </c>
      <c r="F120" s="50">
        <f>+$F$72*2.09*5/1000</f>
        <v>-0.18842693451999989</v>
      </c>
      <c r="G120" s="50">
        <f>+$F$72*2.09*5/1000/2</f>
        <v>-9.4213467259999947E-2</v>
      </c>
      <c r="H120" s="50">
        <f>+F68*1.2/1000</f>
        <v>1.1737199999999974E-2</v>
      </c>
      <c r="I120" s="50">
        <f>+$F$69*1.2/1000</f>
        <v>-0.48709379999999985</v>
      </c>
      <c r="J120" s="50">
        <f>+$F$69*1.2/1000</f>
        <v>-0.48709379999999985</v>
      </c>
      <c r="L120" s="45"/>
      <c r="M120" s="46"/>
      <c r="N120" s="46"/>
      <c r="O120" s="46"/>
      <c r="P120" s="47"/>
    </row>
    <row r="121" spans="1:16" x14ac:dyDescent="0.2">
      <c r="L121" s="45"/>
      <c r="M121" s="46"/>
      <c r="N121" s="46"/>
      <c r="O121" s="46"/>
      <c r="P121" s="47"/>
    </row>
    <row r="122" spans="1:16" x14ac:dyDescent="0.2">
      <c r="A122" s="1" t="s">
        <v>123</v>
      </c>
      <c r="B122" s="3">
        <f>+SIN('[1]Dimensionado de revestimiento'!C15)</f>
        <v>0.28719334391196261</v>
      </c>
      <c r="L122" s="45"/>
      <c r="M122" s="46"/>
      <c r="N122" s="46"/>
      <c r="O122" s="46"/>
      <c r="P122" s="47"/>
    </row>
    <row r="123" spans="1:16" x14ac:dyDescent="0.2">
      <c r="A123" s="1" t="s">
        <v>124</v>
      </c>
      <c r="B123" s="53">
        <f>+COS('[1]Dimensionado de revestimiento'!C15)</f>
        <v>0.9578726341287056</v>
      </c>
      <c r="L123" s="45"/>
      <c r="M123" s="46"/>
      <c r="N123" s="46"/>
      <c r="O123" s="46"/>
      <c r="P123" s="47"/>
    </row>
    <row r="124" spans="1:16" x14ac:dyDescent="0.2">
      <c r="L124" s="45"/>
      <c r="M124" s="46"/>
      <c r="N124" s="46"/>
      <c r="O124" s="46"/>
      <c r="P124" s="47"/>
    </row>
    <row r="125" spans="1:16" ht="12.6" customHeight="1" x14ac:dyDescent="0.2">
      <c r="A125" s="150" t="s">
        <v>125</v>
      </c>
      <c r="B125" s="150"/>
      <c r="C125" s="150"/>
      <c r="D125" s="150"/>
      <c r="E125" s="150"/>
      <c r="F125" s="150"/>
      <c r="G125" s="150"/>
      <c r="H125" s="150"/>
      <c r="I125" s="150"/>
      <c r="L125" s="45"/>
      <c r="M125" s="46"/>
      <c r="N125" s="46"/>
      <c r="O125" s="46"/>
      <c r="P125" s="47"/>
    </row>
    <row r="126" spans="1:16" x14ac:dyDescent="0.2">
      <c r="A126" s="54" t="s">
        <v>126</v>
      </c>
      <c r="B126" s="14" t="s">
        <v>127</v>
      </c>
      <c r="C126" s="14" t="s">
        <v>128</v>
      </c>
      <c r="D126" s="14" t="s">
        <v>129</v>
      </c>
      <c r="E126" s="14" t="s">
        <v>130</v>
      </c>
      <c r="F126" s="14" t="s">
        <v>131</v>
      </c>
      <c r="G126" s="14" t="s">
        <v>132</v>
      </c>
      <c r="H126" s="14" t="s">
        <v>133</v>
      </c>
      <c r="I126" s="14" t="s">
        <v>134</v>
      </c>
      <c r="L126" s="45"/>
      <c r="M126" s="46"/>
      <c r="N126" s="46"/>
      <c r="O126" s="46"/>
      <c r="P126" s="47"/>
    </row>
    <row r="127" spans="1:16" x14ac:dyDescent="0.2">
      <c r="A127" s="8" t="s">
        <v>135</v>
      </c>
      <c r="B127" s="16">
        <f>+$B$123*D117</f>
        <v>-6.5292301973603362</v>
      </c>
      <c r="C127" s="16">
        <f>+D117*$B$122</f>
        <v>-1.9576208639226265</v>
      </c>
      <c r="D127" s="16">
        <f>+E117*$B$123</f>
        <v>-3.2646150986801681</v>
      </c>
      <c r="E127" s="16">
        <f>+E117*$B$122</f>
        <v>-0.97881043196131323</v>
      </c>
      <c r="F127" s="16">
        <f>+F117*$B$123</f>
        <v>-6.5292301973603362</v>
      </c>
      <c r="G127" s="16">
        <f>+F117*$B$122</f>
        <v>-1.9576208639226265</v>
      </c>
      <c r="H127" s="16">
        <f>+G117*$B$123</f>
        <v>-3.2646150986801681</v>
      </c>
      <c r="I127" s="16">
        <f>+G117*$B$122</f>
        <v>-0.97881043196131323</v>
      </c>
      <c r="L127" s="45"/>
      <c r="M127" s="46"/>
      <c r="N127" s="46"/>
      <c r="O127" s="46"/>
      <c r="P127" s="47"/>
    </row>
    <row r="128" spans="1:16" x14ac:dyDescent="0.2">
      <c r="A128" s="8" t="s">
        <v>136</v>
      </c>
      <c r="B128" s="16">
        <f>+$B$123*D118</f>
        <v>-3.0046303667742156</v>
      </c>
      <c r="C128" s="16">
        <f>+D118*$B$122</f>
        <v>-0.90086073190537341</v>
      </c>
      <c r="D128" s="16">
        <f>+E118*$B$123</f>
        <v>-1.5023151833871078</v>
      </c>
      <c r="E128" s="16">
        <f>+E118*$B$122</f>
        <v>-0.45043036595268671</v>
      </c>
      <c r="F128" s="16">
        <f>+F118*$B$123</f>
        <v>-3.0046303667742156</v>
      </c>
      <c r="G128" s="16">
        <f>+F118*$B$122</f>
        <v>-0.90086073190537341</v>
      </c>
      <c r="H128" s="16">
        <f>+G118*$B$123</f>
        <v>-1.5023151833871078</v>
      </c>
      <c r="I128" s="16">
        <f>+G118*$B$122</f>
        <v>-0.45043036595268671</v>
      </c>
      <c r="L128" s="45"/>
      <c r="M128" s="46"/>
      <c r="N128" s="46"/>
      <c r="O128" s="46"/>
      <c r="P128" s="47"/>
    </row>
    <row r="129" spans="1:16" x14ac:dyDescent="0.2">
      <c r="A129" s="8" t="s">
        <v>137</v>
      </c>
      <c r="B129" s="16">
        <f>+$B$123*D119</f>
        <v>-4.2315698014039098</v>
      </c>
      <c r="C129" s="16">
        <f>+D119*$B$122</f>
        <v>-1.2687267993280786</v>
      </c>
      <c r="D129" s="16">
        <f>+E119*$B$123</f>
        <v>-2.1157849007019549</v>
      </c>
      <c r="E129" s="16">
        <f>+E119*$B$122</f>
        <v>-0.63436339966403932</v>
      </c>
      <c r="F129" s="16">
        <f>+F119*$B$123</f>
        <v>-3.7050888346955908</v>
      </c>
      <c r="G129" s="16">
        <f>+F119*$B$122</f>
        <v>-1.1108750934251324</v>
      </c>
      <c r="H129" s="16">
        <f>+G119*$B$123</f>
        <v>-1.8525444173477954</v>
      </c>
      <c r="I129" s="16">
        <f>+G119*$B$122</f>
        <v>-0.55543754671256618</v>
      </c>
      <c r="L129" s="45"/>
      <c r="M129" s="46"/>
      <c r="N129" s="46"/>
      <c r="O129" s="46"/>
      <c r="P129" s="47"/>
    </row>
    <row r="130" spans="1:16" ht="13.5" thickBot="1" x14ac:dyDescent="0.25">
      <c r="A130" s="8" t="s">
        <v>138</v>
      </c>
      <c r="B130" s="16">
        <f>+$B$123*D120</f>
        <v>-3.7050888346955908</v>
      </c>
      <c r="C130" s="16">
        <f>+D120*$B$122</f>
        <v>-1.1108750934251324</v>
      </c>
      <c r="D130" s="16">
        <f>+E120*$B$123</f>
        <v>-1.8525444173477954</v>
      </c>
      <c r="E130" s="16">
        <f>+E120*$B$122</f>
        <v>-0.55543754671256618</v>
      </c>
      <c r="F130" s="16">
        <f>+F120*$B$123</f>
        <v>-0.18048900410946941</v>
      </c>
      <c r="G130" s="16">
        <f>+F120*$B$122</f>
        <v>-5.4114961407879192E-2</v>
      </c>
      <c r="H130" s="16">
        <f>+G120*$B$123</f>
        <v>-9.0244502054734707E-2</v>
      </c>
      <c r="I130" s="16">
        <f>+G120*$B$122</f>
        <v>-2.7057480703939596E-2</v>
      </c>
      <c r="L130" s="55"/>
      <c r="M130" s="56"/>
      <c r="N130" s="56"/>
      <c r="O130" s="56"/>
      <c r="P130" s="57"/>
    </row>
    <row r="132" spans="1:16" x14ac:dyDescent="0.2">
      <c r="B132" s="1"/>
    </row>
    <row r="133" spans="1:16" x14ac:dyDescent="0.2">
      <c r="B133" s="1"/>
    </row>
  </sheetData>
  <mergeCells count="93">
    <mergeCell ref="A117:A118"/>
    <mergeCell ref="A119:A120"/>
    <mergeCell ref="A125:I125"/>
    <mergeCell ref="A114:J114"/>
    <mergeCell ref="A115:A116"/>
    <mergeCell ref="B115:B116"/>
    <mergeCell ref="C115:C116"/>
    <mergeCell ref="D115:E115"/>
    <mergeCell ref="F115:G115"/>
    <mergeCell ref="H115:H116"/>
    <mergeCell ref="I115:I116"/>
    <mergeCell ref="J115:J116"/>
    <mergeCell ref="D112:E112"/>
    <mergeCell ref="A93:A96"/>
    <mergeCell ref="A97:A100"/>
    <mergeCell ref="A102:E102"/>
    <mergeCell ref="A103:A104"/>
    <mergeCell ref="B103:C103"/>
    <mergeCell ref="D103:E103"/>
    <mergeCell ref="A108:A109"/>
    <mergeCell ref="D108:E108"/>
    <mergeCell ref="D109:E109"/>
    <mergeCell ref="D110:E110"/>
    <mergeCell ref="D111:E111"/>
    <mergeCell ref="A77:A82"/>
    <mergeCell ref="A85:A87"/>
    <mergeCell ref="A89:F89"/>
    <mergeCell ref="A90:G90"/>
    <mergeCell ref="A91:A92"/>
    <mergeCell ref="B91:B92"/>
    <mergeCell ref="E91:G92"/>
    <mergeCell ref="A66:A67"/>
    <mergeCell ref="A70:A71"/>
    <mergeCell ref="B70:B72"/>
    <mergeCell ref="A74:F74"/>
    <mergeCell ref="A75:A76"/>
    <mergeCell ref="B75:B76"/>
    <mergeCell ref="C75:C76"/>
    <mergeCell ref="D75:D76"/>
    <mergeCell ref="E75:F75"/>
    <mergeCell ref="A63:F63"/>
    <mergeCell ref="A64:A65"/>
    <mergeCell ref="B64:B65"/>
    <mergeCell ref="C64:C65"/>
    <mergeCell ref="D64:D65"/>
    <mergeCell ref="E64:F64"/>
    <mergeCell ref="A56:F56"/>
    <mergeCell ref="A57:A58"/>
    <mergeCell ref="B57:B58"/>
    <mergeCell ref="C57:E58"/>
    <mergeCell ref="F57:F58"/>
    <mergeCell ref="A59:A61"/>
    <mergeCell ref="B59:B61"/>
    <mergeCell ref="C59:E59"/>
    <mergeCell ref="C60:E60"/>
    <mergeCell ref="C61:E61"/>
    <mergeCell ref="A52:A53"/>
    <mergeCell ref="B52:B54"/>
    <mergeCell ref="A41:F41"/>
    <mergeCell ref="A42:C42"/>
    <mergeCell ref="D42:E42"/>
    <mergeCell ref="B43:C43"/>
    <mergeCell ref="B44:C44"/>
    <mergeCell ref="A45:A46"/>
    <mergeCell ref="B45:C45"/>
    <mergeCell ref="F45:F46"/>
    <mergeCell ref="B46:C46"/>
    <mergeCell ref="B47:C47"/>
    <mergeCell ref="A49:E49"/>
    <mergeCell ref="A50:A51"/>
    <mergeCell ref="B50:B51"/>
    <mergeCell ref="C50:E50"/>
    <mergeCell ref="C37:C38"/>
    <mergeCell ref="D37:D38"/>
    <mergeCell ref="E37:E38"/>
    <mergeCell ref="A22:A23"/>
    <mergeCell ref="D22:E22"/>
    <mergeCell ref="D23:E23"/>
    <mergeCell ref="D24:E24"/>
    <mergeCell ref="D25:E25"/>
    <mergeCell ref="D26:E26"/>
    <mergeCell ref="D27:E27"/>
    <mergeCell ref="D28:E28"/>
    <mergeCell ref="D29:E29"/>
    <mergeCell ref="A31:F31"/>
    <mergeCell ref="A36:E36"/>
    <mergeCell ref="A21:C21"/>
    <mergeCell ref="D21:E21"/>
    <mergeCell ref="A1:F2"/>
    <mergeCell ref="A4:B4"/>
    <mergeCell ref="A14:F14"/>
    <mergeCell ref="A18:B18"/>
    <mergeCell ref="A19:B1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F8DD-573D-4CF5-B110-3569411C7F80}">
  <dimension ref="A1:M117"/>
  <sheetViews>
    <sheetView tabSelected="1" zoomScale="130" zoomScaleNormal="130" workbookViewId="0">
      <selection sqref="A1:F71"/>
    </sheetView>
  </sheetViews>
  <sheetFormatPr baseColWidth="10" defaultColWidth="11.5703125" defaultRowHeight="12.75" x14ac:dyDescent="0.2"/>
  <cols>
    <col min="1" max="1" width="26.5703125" style="1" customWidth="1"/>
    <col min="2" max="2" width="15.140625" style="3" customWidth="1"/>
    <col min="3" max="3" width="12.7109375" style="1" customWidth="1"/>
    <col min="4" max="4" width="16" style="1" customWidth="1"/>
    <col min="5" max="5" width="20.28515625" style="1" customWidth="1"/>
    <col min="6" max="6" width="11.7109375" style="1" customWidth="1"/>
    <col min="7" max="16384" width="11.5703125" style="1"/>
  </cols>
  <sheetData>
    <row r="1" spans="1:11" ht="14.45" customHeight="1" x14ac:dyDescent="0.2">
      <c r="A1" s="240" t="s">
        <v>167</v>
      </c>
      <c r="B1" s="240"/>
      <c r="C1" s="240"/>
      <c r="D1" s="240"/>
      <c r="E1" s="240"/>
      <c r="F1" s="240"/>
    </row>
    <row r="2" spans="1:11" ht="14.45" customHeight="1" x14ac:dyDescent="0.2">
      <c r="A2" s="252" t="s">
        <v>174</v>
      </c>
      <c r="B2" s="253"/>
      <c r="C2" s="253"/>
      <c r="D2" s="253"/>
      <c r="E2" s="253"/>
      <c r="F2" s="254"/>
    </row>
    <row r="3" spans="1:11" ht="14.45" customHeight="1" x14ac:dyDescent="0.2">
      <c r="A3" s="263" t="s">
        <v>185</v>
      </c>
      <c r="B3" s="264"/>
      <c r="C3" s="264"/>
      <c r="D3" s="264"/>
      <c r="E3" s="264"/>
      <c r="F3" s="265"/>
    </row>
    <row r="4" spans="1:11" ht="14.45" customHeight="1" x14ac:dyDescent="0.2">
      <c r="A4" s="107"/>
      <c r="B4" s="107"/>
      <c r="C4" s="107"/>
      <c r="D4" s="107"/>
      <c r="E4" s="107"/>
      <c r="F4" s="107"/>
      <c r="G4" s="2"/>
      <c r="H4" s="2"/>
      <c r="I4" s="2"/>
      <c r="J4" s="2"/>
      <c r="K4" s="2"/>
    </row>
    <row r="5" spans="1:11" ht="14.45" customHeight="1" x14ac:dyDescent="0.2">
      <c r="A5" s="259" t="s">
        <v>1</v>
      </c>
      <c r="B5" s="259"/>
      <c r="C5" s="107"/>
      <c r="D5" s="107"/>
      <c r="E5" s="107"/>
      <c r="F5" s="107"/>
      <c r="G5" s="2"/>
      <c r="H5" s="2"/>
      <c r="I5" s="2"/>
      <c r="J5" s="2"/>
      <c r="K5" s="2"/>
    </row>
    <row r="6" spans="1:11" ht="15" x14ac:dyDescent="0.25">
      <c r="A6" s="108" t="s">
        <v>2</v>
      </c>
      <c r="B6" s="109" t="s">
        <v>111</v>
      </c>
      <c r="C6" s="110"/>
      <c r="D6" s="110"/>
      <c r="E6" s="110"/>
      <c r="F6" s="110"/>
    </row>
    <row r="7" spans="1:11" ht="15" x14ac:dyDescent="0.25">
      <c r="A7" s="108" t="s">
        <v>4</v>
      </c>
      <c r="B7" s="109" t="s">
        <v>5</v>
      </c>
      <c r="C7" s="110"/>
      <c r="D7" s="110"/>
      <c r="E7" s="110"/>
      <c r="F7" s="110"/>
    </row>
    <row r="8" spans="1:11" ht="15" x14ac:dyDescent="0.25">
      <c r="A8" s="111" t="s">
        <v>6</v>
      </c>
      <c r="B8" s="112">
        <v>1</v>
      </c>
      <c r="C8" s="110"/>
      <c r="D8" s="110"/>
      <c r="E8" s="110"/>
      <c r="F8" s="110"/>
    </row>
    <row r="9" spans="1:11" ht="15" x14ac:dyDescent="0.25">
      <c r="A9" s="111" t="s">
        <v>170</v>
      </c>
      <c r="B9" s="113">
        <v>45</v>
      </c>
      <c r="C9" s="110" t="s">
        <v>166</v>
      </c>
      <c r="D9" s="110"/>
      <c r="E9" s="110"/>
      <c r="F9" s="110"/>
    </row>
    <row r="10" spans="1:11" ht="15" x14ac:dyDescent="0.25">
      <c r="A10" s="111" t="s">
        <v>8</v>
      </c>
      <c r="B10" s="113">
        <v>15.2</v>
      </c>
      <c r="C10" s="110" t="s">
        <v>173</v>
      </c>
      <c r="D10" s="110"/>
      <c r="E10" s="110"/>
      <c r="F10" s="110"/>
      <c r="G10" s="231" t="s">
        <v>182</v>
      </c>
      <c r="H10" s="231"/>
    </row>
    <row r="11" spans="1:11" ht="15" x14ac:dyDescent="0.25">
      <c r="A11" s="111" t="s">
        <v>9</v>
      </c>
      <c r="B11" s="113">
        <v>7.62</v>
      </c>
      <c r="C11" s="110" t="s">
        <v>173</v>
      </c>
      <c r="D11" s="110"/>
      <c r="E11" s="110"/>
      <c r="F11" s="110"/>
      <c r="G11" s="231" t="s">
        <v>181</v>
      </c>
      <c r="H11" s="231"/>
    </row>
    <row r="12" spans="1:11" ht="15" x14ac:dyDescent="0.25">
      <c r="A12" s="111" t="s">
        <v>11</v>
      </c>
      <c r="B12" s="112">
        <v>6</v>
      </c>
      <c r="C12" s="110" t="s">
        <v>173</v>
      </c>
      <c r="D12" s="110"/>
      <c r="E12" s="110"/>
      <c r="F12" s="110"/>
    </row>
    <row r="13" spans="1:11" ht="15" x14ac:dyDescent="0.25">
      <c r="A13" s="114"/>
      <c r="B13" s="107"/>
      <c r="C13" s="110"/>
      <c r="D13" s="110"/>
      <c r="E13" s="110"/>
      <c r="F13" s="110"/>
    </row>
    <row r="14" spans="1:11" ht="15" x14ac:dyDescent="0.25">
      <c r="A14" s="260" t="s">
        <v>12</v>
      </c>
      <c r="B14" s="260"/>
      <c r="C14" s="260"/>
      <c r="D14" s="260"/>
      <c r="E14" s="260"/>
      <c r="F14" s="260"/>
    </row>
    <row r="15" spans="1:11" ht="15" x14ac:dyDescent="0.25">
      <c r="A15" s="114"/>
      <c r="B15" s="107"/>
      <c r="C15" s="110"/>
      <c r="D15" s="110"/>
      <c r="E15" s="110"/>
      <c r="F15" s="110"/>
    </row>
    <row r="16" spans="1:11" ht="15" x14ac:dyDescent="0.25">
      <c r="A16" s="114"/>
      <c r="B16" s="107"/>
      <c r="C16" s="110"/>
      <c r="D16" s="110"/>
      <c r="E16" s="110"/>
      <c r="F16" s="110"/>
    </row>
    <row r="17" spans="1:6" ht="15" x14ac:dyDescent="0.25">
      <c r="A17" s="114"/>
      <c r="B17" s="107"/>
      <c r="C17" s="110"/>
      <c r="D17" s="110"/>
      <c r="E17" s="110"/>
      <c r="F17" s="110"/>
    </row>
    <row r="18" spans="1:6" ht="15" x14ac:dyDescent="0.25">
      <c r="A18" s="261" t="s">
        <v>13</v>
      </c>
      <c r="B18" s="261"/>
      <c r="C18" s="115" t="s">
        <v>14</v>
      </c>
      <c r="D18" s="116">
        <v>1</v>
      </c>
      <c r="E18" s="110"/>
      <c r="F18" s="110"/>
    </row>
    <row r="19" spans="1:6" ht="15" x14ac:dyDescent="0.25">
      <c r="A19" s="262" t="s">
        <v>15</v>
      </c>
      <c r="B19" s="262"/>
      <c r="C19" s="117" t="s">
        <v>16</v>
      </c>
      <c r="D19" s="118">
        <v>0.85</v>
      </c>
      <c r="E19" s="110"/>
      <c r="F19" s="110"/>
    </row>
    <row r="20" spans="1:6" ht="15" x14ac:dyDescent="0.25">
      <c r="A20" s="243" t="s">
        <v>171</v>
      </c>
      <c r="B20" s="244"/>
      <c r="C20" s="245"/>
      <c r="D20" s="110"/>
      <c r="E20" s="110"/>
      <c r="F20" s="110"/>
    </row>
    <row r="21" spans="1:6" ht="15" x14ac:dyDescent="0.25">
      <c r="A21" s="232" t="s">
        <v>18</v>
      </c>
      <c r="B21" s="119" t="s">
        <v>19</v>
      </c>
      <c r="C21" s="119" t="s">
        <v>20</v>
      </c>
      <c r="D21" s="110"/>
      <c r="E21" s="110"/>
      <c r="F21" s="110"/>
    </row>
    <row r="22" spans="1:6" ht="15" x14ac:dyDescent="0.25">
      <c r="A22" s="233"/>
      <c r="B22" s="119" t="s">
        <v>22</v>
      </c>
      <c r="C22" s="119" t="str">
        <f>+B6</f>
        <v>B</v>
      </c>
      <c r="D22" s="110"/>
      <c r="E22" s="110"/>
      <c r="F22" s="110"/>
    </row>
    <row r="23" spans="1:6" ht="15" x14ac:dyDescent="0.25">
      <c r="A23" s="117" t="s">
        <v>28</v>
      </c>
      <c r="B23" s="120">
        <f>+$B$12</f>
        <v>6</v>
      </c>
      <c r="C23" s="121">
        <v>0.62</v>
      </c>
      <c r="D23" s="110"/>
      <c r="E23" s="110"/>
      <c r="F23" s="110"/>
    </row>
    <row r="24" spans="1:6" ht="15" x14ac:dyDescent="0.25">
      <c r="A24" s="110"/>
      <c r="B24" s="122"/>
      <c r="C24" s="110"/>
      <c r="D24" s="110"/>
      <c r="E24" s="123"/>
      <c r="F24" s="110"/>
    </row>
    <row r="25" spans="1:6" ht="15" x14ac:dyDescent="0.25">
      <c r="A25" s="124" t="s">
        <v>12</v>
      </c>
      <c r="B25" s="125">
        <f>0.613*C23*$D$18*$D$19*($B$9^2)*$B$8</f>
        <v>654.17827499999999</v>
      </c>
      <c r="C25" s="126" t="s">
        <v>166</v>
      </c>
      <c r="D25" s="127" t="s">
        <v>172</v>
      </c>
      <c r="E25" s="127" t="s">
        <v>52</v>
      </c>
      <c r="F25" s="110"/>
    </row>
    <row r="26" spans="1:6" ht="15" x14ac:dyDescent="0.25">
      <c r="A26" s="110"/>
      <c r="B26" s="122"/>
      <c r="C26" s="110"/>
      <c r="D26" s="110"/>
      <c r="E26" s="128"/>
      <c r="F26" s="110"/>
    </row>
    <row r="27" spans="1:6" ht="15" x14ac:dyDescent="0.25">
      <c r="A27" s="110"/>
      <c r="B27" s="122"/>
      <c r="C27" s="110"/>
      <c r="D27" s="110"/>
      <c r="E27" s="110"/>
      <c r="F27" s="110"/>
    </row>
    <row r="28" spans="1:6" ht="15" x14ac:dyDescent="0.25">
      <c r="A28" s="255" t="s">
        <v>30</v>
      </c>
      <c r="B28" s="256"/>
      <c r="C28" s="256"/>
      <c r="D28" s="256"/>
      <c r="E28" s="256"/>
      <c r="F28" s="257"/>
    </row>
    <row r="29" spans="1:6" ht="15" x14ac:dyDescent="0.25">
      <c r="A29" s="110"/>
      <c r="B29" s="129"/>
      <c r="C29" s="129"/>
      <c r="D29" s="129"/>
      <c r="E29" s="129"/>
      <c r="F29" s="129"/>
    </row>
    <row r="30" spans="1:6" ht="15" x14ac:dyDescent="0.25">
      <c r="A30" s="110"/>
      <c r="B30" s="129"/>
      <c r="C30" s="129"/>
      <c r="D30" s="129"/>
      <c r="E30" s="129"/>
      <c r="F30" s="129"/>
    </row>
    <row r="31" spans="1:6" ht="15" x14ac:dyDescent="0.25">
      <c r="A31" s="110"/>
      <c r="B31" s="129"/>
      <c r="C31" s="129"/>
      <c r="D31" s="129"/>
      <c r="E31" s="129"/>
      <c r="F31" s="129"/>
    </row>
    <row r="32" spans="1:6" ht="15" x14ac:dyDescent="0.25">
      <c r="A32" s="110"/>
      <c r="B32" s="122"/>
      <c r="C32" s="110"/>
      <c r="D32" s="110"/>
      <c r="E32" s="110"/>
      <c r="F32" s="110"/>
    </row>
    <row r="33" spans="1:8" ht="15" x14ac:dyDescent="0.2">
      <c r="A33" s="246" t="s">
        <v>175</v>
      </c>
      <c r="B33" s="247"/>
      <c r="C33" s="247"/>
      <c r="D33" s="247"/>
      <c r="E33" s="247"/>
      <c r="F33" s="248"/>
    </row>
    <row r="34" spans="1:8" s="65" customFormat="1" ht="15" x14ac:dyDescent="0.2">
      <c r="A34" s="130"/>
      <c r="B34" s="131"/>
      <c r="C34" s="131"/>
      <c r="D34" s="131"/>
      <c r="E34" s="131"/>
      <c r="F34" s="131"/>
    </row>
    <row r="35" spans="1:8" ht="15" x14ac:dyDescent="0.25">
      <c r="A35" s="132" t="s">
        <v>32</v>
      </c>
      <c r="B35" s="132" t="s">
        <v>33</v>
      </c>
      <c r="C35" s="258" t="s">
        <v>34</v>
      </c>
      <c r="D35" s="237" t="s">
        <v>35</v>
      </c>
      <c r="E35" s="237" t="s">
        <v>36</v>
      </c>
      <c r="F35" s="110"/>
    </row>
    <row r="36" spans="1:8" ht="15" x14ac:dyDescent="0.25">
      <c r="A36" s="79" t="s">
        <v>22</v>
      </c>
      <c r="B36" s="79" t="s">
        <v>22</v>
      </c>
      <c r="C36" s="258"/>
      <c r="D36" s="237"/>
      <c r="E36" s="237"/>
      <c r="F36" s="110"/>
    </row>
    <row r="37" spans="1:8" ht="15" x14ac:dyDescent="0.25">
      <c r="A37" s="120">
        <f>+$B$12</f>
        <v>6</v>
      </c>
      <c r="B37" s="120">
        <f>+$B$11</f>
        <v>7.62</v>
      </c>
      <c r="C37" s="117">
        <f>+ROUND(A37/B37,2)</f>
        <v>0.79</v>
      </c>
      <c r="D37" s="117" t="str">
        <f>+IF(C37&lt;1.4, "Rígida", "Flexible")</f>
        <v>Rígida</v>
      </c>
      <c r="E37" s="117">
        <f>+IF(D37="Rígida", 0.85, "Ver 5.8")</f>
        <v>0.85</v>
      </c>
      <c r="F37" s="110"/>
    </row>
    <row r="38" spans="1:8" ht="15" x14ac:dyDescent="0.25">
      <c r="A38" s="110"/>
      <c r="B38" s="110"/>
      <c r="C38" s="110"/>
      <c r="D38" s="110"/>
      <c r="E38" s="110"/>
      <c r="F38" s="110"/>
    </row>
    <row r="39" spans="1:8" ht="15" x14ac:dyDescent="0.25">
      <c r="A39" s="110"/>
      <c r="B39" s="122"/>
      <c r="C39" s="110"/>
      <c r="D39" s="110"/>
      <c r="E39" s="110"/>
      <c r="F39" s="110"/>
    </row>
    <row r="40" spans="1:8" ht="15" x14ac:dyDescent="0.25">
      <c r="A40" s="249" t="s">
        <v>55</v>
      </c>
      <c r="B40" s="250"/>
      <c r="C40" s="250"/>
      <c r="D40" s="250"/>
      <c r="E40" s="250"/>
      <c r="F40" s="251"/>
    </row>
    <row r="41" spans="1:8" s="65" customFormat="1" ht="15" x14ac:dyDescent="0.25">
      <c r="A41" s="133"/>
      <c r="B41" s="127"/>
      <c r="C41" s="127"/>
      <c r="D41" s="127"/>
      <c r="E41" s="127"/>
      <c r="F41" s="127"/>
    </row>
    <row r="42" spans="1:8" ht="15" x14ac:dyDescent="0.25">
      <c r="A42" s="237" t="s">
        <v>56</v>
      </c>
      <c r="B42" s="237" t="s">
        <v>57</v>
      </c>
      <c r="C42" s="145" t="s">
        <v>58</v>
      </c>
      <c r="D42" s="110"/>
      <c r="E42" s="65"/>
      <c r="F42" s="65"/>
    </row>
    <row r="43" spans="1:8" ht="15" x14ac:dyDescent="0.25">
      <c r="A43" s="237"/>
      <c r="B43" s="237"/>
      <c r="C43" s="145">
        <v>6</v>
      </c>
      <c r="D43" s="65"/>
      <c r="E43" s="65"/>
      <c r="F43" s="65"/>
      <c r="G43" s="231" t="s">
        <v>183</v>
      </c>
      <c r="H43" s="231"/>
    </row>
    <row r="44" spans="1:8" ht="15" x14ac:dyDescent="0.25">
      <c r="A44" s="149" t="s">
        <v>59</v>
      </c>
      <c r="B44" s="232">
        <f>+ROUND(B12/B10,2)</f>
        <v>0.39</v>
      </c>
      <c r="C44" s="146">
        <v>-0.7</v>
      </c>
      <c r="D44" s="65"/>
      <c r="E44" s="65"/>
      <c r="F44" s="65"/>
    </row>
    <row r="45" spans="1:8" ht="15" x14ac:dyDescent="0.25">
      <c r="A45" s="134" t="s">
        <v>60</v>
      </c>
      <c r="B45" s="233"/>
      <c r="C45" s="146">
        <v>-0.3</v>
      </c>
      <c r="D45" s="65"/>
      <c r="E45" s="65"/>
      <c r="F45" s="65"/>
    </row>
    <row r="46" spans="1:8" ht="15" x14ac:dyDescent="0.25">
      <c r="A46" s="110"/>
      <c r="B46" s="122"/>
      <c r="C46" s="110"/>
      <c r="D46" s="110"/>
      <c r="E46" s="110"/>
      <c r="F46" s="110"/>
    </row>
    <row r="47" spans="1:8" ht="15" x14ac:dyDescent="0.25">
      <c r="A47" s="236" t="s">
        <v>61</v>
      </c>
      <c r="B47" s="236"/>
      <c r="C47" s="236"/>
      <c r="D47" s="236"/>
      <c r="E47" s="236"/>
      <c r="F47" s="236"/>
    </row>
    <row r="48" spans="1:8" ht="15" x14ac:dyDescent="0.25">
      <c r="A48" s="110"/>
      <c r="B48" s="110"/>
      <c r="C48" s="110"/>
      <c r="D48" s="110"/>
      <c r="E48" s="110"/>
      <c r="F48" s="110"/>
    </row>
    <row r="49" spans="1:6" ht="14.45" customHeight="1" x14ac:dyDescent="0.2">
      <c r="A49" s="239" t="s">
        <v>41</v>
      </c>
      <c r="B49" s="239" t="s">
        <v>57</v>
      </c>
      <c r="C49" s="239" t="s">
        <v>62</v>
      </c>
      <c r="D49" s="239"/>
      <c r="E49" s="239"/>
      <c r="F49" s="239" t="s">
        <v>44</v>
      </c>
    </row>
    <row r="50" spans="1:6" x14ac:dyDescent="0.2">
      <c r="A50" s="239"/>
      <c r="B50" s="239"/>
      <c r="C50" s="239"/>
      <c r="D50" s="239"/>
      <c r="E50" s="239"/>
      <c r="F50" s="239"/>
    </row>
    <row r="51" spans="1:6" ht="15" x14ac:dyDescent="0.25">
      <c r="A51" s="229" t="s">
        <v>27</v>
      </c>
      <c r="B51" s="234">
        <f>+ROUND(B12/B11,2)</f>
        <v>0.79</v>
      </c>
      <c r="C51" s="238" t="s">
        <v>184</v>
      </c>
      <c r="D51" s="238"/>
      <c r="E51" s="238"/>
      <c r="F51" s="135">
        <v>-1.04</v>
      </c>
    </row>
    <row r="52" spans="1:6" ht="15" x14ac:dyDescent="0.25">
      <c r="A52" s="230"/>
      <c r="B52" s="235"/>
      <c r="C52" s="238" t="s">
        <v>64</v>
      </c>
      <c r="D52" s="238"/>
      <c r="E52" s="238"/>
      <c r="F52" s="135">
        <v>-0.7</v>
      </c>
    </row>
    <row r="53" spans="1:6" ht="15" x14ac:dyDescent="0.25">
      <c r="A53" s="110"/>
      <c r="B53" s="122"/>
      <c r="C53" s="110"/>
      <c r="D53" s="110"/>
      <c r="E53" s="110"/>
      <c r="F53" s="110"/>
    </row>
    <row r="54" spans="1:6" ht="15" x14ac:dyDescent="0.25">
      <c r="A54" s="236" t="s">
        <v>177</v>
      </c>
      <c r="B54" s="236"/>
      <c r="C54" s="236"/>
      <c r="D54" s="236"/>
      <c r="E54" s="236"/>
      <c r="F54" s="236"/>
    </row>
    <row r="55" spans="1:6" ht="15" x14ac:dyDescent="0.25">
      <c r="A55" s="110"/>
      <c r="B55" s="122"/>
      <c r="C55" s="110"/>
      <c r="D55" s="110"/>
      <c r="E55" s="110"/>
      <c r="F55" s="110"/>
    </row>
    <row r="56" spans="1:6" ht="15" x14ac:dyDescent="0.25">
      <c r="A56" s="118" t="s">
        <v>178</v>
      </c>
      <c r="B56" s="136" t="s">
        <v>179</v>
      </c>
      <c r="C56" s="136" t="s">
        <v>180</v>
      </c>
      <c r="D56" s="110"/>
      <c r="E56" s="110"/>
      <c r="F56" s="110"/>
    </row>
    <row r="57" spans="1:6" ht="15" x14ac:dyDescent="0.25">
      <c r="A57" s="134" t="s">
        <v>152</v>
      </c>
      <c r="B57" s="117">
        <v>0.18</v>
      </c>
      <c r="C57" s="117">
        <v>-0.18</v>
      </c>
      <c r="D57" s="110"/>
      <c r="E57" s="110"/>
      <c r="F57" s="110"/>
    </row>
    <row r="58" spans="1:6" ht="15" x14ac:dyDescent="0.25">
      <c r="A58" s="110"/>
      <c r="B58" s="122"/>
      <c r="C58" s="110"/>
      <c r="D58" s="110"/>
      <c r="E58" s="110"/>
      <c r="F58" s="110"/>
    </row>
    <row r="59" spans="1:6" ht="15" x14ac:dyDescent="0.2">
      <c r="A59" s="240" t="s">
        <v>176</v>
      </c>
      <c r="B59" s="240"/>
      <c r="C59" s="240"/>
      <c r="D59" s="240"/>
      <c r="E59" s="240"/>
      <c r="F59" s="240"/>
    </row>
    <row r="60" spans="1:6" ht="15" x14ac:dyDescent="0.25">
      <c r="A60" s="137"/>
      <c r="B60" s="137"/>
      <c r="C60" s="137"/>
      <c r="D60" s="137"/>
      <c r="E60" s="137"/>
      <c r="F60" s="137"/>
    </row>
    <row r="61" spans="1:6" ht="15" x14ac:dyDescent="0.2">
      <c r="A61" s="239" t="s">
        <v>41</v>
      </c>
      <c r="B61" s="241" t="s">
        <v>66</v>
      </c>
      <c r="C61" s="241" t="s">
        <v>67</v>
      </c>
      <c r="D61" s="239" t="s">
        <v>44</v>
      </c>
      <c r="E61" s="239" t="s">
        <v>68</v>
      </c>
      <c r="F61" s="239"/>
    </row>
    <row r="62" spans="1:6" ht="15" x14ac:dyDescent="0.2">
      <c r="A62" s="239"/>
      <c r="B62" s="241"/>
      <c r="C62" s="241"/>
      <c r="D62" s="239"/>
      <c r="E62" s="138" t="s">
        <v>69</v>
      </c>
      <c r="F62" s="138" t="s">
        <v>70</v>
      </c>
    </row>
    <row r="63" spans="1:6" ht="15" x14ac:dyDescent="0.25">
      <c r="A63" s="148" t="s">
        <v>73</v>
      </c>
      <c r="B63" s="147"/>
      <c r="C63" s="139">
        <f>+$B$25</f>
        <v>654.17827499999999</v>
      </c>
      <c r="D63" s="139">
        <f>+$C$44</f>
        <v>-0.7</v>
      </c>
      <c r="E63" s="140">
        <f>+ROUND((C63*$E$37*D63)-($B$25*$B$57),2)</f>
        <v>-506.99</v>
      </c>
      <c r="F63" s="140">
        <f>+ROUND((C63*$E$37*D63)-($B$25*$C$57),2)</f>
        <v>-271.48</v>
      </c>
    </row>
    <row r="64" spans="1:6" ht="15.75" thickBot="1" x14ac:dyDescent="0.3">
      <c r="A64" s="141" t="s">
        <v>74</v>
      </c>
      <c r="B64" s="147"/>
      <c r="C64" s="139">
        <f t="shared" ref="C64" si="0">+$B$25</f>
        <v>654.17827499999999</v>
      </c>
      <c r="D64" s="139">
        <f>+$C$45</f>
        <v>-0.3</v>
      </c>
      <c r="E64" s="140">
        <f>+ROUND((C64*$E$37*D64)-($B$25*$B$57),2)</f>
        <v>-284.57</v>
      </c>
      <c r="F64" s="140">
        <f>+ROUND((C64*$E$37*D64)-($B$25*$C$57),2)</f>
        <v>-49.06</v>
      </c>
    </row>
    <row r="65" spans="1:9" ht="15.75" thickBot="1" x14ac:dyDescent="0.3">
      <c r="A65" s="110"/>
      <c r="B65" s="122"/>
      <c r="C65" s="110"/>
      <c r="D65" s="110"/>
      <c r="E65" s="110"/>
      <c r="F65" s="110"/>
      <c r="I65" s="106">
        <v>622.52</v>
      </c>
    </row>
    <row r="66" spans="1:9" ht="15" x14ac:dyDescent="0.25">
      <c r="A66" s="242" t="s">
        <v>75</v>
      </c>
      <c r="B66" s="242"/>
      <c r="C66" s="242"/>
      <c r="D66" s="242"/>
      <c r="E66" s="242"/>
      <c r="F66" s="242"/>
    </row>
    <row r="67" spans="1:9" ht="15" x14ac:dyDescent="0.25">
      <c r="A67" s="110"/>
      <c r="B67" s="110"/>
      <c r="C67" s="110"/>
      <c r="D67" s="110"/>
      <c r="E67" s="110"/>
      <c r="F67" s="110"/>
    </row>
    <row r="68" spans="1:9" ht="15" x14ac:dyDescent="0.2">
      <c r="A68" s="239" t="s">
        <v>41</v>
      </c>
      <c r="B68" s="241" t="s">
        <v>76</v>
      </c>
      <c r="C68" s="241" t="s">
        <v>67</v>
      </c>
      <c r="D68" s="239" t="s">
        <v>44</v>
      </c>
      <c r="E68" s="239" t="s">
        <v>68</v>
      </c>
      <c r="F68" s="239"/>
    </row>
    <row r="69" spans="1:9" ht="15" x14ac:dyDescent="0.2">
      <c r="A69" s="239"/>
      <c r="B69" s="241"/>
      <c r="C69" s="241"/>
      <c r="D69" s="239"/>
      <c r="E69" s="138" t="s">
        <v>69</v>
      </c>
      <c r="F69" s="138" t="s">
        <v>70</v>
      </c>
    </row>
    <row r="70" spans="1:9" ht="15" x14ac:dyDescent="0.25">
      <c r="A70" s="229" t="s">
        <v>27</v>
      </c>
      <c r="B70" s="142" t="str">
        <f>+C51</f>
        <v>0 - h/2</v>
      </c>
      <c r="C70" s="140">
        <f>+$B$25</f>
        <v>654.17827499999999</v>
      </c>
      <c r="D70" s="139">
        <f>+F51</f>
        <v>-1.04</v>
      </c>
      <c r="E70" s="143">
        <f>+(C70*$E$37*$D70)-($B$25*$B$57)</f>
        <v>-696.04568459999996</v>
      </c>
      <c r="F70" s="144">
        <f>+(C70*$E$37*$D70)-($B$25*$C$57)</f>
        <v>-460.54150559999994</v>
      </c>
    </row>
    <row r="71" spans="1:9" ht="15" x14ac:dyDescent="0.25">
      <c r="A71" s="230"/>
      <c r="B71" s="142" t="str">
        <f>+C52</f>
        <v>≥ 2h</v>
      </c>
      <c r="C71" s="140">
        <f>+$B$25</f>
        <v>654.17827499999999</v>
      </c>
      <c r="D71" s="139">
        <f>+F52</f>
        <v>-0.7</v>
      </c>
      <c r="E71" s="144">
        <f>+(C71*$E$37*$D71)-($B$25*$B$57)</f>
        <v>-506.98816312499997</v>
      </c>
      <c r="F71" s="144">
        <f>+(C71*$E$37*$D71)-($B$25*$C$57)</f>
        <v>-271.48398412499995</v>
      </c>
    </row>
    <row r="72" spans="1:9" x14ac:dyDescent="0.2">
      <c r="A72" s="65"/>
      <c r="B72" s="66"/>
      <c r="C72" s="65"/>
      <c r="D72" s="65"/>
      <c r="E72" s="65"/>
      <c r="F72" s="65"/>
    </row>
    <row r="73" spans="1:9" x14ac:dyDescent="0.2">
      <c r="A73" s="212" t="s">
        <v>78</v>
      </c>
      <c r="B73" s="213"/>
      <c r="C73" s="213"/>
      <c r="D73" s="213"/>
      <c r="E73" s="213"/>
      <c r="F73" s="213"/>
    </row>
    <row r="74" spans="1:9" x14ac:dyDescent="0.2">
      <c r="A74" s="190" t="s">
        <v>79</v>
      </c>
      <c r="B74" s="191"/>
      <c r="C74" s="191"/>
      <c r="D74" s="191"/>
      <c r="E74" s="191"/>
      <c r="F74" s="191"/>
    </row>
    <row r="75" spans="1:9" x14ac:dyDescent="0.2">
      <c r="A75" s="166" t="s">
        <v>41</v>
      </c>
      <c r="B75" s="166" t="s">
        <v>80</v>
      </c>
      <c r="C75" s="24" t="s">
        <v>81</v>
      </c>
      <c r="D75" s="24" t="s">
        <v>82</v>
      </c>
      <c r="E75" s="166" t="s">
        <v>83</v>
      </c>
      <c r="F75" s="166"/>
    </row>
    <row r="76" spans="1:9" x14ac:dyDescent="0.2">
      <c r="A76" s="166"/>
      <c r="B76" s="166"/>
      <c r="C76" s="25" t="s">
        <v>84</v>
      </c>
      <c r="D76" s="25" t="s">
        <v>84</v>
      </c>
      <c r="E76" s="166"/>
      <c r="F76" s="166"/>
    </row>
    <row r="77" spans="1:9" x14ac:dyDescent="0.2">
      <c r="A77" s="215" t="s">
        <v>85</v>
      </c>
      <c r="B77" s="26"/>
      <c r="C77" s="26"/>
      <c r="D77" s="27"/>
      <c r="E77" s="28" t="s">
        <v>86</v>
      </c>
      <c r="F77" s="29" t="s">
        <v>87</v>
      </c>
    </row>
    <row r="78" spans="1:9" x14ac:dyDescent="0.2">
      <c r="A78" s="216"/>
      <c r="B78" s="30" t="s">
        <v>89</v>
      </c>
      <c r="C78" s="31">
        <f>5*1.2</f>
        <v>6</v>
      </c>
      <c r="D78" s="17">
        <f>5*5/3</f>
        <v>8.3333333333333339</v>
      </c>
      <c r="E78" s="32">
        <v>0.85</v>
      </c>
      <c r="F78" s="32">
        <v>-0.93</v>
      </c>
    </row>
    <row r="79" spans="1:9" x14ac:dyDescent="0.2">
      <c r="A79" s="216"/>
      <c r="B79" s="30" t="s">
        <v>90</v>
      </c>
      <c r="C79" s="33">
        <f>1.2*1.1</f>
        <v>1.32</v>
      </c>
      <c r="D79" s="17">
        <f>1.75*1.75/3</f>
        <v>1.0208333333333333</v>
      </c>
      <c r="E79" s="32">
        <v>0.97</v>
      </c>
      <c r="F79" s="32">
        <v>-1.05</v>
      </c>
    </row>
    <row r="80" spans="1:9" x14ac:dyDescent="0.2">
      <c r="A80" s="217"/>
      <c r="B80" s="34" t="s">
        <v>91</v>
      </c>
      <c r="C80" s="21">
        <f>0.253*1.75</f>
        <v>0.44274999999999998</v>
      </c>
      <c r="D80" s="35" t="s">
        <v>92</v>
      </c>
      <c r="E80" s="32">
        <v>1</v>
      </c>
      <c r="F80" s="32">
        <v>-1.1000000000000001</v>
      </c>
    </row>
    <row r="81" spans="1:6" x14ac:dyDescent="0.2">
      <c r="A81" s="215" t="s">
        <v>93</v>
      </c>
      <c r="B81" s="36"/>
      <c r="C81" s="37"/>
      <c r="D81" s="38"/>
      <c r="E81" s="28" t="s">
        <v>94</v>
      </c>
      <c r="F81" s="28" t="s">
        <v>95</v>
      </c>
    </row>
    <row r="82" spans="1:6" x14ac:dyDescent="0.2">
      <c r="A82" s="216"/>
      <c r="B82" s="7" t="s">
        <v>97</v>
      </c>
      <c r="C82" s="31">
        <f>5*2.09</f>
        <v>10.45</v>
      </c>
      <c r="D82" s="17">
        <f>5+5/3</f>
        <v>6.666666666666667</v>
      </c>
      <c r="E82" s="17">
        <v>0.3</v>
      </c>
      <c r="F82" s="17">
        <v>-0.8</v>
      </c>
    </row>
    <row r="83" spans="1:6" x14ac:dyDescent="0.2">
      <c r="A83" s="216"/>
      <c r="B83" s="7" t="s">
        <v>90</v>
      </c>
      <c r="C83" s="33">
        <f>0.951*2.09</f>
        <v>1.9875899999999997</v>
      </c>
      <c r="D83" s="17">
        <f>2.09*2.09/3</f>
        <v>1.4560333333333331</v>
      </c>
      <c r="E83" s="17">
        <v>0.41</v>
      </c>
      <c r="F83" s="17">
        <v>-0.85</v>
      </c>
    </row>
    <row r="84" spans="1:6" x14ac:dyDescent="0.2">
      <c r="A84" s="217"/>
      <c r="B84" s="5" t="s">
        <v>91</v>
      </c>
      <c r="C84" s="21">
        <f>0.253*2.09</f>
        <v>0.52876999999999996</v>
      </c>
      <c r="D84" s="35" t="s">
        <v>92</v>
      </c>
      <c r="E84" s="17">
        <v>-0.5</v>
      </c>
      <c r="F84" s="17">
        <v>-0.9</v>
      </c>
    </row>
    <row r="86" spans="1:6" x14ac:dyDescent="0.2">
      <c r="A86" s="150" t="s">
        <v>98</v>
      </c>
      <c r="B86" s="150"/>
      <c r="C86" s="150"/>
      <c r="D86" s="150"/>
      <c r="E86" s="150"/>
    </row>
    <row r="87" spans="1:6" x14ac:dyDescent="0.2">
      <c r="A87" s="216" t="s">
        <v>99</v>
      </c>
      <c r="B87" s="218" t="s">
        <v>87</v>
      </c>
      <c r="C87" s="218"/>
      <c r="D87" s="218" t="s">
        <v>88</v>
      </c>
      <c r="E87" s="218"/>
    </row>
    <row r="88" spans="1:6" x14ac:dyDescent="0.2">
      <c r="A88" s="217"/>
      <c r="B88" s="14" t="s">
        <v>100</v>
      </c>
      <c r="C88" s="29" t="s">
        <v>101</v>
      </c>
      <c r="D88" s="14" t="s">
        <v>100</v>
      </c>
      <c r="E88" s="14" t="s">
        <v>101</v>
      </c>
    </row>
    <row r="89" spans="1:6" x14ac:dyDescent="0.2">
      <c r="A89" s="8" t="s">
        <v>102</v>
      </c>
      <c r="B89" s="39">
        <f>+$I$65*(E78+0.18)</f>
        <v>641.19560000000001</v>
      </c>
      <c r="C89" s="39">
        <f>+$I$65*(F78-0.18)</f>
        <v>-690.99720000000002</v>
      </c>
      <c r="D89" s="39">
        <v>1007.4430000000001</v>
      </c>
      <c r="E89" s="39" t="e">
        <f>+I65*(#REF!-0.18)</f>
        <v>#REF!</v>
      </c>
    </row>
    <row r="90" spans="1:6" x14ac:dyDescent="0.2">
      <c r="A90" s="8" t="s">
        <v>90</v>
      </c>
      <c r="B90" s="39">
        <f>+I65*(E79+0.18)</f>
        <v>715.89799999999991</v>
      </c>
      <c r="C90" s="39">
        <f>+I65*(F79-0.18)</f>
        <v>-765.69959999999992</v>
      </c>
      <c r="D90" s="39">
        <v>1124.8149999999998</v>
      </c>
      <c r="E90" s="39" t="e">
        <f>+I65*(#REF!-0.18)</f>
        <v>#REF!</v>
      </c>
    </row>
    <row r="91" spans="1:6" x14ac:dyDescent="0.2">
      <c r="A91" s="8" t="s">
        <v>91</v>
      </c>
      <c r="B91" s="39">
        <f>+I65*(E80+0.18)</f>
        <v>734.57359999999994</v>
      </c>
      <c r="C91" s="39">
        <f>+I65*(F80-0.18)</f>
        <v>-796.82560000000001</v>
      </c>
      <c r="D91" s="39">
        <v>1154.1579999999999</v>
      </c>
      <c r="E91" s="39" t="e">
        <f>+I65*(#REF!-0.18)</f>
        <v>#REF!</v>
      </c>
    </row>
    <row r="92" spans="1:6" x14ac:dyDescent="0.2">
      <c r="A92" s="219" t="s">
        <v>93</v>
      </c>
      <c r="B92" s="14" t="s">
        <v>103</v>
      </c>
      <c r="C92" s="14" t="s">
        <v>104</v>
      </c>
      <c r="D92" s="179" t="s">
        <v>105</v>
      </c>
      <c r="E92" s="179"/>
    </row>
    <row r="93" spans="1:6" x14ac:dyDescent="0.2">
      <c r="A93" s="217"/>
      <c r="B93" s="14" t="s">
        <v>100</v>
      </c>
      <c r="C93" s="14" t="s">
        <v>101</v>
      </c>
      <c r="D93" s="179" t="s">
        <v>101</v>
      </c>
      <c r="E93" s="179"/>
    </row>
    <row r="94" spans="1:6" x14ac:dyDescent="0.2">
      <c r="A94" s="8" t="s">
        <v>106</v>
      </c>
      <c r="B94" s="40">
        <f>+I65*(E82+0.18)</f>
        <v>298.80959999999999</v>
      </c>
      <c r="C94" s="41">
        <f>+I65*(F82-0.18)</f>
        <v>-610.06959999999992</v>
      </c>
      <c r="D94" s="214" t="e">
        <f>+I65*(#REF!-0.18)</f>
        <v>#REF!</v>
      </c>
      <c r="E94" s="214"/>
    </row>
    <row r="95" spans="1:6" x14ac:dyDescent="0.2">
      <c r="A95" s="8" t="s">
        <v>90</v>
      </c>
      <c r="B95" s="40">
        <f>+I65*(E83+0.18)</f>
        <v>367.28679999999997</v>
      </c>
      <c r="C95" s="41">
        <f>+I65*(F83-0.18)</f>
        <v>-641.19560000000001</v>
      </c>
      <c r="D95" s="214" t="e">
        <f>+I65*(#REF!-0.18)</f>
        <v>#REF!</v>
      </c>
      <c r="E95" s="214"/>
    </row>
    <row r="96" spans="1:6" x14ac:dyDescent="0.2">
      <c r="A96" s="8" t="s">
        <v>91</v>
      </c>
      <c r="B96" s="40">
        <f>+I65*(E84+0.18)</f>
        <v>-199.2064</v>
      </c>
      <c r="C96" s="41">
        <f>+I65*(F84-0.18)</f>
        <v>-672.32159999999999</v>
      </c>
      <c r="D96" s="214" t="e">
        <f>+I65*(#REF!-0.18)</f>
        <v>#REF!</v>
      </c>
      <c r="E96" s="214"/>
    </row>
    <row r="97" spans="1:13" ht="13.5" thickBot="1" x14ac:dyDescent="0.25"/>
    <row r="98" spans="1:13" x14ac:dyDescent="0.2">
      <c r="A98" s="150" t="s">
        <v>107</v>
      </c>
      <c r="B98" s="150"/>
      <c r="C98" s="150"/>
      <c r="D98" s="150"/>
      <c r="E98" s="150"/>
      <c r="F98" s="150"/>
      <c r="G98" s="150"/>
      <c r="I98" s="42"/>
      <c r="J98" s="43"/>
      <c r="K98" s="43"/>
      <c r="L98" s="43"/>
      <c r="M98" s="44"/>
    </row>
    <row r="99" spans="1:13" ht="15" x14ac:dyDescent="0.2">
      <c r="A99" s="223" t="s">
        <v>108</v>
      </c>
      <c r="B99" s="225" t="s">
        <v>109</v>
      </c>
      <c r="C99" s="223" t="s">
        <v>110</v>
      </c>
      <c r="D99" s="227" t="s">
        <v>111</v>
      </c>
      <c r="E99" s="228"/>
      <c r="F99" s="105" t="s">
        <v>3</v>
      </c>
      <c r="G99" s="223" t="s">
        <v>114</v>
      </c>
      <c r="I99" s="45"/>
      <c r="J99" s="46"/>
      <c r="K99" s="46"/>
      <c r="L99" s="46"/>
      <c r="M99" s="47"/>
    </row>
    <row r="100" spans="1:13" ht="15" x14ac:dyDescent="0.2">
      <c r="A100" s="224"/>
      <c r="B100" s="226"/>
      <c r="C100" s="224"/>
      <c r="D100" s="48" t="s">
        <v>115</v>
      </c>
      <c r="E100" s="48" t="s">
        <v>116</v>
      </c>
      <c r="F100" s="48" t="s">
        <v>117</v>
      </c>
      <c r="G100" s="224"/>
      <c r="I100" s="45"/>
      <c r="J100" s="46"/>
      <c r="K100" s="46"/>
      <c r="L100" s="46"/>
      <c r="M100" s="47"/>
    </row>
    <row r="101" spans="1:13" ht="15" x14ac:dyDescent="0.25">
      <c r="A101" s="220" t="s">
        <v>51</v>
      </c>
      <c r="B101" s="49" t="s">
        <v>119</v>
      </c>
      <c r="C101" s="50" t="e">
        <f>+#REF!*1.2/1000</f>
        <v>#REF!</v>
      </c>
      <c r="D101" s="50">
        <f>+$E$70*2.09*5/1000</f>
        <v>-7.273677404069999</v>
      </c>
      <c r="E101" s="50">
        <f>+($E$70*2.09*5/2)/1000</f>
        <v>-3.6368387020349995</v>
      </c>
      <c r="F101" s="50">
        <f>+$E$70*2.09*5/1000</f>
        <v>-7.273677404069999</v>
      </c>
      <c r="G101" s="50" t="e">
        <f>+#REF!*1.2/1000</f>
        <v>#REF!</v>
      </c>
      <c r="I101" s="45"/>
      <c r="J101" s="46"/>
      <c r="K101" s="46"/>
      <c r="L101" s="46"/>
      <c r="M101" s="47"/>
    </row>
    <row r="102" spans="1:13" ht="15" x14ac:dyDescent="0.25">
      <c r="A102" s="221"/>
      <c r="B102" s="49" t="s">
        <v>120</v>
      </c>
      <c r="C102" s="52" t="e">
        <f>+#REF!*1.2/1000</f>
        <v>#REF!</v>
      </c>
      <c r="D102" s="50">
        <f>+$F$70*2.09*5/1000</f>
        <v>-4.8126587335199993</v>
      </c>
      <c r="E102" s="50">
        <f>+($F$70*2.09*5/2)/1000</f>
        <v>-2.4063293667599996</v>
      </c>
      <c r="F102" s="50">
        <f>+$F$70*2.09*5/1000</f>
        <v>-4.8126587335199993</v>
      </c>
      <c r="G102" s="50" t="e">
        <f>+#REF!*1.2/1000</f>
        <v>#REF!</v>
      </c>
      <c r="I102" s="45"/>
      <c r="J102" s="46"/>
      <c r="K102" s="46"/>
      <c r="L102" s="46"/>
      <c r="M102" s="47"/>
    </row>
    <row r="103" spans="1:13" ht="15" x14ac:dyDescent="0.25">
      <c r="A103" s="222" t="s">
        <v>53</v>
      </c>
      <c r="B103" s="49" t="s">
        <v>121</v>
      </c>
      <c r="C103" s="50" t="e">
        <f>+#REF!*1.2/1000</f>
        <v>#REF!</v>
      </c>
      <c r="D103" s="50">
        <f>+$E$63*2.09*5/1000</f>
        <v>-5.2980454999999989</v>
      </c>
      <c r="E103" s="50">
        <f>+$E$63*2.09*5/1000/2</f>
        <v>-2.6490227499999994</v>
      </c>
      <c r="F103" s="50">
        <f>+$E$64*2.09*5/1000</f>
        <v>-2.9737564999999995</v>
      </c>
      <c r="G103" s="50" t="e">
        <f>+#REF!*1.2/1000</f>
        <v>#REF!</v>
      </c>
      <c r="I103" s="45"/>
      <c r="J103" s="46"/>
      <c r="K103" s="46"/>
      <c r="L103" s="46"/>
      <c r="M103" s="47"/>
    </row>
    <row r="104" spans="1:13" ht="15" x14ac:dyDescent="0.25">
      <c r="A104" s="221"/>
      <c r="B104" s="49" t="s">
        <v>122</v>
      </c>
      <c r="C104" s="50" t="e">
        <f>+#REF!*1.2/1000</f>
        <v>#REF!</v>
      </c>
      <c r="D104" s="50">
        <f>+$E$64*2.09*5/1000</f>
        <v>-2.9737564999999995</v>
      </c>
      <c r="E104" s="50">
        <f>+$E$64*2.09*5/1000/2</f>
        <v>-1.4868782499999997</v>
      </c>
      <c r="F104" s="50">
        <f>+$F$64*2.09*5/1000</f>
        <v>-0.51267700000000005</v>
      </c>
      <c r="G104" s="50" t="e">
        <f>+#REF!*1.2/1000</f>
        <v>#REF!</v>
      </c>
      <c r="I104" s="45"/>
      <c r="J104" s="46"/>
      <c r="K104" s="46"/>
      <c r="L104" s="46"/>
      <c r="M104" s="47"/>
    </row>
    <row r="105" spans="1:13" x14ac:dyDescent="0.2">
      <c r="I105" s="45"/>
      <c r="J105" s="46"/>
      <c r="K105" s="46"/>
      <c r="L105" s="46"/>
      <c r="M105" s="47"/>
    </row>
    <row r="106" spans="1:13" x14ac:dyDescent="0.2">
      <c r="A106" s="1" t="s">
        <v>123</v>
      </c>
      <c r="B106" s="3">
        <f>+SIN('[1]Dimensionado de revestimiento'!C15)</f>
        <v>0.28719334391196261</v>
      </c>
      <c r="I106" s="45"/>
      <c r="J106" s="46"/>
      <c r="K106" s="46"/>
      <c r="L106" s="46"/>
      <c r="M106" s="47"/>
    </row>
    <row r="107" spans="1:13" x14ac:dyDescent="0.2">
      <c r="A107" s="1" t="s">
        <v>124</v>
      </c>
      <c r="B107" s="53">
        <f>+COS('[1]Dimensionado de revestimiento'!C15)</f>
        <v>0.9578726341287056</v>
      </c>
      <c r="I107" s="45"/>
      <c r="J107" s="46"/>
      <c r="K107" s="46"/>
      <c r="L107" s="46"/>
      <c r="M107" s="47"/>
    </row>
    <row r="108" spans="1:13" x14ac:dyDescent="0.2">
      <c r="I108" s="45"/>
      <c r="J108" s="46"/>
      <c r="K108" s="46"/>
      <c r="L108" s="46"/>
      <c r="M108" s="47"/>
    </row>
    <row r="109" spans="1:13" ht="12.6" customHeight="1" x14ac:dyDescent="0.2">
      <c r="A109" s="150" t="s">
        <v>125</v>
      </c>
      <c r="B109" s="150"/>
      <c r="C109" s="150"/>
      <c r="D109" s="150"/>
      <c r="E109" s="150"/>
      <c r="F109" s="150"/>
      <c r="I109" s="45"/>
      <c r="J109" s="46"/>
      <c r="K109" s="46"/>
      <c r="L109" s="46"/>
      <c r="M109" s="47"/>
    </row>
    <row r="110" spans="1:13" x14ac:dyDescent="0.2">
      <c r="A110" s="54" t="s">
        <v>126</v>
      </c>
      <c r="B110" s="14" t="s">
        <v>127</v>
      </c>
      <c r="C110" s="14" t="s">
        <v>128</v>
      </c>
      <c r="D110" s="14" t="s">
        <v>129</v>
      </c>
      <c r="E110" s="14" t="s">
        <v>130</v>
      </c>
      <c r="F110" s="14" t="s">
        <v>131</v>
      </c>
      <c r="I110" s="45"/>
      <c r="J110" s="46"/>
      <c r="K110" s="46"/>
      <c r="L110" s="46"/>
      <c r="M110" s="47"/>
    </row>
    <row r="111" spans="1:13" x14ac:dyDescent="0.2">
      <c r="A111" s="8" t="s">
        <v>135</v>
      </c>
      <c r="B111" s="16">
        <f>+$B$107*D101</f>
        <v>-6.9672565348389757</v>
      </c>
      <c r="C111" s="16">
        <f>+D101*$B$106</f>
        <v>-2.0889517362117465</v>
      </c>
      <c r="D111" s="16">
        <f>+E101*$B$107</f>
        <v>-3.4836282674194878</v>
      </c>
      <c r="E111" s="16">
        <f>+E101*$B$106</f>
        <v>-1.0444758681058732</v>
      </c>
      <c r="F111" s="16">
        <f>+F101*$B$107</f>
        <v>-6.9672565348389757</v>
      </c>
      <c r="I111" s="45"/>
      <c r="J111" s="46"/>
      <c r="K111" s="46"/>
      <c r="L111" s="46"/>
      <c r="M111" s="47"/>
    </row>
    <row r="112" spans="1:13" x14ac:dyDescent="0.2">
      <c r="A112" s="8" t="s">
        <v>136</v>
      </c>
      <c r="B112" s="16">
        <f>+$B$107*D102</f>
        <v>-4.6099140982393223</v>
      </c>
      <c r="C112" s="16">
        <f>+D102*$B$106</f>
        <v>-1.3821635547867195</v>
      </c>
      <c r="D112" s="16">
        <f>+E102*$B$107</f>
        <v>-2.3049570491196611</v>
      </c>
      <c r="E112" s="16">
        <f>+E102*$B$106</f>
        <v>-0.69108177739335974</v>
      </c>
      <c r="F112" s="16">
        <f>+F102*$B$107</f>
        <v>-4.6099140982393223</v>
      </c>
      <c r="I112" s="45"/>
      <c r="J112" s="46"/>
      <c r="K112" s="46"/>
      <c r="L112" s="46"/>
      <c r="M112" s="47"/>
    </row>
    <row r="113" spans="1:13" x14ac:dyDescent="0.2">
      <c r="A113" s="8" t="s">
        <v>137</v>
      </c>
      <c r="B113" s="16">
        <f>+$B$107*D103</f>
        <v>-5.0748527988187337</v>
      </c>
      <c r="C113" s="16">
        <f>+D103*$B$106</f>
        <v>-1.5215634033427257</v>
      </c>
      <c r="D113" s="16">
        <f>+E103*$B$107</f>
        <v>-2.5374263994093669</v>
      </c>
      <c r="E113" s="16">
        <f>+E103*$B$106</f>
        <v>-0.76078170167136283</v>
      </c>
      <c r="F113" s="16">
        <f>+F103*$B$107</f>
        <v>-2.8484799719123597</v>
      </c>
      <c r="I113" s="45"/>
      <c r="J113" s="46"/>
      <c r="K113" s="46"/>
      <c r="L113" s="46"/>
      <c r="M113" s="47"/>
    </row>
    <row r="114" spans="1:13" ht="13.5" thickBot="1" x14ac:dyDescent="0.25">
      <c r="A114" s="8" t="s">
        <v>138</v>
      </c>
      <c r="B114" s="16">
        <f>+$B$107*D104</f>
        <v>-2.8484799719123597</v>
      </c>
      <c r="C114" s="16">
        <f>+D104*$B$106</f>
        <v>-0.85404307321493411</v>
      </c>
      <c r="D114" s="16">
        <f>+E104*$B$107</f>
        <v>-1.4242399859561798</v>
      </c>
      <c r="E114" s="16">
        <f>+E104*$B$106</f>
        <v>-0.42702153660746706</v>
      </c>
      <c r="F114" s="16">
        <f>+F104*$B$107</f>
        <v>-0.49107926844720245</v>
      </c>
      <c r="I114" s="55"/>
      <c r="J114" s="56"/>
      <c r="K114" s="56"/>
      <c r="L114" s="56"/>
      <c r="M114" s="57"/>
    </row>
    <row r="116" spans="1:13" x14ac:dyDescent="0.2">
      <c r="B116" s="1"/>
    </row>
    <row r="117" spans="1:13" x14ac:dyDescent="0.2">
      <c r="B117" s="1"/>
    </row>
  </sheetData>
  <mergeCells count="70">
    <mergeCell ref="A1:F1"/>
    <mergeCell ref="A21:A22"/>
    <mergeCell ref="A20:C20"/>
    <mergeCell ref="A33:F33"/>
    <mergeCell ref="A40:F40"/>
    <mergeCell ref="A2:F2"/>
    <mergeCell ref="A28:F28"/>
    <mergeCell ref="C35:C36"/>
    <mergeCell ref="D35:D36"/>
    <mergeCell ref="E35:E36"/>
    <mergeCell ref="A5:B5"/>
    <mergeCell ref="A14:F14"/>
    <mergeCell ref="A18:B18"/>
    <mergeCell ref="A19:B19"/>
    <mergeCell ref="A3:F3"/>
    <mergeCell ref="A101:A102"/>
    <mergeCell ref="A103:A104"/>
    <mergeCell ref="A109:F109"/>
    <mergeCell ref="A98:G98"/>
    <mergeCell ref="A99:A100"/>
    <mergeCell ref="B99:B100"/>
    <mergeCell ref="C99:C100"/>
    <mergeCell ref="D99:E99"/>
    <mergeCell ref="G99:G100"/>
    <mergeCell ref="D96:E96"/>
    <mergeCell ref="A77:A80"/>
    <mergeCell ref="A81:A84"/>
    <mergeCell ref="A86:E86"/>
    <mergeCell ref="A87:A88"/>
    <mergeCell ref="B87:C87"/>
    <mergeCell ref="D87:E87"/>
    <mergeCell ref="A92:A93"/>
    <mergeCell ref="D92:E92"/>
    <mergeCell ref="D93:E93"/>
    <mergeCell ref="D94:E94"/>
    <mergeCell ref="D95:E95"/>
    <mergeCell ref="A73:F73"/>
    <mergeCell ref="A74:F74"/>
    <mergeCell ref="A75:A76"/>
    <mergeCell ref="B75:B76"/>
    <mergeCell ref="E75:F76"/>
    <mergeCell ref="A66:F66"/>
    <mergeCell ref="A68:A69"/>
    <mergeCell ref="B68:B69"/>
    <mergeCell ref="C68:C69"/>
    <mergeCell ref="D68:D69"/>
    <mergeCell ref="E68:F68"/>
    <mergeCell ref="F49:F50"/>
    <mergeCell ref="A59:F59"/>
    <mergeCell ref="A61:A62"/>
    <mergeCell ref="B61:B62"/>
    <mergeCell ref="C61:C62"/>
    <mergeCell ref="D61:D62"/>
    <mergeCell ref="E61:F61"/>
    <mergeCell ref="A51:A52"/>
    <mergeCell ref="A70:A71"/>
    <mergeCell ref="G11:H11"/>
    <mergeCell ref="G10:H10"/>
    <mergeCell ref="G43:H43"/>
    <mergeCell ref="B44:B45"/>
    <mergeCell ref="B51:B52"/>
    <mergeCell ref="A54:F54"/>
    <mergeCell ref="A42:A43"/>
    <mergeCell ref="B42:B43"/>
    <mergeCell ref="C51:E51"/>
    <mergeCell ref="C52:E52"/>
    <mergeCell ref="A47:F47"/>
    <mergeCell ref="A49:A50"/>
    <mergeCell ref="B49:B50"/>
    <mergeCell ref="C49:E50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6F6C-FEED-4E5A-B5E4-D42E68AE4F1C}">
  <dimension ref="A1:S124"/>
  <sheetViews>
    <sheetView topLeftCell="A16" zoomScale="115" zoomScaleNormal="115" workbookViewId="0">
      <selection activeCell="C35" sqref="C35"/>
    </sheetView>
  </sheetViews>
  <sheetFormatPr baseColWidth="10" defaultColWidth="11.5703125" defaultRowHeight="12.75" x14ac:dyDescent="0.2"/>
  <cols>
    <col min="1" max="1" width="26" style="1" customWidth="1"/>
    <col min="2" max="2" width="13.42578125" style="3" customWidth="1"/>
    <col min="3" max="3" width="12.7109375" style="1" customWidth="1"/>
    <col min="4" max="4" width="16" style="1" customWidth="1"/>
    <col min="5" max="5" width="15.7109375" style="1" customWidth="1"/>
    <col min="6" max="6" width="11.7109375" style="1" customWidth="1"/>
    <col min="7" max="11" width="11.5703125" style="65"/>
    <col min="12" max="16384" width="11.5703125" style="1"/>
  </cols>
  <sheetData>
    <row r="1" spans="1:14" ht="14.45" customHeight="1" x14ac:dyDescent="0.2">
      <c r="A1" s="266" t="s">
        <v>167</v>
      </c>
      <c r="B1" s="267"/>
      <c r="C1" s="267"/>
      <c r="D1" s="267"/>
      <c r="E1" s="267"/>
      <c r="F1" s="267"/>
      <c r="G1" s="267"/>
      <c r="H1" s="267"/>
      <c r="I1" s="268"/>
    </row>
    <row r="2" spans="1:14" ht="14.45" customHeight="1" x14ac:dyDescent="0.2">
      <c r="A2" s="266" t="s">
        <v>168</v>
      </c>
      <c r="B2" s="267"/>
      <c r="C2" s="267"/>
      <c r="D2" s="267"/>
      <c r="E2" s="267"/>
      <c r="F2" s="267"/>
      <c r="G2" s="267"/>
      <c r="H2" s="267"/>
      <c r="I2" s="268"/>
    </row>
    <row r="3" spans="1:14" ht="14.45" customHeight="1" x14ac:dyDescent="0.2">
      <c r="A3" s="274" t="s">
        <v>139</v>
      </c>
      <c r="B3" s="275"/>
      <c r="C3" s="64"/>
      <c r="D3" s="64"/>
      <c r="G3" s="64"/>
      <c r="H3" s="64"/>
      <c r="I3" s="64"/>
      <c r="J3" s="64"/>
      <c r="K3" s="64"/>
      <c r="L3" s="2"/>
      <c r="M3" s="2"/>
      <c r="N3" s="2"/>
    </row>
    <row r="4" spans="1:14" ht="14.45" customHeight="1" x14ac:dyDescent="0.2">
      <c r="A4" s="64"/>
      <c r="B4" s="64"/>
      <c r="C4" s="64"/>
      <c r="D4" s="64"/>
      <c r="E4" s="65"/>
      <c r="F4" s="65"/>
      <c r="G4" s="64"/>
      <c r="H4" s="64"/>
      <c r="I4" s="64"/>
      <c r="J4" s="64"/>
      <c r="K4" s="64"/>
      <c r="L4" s="2"/>
      <c r="M4" s="2"/>
      <c r="N4" s="2"/>
    </row>
    <row r="5" spans="1:14" ht="14.45" customHeight="1" x14ac:dyDescent="0.2">
      <c r="A5" s="65"/>
      <c r="B5" s="66"/>
      <c r="C5" s="64"/>
      <c r="D5" s="64"/>
      <c r="E5" s="64"/>
      <c r="F5" s="64"/>
      <c r="G5" s="64"/>
      <c r="H5" s="64"/>
      <c r="I5" s="64"/>
      <c r="J5" s="64"/>
      <c r="K5" s="64"/>
      <c r="L5" s="2"/>
      <c r="M5" s="2"/>
      <c r="N5" s="2"/>
    </row>
    <row r="6" spans="1:14" ht="14.45" customHeight="1" x14ac:dyDescent="0.2">
      <c r="A6" s="269" t="s">
        <v>1</v>
      </c>
      <c r="B6" s="269"/>
      <c r="C6" s="64"/>
      <c r="D6" s="64"/>
      <c r="E6" s="64"/>
      <c r="F6" s="64"/>
      <c r="G6" s="64"/>
      <c r="H6" s="64"/>
      <c r="I6" s="64"/>
      <c r="J6" s="64"/>
      <c r="K6" s="64"/>
      <c r="L6" s="2"/>
      <c r="M6" s="2"/>
      <c r="N6" s="2"/>
    </row>
    <row r="7" spans="1:14" x14ac:dyDescent="0.2">
      <c r="A7" s="67" t="s">
        <v>2</v>
      </c>
      <c r="B7" s="73" t="s">
        <v>111</v>
      </c>
      <c r="C7" s="65"/>
      <c r="D7" s="65"/>
      <c r="E7" s="65"/>
      <c r="F7" s="65"/>
    </row>
    <row r="8" spans="1:14" x14ac:dyDescent="0.2">
      <c r="A8" s="67" t="s">
        <v>4</v>
      </c>
      <c r="B8" s="73" t="s">
        <v>5</v>
      </c>
      <c r="C8" s="65"/>
      <c r="D8" s="65"/>
      <c r="E8" s="65"/>
      <c r="F8" s="65"/>
    </row>
    <row r="9" spans="1:14" x14ac:dyDescent="0.2">
      <c r="A9" s="68" t="s">
        <v>6</v>
      </c>
      <c r="B9" s="73">
        <v>1</v>
      </c>
      <c r="C9" s="65"/>
      <c r="D9" s="65"/>
      <c r="E9" s="65"/>
      <c r="F9" s="65"/>
    </row>
    <row r="10" spans="1:14" x14ac:dyDescent="0.2">
      <c r="A10" s="68" t="s">
        <v>148</v>
      </c>
      <c r="B10" s="93">
        <v>45</v>
      </c>
      <c r="C10" s="65"/>
      <c r="D10" s="65"/>
      <c r="E10" s="65"/>
      <c r="F10" s="65"/>
    </row>
    <row r="11" spans="1:14" x14ac:dyDescent="0.2">
      <c r="A11" s="68" t="s">
        <v>8</v>
      </c>
      <c r="B11" s="60">
        <v>13.5</v>
      </c>
      <c r="C11" s="65"/>
      <c r="D11" s="65"/>
      <c r="E11" s="65"/>
      <c r="F11" s="65"/>
    </row>
    <row r="12" spans="1:14" x14ac:dyDescent="0.2">
      <c r="A12" s="68" t="s">
        <v>9</v>
      </c>
      <c r="B12" s="60">
        <v>11.4</v>
      </c>
      <c r="C12" s="65"/>
      <c r="D12" s="65"/>
      <c r="E12" s="65"/>
      <c r="F12" s="65"/>
    </row>
    <row r="13" spans="1:14" x14ac:dyDescent="0.2">
      <c r="A13" s="68" t="s">
        <v>11</v>
      </c>
      <c r="B13" s="61">
        <v>5</v>
      </c>
      <c r="C13" s="65"/>
      <c r="D13" s="65"/>
      <c r="E13" s="65"/>
      <c r="F13" s="65"/>
    </row>
    <row r="14" spans="1:14" x14ac:dyDescent="0.2">
      <c r="A14" s="68" t="s">
        <v>142</v>
      </c>
      <c r="B14" s="61">
        <v>11.67</v>
      </c>
      <c r="C14" s="65"/>
      <c r="D14" s="65"/>
      <c r="E14" s="65"/>
      <c r="F14" s="65"/>
    </row>
    <row r="15" spans="1:14" x14ac:dyDescent="0.2">
      <c r="A15" s="69"/>
      <c r="B15" s="64"/>
      <c r="C15" s="65"/>
      <c r="D15" s="65"/>
      <c r="E15" s="65"/>
      <c r="F15" s="65"/>
    </row>
    <row r="16" spans="1:14" x14ac:dyDescent="0.2">
      <c r="A16" s="270" t="s">
        <v>12</v>
      </c>
      <c r="B16" s="271"/>
      <c r="C16" s="271"/>
      <c r="D16" s="271"/>
      <c r="E16" s="271"/>
      <c r="F16" s="272"/>
    </row>
    <row r="17" spans="1:9" x14ac:dyDescent="0.2">
      <c r="A17" s="69"/>
      <c r="B17" s="64"/>
      <c r="C17" s="65"/>
      <c r="D17" s="65"/>
      <c r="E17" s="65"/>
      <c r="F17" s="65"/>
    </row>
    <row r="18" spans="1:9" x14ac:dyDescent="0.2">
      <c r="A18" s="69"/>
      <c r="B18" s="64"/>
      <c r="C18" s="65"/>
      <c r="D18" s="65"/>
      <c r="E18" s="65"/>
      <c r="F18" s="65"/>
    </row>
    <row r="19" spans="1:9" x14ac:dyDescent="0.2">
      <c r="A19" s="69"/>
      <c r="B19" s="64"/>
      <c r="C19" s="65"/>
      <c r="D19" s="65"/>
      <c r="E19" s="65"/>
      <c r="F19" s="65"/>
    </row>
    <row r="20" spans="1:9" x14ac:dyDescent="0.2">
      <c r="A20" s="273" t="s">
        <v>13</v>
      </c>
      <c r="B20" s="273"/>
      <c r="C20" s="70" t="s">
        <v>14</v>
      </c>
      <c r="D20" s="58">
        <v>1</v>
      </c>
      <c r="E20" s="65"/>
      <c r="F20" s="65"/>
    </row>
    <row r="21" spans="1:9" x14ac:dyDescent="0.2">
      <c r="A21" s="276" t="s">
        <v>15</v>
      </c>
      <c r="B21" s="276"/>
      <c r="C21" s="62" t="s">
        <v>16</v>
      </c>
      <c r="D21" s="58">
        <v>0.85</v>
      </c>
      <c r="E21" s="65"/>
      <c r="F21" s="65"/>
    </row>
    <row r="22" spans="1:9" x14ac:dyDescent="0.2">
      <c r="A22" s="65"/>
      <c r="B22" s="66"/>
      <c r="C22" s="65"/>
      <c r="D22" s="65"/>
      <c r="E22" s="65"/>
      <c r="F22" s="65"/>
    </row>
    <row r="23" spans="1:9" x14ac:dyDescent="0.2">
      <c r="A23" s="277" t="s">
        <v>17</v>
      </c>
      <c r="B23" s="277"/>
      <c r="C23" s="277"/>
      <c r="D23" s="65"/>
      <c r="E23" s="278" t="s">
        <v>12</v>
      </c>
      <c r="F23" s="278"/>
    </row>
    <row r="24" spans="1:9" x14ac:dyDescent="0.2">
      <c r="A24" s="166" t="s">
        <v>18</v>
      </c>
      <c r="B24" s="9" t="s">
        <v>19</v>
      </c>
      <c r="C24" s="9" t="s">
        <v>20</v>
      </c>
      <c r="D24" s="65"/>
      <c r="E24" s="167" t="s">
        <v>52</v>
      </c>
      <c r="F24" s="167"/>
    </row>
    <row r="25" spans="1:9" x14ac:dyDescent="0.2">
      <c r="A25" s="166"/>
      <c r="B25" s="9" t="s">
        <v>22</v>
      </c>
      <c r="C25" s="9" t="str">
        <f>+B7</f>
        <v>B</v>
      </c>
      <c r="D25" s="65"/>
      <c r="E25" s="166" t="s">
        <v>23</v>
      </c>
      <c r="F25" s="166"/>
    </row>
    <row r="26" spans="1:9" x14ac:dyDescent="0.2">
      <c r="A26" s="62" t="s">
        <v>28</v>
      </c>
      <c r="B26" s="63">
        <f>+$B$13</f>
        <v>5</v>
      </c>
      <c r="C26" s="59">
        <v>0.72</v>
      </c>
      <c r="D26" s="65"/>
      <c r="E26" s="279">
        <f>0.613*C26*$D$20*$D$21*($B$10^2)*$B$9</f>
        <v>759.69089999999994</v>
      </c>
      <c r="F26" s="279"/>
    </row>
    <row r="27" spans="1:9" x14ac:dyDescent="0.2">
      <c r="A27" s="65"/>
      <c r="B27" s="66"/>
      <c r="C27" s="65"/>
      <c r="D27" s="65"/>
      <c r="E27" s="65"/>
      <c r="F27" s="65"/>
    </row>
    <row r="28" spans="1:9" x14ac:dyDescent="0.2">
      <c r="A28" s="280" t="s">
        <v>30</v>
      </c>
      <c r="B28" s="281"/>
      <c r="C28" s="281"/>
      <c r="D28" s="281"/>
      <c r="E28" s="281"/>
      <c r="F28" s="281"/>
      <c r="G28" s="281"/>
      <c r="H28" s="281"/>
      <c r="I28" s="281"/>
    </row>
    <row r="29" spans="1:9" x14ac:dyDescent="0.2">
      <c r="A29" s="65"/>
      <c r="B29" s="71"/>
      <c r="C29" s="71"/>
      <c r="D29" s="71"/>
      <c r="E29" s="71"/>
      <c r="F29" s="71"/>
      <c r="G29" s="71"/>
      <c r="H29" s="71"/>
    </row>
    <row r="30" spans="1:9" x14ac:dyDescent="0.2">
      <c r="A30" s="65"/>
      <c r="B30" s="71"/>
      <c r="C30" s="71"/>
      <c r="D30" s="71"/>
      <c r="E30" s="71"/>
      <c r="F30" s="71"/>
      <c r="G30" s="71"/>
      <c r="H30" s="71"/>
    </row>
    <row r="31" spans="1:9" x14ac:dyDescent="0.2">
      <c r="A31" s="65"/>
      <c r="B31" s="71"/>
      <c r="C31" s="71"/>
      <c r="D31" s="71"/>
      <c r="E31" s="71"/>
      <c r="F31" s="71"/>
      <c r="G31" s="71"/>
      <c r="H31" s="71"/>
    </row>
    <row r="32" spans="1:9" x14ac:dyDescent="0.2">
      <c r="A32" s="73"/>
      <c r="B32" s="73"/>
      <c r="C32" s="73"/>
      <c r="D32" s="73"/>
      <c r="E32" s="73"/>
      <c r="F32" s="65"/>
    </row>
    <row r="33" spans="1:19" x14ac:dyDescent="0.2">
      <c r="A33" s="282" t="s">
        <v>150</v>
      </c>
      <c r="B33" s="282"/>
      <c r="C33" s="282"/>
      <c r="D33" s="73"/>
      <c r="E33" s="73"/>
      <c r="F33" s="65"/>
    </row>
    <row r="34" spans="1:19" x14ac:dyDescent="0.2">
      <c r="A34" s="5" t="s">
        <v>151</v>
      </c>
      <c r="B34" s="5" t="s">
        <v>160</v>
      </c>
      <c r="C34" s="5" t="s">
        <v>161</v>
      </c>
      <c r="D34" s="73"/>
      <c r="E34" s="73"/>
      <c r="F34" s="65"/>
    </row>
    <row r="35" spans="1:19" x14ac:dyDescent="0.2">
      <c r="A35" s="5" t="s">
        <v>152</v>
      </c>
      <c r="B35" s="5">
        <v>0.18</v>
      </c>
      <c r="C35" s="62">
        <v>-0.18</v>
      </c>
      <c r="D35" s="73"/>
      <c r="E35" s="73"/>
      <c r="F35" s="65"/>
    </row>
    <row r="36" spans="1:19" x14ac:dyDescent="0.2">
      <c r="A36" s="73"/>
      <c r="B36" s="73"/>
      <c r="C36" s="73"/>
      <c r="D36" s="73"/>
      <c r="E36" s="73"/>
      <c r="F36" s="65"/>
    </row>
    <row r="37" spans="1:19" x14ac:dyDescent="0.2">
      <c r="A37" s="82" t="s">
        <v>140</v>
      </c>
      <c r="B37" s="65"/>
      <c r="C37" s="65"/>
      <c r="D37" s="65"/>
      <c r="E37" s="65"/>
      <c r="F37" s="65"/>
    </row>
    <row r="38" spans="1:19" x14ac:dyDescent="0.2">
      <c r="A38" s="277" t="s">
        <v>149</v>
      </c>
      <c r="B38" s="277"/>
      <c r="C38" s="277"/>
      <c r="D38" s="277"/>
      <c r="E38" s="277"/>
      <c r="F38" s="277"/>
      <c r="G38" s="277"/>
      <c r="H38" s="277"/>
      <c r="I38" s="277"/>
    </row>
    <row r="39" spans="1:19" x14ac:dyDescent="0.2">
      <c r="A39" s="202" t="s">
        <v>141</v>
      </c>
      <c r="B39" s="167" t="s">
        <v>143</v>
      </c>
      <c r="C39" s="167"/>
      <c r="D39" s="167"/>
      <c r="E39" s="167"/>
      <c r="F39" s="167"/>
      <c r="G39" s="167"/>
      <c r="H39" s="167"/>
      <c r="I39" s="167"/>
    </row>
    <row r="40" spans="1:19" x14ac:dyDescent="0.2">
      <c r="A40" s="202"/>
      <c r="B40" s="179" t="s">
        <v>153</v>
      </c>
      <c r="C40" s="179"/>
      <c r="D40" s="179"/>
      <c r="E40" s="179"/>
      <c r="F40" s="179"/>
      <c r="G40" s="179"/>
      <c r="H40" s="179"/>
      <c r="I40" s="179"/>
      <c r="K40" s="1"/>
    </row>
    <row r="41" spans="1:19" x14ac:dyDescent="0.2">
      <c r="A41" s="95">
        <f>+$B$14</f>
        <v>11.67</v>
      </c>
      <c r="B41" s="72">
        <v>1</v>
      </c>
      <c r="C41" s="72">
        <v>2</v>
      </c>
      <c r="D41" s="72">
        <v>3</v>
      </c>
      <c r="E41" s="72">
        <v>4</v>
      </c>
      <c r="F41" s="72" t="s">
        <v>144</v>
      </c>
      <c r="G41" s="15" t="s">
        <v>145</v>
      </c>
      <c r="H41" s="15" t="s">
        <v>146</v>
      </c>
      <c r="I41" s="15" t="s">
        <v>147</v>
      </c>
      <c r="K41" s="1"/>
    </row>
    <row r="42" spans="1:19" x14ac:dyDescent="0.2">
      <c r="A42" s="16" t="s">
        <v>154</v>
      </c>
      <c r="B42" s="63">
        <f>+L52</f>
        <v>0.4578066666666667</v>
      </c>
      <c r="C42" s="63">
        <f t="shared" ref="C42:I42" si="0">+M52</f>
        <v>-0.69</v>
      </c>
      <c r="D42" s="63">
        <f t="shared" si="0"/>
        <v>-0.4189133333333333</v>
      </c>
      <c r="E42" s="63">
        <f t="shared" si="0"/>
        <v>-0.35225333333333331</v>
      </c>
      <c r="F42" s="63">
        <f t="shared" si="0"/>
        <v>0.6944866666666667</v>
      </c>
      <c r="G42" s="63">
        <f t="shared" si="0"/>
        <v>-1.07</v>
      </c>
      <c r="H42" s="63">
        <f t="shared" si="0"/>
        <v>-0.60114666666666672</v>
      </c>
      <c r="I42" s="63">
        <f t="shared" si="0"/>
        <v>-0.52337999999999996</v>
      </c>
      <c r="K42" s="1"/>
    </row>
    <row r="43" spans="1:19" x14ac:dyDescent="0.2">
      <c r="A43" s="16" t="s">
        <v>155</v>
      </c>
      <c r="B43" s="62">
        <f>+ROUND($E$26*B$42-$E$26*$B$35,2)</f>
        <v>211.05</v>
      </c>
      <c r="C43" s="100">
        <f t="shared" ref="C43:I43" si="1">+ROUND($E$26*C$42-$E$26*$B$35,2)</f>
        <v>-660.93</v>
      </c>
      <c r="D43" s="100">
        <f t="shared" si="1"/>
        <v>-454.99</v>
      </c>
      <c r="E43" s="62">
        <f t="shared" si="1"/>
        <v>-404.35</v>
      </c>
      <c r="F43" s="62">
        <f t="shared" si="1"/>
        <v>390.85</v>
      </c>
      <c r="G43" s="62">
        <f t="shared" si="1"/>
        <v>-949.61</v>
      </c>
      <c r="H43" s="62">
        <f t="shared" si="1"/>
        <v>-593.42999999999995</v>
      </c>
      <c r="I43" s="62">
        <f t="shared" si="1"/>
        <v>-534.35</v>
      </c>
      <c r="K43" s="1"/>
    </row>
    <row r="44" spans="1:19" x14ac:dyDescent="0.2">
      <c r="A44" s="16" t="s">
        <v>156</v>
      </c>
      <c r="B44" s="62">
        <f>+ROUND($E$26*B$42-$E$26*$C$35,2)</f>
        <v>484.54</v>
      </c>
      <c r="C44" s="100">
        <f t="shared" ref="C44:I44" si="2">+ROUND($E$26*C$42-$E$26*$C$35,2)</f>
        <v>-387.44</v>
      </c>
      <c r="D44" s="100">
        <f t="shared" si="2"/>
        <v>-181.5</v>
      </c>
      <c r="E44" s="62">
        <f t="shared" si="2"/>
        <v>-130.86000000000001</v>
      </c>
      <c r="F44" s="62">
        <f t="shared" si="2"/>
        <v>664.34</v>
      </c>
      <c r="G44" s="62">
        <f t="shared" si="2"/>
        <v>-676.12</v>
      </c>
      <c r="H44" s="62">
        <f t="shared" si="2"/>
        <v>-319.94</v>
      </c>
      <c r="I44" s="62">
        <f t="shared" si="2"/>
        <v>-260.86</v>
      </c>
      <c r="K44" s="1"/>
    </row>
    <row r="45" spans="1:19" x14ac:dyDescent="0.2">
      <c r="A45" s="92" t="s">
        <v>158</v>
      </c>
      <c r="B45" s="179" t="s">
        <v>159</v>
      </c>
      <c r="C45" s="179"/>
      <c r="D45" s="179"/>
      <c r="E45" s="179"/>
      <c r="F45" s="179"/>
      <c r="G45" s="179"/>
      <c r="H45" s="83"/>
      <c r="I45" s="83"/>
      <c r="K45" s="1"/>
    </row>
    <row r="46" spans="1:19" x14ac:dyDescent="0.2">
      <c r="A46" s="92">
        <f>+$A$41</f>
        <v>11.67</v>
      </c>
      <c r="B46" s="72">
        <v>1</v>
      </c>
      <c r="C46" s="72">
        <v>2</v>
      </c>
      <c r="D46" s="72">
        <v>3</v>
      </c>
      <c r="E46" s="72">
        <v>4</v>
      </c>
      <c r="F46" s="72">
        <v>5</v>
      </c>
      <c r="G46" s="72">
        <v>6</v>
      </c>
      <c r="H46" s="87"/>
      <c r="I46" s="87"/>
      <c r="K46" s="1"/>
    </row>
    <row r="47" spans="1:19" x14ac:dyDescent="0.2">
      <c r="A47" s="16" t="s">
        <v>154</v>
      </c>
      <c r="B47" s="62">
        <v>-0.45</v>
      </c>
      <c r="C47" s="62">
        <v>-0.69</v>
      </c>
      <c r="D47" s="62">
        <v>-0.37</v>
      </c>
      <c r="E47" s="62">
        <v>-0.45</v>
      </c>
      <c r="F47" s="62">
        <v>0.4</v>
      </c>
      <c r="G47" s="62">
        <v>-0.28999999999999998</v>
      </c>
      <c r="H47" s="87"/>
      <c r="I47" s="87"/>
      <c r="K47" s="1"/>
    </row>
    <row r="48" spans="1:19" x14ac:dyDescent="0.2">
      <c r="A48" s="16" t="s">
        <v>155</v>
      </c>
      <c r="B48" s="62">
        <f>+ROUND($E$26*B$47-$E$26*$B$35,2)</f>
        <v>-478.61</v>
      </c>
      <c r="C48" s="100">
        <f t="shared" ref="C48:G48" si="3">+ROUND($E$26*C$47-$E$26*$B$35,2)</f>
        <v>-660.93</v>
      </c>
      <c r="D48" s="100">
        <f t="shared" si="3"/>
        <v>-417.83</v>
      </c>
      <c r="E48" s="62">
        <f t="shared" si="3"/>
        <v>-478.61</v>
      </c>
      <c r="F48" s="62">
        <f t="shared" si="3"/>
        <v>167.13</v>
      </c>
      <c r="G48" s="62">
        <f t="shared" si="3"/>
        <v>-357.05</v>
      </c>
      <c r="H48" s="87"/>
      <c r="I48" s="87"/>
      <c r="K48" s="285" t="s">
        <v>157</v>
      </c>
      <c r="L48" s="285"/>
      <c r="M48" s="285"/>
      <c r="N48" s="285"/>
      <c r="O48" s="285"/>
      <c r="P48" s="285"/>
      <c r="Q48" s="285"/>
      <c r="R48" s="285"/>
      <c r="S48" s="285"/>
    </row>
    <row r="49" spans="1:19" x14ac:dyDescent="0.2">
      <c r="A49" s="16" t="s">
        <v>156</v>
      </c>
      <c r="B49" s="62">
        <f>+ROUND($E$26*B$47-$E$26*$C$35,2)</f>
        <v>-205.12</v>
      </c>
      <c r="C49" s="100">
        <f t="shared" ref="C49:G49" si="4">+ROUND($E$26*C$47-$E$26*$C$35,2)</f>
        <v>-387.44</v>
      </c>
      <c r="D49" s="100">
        <f t="shared" si="4"/>
        <v>-144.34</v>
      </c>
      <c r="E49" s="62">
        <f t="shared" si="4"/>
        <v>-205.12</v>
      </c>
      <c r="F49" s="62">
        <f t="shared" si="4"/>
        <v>440.62</v>
      </c>
      <c r="G49" s="62">
        <f t="shared" si="4"/>
        <v>-83.57</v>
      </c>
      <c r="H49" s="87"/>
      <c r="I49" s="87"/>
      <c r="K49" s="177" t="s">
        <v>153</v>
      </c>
      <c r="L49" s="177"/>
      <c r="M49" s="177"/>
      <c r="N49" s="177"/>
      <c r="O49" s="177"/>
      <c r="P49" s="177"/>
      <c r="Q49" s="177"/>
      <c r="R49" s="177"/>
      <c r="S49" s="178"/>
    </row>
    <row r="50" spans="1:19" x14ac:dyDescent="0.2">
      <c r="A50" s="96"/>
      <c r="B50" s="72" t="s">
        <v>144</v>
      </c>
      <c r="C50" s="72" t="s">
        <v>145</v>
      </c>
      <c r="D50" s="72" t="s">
        <v>146</v>
      </c>
      <c r="E50" s="72" t="s">
        <v>147</v>
      </c>
      <c r="F50" s="72" t="s">
        <v>162</v>
      </c>
      <c r="G50" s="72" t="s">
        <v>163</v>
      </c>
      <c r="H50" s="87"/>
      <c r="I50" s="87"/>
      <c r="K50" s="91" t="s">
        <v>158</v>
      </c>
      <c r="L50" s="72">
        <v>1</v>
      </c>
      <c r="M50" s="72">
        <v>2</v>
      </c>
      <c r="N50" s="72">
        <v>3</v>
      </c>
      <c r="O50" s="72">
        <v>4</v>
      </c>
      <c r="P50" s="72" t="s">
        <v>144</v>
      </c>
      <c r="Q50" s="15" t="s">
        <v>145</v>
      </c>
      <c r="R50" s="15" t="s">
        <v>146</v>
      </c>
      <c r="S50" s="15" t="s">
        <v>147</v>
      </c>
    </row>
    <row r="51" spans="1:19" x14ac:dyDescent="0.2">
      <c r="A51" s="16" t="s">
        <v>154</v>
      </c>
      <c r="B51" s="62">
        <v>-0.48</v>
      </c>
      <c r="C51" s="62">
        <v>-1.07</v>
      </c>
      <c r="D51" s="62">
        <v>-0.53</v>
      </c>
      <c r="E51" s="62">
        <v>-0.48</v>
      </c>
      <c r="F51" s="62">
        <v>0.61</v>
      </c>
      <c r="G51" s="62">
        <v>-0.43</v>
      </c>
      <c r="H51" s="87"/>
      <c r="I51" s="87"/>
      <c r="K51" s="89">
        <v>5</v>
      </c>
      <c r="L51" s="90">
        <v>0.4</v>
      </c>
      <c r="M51" s="59">
        <v>-0.69</v>
      </c>
      <c r="N51" s="59">
        <v>-0.37</v>
      </c>
      <c r="O51" s="59">
        <v>-0.28999999999999998</v>
      </c>
      <c r="P51" s="59">
        <v>0.61</v>
      </c>
      <c r="Q51" s="59">
        <v>-1.07</v>
      </c>
      <c r="R51" s="59">
        <v>-0.53</v>
      </c>
      <c r="S51" s="59">
        <v>-0.43</v>
      </c>
    </row>
    <row r="52" spans="1:19" x14ac:dyDescent="0.2">
      <c r="A52" s="16" t="s">
        <v>155</v>
      </c>
      <c r="B52" s="62">
        <f>+ROUND($E$26*B$51-$E$26*$B$35,2)</f>
        <v>-501.4</v>
      </c>
      <c r="C52" s="62">
        <f t="shared" ref="C52:G52" si="5">+ROUND($E$26*C$51-$E$26*$B$35,2)</f>
        <v>-949.61</v>
      </c>
      <c r="D52" s="62">
        <f t="shared" si="5"/>
        <v>-539.38</v>
      </c>
      <c r="E52" s="62">
        <f t="shared" si="5"/>
        <v>-501.4</v>
      </c>
      <c r="F52" s="62">
        <f t="shared" si="5"/>
        <v>326.67</v>
      </c>
      <c r="G52" s="62">
        <f t="shared" si="5"/>
        <v>-463.41</v>
      </c>
      <c r="H52" s="87"/>
      <c r="I52" s="87"/>
      <c r="K52" s="88">
        <f>+A41</f>
        <v>11.67</v>
      </c>
      <c r="L52" s="88">
        <f>+(L53-L51)*($K$52-$K$51)/($K$53-$K$51)+L51</f>
        <v>0.4578066666666667</v>
      </c>
      <c r="M52" s="88">
        <f>+(M53-M51)*($K$52-$K$51)/($K$53-$K$51)+M51</f>
        <v>-0.69</v>
      </c>
      <c r="N52" s="88">
        <f t="shared" ref="N52:S52" si="6">+(N53-N51)*($K$52-$K$51)/($K$53-$K$51)+N51</f>
        <v>-0.4189133333333333</v>
      </c>
      <c r="O52" s="88">
        <f t="shared" si="6"/>
        <v>-0.35225333333333331</v>
      </c>
      <c r="P52" s="88">
        <f t="shared" si="6"/>
        <v>0.6944866666666667</v>
      </c>
      <c r="Q52" s="88">
        <f t="shared" si="6"/>
        <v>-1.07</v>
      </c>
      <c r="R52" s="88">
        <f t="shared" si="6"/>
        <v>-0.60114666666666672</v>
      </c>
      <c r="S52" s="88">
        <f t="shared" si="6"/>
        <v>-0.52337999999999996</v>
      </c>
    </row>
    <row r="53" spans="1:19" x14ac:dyDescent="0.2">
      <c r="A53" s="16" t="s">
        <v>156</v>
      </c>
      <c r="B53" s="62">
        <f>+ROUND($E$26*B$51-$E$26*$C$35,2)</f>
        <v>-227.91</v>
      </c>
      <c r="C53" s="62">
        <f t="shared" ref="C53:G53" si="7">+ROUND($E$26*C$51-$E$26*$C$35,2)</f>
        <v>-676.12</v>
      </c>
      <c r="D53" s="62">
        <f t="shared" si="7"/>
        <v>-265.89</v>
      </c>
      <c r="E53" s="62">
        <f t="shared" si="7"/>
        <v>-227.91</v>
      </c>
      <c r="F53" s="62">
        <f t="shared" si="7"/>
        <v>600.16</v>
      </c>
      <c r="G53" s="62">
        <f t="shared" si="7"/>
        <v>-189.92</v>
      </c>
      <c r="H53" s="87"/>
      <c r="I53" s="87"/>
      <c r="K53" s="89">
        <v>20</v>
      </c>
      <c r="L53" s="89">
        <v>0.53</v>
      </c>
      <c r="M53" s="59">
        <v>-0.69</v>
      </c>
      <c r="N53" s="59">
        <v>-0.48</v>
      </c>
      <c r="O53" s="59">
        <v>-0.43</v>
      </c>
      <c r="P53" s="59">
        <v>0.8</v>
      </c>
      <c r="Q53" s="59">
        <v>-1.07</v>
      </c>
      <c r="R53" s="59">
        <v>-0.69</v>
      </c>
      <c r="S53" s="59">
        <v>-0.64</v>
      </c>
    </row>
    <row r="54" spans="1:19" x14ac:dyDescent="0.2">
      <c r="A54" s="94"/>
      <c r="B54" s="87"/>
      <c r="C54" s="87"/>
      <c r="D54" s="87"/>
      <c r="E54" s="87"/>
      <c r="F54" s="87"/>
      <c r="G54" s="87"/>
      <c r="H54" s="87"/>
      <c r="I54" s="87"/>
      <c r="K54" s="1"/>
    </row>
    <row r="55" spans="1:19" x14ac:dyDescent="0.2">
      <c r="A55" s="97" t="s">
        <v>164</v>
      </c>
      <c r="B55" s="98">
        <f>+MAX(B43:I44,B48:G49,B52:G53)</f>
        <v>664.34</v>
      </c>
      <c r="C55" s="99" t="s">
        <v>166</v>
      </c>
      <c r="D55" s="87"/>
      <c r="E55" s="87"/>
      <c r="F55" s="87"/>
      <c r="G55" s="87"/>
      <c r="H55" s="87"/>
      <c r="I55" s="87"/>
      <c r="K55" s="1"/>
    </row>
    <row r="56" spans="1:19" x14ac:dyDescent="0.2">
      <c r="A56" s="97" t="s">
        <v>165</v>
      </c>
      <c r="B56" s="98">
        <f>+MIN(B43:I44,B48:G49,B52:G53)</f>
        <v>-949.61</v>
      </c>
      <c r="C56" s="99" t="s">
        <v>166</v>
      </c>
      <c r="D56" s="87"/>
      <c r="E56" s="87"/>
      <c r="F56" s="87"/>
      <c r="G56" s="87"/>
      <c r="H56" s="87"/>
      <c r="I56" s="87"/>
      <c r="K56" s="1"/>
    </row>
    <row r="57" spans="1:19" x14ac:dyDescent="0.2">
      <c r="A57" s="94"/>
      <c r="B57" s="87"/>
      <c r="C57" s="87"/>
      <c r="D57" s="87"/>
      <c r="E57" s="87"/>
      <c r="F57" s="87"/>
      <c r="G57" s="87"/>
      <c r="H57" s="87"/>
      <c r="I57" s="87"/>
      <c r="K57" s="1"/>
    </row>
    <row r="58" spans="1:19" x14ac:dyDescent="0.2">
      <c r="A58" s="94"/>
      <c r="B58" s="87"/>
      <c r="C58" s="87"/>
      <c r="D58" s="87"/>
      <c r="E58" s="87"/>
      <c r="F58" s="87"/>
      <c r="G58" s="87"/>
      <c r="H58" s="87"/>
      <c r="I58" s="87"/>
      <c r="K58" s="1"/>
    </row>
    <row r="59" spans="1:19" x14ac:dyDescent="0.2">
      <c r="A59" s="94"/>
      <c r="B59" s="87"/>
      <c r="C59" s="87"/>
      <c r="D59" s="87"/>
      <c r="E59" s="87"/>
      <c r="F59" s="87"/>
      <c r="G59" s="87"/>
      <c r="H59" s="87"/>
      <c r="I59" s="87"/>
      <c r="K59" s="1"/>
    </row>
    <row r="60" spans="1:19" x14ac:dyDescent="0.2">
      <c r="A60" s="86"/>
      <c r="B60" s="87"/>
      <c r="C60" s="87"/>
      <c r="D60" s="87"/>
      <c r="E60" s="87"/>
      <c r="F60" s="87"/>
      <c r="G60" s="84"/>
      <c r="H60" s="84"/>
      <c r="I60" s="84"/>
      <c r="J60" s="1"/>
      <c r="K60" s="1"/>
    </row>
    <row r="61" spans="1:19" x14ac:dyDescent="0.2">
      <c r="A61" s="86"/>
      <c r="B61" s="87"/>
      <c r="C61" s="87"/>
      <c r="D61" s="87"/>
      <c r="E61" s="87"/>
      <c r="F61" s="87"/>
      <c r="G61" s="84"/>
      <c r="H61" s="84"/>
      <c r="I61" s="84"/>
      <c r="J61" s="1"/>
      <c r="K61" s="1"/>
    </row>
    <row r="62" spans="1:19" x14ac:dyDescent="0.2">
      <c r="A62" s="86"/>
      <c r="B62" s="87"/>
      <c r="C62" s="87"/>
      <c r="D62" s="87"/>
      <c r="E62" s="87"/>
      <c r="F62" s="87"/>
      <c r="G62" s="84"/>
      <c r="H62" s="84"/>
      <c r="I62" s="84"/>
      <c r="J62" s="1"/>
      <c r="K62" s="1"/>
    </row>
    <row r="63" spans="1:19" x14ac:dyDescent="0.2">
      <c r="A63" s="86"/>
      <c r="B63" s="87"/>
      <c r="C63" s="87"/>
      <c r="D63" s="87"/>
      <c r="E63" s="87"/>
      <c r="F63" s="87"/>
      <c r="G63" s="84"/>
      <c r="H63" s="84"/>
      <c r="I63" s="84"/>
      <c r="J63" s="1"/>
      <c r="K63" s="1"/>
    </row>
    <row r="64" spans="1:19" x14ac:dyDescent="0.2">
      <c r="A64" s="86"/>
      <c r="B64" s="87"/>
      <c r="C64" s="87"/>
      <c r="D64" s="87"/>
      <c r="E64" s="87"/>
      <c r="F64" s="87"/>
      <c r="G64" s="84"/>
      <c r="H64" s="84"/>
      <c r="I64" s="84"/>
      <c r="J64" s="1"/>
      <c r="K64" s="1"/>
    </row>
    <row r="65" spans="1:11" x14ac:dyDescent="0.2">
      <c r="A65" s="86"/>
      <c r="B65" s="87"/>
      <c r="C65" s="87"/>
      <c r="D65" s="87"/>
      <c r="E65" s="87"/>
      <c r="F65" s="87"/>
      <c r="G65" s="84"/>
      <c r="H65" s="84"/>
      <c r="I65" s="84"/>
      <c r="J65" s="1"/>
      <c r="K65" s="1"/>
    </row>
    <row r="66" spans="1:11" x14ac:dyDescent="0.2">
      <c r="A66" s="86"/>
      <c r="B66" s="87"/>
      <c r="C66" s="87"/>
      <c r="D66" s="87"/>
      <c r="E66" s="87"/>
      <c r="F66" s="87"/>
      <c r="G66" s="84"/>
      <c r="H66" s="84"/>
      <c r="I66" s="84"/>
      <c r="J66" s="1"/>
      <c r="K66" s="1"/>
    </row>
    <row r="67" spans="1:11" x14ac:dyDescent="0.2">
      <c r="A67" s="86"/>
      <c r="B67" s="87"/>
      <c r="C67" s="87"/>
      <c r="D67" s="87"/>
      <c r="E67" s="87"/>
      <c r="F67" s="87"/>
      <c r="G67" s="84"/>
      <c r="H67" s="84"/>
      <c r="I67" s="84"/>
      <c r="J67" s="1"/>
      <c r="K67" s="1"/>
    </row>
    <row r="68" spans="1:11" x14ac:dyDescent="0.2">
      <c r="A68" s="86"/>
      <c r="B68" s="87"/>
      <c r="C68" s="87"/>
      <c r="D68" s="87"/>
      <c r="E68" s="87"/>
      <c r="F68" s="87"/>
      <c r="G68" s="84"/>
      <c r="H68" s="84"/>
      <c r="I68" s="84"/>
      <c r="J68" s="1"/>
      <c r="K68" s="1"/>
    </row>
    <row r="69" spans="1:11" x14ac:dyDescent="0.2">
      <c r="A69" s="86"/>
      <c r="B69" s="87"/>
      <c r="C69" s="87"/>
      <c r="D69" s="87"/>
      <c r="E69" s="87"/>
      <c r="F69" s="87"/>
      <c r="G69" s="84"/>
      <c r="H69" s="84"/>
      <c r="I69" s="84"/>
      <c r="J69" s="1"/>
      <c r="K69" s="1"/>
    </row>
    <row r="70" spans="1:11" x14ac:dyDescent="0.2">
      <c r="A70" s="86"/>
      <c r="B70" s="87"/>
      <c r="C70" s="87"/>
      <c r="D70" s="87"/>
      <c r="E70" s="87"/>
      <c r="F70" s="87"/>
      <c r="G70" s="84"/>
      <c r="H70" s="84"/>
      <c r="I70" s="84"/>
      <c r="J70" s="1"/>
      <c r="K70" s="1"/>
    </row>
    <row r="71" spans="1:11" x14ac:dyDescent="0.2">
      <c r="A71" s="86"/>
      <c r="B71" s="87"/>
      <c r="C71" s="87"/>
      <c r="D71" s="87"/>
      <c r="E71" s="87"/>
      <c r="F71" s="87"/>
      <c r="G71" s="84"/>
      <c r="H71" s="84"/>
      <c r="I71" s="84"/>
      <c r="J71" s="1"/>
      <c r="K71" s="1"/>
    </row>
    <row r="72" spans="1:11" x14ac:dyDescent="0.2">
      <c r="A72" s="86"/>
      <c r="B72" s="87"/>
      <c r="C72" s="87"/>
      <c r="D72" s="87"/>
      <c r="E72" s="87"/>
      <c r="F72" s="87"/>
      <c r="G72" s="84"/>
      <c r="H72" s="84"/>
      <c r="I72" s="84"/>
      <c r="J72" s="1"/>
      <c r="K72" s="1"/>
    </row>
    <row r="73" spans="1:11" x14ac:dyDescent="0.2">
      <c r="A73" s="86"/>
      <c r="B73" s="87"/>
      <c r="C73" s="87"/>
      <c r="D73" s="87"/>
      <c r="E73" s="87"/>
      <c r="F73" s="87"/>
      <c r="G73" s="84"/>
      <c r="H73" s="84"/>
      <c r="I73" s="84"/>
      <c r="J73" s="1"/>
      <c r="K73" s="1"/>
    </row>
    <row r="74" spans="1:11" x14ac:dyDescent="0.2">
      <c r="A74" s="86"/>
      <c r="B74" s="87"/>
      <c r="C74" s="87"/>
      <c r="D74" s="87"/>
      <c r="E74" s="87"/>
      <c r="F74" s="87"/>
      <c r="G74" s="84"/>
      <c r="H74" s="84"/>
      <c r="I74" s="84"/>
      <c r="J74" s="1"/>
      <c r="K74" s="1"/>
    </row>
    <row r="75" spans="1:11" x14ac:dyDescent="0.2">
      <c r="A75" s="86"/>
      <c r="B75" s="87"/>
      <c r="C75" s="87"/>
      <c r="D75" s="87"/>
      <c r="E75" s="87"/>
      <c r="F75" s="87"/>
      <c r="G75" s="84"/>
      <c r="H75" s="84"/>
      <c r="I75" s="84"/>
      <c r="J75" s="1"/>
      <c r="K75" s="1"/>
    </row>
    <row r="76" spans="1:11" x14ac:dyDescent="0.2">
      <c r="A76" s="86"/>
      <c r="B76" s="87"/>
      <c r="C76" s="87"/>
      <c r="D76" s="87"/>
      <c r="E76" s="87"/>
      <c r="F76" s="87"/>
      <c r="G76" s="84"/>
      <c r="H76" s="84"/>
      <c r="I76" s="84"/>
      <c r="J76" s="1"/>
      <c r="K76" s="1"/>
    </row>
    <row r="77" spans="1:11" x14ac:dyDescent="0.2">
      <c r="A77" s="86"/>
      <c r="B77" s="87"/>
      <c r="C77" s="87"/>
      <c r="D77" s="87"/>
      <c r="E77" s="87"/>
      <c r="F77" s="87"/>
      <c r="G77" s="84"/>
      <c r="H77" s="84"/>
      <c r="I77" s="84"/>
      <c r="J77" s="1"/>
    </row>
    <row r="78" spans="1:11" x14ac:dyDescent="0.2">
      <c r="A78" s="86"/>
      <c r="B78" s="87"/>
      <c r="C78" s="87"/>
      <c r="D78" s="87"/>
      <c r="E78" s="87"/>
      <c r="F78" s="87"/>
      <c r="G78" s="84"/>
      <c r="H78" s="84"/>
      <c r="I78" s="84"/>
      <c r="J78" s="1"/>
    </row>
    <row r="79" spans="1:11" x14ac:dyDescent="0.2">
      <c r="A79" s="86"/>
      <c r="B79" s="87"/>
      <c r="C79" s="87"/>
      <c r="D79" s="87"/>
      <c r="E79" s="87"/>
      <c r="F79" s="87"/>
      <c r="G79" s="84"/>
      <c r="H79" s="84"/>
      <c r="I79" s="84"/>
      <c r="J79" s="1"/>
    </row>
    <row r="80" spans="1:11" x14ac:dyDescent="0.2">
      <c r="A80" s="283" t="s">
        <v>78</v>
      </c>
      <c r="B80" s="284"/>
      <c r="C80" s="284"/>
      <c r="D80" s="284"/>
      <c r="E80" s="284"/>
      <c r="F80" s="284"/>
      <c r="G80" s="85"/>
    </row>
    <row r="81" spans="1:7" x14ac:dyDescent="0.2">
      <c r="A81" s="190" t="s">
        <v>79</v>
      </c>
      <c r="B81" s="191"/>
      <c r="C81" s="191"/>
      <c r="D81" s="191"/>
      <c r="E81" s="191"/>
      <c r="F81" s="191"/>
      <c r="G81" s="192"/>
    </row>
    <row r="82" spans="1:7" x14ac:dyDescent="0.2">
      <c r="A82" s="166" t="s">
        <v>41</v>
      </c>
      <c r="B82" s="166" t="s">
        <v>80</v>
      </c>
      <c r="C82" s="24" t="s">
        <v>81</v>
      </c>
      <c r="D82" s="24" t="s">
        <v>82</v>
      </c>
      <c r="E82" s="166" t="s">
        <v>83</v>
      </c>
      <c r="F82" s="166"/>
      <c r="G82" s="166"/>
    </row>
    <row r="83" spans="1:7" x14ac:dyDescent="0.2">
      <c r="A83" s="166"/>
      <c r="B83" s="166"/>
      <c r="C83" s="25" t="s">
        <v>84</v>
      </c>
      <c r="D83" s="25" t="s">
        <v>84</v>
      </c>
      <c r="E83" s="166"/>
      <c r="F83" s="166"/>
      <c r="G83" s="166"/>
    </row>
    <row r="84" spans="1:7" x14ac:dyDescent="0.2">
      <c r="A84" s="215" t="s">
        <v>85</v>
      </c>
      <c r="B84" s="26"/>
      <c r="C84" s="26"/>
      <c r="D84" s="27"/>
      <c r="E84" s="28" t="s">
        <v>86</v>
      </c>
      <c r="F84" s="29" t="s">
        <v>87</v>
      </c>
      <c r="G84" s="75" t="s">
        <v>88</v>
      </c>
    </row>
    <row r="85" spans="1:7" x14ac:dyDescent="0.2">
      <c r="A85" s="216"/>
      <c r="B85" s="30" t="s">
        <v>89</v>
      </c>
      <c r="C85" s="31">
        <f>5*1.2</f>
        <v>6</v>
      </c>
      <c r="D85" s="17">
        <f>5*5/3</f>
        <v>8.3333333333333339</v>
      </c>
      <c r="E85" s="32">
        <v>0.85</v>
      </c>
      <c r="F85" s="32">
        <v>-0.93</v>
      </c>
      <c r="G85" s="76">
        <v>-1.1000000000000001</v>
      </c>
    </row>
    <row r="86" spans="1:7" x14ac:dyDescent="0.2">
      <c r="A86" s="216"/>
      <c r="B86" s="30" t="s">
        <v>90</v>
      </c>
      <c r="C86" s="33">
        <f>1.2*1.1</f>
        <v>1.32</v>
      </c>
      <c r="D86" s="17">
        <f>1.75*1.75/3</f>
        <v>1.0208333333333333</v>
      </c>
      <c r="E86" s="32">
        <v>0.97</v>
      </c>
      <c r="F86" s="32">
        <v>-1.05</v>
      </c>
      <c r="G86" s="76">
        <v>-1.3</v>
      </c>
    </row>
    <row r="87" spans="1:7" x14ac:dyDescent="0.2">
      <c r="A87" s="217"/>
      <c r="B87" s="34" t="s">
        <v>91</v>
      </c>
      <c r="C87" s="21">
        <f>0.253*1.75</f>
        <v>0.44274999999999998</v>
      </c>
      <c r="D87" s="35" t="s">
        <v>92</v>
      </c>
      <c r="E87" s="32">
        <v>1</v>
      </c>
      <c r="F87" s="32">
        <v>-1.1000000000000001</v>
      </c>
      <c r="G87" s="76">
        <v>-1.4</v>
      </c>
    </row>
    <row r="88" spans="1:7" x14ac:dyDescent="0.2">
      <c r="A88" s="215" t="s">
        <v>93</v>
      </c>
      <c r="B88" s="36"/>
      <c r="C88" s="37"/>
      <c r="D88" s="38"/>
      <c r="E88" s="28" t="s">
        <v>94</v>
      </c>
      <c r="F88" s="28" t="s">
        <v>95</v>
      </c>
      <c r="G88" s="77" t="s">
        <v>96</v>
      </c>
    </row>
    <row r="89" spans="1:7" x14ac:dyDescent="0.2">
      <c r="A89" s="216"/>
      <c r="B89" s="7" t="s">
        <v>97</v>
      </c>
      <c r="C89" s="31">
        <f>5*2.09</f>
        <v>10.45</v>
      </c>
      <c r="D89" s="17">
        <f>5+5/3</f>
        <v>6.666666666666667</v>
      </c>
      <c r="E89" s="17">
        <v>0.3</v>
      </c>
      <c r="F89" s="17">
        <v>-0.8</v>
      </c>
      <c r="G89" s="78">
        <v>-1.4</v>
      </c>
    </row>
    <row r="90" spans="1:7" x14ac:dyDescent="0.2">
      <c r="A90" s="216"/>
      <c r="B90" s="7" t="s">
        <v>90</v>
      </c>
      <c r="C90" s="33">
        <f>0.951*2.09</f>
        <v>1.9875899999999997</v>
      </c>
      <c r="D90" s="17">
        <f>2.09*2.09/3</f>
        <v>1.4560333333333331</v>
      </c>
      <c r="E90" s="17">
        <v>0.41</v>
      </c>
      <c r="F90" s="17">
        <v>-0.85</v>
      </c>
      <c r="G90" s="78">
        <v>-1.8</v>
      </c>
    </row>
    <row r="91" spans="1:7" x14ac:dyDescent="0.2">
      <c r="A91" s="217"/>
      <c r="B91" s="5" t="s">
        <v>91</v>
      </c>
      <c r="C91" s="21">
        <f>0.253*2.09</f>
        <v>0.52876999999999996</v>
      </c>
      <c r="D91" s="35" t="s">
        <v>92</v>
      </c>
      <c r="E91" s="17">
        <v>-0.5</v>
      </c>
      <c r="F91" s="17">
        <v>-0.9</v>
      </c>
      <c r="G91" s="78">
        <v>-2.1</v>
      </c>
    </row>
    <row r="93" spans="1:7" x14ac:dyDescent="0.2">
      <c r="A93" s="190" t="s">
        <v>98</v>
      </c>
      <c r="B93" s="191"/>
      <c r="C93" s="191"/>
      <c r="D93" s="191"/>
      <c r="E93" s="192"/>
    </row>
    <row r="94" spans="1:7" x14ac:dyDescent="0.2">
      <c r="A94" s="216" t="s">
        <v>99</v>
      </c>
      <c r="B94" s="218" t="s">
        <v>87</v>
      </c>
      <c r="C94" s="218"/>
      <c r="D94" s="218" t="s">
        <v>88</v>
      </c>
      <c r="E94" s="218"/>
    </row>
    <row r="95" spans="1:7" x14ac:dyDescent="0.2">
      <c r="A95" s="217"/>
      <c r="B95" s="14" t="s">
        <v>100</v>
      </c>
      <c r="C95" s="29" t="s">
        <v>101</v>
      </c>
      <c r="D95" s="14" t="s">
        <v>100</v>
      </c>
      <c r="E95" s="14" t="s">
        <v>101</v>
      </c>
    </row>
    <row r="96" spans="1:7" x14ac:dyDescent="0.2">
      <c r="A96" s="8" t="s">
        <v>102</v>
      </c>
      <c r="B96" s="39" t="e">
        <f>+#REF!*(E85+0.18)</f>
        <v>#REF!</v>
      </c>
      <c r="C96" s="39" t="e">
        <f>+#REF!*(F85-0.18)</f>
        <v>#REF!</v>
      </c>
      <c r="D96" s="39">
        <v>1007.4430000000001</v>
      </c>
      <c r="E96" s="39" t="e">
        <f>+#REF!*(G85-0.18)</f>
        <v>#REF!</v>
      </c>
    </row>
    <row r="97" spans="1:16" x14ac:dyDescent="0.2">
      <c r="A97" s="8" t="s">
        <v>90</v>
      </c>
      <c r="B97" s="39" t="e">
        <f>+#REF!*(E86+0.18)</f>
        <v>#REF!</v>
      </c>
      <c r="C97" s="39" t="e">
        <f>+#REF!*(F86-0.18)</f>
        <v>#REF!</v>
      </c>
      <c r="D97" s="39">
        <v>1124.8149999999998</v>
      </c>
      <c r="E97" s="39" t="e">
        <f>+#REF!*(G86-0.18)</f>
        <v>#REF!</v>
      </c>
    </row>
    <row r="98" spans="1:16" x14ac:dyDescent="0.2">
      <c r="A98" s="8" t="s">
        <v>91</v>
      </c>
      <c r="B98" s="39" t="e">
        <f>+#REF!*(E87+0.18)</f>
        <v>#REF!</v>
      </c>
      <c r="C98" s="39" t="e">
        <f>+#REF!*(F87-0.18)</f>
        <v>#REF!</v>
      </c>
      <c r="D98" s="39">
        <v>1154.1579999999999</v>
      </c>
      <c r="E98" s="39" t="e">
        <f>+#REF!*(G87-0.18)</f>
        <v>#REF!</v>
      </c>
    </row>
    <row r="99" spans="1:16" x14ac:dyDescent="0.2">
      <c r="A99" s="219" t="s">
        <v>93</v>
      </c>
      <c r="B99" s="14" t="s">
        <v>103</v>
      </c>
      <c r="C99" s="14" t="s">
        <v>104</v>
      </c>
      <c r="D99" s="179" t="s">
        <v>105</v>
      </c>
      <c r="E99" s="179"/>
    </row>
    <row r="100" spans="1:16" x14ac:dyDescent="0.2">
      <c r="A100" s="217"/>
      <c r="B100" s="14" t="s">
        <v>100</v>
      </c>
      <c r="C100" s="14" t="s">
        <v>101</v>
      </c>
      <c r="D100" s="179" t="s">
        <v>101</v>
      </c>
      <c r="E100" s="179"/>
    </row>
    <row r="101" spans="1:16" ht="13.5" thickBot="1" x14ac:dyDescent="0.25">
      <c r="A101" s="8" t="s">
        <v>106</v>
      </c>
      <c r="B101" s="40" t="e">
        <f>+#REF!*(E89+0.18)</f>
        <v>#REF!</v>
      </c>
      <c r="C101" s="41" t="e">
        <f>+#REF!*(F89-0.18)</f>
        <v>#REF!</v>
      </c>
      <c r="D101" s="214" t="e">
        <f>+#REF!*(G89-0.18)</f>
        <v>#REF!</v>
      </c>
      <c r="E101" s="214"/>
    </row>
    <row r="102" spans="1:16" x14ac:dyDescent="0.2">
      <c r="A102" s="8" t="s">
        <v>90</v>
      </c>
      <c r="B102" s="40" t="e">
        <f>+#REF!*(E90+0.18)</f>
        <v>#REF!</v>
      </c>
      <c r="C102" s="41" t="e">
        <f>+#REF!*(F90-0.18)</f>
        <v>#REF!</v>
      </c>
      <c r="D102" s="214" t="e">
        <f>+#REF!*(G90-0.18)</f>
        <v>#REF!</v>
      </c>
      <c r="E102" s="214"/>
      <c r="L102" s="42"/>
      <c r="M102" s="43"/>
      <c r="N102" s="43"/>
      <c r="O102" s="43"/>
      <c r="P102" s="44"/>
    </row>
    <row r="103" spans="1:16" x14ac:dyDescent="0.2">
      <c r="A103" s="8" t="s">
        <v>91</v>
      </c>
      <c r="B103" s="40" t="e">
        <f>+#REF!*(E91+0.18)</f>
        <v>#REF!</v>
      </c>
      <c r="C103" s="41" t="e">
        <f>+#REF!*(F91-0.18)</f>
        <v>#REF!</v>
      </c>
      <c r="D103" s="214" t="e">
        <f>+#REF!*(G91-0.18)</f>
        <v>#REF!</v>
      </c>
      <c r="E103" s="214"/>
      <c r="L103" s="45"/>
      <c r="M103" s="46"/>
      <c r="N103" s="46"/>
      <c r="O103" s="46"/>
      <c r="P103" s="47"/>
    </row>
    <row r="104" spans="1:16" x14ac:dyDescent="0.2">
      <c r="L104" s="45"/>
      <c r="M104" s="46"/>
      <c r="N104" s="46"/>
      <c r="O104" s="46"/>
      <c r="P104" s="47"/>
    </row>
    <row r="105" spans="1:16" x14ac:dyDescent="0.2">
      <c r="A105" s="190" t="s">
        <v>107</v>
      </c>
      <c r="B105" s="191"/>
      <c r="C105" s="191"/>
      <c r="D105" s="191"/>
      <c r="E105" s="191"/>
      <c r="F105" s="191"/>
      <c r="G105" s="191"/>
      <c r="H105" s="191"/>
      <c r="I105" s="191"/>
      <c r="J105" s="192"/>
      <c r="L105" s="45"/>
      <c r="M105" s="46"/>
      <c r="N105" s="46"/>
      <c r="O105" s="46"/>
      <c r="P105" s="47"/>
    </row>
    <row r="106" spans="1:16" ht="15" x14ac:dyDescent="0.2">
      <c r="A106" s="223" t="s">
        <v>108</v>
      </c>
      <c r="B106" s="225" t="s">
        <v>109</v>
      </c>
      <c r="C106" s="223" t="s">
        <v>110</v>
      </c>
      <c r="D106" s="227" t="s">
        <v>111</v>
      </c>
      <c r="E106" s="228"/>
      <c r="F106" s="227" t="s">
        <v>3</v>
      </c>
      <c r="G106" s="228"/>
      <c r="H106" s="286" t="s">
        <v>112</v>
      </c>
      <c r="I106" s="286" t="s">
        <v>113</v>
      </c>
      <c r="J106" s="286" t="s">
        <v>114</v>
      </c>
      <c r="L106" s="45"/>
      <c r="M106" s="46"/>
      <c r="N106" s="46"/>
      <c r="O106" s="46"/>
      <c r="P106" s="47"/>
    </row>
    <row r="107" spans="1:16" ht="15" x14ac:dyDescent="0.2">
      <c r="A107" s="224"/>
      <c r="B107" s="226"/>
      <c r="C107" s="224"/>
      <c r="D107" s="48" t="s">
        <v>115</v>
      </c>
      <c r="E107" s="48" t="s">
        <v>116</v>
      </c>
      <c r="F107" s="48" t="s">
        <v>117</v>
      </c>
      <c r="G107" s="79" t="s">
        <v>118</v>
      </c>
      <c r="H107" s="287"/>
      <c r="I107" s="287"/>
      <c r="J107" s="287"/>
      <c r="L107" s="45"/>
      <c r="M107" s="46"/>
      <c r="N107" s="46"/>
      <c r="O107" s="46"/>
      <c r="P107" s="47"/>
    </row>
    <row r="108" spans="1:16" ht="15" x14ac:dyDescent="0.25">
      <c r="A108" s="220" t="s">
        <v>51</v>
      </c>
      <c r="B108" s="49" t="s">
        <v>119</v>
      </c>
      <c r="C108" s="50" t="e">
        <f>+#REF!*1.2/1000</f>
        <v>#REF!</v>
      </c>
      <c r="D108" s="50" t="e">
        <f>+#REF!*2.09*5/1000</f>
        <v>#REF!</v>
      </c>
      <c r="E108" s="50" t="e">
        <f>+(#REF!*2.09*5/2)/1000</f>
        <v>#REF!</v>
      </c>
      <c r="F108" s="50" t="e">
        <f>+#REF!*2.09*5/1000</f>
        <v>#REF!</v>
      </c>
      <c r="G108" s="80" t="e">
        <f>+#REF!*2.09*5/1000/2</f>
        <v>#REF!</v>
      </c>
      <c r="H108" s="80" t="e">
        <f>+#REF!*1.2/1000</f>
        <v>#REF!</v>
      </c>
      <c r="I108" s="81" t="e">
        <f>+#REF!*1.2/1000</f>
        <v>#REF!</v>
      </c>
      <c r="J108" s="80" t="e">
        <f>+#REF!*1.2/1000</f>
        <v>#REF!</v>
      </c>
      <c r="L108" s="45"/>
      <c r="M108" s="46"/>
      <c r="N108" s="46"/>
      <c r="O108" s="46"/>
      <c r="P108" s="47"/>
    </row>
    <row r="109" spans="1:16" ht="15" x14ac:dyDescent="0.25">
      <c r="A109" s="221"/>
      <c r="B109" s="49" t="s">
        <v>120</v>
      </c>
      <c r="C109" s="52" t="e">
        <f>+#REF!*1.2/1000</f>
        <v>#REF!</v>
      </c>
      <c r="D109" s="50" t="e">
        <f>+#REF!*2.09*5/1000</f>
        <v>#REF!</v>
      </c>
      <c r="E109" s="50" t="e">
        <f>+(#REF!*2.09*5/2)/1000</f>
        <v>#REF!</v>
      </c>
      <c r="F109" s="50" t="e">
        <f>+#REF!*2.09*5/1000</f>
        <v>#REF!</v>
      </c>
      <c r="G109" s="80" t="e">
        <f>+#REF!*2.09*5/1000/2</f>
        <v>#REF!</v>
      </c>
      <c r="H109" s="80" t="e">
        <f>+#REF!*1.2/1000</f>
        <v>#REF!</v>
      </c>
      <c r="I109" s="80" t="e">
        <f>+#REF!*1.2/1000</f>
        <v>#REF!</v>
      </c>
      <c r="J109" s="80" t="e">
        <f>+#REF!*1.2/1000</f>
        <v>#REF!</v>
      </c>
      <c r="L109" s="45"/>
      <c r="M109" s="46"/>
      <c r="N109" s="46"/>
      <c r="O109" s="46"/>
      <c r="P109" s="47"/>
    </row>
    <row r="110" spans="1:16" ht="15" x14ac:dyDescent="0.25">
      <c r="A110" s="222" t="s">
        <v>53</v>
      </c>
      <c r="B110" s="49" t="s">
        <v>121</v>
      </c>
      <c r="C110" s="50" t="e">
        <f>+#REF!*1.2/1000</f>
        <v>#REF!</v>
      </c>
      <c r="D110" s="50" t="e">
        <f>+#REF!*2.09*5/1000</f>
        <v>#REF!</v>
      </c>
      <c r="E110" s="50" t="e">
        <f>+#REF!*2.09*5/1000/2</f>
        <v>#REF!</v>
      </c>
      <c r="F110" s="50" t="e">
        <f>+#REF!*2.09*5/1000</f>
        <v>#REF!</v>
      </c>
      <c r="G110" s="80" t="e">
        <f>+#REF!*2.09*5/1000/2</f>
        <v>#REF!</v>
      </c>
      <c r="H110" s="80" t="e">
        <f>+#REF!*1.2/1000</f>
        <v>#REF!</v>
      </c>
      <c r="I110" s="80" t="e">
        <f>+#REF!*1.2/1000</f>
        <v>#REF!</v>
      </c>
      <c r="J110" s="80" t="e">
        <f>+#REF!*1.2/1000</f>
        <v>#REF!</v>
      </c>
      <c r="L110" s="45"/>
      <c r="M110" s="46"/>
      <c r="N110" s="46"/>
      <c r="O110" s="46"/>
      <c r="P110" s="47"/>
    </row>
    <row r="111" spans="1:16" ht="15" x14ac:dyDescent="0.25">
      <c r="A111" s="221"/>
      <c r="B111" s="49" t="s">
        <v>122</v>
      </c>
      <c r="C111" s="50" t="e">
        <f>+#REF!*1.2/1000</f>
        <v>#REF!</v>
      </c>
      <c r="D111" s="50" t="e">
        <f>+#REF!*2.09*5/1000</f>
        <v>#REF!</v>
      </c>
      <c r="E111" s="50" t="e">
        <f>+#REF!*2.09*5/1000/2</f>
        <v>#REF!</v>
      </c>
      <c r="F111" s="50" t="e">
        <f>+#REF!*2.09*5/1000</f>
        <v>#REF!</v>
      </c>
      <c r="G111" s="80" t="e">
        <f>+#REF!*2.09*5/1000/2</f>
        <v>#REF!</v>
      </c>
      <c r="H111" s="80" t="e">
        <f>+#REF!*1.2/1000</f>
        <v>#REF!</v>
      </c>
      <c r="I111" s="80" t="e">
        <f>+#REF!*1.2/1000</f>
        <v>#REF!</v>
      </c>
      <c r="J111" s="80" t="e">
        <f>+#REF!*1.2/1000</f>
        <v>#REF!</v>
      </c>
      <c r="L111" s="45"/>
      <c r="M111" s="46"/>
      <c r="N111" s="46"/>
      <c r="O111" s="46"/>
      <c r="P111" s="47"/>
    </row>
    <row r="112" spans="1:16" x14ac:dyDescent="0.2">
      <c r="L112" s="45"/>
      <c r="M112" s="46"/>
      <c r="N112" s="46"/>
      <c r="O112" s="46"/>
      <c r="P112" s="47"/>
    </row>
    <row r="113" spans="1:16" ht="12.6" customHeight="1" x14ac:dyDescent="0.2">
      <c r="A113" s="1" t="s">
        <v>123</v>
      </c>
      <c r="B113" s="3">
        <f>+SIN('[1]Dimensionado de revestimiento'!C15)</f>
        <v>0.28719334391196261</v>
      </c>
      <c r="L113" s="45"/>
      <c r="M113" s="46"/>
      <c r="N113" s="46"/>
      <c r="O113" s="46"/>
      <c r="P113" s="47"/>
    </row>
    <row r="114" spans="1:16" x14ac:dyDescent="0.2">
      <c r="A114" s="1" t="s">
        <v>124</v>
      </c>
      <c r="B114" s="53">
        <f>+COS('[1]Dimensionado de revestimiento'!C15)</f>
        <v>0.9578726341287056</v>
      </c>
      <c r="L114" s="45"/>
      <c r="M114" s="46"/>
      <c r="N114" s="46"/>
      <c r="O114" s="46"/>
      <c r="P114" s="47"/>
    </row>
    <row r="115" spans="1:16" x14ac:dyDescent="0.2">
      <c r="L115" s="45"/>
      <c r="M115" s="46"/>
      <c r="N115" s="46"/>
      <c r="O115" s="46"/>
      <c r="P115" s="47"/>
    </row>
    <row r="116" spans="1:16" x14ac:dyDescent="0.2">
      <c r="A116" s="190" t="s">
        <v>125</v>
      </c>
      <c r="B116" s="191"/>
      <c r="C116" s="191"/>
      <c r="D116" s="191"/>
      <c r="E116" s="191"/>
      <c r="F116" s="191"/>
      <c r="G116" s="191"/>
      <c r="H116" s="191"/>
      <c r="I116" s="192"/>
      <c r="L116" s="45"/>
      <c r="M116" s="46"/>
      <c r="N116" s="46"/>
      <c r="O116" s="46"/>
      <c r="P116" s="47"/>
    </row>
    <row r="117" spans="1:16" x14ac:dyDescent="0.2">
      <c r="A117" s="54" t="s">
        <v>126</v>
      </c>
      <c r="B117" s="14" t="s">
        <v>127</v>
      </c>
      <c r="C117" s="14" t="s">
        <v>128</v>
      </c>
      <c r="D117" s="14" t="s">
        <v>129</v>
      </c>
      <c r="E117" s="14" t="s">
        <v>130</v>
      </c>
      <c r="F117" s="14" t="s">
        <v>131</v>
      </c>
      <c r="G117" s="72" t="s">
        <v>132</v>
      </c>
      <c r="H117" s="72" t="s">
        <v>133</v>
      </c>
      <c r="I117" s="72" t="s">
        <v>134</v>
      </c>
      <c r="L117" s="45"/>
      <c r="M117" s="46"/>
      <c r="N117" s="46"/>
      <c r="O117" s="46"/>
      <c r="P117" s="47"/>
    </row>
    <row r="118" spans="1:16" ht="13.5" thickBot="1" x14ac:dyDescent="0.25">
      <c r="A118" s="8" t="s">
        <v>135</v>
      </c>
      <c r="B118" s="16" t="e">
        <f>+$B$114*D108</f>
        <v>#REF!</v>
      </c>
      <c r="C118" s="16" t="e">
        <f>+D108*$B$113</f>
        <v>#REF!</v>
      </c>
      <c r="D118" s="16" t="e">
        <f>+E108*$B$114</f>
        <v>#REF!</v>
      </c>
      <c r="E118" s="16" t="e">
        <f>+E108*$B$113</f>
        <v>#REF!</v>
      </c>
      <c r="F118" s="16" t="e">
        <f>+F108*$B$114</f>
        <v>#REF!</v>
      </c>
      <c r="G118" s="63" t="e">
        <f>+F108*$B$113</f>
        <v>#REF!</v>
      </c>
      <c r="H118" s="63" t="e">
        <f>+G108*$B$114</f>
        <v>#REF!</v>
      </c>
      <c r="I118" s="63" t="e">
        <f>+G108*$B$113</f>
        <v>#REF!</v>
      </c>
      <c r="L118" s="55"/>
      <c r="M118" s="56"/>
      <c r="N118" s="56"/>
      <c r="O118" s="56"/>
      <c r="P118" s="57"/>
    </row>
    <row r="119" spans="1:16" x14ac:dyDescent="0.2">
      <c r="A119" s="8" t="s">
        <v>136</v>
      </c>
      <c r="B119" s="16" t="e">
        <f>+$B$114*D109</f>
        <v>#REF!</v>
      </c>
      <c r="C119" s="16" t="e">
        <f>+D109*$B$113</f>
        <v>#REF!</v>
      </c>
      <c r="D119" s="16" t="e">
        <f>+E109*$B$114</f>
        <v>#REF!</v>
      </c>
      <c r="E119" s="16" t="e">
        <f>+E109*$B$113</f>
        <v>#REF!</v>
      </c>
      <c r="F119" s="16" t="e">
        <f>+F109*$B$114</f>
        <v>#REF!</v>
      </c>
      <c r="G119" s="63" t="e">
        <f>+F109*$B$113</f>
        <v>#REF!</v>
      </c>
      <c r="H119" s="63" t="e">
        <f>+G109*$B$114</f>
        <v>#REF!</v>
      </c>
      <c r="I119" s="63" t="e">
        <f>+G109*$B$113</f>
        <v>#REF!</v>
      </c>
    </row>
    <row r="120" spans="1:16" x14ac:dyDescent="0.2">
      <c r="A120" s="8" t="s">
        <v>137</v>
      </c>
      <c r="B120" s="16" t="e">
        <f>+$B$114*D110</f>
        <v>#REF!</v>
      </c>
      <c r="C120" s="16" t="e">
        <f>+D110*$B$113</f>
        <v>#REF!</v>
      </c>
      <c r="D120" s="16" t="e">
        <f>+E110*$B$114</f>
        <v>#REF!</v>
      </c>
      <c r="E120" s="16" t="e">
        <f>+E110*$B$113</f>
        <v>#REF!</v>
      </c>
      <c r="F120" s="16" t="e">
        <f>+F110*$B$114</f>
        <v>#REF!</v>
      </c>
      <c r="G120" s="63" t="e">
        <f>+F110*$B$113</f>
        <v>#REF!</v>
      </c>
      <c r="H120" s="63" t="e">
        <f>+G110*$B$114</f>
        <v>#REF!</v>
      </c>
      <c r="I120" s="63" t="e">
        <f>+G110*$B$113</f>
        <v>#REF!</v>
      </c>
    </row>
    <row r="121" spans="1:16" x14ac:dyDescent="0.2">
      <c r="A121" s="8" t="s">
        <v>138</v>
      </c>
      <c r="B121" s="16" t="e">
        <f>+$B$114*D111</f>
        <v>#REF!</v>
      </c>
      <c r="C121" s="16" t="e">
        <f>+D111*$B$113</f>
        <v>#REF!</v>
      </c>
      <c r="D121" s="16" t="e">
        <f>+E111*$B$114</f>
        <v>#REF!</v>
      </c>
      <c r="E121" s="16" t="e">
        <f>+E111*$B$113</f>
        <v>#REF!</v>
      </c>
      <c r="F121" s="16" t="e">
        <f>+F111*$B$114</f>
        <v>#REF!</v>
      </c>
      <c r="G121" s="63" t="e">
        <f>+F111*$B$113</f>
        <v>#REF!</v>
      </c>
      <c r="H121" s="63" t="e">
        <f>+G111*$B$114</f>
        <v>#REF!</v>
      </c>
      <c r="I121" s="63" t="e">
        <f>+G111*$B$113</f>
        <v>#REF!</v>
      </c>
    </row>
    <row r="123" spans="1:16" x14ac:dyDescent="0.2">
      <c r="B123" s="1"/>
    </row>
    <row r="124" spans="1:16" x14ac:dyDescent="0.2">
      <c r="B124" s="1"/>
    </row>
  </sheetData>
  <mergeCells count="51">
    <mergeCell ref="A116:I116"/>
    <mergeCell ref="B45:G45"/>
    <mergeCell ref="K48:S48"/>
    <mergeCell ref="K49:S49"/>
    <mergeCell ref="A108:A109"/>
    <mergeCell ref="A110:A111"/>
    <mergeCell ref="A106:A107"/>
    <mergeCell ref="B106:B107"/>
    <mergeCell ref="C106:C107"/>
    <mergeCell ref="D106:E106"/>
    <mergeCell ref="F106:G106"/>
    <mergeCell ref="H106:H107"/>
    <mergeCell ref="I106:I107"/>
    <mergeCell ref="J106:J107"/>
    <mergeCell ref="D94:E94"/>
    <mergeCell ref="A84:A87"/>
    <mergeCell ref="A88:A91"/>
    <mergeCell ref="A93:E93"/>
    <mergeCell ref="A94:A95"/>
    <mergeCell ref="B94:C94"/>
    <mergeCell ref="A105:J105"/>
    <mergeCell ref="A99:A100"/>
    <mergeCell ref="D99:E99"/>
    <mergeCell ref="D100:E100"/>
    <mergeCell ref="D101:E101"/>
    <mergeCell ref="D102:E102"/>
    <mergeCell ref="D103:E103"/>
    <mergeCell ref="A80:F80"/>
    <mergeCell ref="A81:G81"/>
    <mergeCell ref="A82:A83"/>
    <mergeCell ref="B82:B83"/>
    <mergeCell ref="E82:G83"/>
    <mergeCell ref="A21:B21"/>
    <mergeCell ref="A23:C23"/>
    <mergeCell ref="E23:F23"/>
    <mergeCell ref="B40:I40"/>
    <mergeCell ref="E26:F26"/>
    <mergeCell ref="A28:I28"/>
    <mergeCell ref="A24:A25"/>
    <mergeCell ref="E24:F24"/>
    <mergeCell ref="E25:F25"/>
    <mergeCell ref="A39:A40"/>
    <mergeCell ref="B39:I39"/>
    <mergeCell ref="A38:I38"/>
    <mergeCell ref="A33:C33"/>
    <mergeCell ref="A2:I2"/>
    <mergeCell ref="A1:I1"/>
    <mergeCell ref="A6:B6"/>
    <mergeCell ref="A16:F16"/>
    <mergeCell ref="A20:B20"/>
    <mergeCell ref="A3:B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Figura 3</vt:lpstr>
      <vt:lpstr>Figura 3 Cubierta</vt:lpstr>
      <vt:lpstr>Figura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Ignacio Cabrera</cp:lastModifiedBy>
  <dcterms:created xsi:type="dcterms:W3CDTF">2022-01-14T11:54:38Z</dcterms:created>
  <dcterms:modified xsi:type="dcterms:W3CDTF">2022-01-27T20:12:08Z</dcterms:modified>
</cp:coreProperties>
</file>