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IGMA\Memorias Genericas\Viviendas\Prototipo Duplex\"/>
    </mc:Choice>
  </mc:AlternateContent>
  <xr:revisionPtr revIDLastSave="0" documentId="13_ncr:1_{730391C7-6421-4209-AD97-580CDAA4B0F2}" xr6:coauthVersionLast="46" xr6:coauthVersionMax="46" xr10:uidLastSave="{00000000-0000-0000-0000-000000000000}"/>
  <bookViews>
    <workbookView xWindow="-12645" yWindow="810" windowWidth="21600" windowHeight="11385" activeTab="1" xr2:uid="{00000000-000D-0000-FFFF-FFFF00000000}"/>
  </bookViews>
  <sheets>
    <sheet name="LOSAS VIGUETAS" sheetId="1" r:id="rId1"/>
    <sheet name="VIGA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B51" i="5" l="1"/>
  <c r="C51" i="5" s="1"/>
  <c r="N51" i="5"/>
  <c r="O51" i="5" s="1"/>
  <c r="H51" i="5"/>
  <c r="I51" i="5"/>
  <c r="AC38" i="5"/>
  <c r="Z53" i="5"/>
  <c r="AC48" i="5"/>
  <c r="AC47" i="5"/>
  <c r="Z38" i="5"/>
  <c r="Z42" i="5" s="1"/>
  <c r="Z60" i="5" s="1"/>
  <c r="AC21" i="5"/>
  <c r="AC20" i="5"/>
  <c r="AC19" i="5"/>
  <c r="AC18" i="5"/>
  <c r="AA14" i="5"/>
  <c r="AC14" i="5" s="1"/>
  <c r="AA13" i="5"/>
  <c r="AC13" i="5" s="1"/>
  <c r="W19" i="5"/>
  <c r="W18" i="5"/>
  <c r="U14" i="5"/>
  <c r="W14" i="5" s="1"/>
  <c r="T38" i="5"/>
  <c r="T42" i="5" s="1"/>
  <c r="T60" i="5" s="1"/>
  <c r="N29" i="5"/>
  <c r="N33" i="5" s="1"/>
  <c r="H29" i="5"/>
  <c r="H33" i="5" s="1"/>
  <c r="H45" i="5" s="1"/>
  <c r="B29" i="5"/>
  <c r="Q18" i="5"/>
  <c r="P19" i="5"/>
  <c r="Q19" i="5" s="1"/>
  <c r="W20" i="5"/>
  <c r="W21" i="5"/>
  <c r="W48" i="5"/>
  <c r="W47" i="5"/>
  <c r="U13" i="5"/>
  <c r="W13" i="5" s="1"/>
  <c r="Q39" i="5"/>
  <c r="Q38" i="5"/>
  <c r="Q14" i="5"/>
  <c r="O13" i="5"/>
  <c r="Q13" i="5" s="1"/>
  <c r="C14" i="5"/>
  <c r="E14" i="5" s="1"/>
  <c r="K39" i="5"/>
  <c r="K38" i="5"/>
  <c r="E39" i="5"/>
  <c r="E38" i="5"/>
  <c r="I14" i="5"/>
  <c r="K14" i="5" s="1"/>
  <c r="I13" i="5"/>
  <c r="K13" i="5" s="1"/>
  <c r="C13" i="5"/>
  <c r="E13" i="5" s="1"/>
  <c r="K19" i="1"/>
  <c r="H40" i="1"/>
  <c r="K16" i="1"/>
  <c r="K15" i="1"/>
  <c r="K14" i="1"/>
  <c r="B40" i="1"/>
  <c r="E15" i="1"/>
  <c r="E19" i="1"/>
  <c r="E14" i="1"/>
  <c r="AC15" i="5" l="1"/>
  <c r="T45" i="5"/>
  <c r="Z45" i="5"/>
  <c r="Z44" i="5"/>
  <c r="AC49" i="5"/>
  <c r="Z54" i="5"/>
  <c r="AC39" i="5"/>
  <c r="Q15" i="5"/>
  <c r="Q24" i="5" s="1"/>
  <c r="Q29" i="5" s="1"/>
  <c r="N35" i="5" s="1"/>
  <c r="W15" i="5"/>
  <c r="W49" i="5"/>
  <c r="Q40" i="5"/>
  <c r="N36" i="5"/>
  <c r="H36" i="5"/>
  <c r="T53" i="5"/>
  <c r="W38" i="5"/>
  <c r="T44" i="5" s="1"/>
  <c r="T54" i="5"/>
  <c r="N45" i="5"/>
  <c r="K40" i="5"/>
  <c r="E40" i="5"/>
  <c r="K15" i="5"/>
  <c r="B33" i="5"/>
  <c r="B45" i="5" s="1"/>
  <c r="E15" i="5"/>
  <c r="K20" i="1"/>
  <c r="H39" i="1" s="1"/>
  <c r="AC45" i="5" l="1"/>
  <c r="AB49" i="5" s="1"/>
  <c r="T55" i="5"/>
  <c r="U60" i="5" s="1"/>
  <c r="AA55" i="5"/>
  <c r="Z55" i="5"/>
  <c r="AA60" i="5" s="1"/>
  <c r="N25" i="5"/>
  <c r="N24" i="5"/>
  <c r="Q25" i="5"/>
  <c r="N44" i="5" s="1"/>
  <c r="O46" i="5" s="1"/>
  <c r="E25" i="5"/>
  <c r="B44" i="5" s="1"/>
  <c r="C46" i="5" s="1"/>
  <c r="E24" i="5"/>
  <c r="B25" i="5"/>
  <c r="B24" i="5"/>
  <c r="K24" i="5"/>
  <c r="K29" i="5" s="1"/>
  <c r="H25" i="5"/>
  <c r="H24" i="5"/>
  <c r="K25" i="5"/>
  <c r="Q30" i="5"/>
  <c r="Q36" i="5"/>
  <c r="P40" i="5" s="1"/>
  <c r="W45" i="5"/>
  <c r="V49" i="5" s="1"/>
  <c r="W39" i="5"/>
  <c r="U55" i="5"/>
  <c r="B36" i="5"/>
  <c r="I24" i="1"/>
  <c r="G33" i="1" s="1"/>
  <c r="B46" i="5" l="1"/>
  <c r="N46" i="5"/>
  <c r="H44" i="5"/>
  <c r="H35" i="5"/>
  <c r="K36" i="5" s="1"/>
  <c r="J40" i="5" s="1"/>
  <c r="K30" i="5"/>
  <c r="I46" i="5" l="1"/>
  <c r="H46" i="5"/>
  <c r="E16" i="1"/>
  <c r="E20" i="1" l="1"/>
  <c r="B24" i="1" l="1"/>
  <c r="B39" i="1"/>
  <c r="C40" i="1" l="1"/>
  <c r="I40" i="1"/>
  <c r="C24" i="1"/>
  <c r="A33" i="1" s="1"/>
  <c r="E29" i="5"/>
  <c r="B35" i="5" l="1"/>
  <c r="E36" i="5" s="1"/>
  <c r="D40" i="5" s="1"/>
  <c r="E30" i="5"/>
</calcChain>
</file>

<file path=xl/sharedStrings.xml><?xml version="1.0" encoding="utf-8"?>
<sst xmlns="http://schemas.openxmlformats.org/spreadsheetml/2006/main" count="343" uniqueCount="110">
  <si>
    <t>Luz</t>
  </si>
  <si>
    <t>Ancho</t>
  </si>
  <si>
    <t>Destino</t>
  </si>
  <si>
    <t>Sobrecarga de uso</t>
  </si>
  <si>
    <t>Peso propio</t>
  </si>
  <si>
    <t>Analisis de Carga</t>
  </si>
  <si>
    <t>Dimension</t>
  </si>
  <si>
    <t>Peso</t>
  </si>
  <si>
    <t>Carga</t>
  </si>
  <si>
    <t>Contrapiso HºPº</t>
  </si>
  <si>
    <t>Carpeta de Nivelacion</t>
  </si>
  <si>
    <t>Pegamento</t>
  </si>
  <si>
    <t>Piso Cermico</t>
  </si>
  <si>
    <t>Paredes internas</t>
  </si>
  <si>
    <t>Serie Adoptada</t>
  </si>
  <si>
    <t>Longitud</t>
  </si>
  <si>
    <t>Bobedilla</t>
  </si>
  <si>
    <t>Capa de compresion</t>
  </si>
  <si>
    <t>Residencial</t>
  </si>
  <si>
    <t>CÁLCULO DE LOSAS PARA PLANTA ALTA</t>
  </si>
  <si>
    <t>L</t>
  </si>
  <si>
    <t>ELS</t>
  </si>
  <si>
    <t>ELU</t>
  </si>
  <si>
    <t>h</t>
  </si>
  <si>
    <t>db Long</t>
  </si>
  <si>
    <t>d</t>
  </si>
  <si>
    <t>Mn</t>
  </si>
  <si>
    <t>kd</t>
  </si>
  <si>
    <t>f´c</t>
  </si>
  <si>
    <t>Fy</t>
  </si>
  <si>
    <t>kd tabla</t>
  </si>
  <si>
    <t>ke</t>
  </si>
  <si>
    <t>As</t>
  </si>
  <si>
    <t>As mín</t>
  </si>
  <si>
    <t>ARMADURA INFERIOR</t>
  </si>
  <si>
    <t>b</t>
  </si>
  <si>
    <t>Cc</t>
  </si>
  <si>
    <t>Designación</t>
  </si>
  <si>
    <t>-</t>
  </si>
  <si>
    <t>LV 17</t>
  </si>
  <si>
    <t>A eje de viga</t>
  </si>
  <si>
    <t>VIGUETAS VIGUETEC</t>
  </si>
  <si>
    <t>→ Según catálogo</t>
  </si>
  <si>
    <t>1 SIMPLE</t>
  </si>
  <si>
    <t>s/catálogo</t>
  </si>
  <si>
    <t>Dimensionado por flexión</t>
  </si>
  <si>
    <t>Dimensionado por corte</t>
  </si>
  <si>
    <t>Total Sobrecargas</t>
  </si>
  <si>
    <t>Total Cargas Permanentes</t>
  </si>
  <si>
    <t>Momento Admisible</t>
  </si>
  <si>
    <t>Momento Total</t>
  </si>
  <si>
    <t>Vu</t>
  </si>
  <si>
    <t>Vc</t>
  </si>
  <si>
    <t>f'c</t>
  </si>
  <si>
    <t>Características</t>
  </si>
  <si>
    <t>Ancho de calc.</t>
  </si>
  <si>
    <t>LV 17 - BAJO MURO DE 0.20 m</t>
  </si>
  <si>
    <t>1 DOBLE</t>
  </si>
  <si>
    <t>Armadura en capa de compresión</t>
  </si>
  <si>
    <t>Malla Electrosoldada  ф 6 mm 0.15 x 0.15 m</t>
  </si>
  <si>
    <t>CÁLCULO DE LOSAS DE VIGAS</t>
  </si>
  <si>
    <t>Carga de mampostería</t>
  </si>
  <si>
    <t>Peso propio viga</t>
  </si>
  <si>
    <t>Carga de losa ELS</t>
  </si>
  <si>
    <t>Carga de losa ELU</t>
  </si>
  <si>
    <t>db Estrubo</t>
  </si>
  <si>
    <t>As nec</t>
  </si>
  <si>
    <t>Análisis de cargas</t>
  </si>
  <si>
    <t>VIGA 100 - 101</t>
  </si>
  <si>
    <t>Solicitaciones</t>
  </si>
  <si>
    <t>Mu</t>
  </si>
  <si>
    <t>ARMADURA TRANSVERSAL</t>
  </si>
  <si>
    <t>Malla Electrosoldada  Ø 6 mm 0.15 x 0.15 m</t>
  </si>
  <si>
    <t>Estribos cerrados en 2 ramas</t>
  </si>
  <si>
    <t>Simplemente apoyada</t>
  </si>
  <si>
    <t>VIGA 102</t>
  </si>
  <si>
    <t>Vn</t>
  </si>
  <si>
    <t>M</t>
  </si>
  <si>
    <t>V</t>
  </si>
  <si>
    <t>VIGA 103</t>
  </si>
  <si>
    <t>Un extremo continuo</t>
  </si>
  <si>
    <t>Carga Lineal</t>
  </si>
  <si>
    <t>Carga de escalera ELS</t>
  </si>
  <si>
    <t>Carga de escalera ELU</t>
  </si>
  <si>
    <t>Carga de losa ambos lados ELU</t>
  </si>
  <si>
    <t>Carga de losa ambos lados ELS</t>
  </si>
  <si>
    <t>Carga de a un lado ELS</t>
  </si>
  <si>
    <t>Carga de a un lado ELU</t>
  </si>
  <si>
    <t>Reacción de Viga 102 ELS</t>
  </si>
  <si>
    <t>Reacción de Viga 103 ELS</t>
  </si>
  <si>
    <t>Reacción de Viga 103 ELU</t>
  </si>
  <si>
    <t>Reacción de Viga 102 ELU</t>
  </si>
  <si>
    <t>Carga Puntual</t>
  </si>
  <si>
    <r>
      <t>Mu</t>
    </r>
    <r>
      <rPr>
        <vertAlign val="subscript"/>
        <sz val="11"/>
        <color theme="1"/>
        <rFont val="Calibri"/>
        <family val="2"/>
        <scheme val="minor"/>
      </rPr>
      <t>tr</t>
    </r>
  </si>
  <si>
    <r>
      <t>M</t>
    </r>
    <r>
      <rPr>
        <vertAlign val="subscript"/>
        <sz val="11"/>
        <color theme="1"/>
        <rFont val="Calibri"/>
        <family val="2"/>
        <scheme val="minor"/>
      </rPr>
      <t>tr</t>
    </r>
  </si>
  <si>
    <r>
      <t>M</t>
    </r>
    <r>
      <rPr>
        <vertAlign val="subscript"/>
        <sz val="11"/>
        <color theme="1"/>
        <rFont val="Calibri"/>
        <family val="2"/>
        <scheme val="minor"/>
      </rPr>
      <t>ap</t>
    </r>
  </si>
  <si>
    <r>
      <t>Mu</t>
    </r>
    <r>
      <rPr>
        <vertAlign val="subscript"/>
        <sz val="11"/>
        <color theme="1"/>
        <rFont val="Calibri"/>
        <family val="2"/>
        <scheme val="minor"/>
      </rPr>
      <t>ap</t>
    </r>
  </si>
  <si>
    <t>VIGA 104 - 105</t>
  </si>
  <si>
    <t>Dimensionado por flexión - V 104</t>
  </si>
  <si>
    <t>ARMADURA SUPERIOR</t>
  </si>
  <si>
    <t>Vs</t>
  </si>
  <si>
    <r>
      <t>Mn</t>
    </r>
    <r>
      <rPr>
        <vertAlign val="subscript"/>
        <sz val="11"/>
        <color theme="1"/>
        <rFont val="Calibri"/>
        <family val="2"/>
        <scheme val="minor"/>
      </rPr>
      <t>ap</t>
    </r>
  </si>
  <si>
    <r>
      <t>Mn</t>
    </r>
    <r>
      <rPr>
        <vertAlign val="subscript"/>
        <sz val="11"/>
        <color theme="1"/>
        <rFont val="Calibri"/>
        <family val="2"/>
        <scheme val="minor"/>
      </rPr>
      <t>tr</t>
    </r>
  </si>
  <si>
    <r>
      <t>Vs</t>
    </r>
    <r>
      <rPr>
        <b/>
        <vertAlign val="subscript"/>
        <sz val="11"/>
        <color theme="1"/>
        <rFont val="Calibri"/>
        <family val="2"/>
        <scheme val="minor"/>
      </rPr>
      <t>nec</t>
    </r>
  </si>
  <si>
    <r>
      <t>Vs</t>
    </r>
    <r>
      <rPr>
        <b/>
        <vertAlign val="subscript"/>
        <sz val="11"/>
        <color theme="1"/>
        <rFont val="Calibri"/>
        <family val="2"/>
        <scheme val="minor"/>
      </rPr>
      <t>real</t>
    </r>
  </si>
  <si>
    <t>Dimensionado por flexión - V 105</t>
  </si>
  <si>
    <t>Bovedilla</t>
  </si>
  <si>
    <t>Dimensión</t>
  </si>
  <si>
    <t>Apoyos continuos</t>
  </si>
  <si>
    <t>db Estribo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</si>
</sst>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#0.00\ &quot;m&quot;"/>
    <numFmt numFmtId="165" formatCode="#0.00\ &quot;KN/m²&quot;"/>
    <numFmt numFmtId="166" formatCode="#0.00\ &quot;Kg/m²&quot;"/>
    <numFmt numFmtId="167" formatCode="#0.00\ &quot;KN/m³&quot;"/>
    <numFmt numFmtId="168" formatCode="#0.00\ &quot;m³&quot;"/>
    <numFmt numFmtId="169" formatCode="#0.00\ &quot;KN&quot;"/>
    <numFmt numFmtId="170" formatCode="#0.000\ &quot;m&quot;"/>
    <numFmt numFmtId="171" formatCode="0.0000"/>
    <numFmt numFmtId="172" formatCode="0.00\ &quot;MPa&quot;"/>
    <numFmt numFmtId="173" formatCode="0.000\ &quot;cm²/MN&quot;"/>
    <numFmt numFmtId="174" formatCode="&quot;Ø&quot;\ 0"/>
    <numFmt numFmtId="175" formatCode="&quot;c/&quot;0\ &quot;cm&quot;"/>
    <numFmt numFmtId="176" formatCode="#0.00\ &quot;kN/m²&quot;"/>
    <numFmt numFmtId="177" formatCode="#0.00\ &quot;kg/m²&quot;"/>
    <numFmt numFmtId="178" formatCode="#0.00\ &quot;kNm/m&quot;"/>
    <numFmt numFmtId="179" formatCode="#0.00\ &quot;kgm/m&quot;"/>
    <numFmt numFmtId="180" formatCode="#0.00\ &quot;kN/m&quot;"/>
    <numFmt numFmtId="181" formatCode="#0.00\ &quot;MPa&quot;"/>
    <numFmt numFmtId="182" formatCode="#0.00\ &quot;m²&quot;"/>
    <numFmt numFmtId="183" formatCode="#0.00\ &quot;KN/m&quot;"/>
    <numFmt numFmtId="184" formatCode="0.00\ &quot;kNm&quot;"/>
    <numFmt numFmtId="185" formatCode="0.0000\ &quot;MNm&quot;"/>
    <numFmt numFmtId="186" formatCode="0.000\ &quot;cm²&quot;"/>
    <numFmt numFmtId="187" formatCode="0.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5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right" vertical="center"/>
    </xf>
    <xf numFmtId="0" fontId="0" fillId="2" borderId="0" xfId="0" applyFill="1"/>
    <xf numFmtId="170" fontId="0" fillId="2" borderId="0" xfId="0" applyNumberFormat="1" applyFill="1" applyBorder="1" applyAlignment="1">
      <alignment horizontal="right" vertical="center"/>
    </xf>
    <xf numFmtId="169" fontId="0" fillId="2" borderId="0" xfId="0" applyNumberFormat="1" applyFont="1" applyFill="1" applyBorder="1" applyAlignment="1">
      <alignment horizontal="right"/>
    </xf>
    <xf numFmtId="0" fontId="0" fillId="2" borderId="2" xfId="0" applyFont="1" applyFill="1" applyBorder="1"/>
    <xf numFmtId="0" fontId="0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7" fontId="0" fillId="2" borderId="0" xfId="0" applyNumberFormat="1" applyFont="1" applyFill="1" applyBorder="1" applyAlignment="1">
      <alignment horizontal="center" vertical="center"/>
    </xf>
    <xf numFmtId="168" fontId="0" fillId="2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169" fontId="0" fillId="2" borderId="3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2" borderId="2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0" xfId="0" applyFont="1" applyFill="1"/>
    <xf numFmtId="0" fontId="0" fillId="0" borderId="0" xfId="0" applyFont="1" applyBorder="1"/>
    <xf numFmtId="164" fontId="0" fillId="2" borderId="0" xfId="0" applyNumberFormat="1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2" fillId="3" borderId="8" xfId="0" applyFont="1" applyFill="1" applyBorder="1" applyAlignment="1">
      <alignment horizontal="center" vertical="center"/>
    </xf>
    <xf numFmtId="2" fontId="0" fillId="2" borderId="3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2" borderId="8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66" fontId="3" fillId="2" borderId="0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vertical="center" wrapText="1"/>
    </xf>
    <xf numFmtId="168" fontId="0" fillId="2" borderId="6" xfId="0" applyNumberFormat="1" applyFont="1" applyFill="1" applyBorder="1" applyAlignment="1">
      <alignment horizontal="center" vertical="center"/>
    </xf>
    <xf numFmtId="167" fontId="0" fillId="2" borderId="6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0" fillId="0" borderId="5" xfId="0" applyFont="1" applyBorder="1"/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left"/>
    </xf>
    <xf numFmtId="168" fontId="0" fillId="2" borderId="11" xfId="0" applyNumberFormat="1" applyFont="1" applyFill="1" applyBorder="1" applyAlignment="1">
      <alignment horizontal="center" vertical="center"/>
    </xf>
    <xf numFmtId="167" fontId="0" fillId="2" borderId="1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76" fontId="0" fillId="2" borderId="3" xfId="0" applyNumberFormat="1" applyFont="1" applyFill="1" applyBorder="1" applyAlignment="1">
      <alignment horizontal="right"/>
    </xf>
    <xf numFmtId="176" fontId="2" fillId="2" borderId="3" xfId="0" applyNumberFormat="1" applyFont="1" applyFill="1" applyBorder="1" applyAlignment="1">
      <alignment horizontal="right"/>
    </xf>
    <xf numFmtId="176" fontId="0" fillId="2" borderId="7" xfId="0" applyNumberFormat="1" applyFont="1" applyFill="1" applyBorder="1" applyAlignment="1">
      <alignment horizontal="right"/>
    </xf>
    <xf numFmtId="177" fontId="0" fillId="2" borderId="0" xfId="0" applyNumberFormat="1" applyFont="1" applyFill="1" applyBorder="1" applyAlignment="1"/>
    <xf numFmtId="176" fontId="0" fillId="2" borderId="3" xfId="0" applyNumberFormat="1" applyFont="1" applyFill="1" applyBorder="1" applyAlignment="1">
      <alignment horizontal="center"/>
    </xf>
    <xf numFmtId="176" fontId="0" fillId="2" borderId="0" xfId="0" applyNumberFormat="1" applyFont="1" applyFill="1" applyBorder="1" applyAlignment="1">
      <alignment horizontal="center"/>
    </xf>
    <xf numFmtId="179" fontId="2" fillId="2" borderId="8" xfId="0" applyNumberFormat="1" applyFont="1" applyFill="1" applyBorder="1" applyAlignment="1"/>
    <xf numFmtId="178" fontId="2" fillId="2" borderId="0" xfId="0" applyNumberFormat="1" applyFont="1" applyFill="1" applyBorder="1" applyAlignment="1">
      <alignment horizontal="right"/>
    </xf>
    <xf numFmtId="179" fontId="2" fillId="2" borderId="0" xfId="0" applyNumberFormat="1" applyFont="1" applyFill="1" applyBorder="1" applyAlignment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76" fontId="0" fillId="2" borderId="0" xfId="0" applyNumberFormat="1" applyFont="1" applyFill="1" applyBorder="1" applyAlignment="1">
      <alignment horizontal="center"/>
    </xf>
    <xf numFmtId="176" fontId="0" fillId="2" borderId="3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80" fontId="2" fillId="2" borderId="0" xfId="0" applyNumberFormat="1" applyFont="1" applyFill="1" applyBorder="1" applyAlignment="1">
      <alignment horizontal="center"/>
    </xf>
    <xf numFmtId="181" fontId="0" fillId="2" borderId="0" xfId="0" applyNumberFormat="1" applyFont="1" applyFill="1" applyBorder="1" applyAlignment="1"/>
    <xf numFmtId="0" fontId="8" fillId="2" borderId="0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182" fontId="0" fillId="2" borderId="0" xfId="0" applyNumberFormat="1" applyFont="1" applyFill="1" applyBorder="1" applyAlignment="1">
      <alignment horizontal="center" vertical="center"/>
    </xf>
    <xf numFmtId="183" fontId="0" fillId="2" borderId="3" xfId="0" applyNumberFormat="1" applyFont="1" applyFill="1" applyBorder="1" applyAlignment="1">
      <alignment horizontal="right"/>
    </xf>
    <xf numFmtId="164" fontId="0" fillId="2" borderId="3" xfId="0" applyNumberFormat="1" applyFill="1" applyBorder="1" applyAlignment="1">
      <alignment horizontal="center" vertical="center"/>
    </xf>
    <xf numFmtId="183" fontId="2" fillId="2" borderId="3" xfId="0" applyNumberFormat="1" applyFont="1" applyFill="1" applyBorder="1" applyAlignment="1">
      <alignment horizontal="right"/>
    </xf>
    <xf numFmtId="183" fontId="2" fillId="2" borderId="12" xfId="0" applyNumberFormat="1" applyFont="1" applyFill="1" applyBorder="1" applyAlignment="1">
      <alignment horizontal="right"/>
    </xf>
    <xf numFmtId="184" fontId="0" fillId="2" borderId="3" xfId="0" applyNumberFormat="1" applyFill="1" applyBorder="1" applyAlignment="1">
      <alignment horizontal="right" vertical="center"/>
    </xf>
    <xf numFmtId="184" fontId="0" fillId="2" borderId="0" xfId="0" applyNumberFormat="1" applyFill="1" applyBorder="1" applyAlignment="1">
      <alignment horizontal="right" vertical="center"/>
    </xf>
    <xf numFmtId="186" fontId="4" fillId="2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72" fontId="0" fillId="2" borderId="0" xfId="0" applyNumberFormat="1" applyFill="1" applyBorder="1" applyAlignment="1">
      <alignment horizontal="center"/>
    </xf>
    <xf numFmtId="177" fontId="0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" fontId="11" fillId="2" borderId="0" xfId="0" applyNumberFormat="1" applyFont="1" applyFill="1" applyBorder="1" applyAlignment="1">
      <alignment horizontal="center" vertical="center"/>
    </xf>
    <xf numFmtId="174" fontId="11" fillId="2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80" fontId="2" fillId="2" borderId="6" xfId="0" applyNumberFormat="1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 vertical="center"/>
    </xf>
    <xf numFmtId="174" fontId="12" fillId="2" borderId="0" xfId="0" applyNumberFormat="1" applyFont="1" applyFill="1" applyBorder="1" applyAlignment="1">
      <alignment horizontal="center" vertical="center"/>
    </xf>
    <xf numFmtId="165" fontId="0" fillId="2" borderId="0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174" fontId="5" fillId="2" borderId="0" xfId="0" applyNumberFormat="1" applyFont="1" applyFill="1" applyBorder="1" applyAlignment="1">
      <alignment horizontal="center" vertical="center"/>
    </xf>
    <xf numFmtId="175" fontId="5" fillId="2" borderId="0" xfId="0" applyNumberFormat="1" applyFont="1" applyFill="1" applyBorder="1" applyAlignment="1">
      <alignment horizontal="center" vertical="center"/>
    </xf>
    <xf numFmtId="169" fontId="2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/>
    <xf numFmtId="179" fontId="9" fillId="2" borderId="8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183" fontId="0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/>
    </xf>
    <xf numFmtId="183" fontId="2" fillId="2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85" fontId="4" fillId="2" borderId="0" xfId="0" applyNumberFormat="1" applyFont="1" applyFill="1" applyBorder="1" applyAlignment="1">
      <alignment horizontal="center" vertical="center"/>
    </xf>
    <xf numFmtId="171" fontId="4" fillId="2" borderId="0" xfId="0" applyNumberFormat="1" applyFont="1" applyFill="1" applyBorder="1" applyAlignment="1">
      <alignment horizontal="center" vertical="center"/>
    </xf>
    <xf numFmtId="173" fontId="0" fillId="2" borderId="0" xfId="0" applyNumberFormat="1" applyFill="1" applyBorder="1" applyAlignment="1">
      <alignment horizontal="center"/>
    </xf>
    <xf numFmtId="186" fontId="6" fillId="2" borderId="0" xfId="0" applyNumberFormat="1" applyFont="1" applyFill="1" applyBorder="1" applyAlignment="1">
      <alignment horizontal="center" vertical="center"/>
    </xf>
    <xf numFmtId="187" fontId="0" fillId="2" borderId="0" xfId="0" applyNumberFormat="1" applyFill="1" applyBorder="1" applyAlignment="1">
      <alignment horizontal="center"/>
    </xf>
    <xf numFmtId="183" fontId="10" fillId="2" borderId="0" xfId="0" applyNumberFormat="1" applyFont="1" applyFill="1" applyBorder="1" applyAlignment="1">
      <alignment horizontal="right"/>
    </xf>
    <xf numFmtId="186" fontId="10" fillId="2" borderId="0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76" fontId="0" fillId="2" borderId="0" xfId="0" applyNumberFormat="1" applyFont="1" applyFill="1" applyBorder="1" applyAlignment="1">
      <alignment horizontal="center"/>
    </xf>
    <xf numFmtId="176" fontId="0" fillId="2" borderId="3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0" fillId="2" borderId="0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4" fontId="11" fillId="5" borderId="0" xfId="0" applyNumberFormat="1" applyFont="1" applyFill="1" applyBorder="1" applyAlignment="1">
      <alignment horizontal="center" vertical="center"/>
    </xf>
    <xf numFmtId="186" fontId="4" fillId="5" borderId="0" xfId="0" applyNumberFormat="1" applyFont="1" applyFill="1" applyBorder="1" applyAlignment="1">
      <alignment horizontal="center" vertical="center"/>
    </xf>
    <xf numFmtId="1" fontId="11" fillId="5" borderId="0" xfId="0" applyNumberFormat="1" applyFont="1" applyFill="1" applyBorder="1" applyAlignment="1">
      <alignment horizontal="center" vertical="center"/>
    </xf>
    <xf numFmtId="1" fontId="12" fillId="5" borderId="0" xfId="0" applyNumberFormat="1" applyFont="1" applyFill="1" applyBorder="1" applyAlignment="1">
      <alignment horizontal="center" vertical="center"/>
    </xf>
    <xf numFmtId="174" fontId="12" fillId="5" borderId="0" xfId="0" applyNumberFormat="1" applyFont="1" applyFill="1" applyBorder="1" applyAlignment="1">
      <alignment horizontal="center" vertical="center"/>
    </xf>
    <xf numFmtId="186" fontId="10" fillId="5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2657ADDD-791F-49FF-9B1F-72C12C431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66</xdr:row>
      <xdr:rowOff>0</xdr:rowOff>
    </xdr:from>
    <xdr:to>
      <xdr:col>34</xdr:col>
      <xdr:colOff>359479</xdr:colOff>
      <xdr:row>80</xdr:row>
      <xdr:rowOff>9190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EF6D552-EB2E-45B4-887D-1FAC3AD4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9808" y="12792808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81</xdr:row>
      <xdr:rowOff>0</xdr:rowOff>
    </xdr:from>
    <xdr:to>
      <xdr:col>34</xdr:col>
      <xdr:colOff>273764</xdr:colOff>
      <xdr:row>91</xdr:row>
      <xdr:rowOff>75952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B8014BC-78D9-452F-A2B9-BB0053BB2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808" y="15650308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93</xdr:row>
      <xdr:rowOff>0</xdr:rowOff>
    </xdr:from>
    <xdr:to>
      <xdr:col>34</xdr:col>
      <xdr:colOff>321383</xdr:colOff>
      <xdr:row>105</xdr:row>
      <xdr:rowOff>47333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8C26059-1F03-458A-9E58-4CD7E58A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9808" y="17936308"/>
          <a:ext cx="13876190" cy="2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opLeftCell="A13" zoomScale="130" zoomScaleNormal="130" workbookViewId="0">
      <selection activeCell="J32" sqref="J32"/>
    </sheetView>
  </sheetViews>
  <sheetFormatPr baseColWidth="10" defaultColWidth="9.140625" defaultRowHeight="15" x14ac:dyDescent="0.25"/>
  <cols>
    <col min="1" max="1" width="18.42578125" style="25" customWidth="1"/>
    <col min="2" max="2" width="12.85546875" style="25" bestFit="1" customWidth="1"/>
    <col min="3" max="3" width="14.7109375" style="25" bestFit="1" customWidth="1"/>
    <col min="4" max="4" width="16" style="25" customWidth="1"/>
    <col min="5" max="5" width="12.7109375" style="25" bestFit="1" customWidth="1"/>
    <col min="6" max="6" width="9.140625" style="25"/>
    <col min="7" max="7" width="21.42578125" style="25" customWidth="1"/>
    <col min="8" max="8" width="15.140625" style="25" customWidth="1"/>
    <col min="9" max="9" width="16.5703125" style="25" customWidth="1"/>
    <col min="10" max="10" width="14.7109375" style="25" customWidth="1"/>
    <col min="11" max="11" width="14.140625" style="25" customWidth="1"/>
    <col min="12" max="16384" width="9.140625" style="25"/>
  </cols>
  <sheetData>
    <row r="1" spans="1:23" x14ac:dyDescent="0.25">
      <c r="A1" s="138" t="s">
        <v>19</v>
      </c>
      <c r="B1" s="138"/>
      <c r="C1" s="138"/>
      <c r="D1" s="138"/>
      <c r="E1" s="138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3" s="26" customFormat="1" x14ac:dyDescent="0.25"/>
    <row r="3" spans="1:23" x14ac:dyDescent="0.25">
      <c r="A3" s="146" t="s">
        <v>39</v>
      </c>
      <c r="B3" s="147"/>
      <c r="C3" s="147"/>
      <c r="D3" s="147"/>
      <c r="E3" s="148"/>
      <c r="F3" s="26"/>
      <c r="G3" s="146" t="s">
        <v>56</v>
      </c>
      <c r="H3" s="147"/>
      <c r="I3" s="147"/>
      <c r="J3" s="147"/>
      <c r="K3" s="148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x14ac:dyDescent="0.25">
      <c r="A4" s="33"/>
      <c r="B4" s="24"/>
      <c r="C4" s="24"/>
      <c r="D4" s="24"/>
      <c r="E4" s="34"/>
      <c r="F4" s="26"/>
      <c r="G4" s="33"/>
      <c r="H4" s="68"/>
      <c r="I4" s="68"/>
      <c r="J4" s="68"/>
      <c r="K4" s="69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x14ac:dyDescent="0.25">
      <c r="A5" s="149" t="s">
        <v>54</v>
      </c>
      <c r="B5" s="150"/>
      <c r="C5" s="150"/>
      <c r="D5" s="151" t="s">
        <v>2</v>
      </c>
      <c r="E5" s="152"/>
      <c r="F5" s="26"/>
      <c r="G5" s="149" t="s">
        <v>54</v>
      </c>
      <c r="H5" s="150"/>
      <c r="I5" s="150"/>
      <c r="J5" s="151" t="s">
        <v>2</v>
      </c>
      <c r="K5" s="152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16.5" customHeight="1" x14ac:dyDescent="0.25">
      <c r="A6" s="9" t="s">
        <v>0</v>
      </c>
      <c r="B6" s="28">
        <v>3.2</v>
      </c>
      <c r="C6" s="36" t="s">
        <v>40</v>
      </c>
      <c r="D6" s="139" t="s">
        <v>18</v>
      </c>
      <c r="E6" s="140"/>
      <c r="F6" s="26"/>
      <c r="G6" s="9" t="s">
        <v>0</v>
      </c>
      <c r="H6" s="28">
        <v>3.2</v>
      </c>
      <c r="I6" s="36" t="s">
        <v>40</v>
      </c>
      <c r="J6" s="139" t="s">
        <v>18</v>
      </c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ht="15" customHeight="1" x14ac:dyDescent="0.25">
      <c r="A7" s="9" t="s">
        <v>55</v>
      </c>
      <c r="B7" s="28">
        <v>1</v>
      </c>
      <c r="D7" s="139" t="s">
        <v>3</v>
      </c>
      <c r="E7" s="140"/>
      <c r="F7" s="26"/>
      <c r="G7" s="9" t="s">
        <v>55</v>
      </c>
      <c r="H7" s="28">
        <v>1</v>
      </c>
      <c r="J7" s="139" t="s">
        <v>3</v>
      </c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x14ac:dyDescent="0.25">
      <c r="A8" s="38" t="s">
        <v>4</v>
      </c>
      <c r="B8" s="95">
        <v>178</v>
      </c>
      <c r="C8" s="37" t="s">
        <v>44</v>
      </c>
      <c r="D8" s="141">
        <v>2</v>
      </c>
      <c r="E8" s="142"/>
      <c r="F8" s="26"/>
      <c r="G8" s="38" t="s">
        <v>4</v>
      </c>
      <c r="H8" s="57">
        <v>215</v>
      </c>
      <c r="I8" s="37" t="s">
        <v>44</v>
      </c>
      <c r="J8" s="141">
        <v>2</v>
      </c>
      <c r="K8" s="142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x14ac:dyDescent="0.25">
      <c r="A9" s="38" t="s">
        <v>53</v>
      </c>
      <c r="B9" s="80">
        <v>25</v>
      </c>
      <c r="C9" s="37"/>
      <c r="D9" s="59"/>
      <c r="E9" s="58"/>
      <c r="F9" s="26"/>
      <c r="G9" s="38" t="s">
        <v>53</v>
      </c>
      <c r="H9" s="80">
        <v>25</v>
      </c>
      <c r="I9" s="37"/>
      <c r="J9" s="66"/>
      <c r="K9" s="6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x14ac:dyDescent="0.25">
      <c r="A10" s="46"/>
      <c r="B10" s="47"/>
      <c r="C10" s="47"/>
      <c r="D10" s="47"/>
      <c r="E10" s="48"/>
      <c r="F10" s="26"/>
      <c r="G10" s="46"/>
      <c r="H10" s="47"/>
      <c r="I10" s="47"/>
      <c r="J10" s="47"/>
      <c r="K10" s="4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x14ac:dyDescent="0.25">
      <c r="A11" s="143" t="s">
        <v>5</v>
      </c>
      <c r="B11" s="143"/>
      <c r="C11" s="143"/>
      <c r="D11" s="143"/>
      <c r="E11" s="143"/>
      <c r="F11" s="26"/>
      <c r="G11" s="143" t="s">
        <v>5</v>
      </c>
      <c r="H11" s="143"/>
      <c r="I11" s="143"/>
      <c r="J11" s="143"/>
      <c r="K11" s="143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5" customHeight="1" x14ac:dyDescent="0.25">
      <c r="A12" s="9"/>
      <c r="B12" s="10"/>
      <c r="C12" s="10"/>
      <c r="D12" s="10"/>
      <c r="E12" s="29"/>
      <c r="F12" s="26"/>
      <c r="G12" s="9"/>
      <c r="H12" s="10"/>
      <c r="I12" s="10"/>
      <c r="J12" s="10"/>
      <c r="K12" s="29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15" customHeight="1" x14ac:dyDescent="0.25">
      <c r="A13" s="41" t="s">
        <v>37</v>
      </c>
      <c r="B13" s="42"/>
      <c r="C13" s="43" t="s">
        <v>107</v>
      </c>
      <c r="D13" s="43" t="s">
        <v>7</v>
      </c>
      <c r="E13" s="44" t="s">
        <v>8</v>
      </c>
      <c r="F13" s="26"/>
      <c r="G13" s="41" t="s">
        <v>37</v>
      </c>
      <c r="H13" s="42"/>
      <c r="I13" s="43" t="s">
        <v>107</v>
      </c>
      <c r="J13" s="43" t="s">
        <v>7</v>
      </c>
      <c r="K13" s="44" t="s">
        <v>8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15" customHeight="1" x14ac:dyDescent="0.25">
      <c r="A14" s="38" t="s">
        <v>4</v>
      </c>
      <c r="B14" s="10"/>
      <c r="C14" s="11" t="s">
        <v>38</v>
      </c>
      <c r="D14" s="11" t="s">
        <v>38</v>
      </c>
      <c r="E14" s="54">
        <f>+B8/100</f>
        <v>1.78</v>
      </c>
      <c r="F14" s="26"/>
      <c r="G14" s="38" t="s">
        <v>4</v>
      </c>
      <c r="H14" s="10"/>
      <c r="I14" s="11" t="s">
        <v>38</v>
      </c>
      <c r="J14" s="11" t="s">
        <v>38</v>
      </c>
      <c r="K14" s="54">
        <f>+H8/100</f>
        <v>2.15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25">
      <c r="A15" s="20" t="s">
        <v>9</v>
      </c>
      <c r="B15" s="21"/>
      <c r="C15" s="12">
        <v>0.05</v>
      </c>
      <c r="D15" s="13">
        <v>16</v>
      </c>
      <c r="E15" s="54">
        <f>+C15*D15</f>
        <v>0.8</v>
      </c>
      <c r="F15" s="26"/>
      <c r="G15" s="75" t="s">
        <v>9</v>
      </c>
      <c r="H15" s="76"/>
      <c r="I15" s="12">
        <v>0.05</v>
      </c>
      <c r="J15" s="13">
        <v>16</v>
      </c>
      <c r="K15" s="54">
        <f>+I15*J15</f>
        <v>0.8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25">
      <c r="A16" s="20" t="s">
        <v>10</v>
      </c>
      <c r="B16" s="21"/>
      <c r="C16" s="12">
        <v>0.02</v>
      </c>
      <c r="D16" s="13">
        <v>21</v>
      </c>
      <c r="E16" s="54">
        <f>+C16*D16</f>
        <v>0.42</v>
      </c>
      <c r="F16" s="26"/>
      <c r="G16" s="75" t="s">
        <v>10</v>
      </c>
      <c r="H16" s="76"/>
      <c r="I16" s="12">
        <v>0.02</v>
      </c>
      <c r="J16" s="13">
        <v>21</v>
      </c>
      <c r="K16" s="54">
        <f>+I16*J16</f>
        <v>0.42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5" customHeight="1" x14ac:dyDescent="0.25">
      <c r="A17" s="22" t="s">
        <v>11</v>
      </c>
      <c r="B17" s="23"/>
      <c r="C17" s="12"/>
      <c r="D17" s="13"/>
      <c r="E17" s="54">
        <v>3.0000000000000001E-3</v>
      </c>
      <c r="F17" s="26"/>
      <c r="G17" s="77" t="s">
        <v>11</v>
      </c>
      <c r="H17" s="78"/>
      <c r="I17" s="12"/>
      <c r="J17" s="13"/>
      <c r="K17" s="54">
        <v>3.0000000000000001E-3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x14ac:dyDescent="0.25">
      <c r="A18" s="22" t="s">
        <v>12</v>
      </c>
      <c r="B18" s="23"/>
      <c r="C18" s="12"/>
      <c r="D18" s="13"/>
      <c r="E18" s="54">
        <v>0.2</v>
      </c>
      <c r="F18" s="26"/>
      <c r="G18" s="77" t="s">
        <v>12</v>
      </c>
      <c r="H18" s="78"/>
      <c r="I18" s="12"/>
      <c r="J18" s="13"/>
      <c r="K18" s="54">
        <v>0.2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25">
      <c r="A19" s="144" t="s">
        <v>13</v>
      </c>
      <c r="B19" s="145"/>
      <c r="C19" s="39">
        <v>0</v>
      </c>
      <c r="D19" s="40">
        <v>17</v>
      </c>
      <c r="E19" s="56">
        <f>(C19*D19)/(B6*B7)</f>
        <v>0</v>
      </c>
      <c r="F19" s="26"/>
      <c r="G19" s="144" t="s">
        <v>13</v>
      </c>
      <c r="H19" s="145"/>
      <c r="I19" s="39">
        <f>0.2*2*3.2</f>
        <v>1.2800000000000002</v>
      </c>
      <c r="J19" s="40">
        <v>17</v>
      </c>
      <c r="K19" s="56">
        <f>(I19*J19)/(H6*H7)</f>
        <v>6.8000000000000016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x14ac:dyDescent="0.25">
      <c r="A20" s="49" t="s">
        <v>48</v>
      </c>
      <c r="B20" s="50"/>
      <c r="C20" s="51"/>
      <c r="D20" s="52"/>
      <c r="E20" s="55">
        <f>SUM(E14:E19)</f>
        <v>3.2030000000000003</v>
      </c>
      <c r="F20" s="26"/>
      <c r="G20" s="49" t="s">
        <v>48</v>
      </c>
      <c r="H20" s="50"/>
      <c r="I20" s="51"/>
      <c r="J20" s="52"/>
      <c r="K20" s="55">
        <f>SUM(K14:K19)</f>
        <v>10.373000000000001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x14ac:dyDescent="0.25">
      <c r="A21" s="53" t="s">
        <v>47</v>
      </c>
      <c r="B21" s="10"/>
      <c r="C21" s="10"/>
      <c r="D21" s="27"/>
      <c r="E21" s="55">
        <v>2</v>
      </c>
      <c r="F21" s="26"/>
      <c r="G21" s="53" t="s">
        <v>47</v>
      </c>
      <c r="H21" s="10"/>
      <c r="I21" s="10"/>
      <c r="J21" s="27"/>
      <c r="K21" s="55">
        <v>2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15" customHeight="1" x14ac:dyDescent="0.25">
      <c r="A22" s="143" t="s">
        <v>45</v>
      </c>
      <c r="B22" s="143"/>
      <c r="C22" s="143"/>
      <c r="D22" s="143"/>
      <c r="E22" s="143"/>
      <c r="F22" s="26"/>
      <c r="G22" s="143" t="s">
        <v>45</v>
      </c>
      <c r="H22" s="143"/>
      <c r="I22" s="143"/>
      <c r="J22" s="143"/>
      <c r="K22" s="143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5" customHeight="1" x14ac:dyDescent="0.25">
      <c r="A23" s="33"/>
      <c r="B23" s="24"/>
      <c r="C23" s="24"/>
      <c r="D23" s="24"/>
      <c r="E23" s="34"/>
      <c r="F23" s="26"/>
      <c r="G23" s="33"/>
      <c r="H23" s="68"/>
      <c r="I23" s="68"/>
      <c r="J23" s="68"/>
      <c r="K23" s="69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15" customHeight="1" x14ac:dyDescent="0.25">
      <c r="A24" s="45" t="s">
        <v>50</v>
      </c>
      <c r="B24" s="61">
        <f>+ROUND((((E20+E21)*B6^2)/8),2)</f>
        <v>6.66</v>
      </c>
      <c r="C24" s="62">
        <f>+B24*100</f>
        <v>666</v>
      </c>
      <c r="D24" s="153"/>
      <c r="E24" s="154"/>
      <c r="F24" s="26"/>
      <c r="G24" s="45" t="s">
        <v>50</v>
      </c>
      <c r="H24" s="61">
        <v>10</v>
      </c>
      <c r="I24" s="62">
        <f>+H24*100</f>
        <v>1000</v>
      </c>
      <c r="J24" s="153" t="s">
        <v>108</v>
      </c>
      <c r="K24" s="154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x14ac:dyDescent="0.25">
      <c r="A25" s="30"/>
      <c r="B25" s="10"/>
      <c r="C25" s="10"/>
      <c r="D25" s="10"/>
      <c r="E25" s="29"/>
      <c r="F25" s="26"/>
      <c r="G25" s="30"/>
      <c r="H25" s="10"/>
      <c r="I25" s="10"/>
      <c r="J25" s="10"/>
      <c r="K25" s="29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x14ac:dyDescent="0.25">
      <c r="A26" s="160" t="s">
        <v>41</v>
      </c>
      <c r="B26" s="161"/>
      <c r="C26" s="162"/>
      <c r="D26" s="10"/>
      <c r="E26" s="29"/>
      <c r="F26" s="26"/>
      <c r="G26" s="160" t="s">
        <v>41</v>
      </c>
      <c r="H26" s="161"/>
      <c r="I26" s="162"/>
      <c r="J26" s="10"/>
      <c r="K26" s="29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5" customHeight="1" x14ac:dyDescent="0.25">
      <c r="A27" s="128" t="s">
        <v>14</v>
      </c>
      <c r="B27" s="128"/>
      <c r="C27" s="31" t="s">
        <v>43</v>
      </c>
      <c r="D27" s="10"/>
      <c r="E27" s="32"/>
      <c r="F27" s="26"/>
      <c r="G27" s="128" t="s">
        <v>14</v>
      </c>
      <c r="H27" s="128"/>
      <c r="I27" s="31" t="s">
        <v>57</v>
      </c>
      <c r="J27" s="10"/>
      <c r="K27" s="32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x14ac:dyDescent="0.25">
      <c r="A28" s="128" t="s">
        <v>15</v>
      </c>
      <c r="B28" s="128"/>
      <c r="C28" s="35">
        <v>3.1</v>
      </c>
      <c r="D28" s="10"/>
      <c r="E28" s="29"/>
      <c r="F28" s="26"/>
      <c r="G28" s="128" t="s">
        <v>15</v>
      </c>
      <c r="H28" s="128"/>
      <c r="I28" s="35">
        <v>3.1</v>
      </c>
      <c r="J28" s="10"/>
      <c r="K28" s="29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x14ac:dyDescent="0.25">
      <c r="A29" s="128" t="s">
        <v>106</v>
      </c>
      <c r="B29" s="128"/>
      <c r="C29" s="35">
        <v>0.13</v>
      </c>
      <c r="D29" s="10"/>
      <c r="E29" s="29"/>
      <c r="F29" s="26"/>
      <c r="G29" s="128" t="s">
        <v>16</v>
      </c>
      <c r="H29" s="128"/>
      <c r="I29" s="35">
        <v>0.13</v>
      </c>
      <c r="J29" s="10"/>
      <c r="K29" s="29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5" customHeight="1" x14ac:dyDescent="0.25">
      <c r="A30" s="128" t="s">
        <v>17</v>
      </c>
      <c r="B30" s="128"/>
      <c r="C30" s="35">
        <v>0.05</v>
      </c>
      <c r="D30" s="10"/>
      <c r="E30" s="29"/>
      <c r="F30" s="26"/>
      <c r="G30" s="128" t="s">
        <v>17</v>
      </c>
      <c r="H30" s="128"/>
      <c r="I30" s="35">
        <v>0.05</v>
      </c>
      <c r="J30" s="10"/>
      <c r="K30" s="29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5.75" customHeight="1" x14ac:dyDescent="0.25">
      <c r="A31" s="128" t="s">
        <v>49</v>
      </c>
      <c r="B31" s="128"/>
      <c r="C31" s="60">
        <v>1159</v>
      </c>
      <c r="D31" s="133" t="s">
        <v>42</v>
      </c>
      <c r="E31" s="134"/>
      <c r="F31" s="26"/>
      <c r="G31" s="128" t="s">
        <v>49</v>
      </c>
      <c r="H31" s="128"/>
      <c r="I31" s="115">
        <v>1254</v>
      </c>
      <c r="J31" s="133" t="s">
        <v>42</v>
      </c>
      <c r="K31" s="134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x14ac:dyDescent="0.25">
      <c r="A32" s="9"/>
      <c r="B32" s="10"/>
      <c r="C32" s="10"/>
      <c r="D32" s="10"/>
      <c r="E32" s="29"/>
      <c r="F32" s="26"/>
      <c r="G32" s="9"/>
      <c r="H32" s="10"/>
      <c r="I32" s="10"/>
      <c r="J32" s="10"/>
      <c r="K32" s="29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3" ht="15.75" customHeight="1" x14ac:dyDescent="0.25">
      <c r="A33" s="135" t="str">
        <f>IF(C31&gt;C24,"M Admisible &gt; M Total → Buenas Condiciones","M Admisible &lt; M Total  → Malas Condiciones")</f>
        <v>M Admisible &gt; M Total → Buenas Condiciones</v>
      </c>
      <c r="B33" s="136"/>
      <c r="C33" s="136"/>
      <c r="D33" s="136"/>
      <c r="E33" s="137"/>
      <c r="F33" s="26"/>
      <c r="G33" s="135" t="str">
        <f>IF(I31&gt;I24,"M Admisible &gt; M Total → Buenas Condiciones","M Admisible &lt; M Total  → Malas Condiciones")</f>
        <v>M Admisible &gt; M Total → Buenas Condiciones</v>
      </c>
      <c r="H33" s="136"/>
      <c r="I33" s="136"/>
      <c r="J33" s="136"/>
      <c r="K33" s="13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1:23" ht="15.75" customHeight="1" x14ac:dyDescent="0.25">
      <c r="A34" s="70"/>
      <c r="B34" s="71"/>
      <c r="C34" s="71"/>
      <c r="D34" s="71"/>
      <c r="E34" s="72"/>
      <c r="F34" s="26"/>
      <c r="G34" s="70"/>
      <c r="H34" s="71"/>
      <c r="I34" s="71"/>
      <c r="J34" s="71"/>
      <c r="K34" s="72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ht="15.75" customHeight="1" x14ac:dyDescent="0.25">
      <c r="A35" s="129" t="s">
        <v>58</v>
      </c>
      <c r="B35" s="130"/>
      <c r="C35" s="131" t="s">
        <v>72</v>
      </c>
      <c r="D35" s="131"/>
      <c r="E35" s="132"/>
      <c r="F35" s="26"/>
      <c r="G35" s="129" t="s">
        <v>58</v>
      </c>
      <c r="H35" s="130"/>
      <c r="I35" s="131" t="s">
        <v>59</v>
      </c>
      <c r="J35" s="131"/>
      <c r="K35" s="132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1:23" s="26" customFormat="1" ht="15.75" customHeight="1" x14ac:dyDescent="0.25">
      <c r="A36" s="63"/>
      <c r="B36" s="64"/>
      <c r="C36" s="64"/>
      <c r="D36" s="64"/>
      <c r="E36" s="65"/>
      <c r="G36" s="63"/>
      <c r="H36" s="64"/>
      <c r="I36" s="64"/>
      <c r="J36" s="64"/>
      <c r="K36" s="65"/>
    </row>
    <row r="37" spans="1:23" s="26" customFormat="1" ht="15.75" customHeight="1" x14ac:dyDescent="0.25">
      <c r="A37" s="157" t="s">
        <v>46</v>
      </c>
      <c r="B37" s="158"/>
      <c r="C37" s="158"/>
      <c r="D37" s="158"/>
      <c r="E37" s="159"/>
      <c r="G37" s="157" t="s">
        <v>46</v>
      </c>
      <c r="H37" s="158"/>
      <c r="I37" s="158"/>
      <c r="J37" s="158"/>
      <c r="K37" s="159"/>
    </row>
    <row r="38" spans="1:23" s="26" customFormat="1" ht="15.75" customHeight="1" x14ac:dyDescent="0.25">
      <c r="A38" s="100"/>
      <c r="B38" s="101"/>
      <c r="C38" s="101"/>
      <c r="D38" s="101"/>
      <c r="E38" s="102"/>
      <c r="G38" s="100"/>
      <c r="H38" s="101"/>
      <c r="I38" s="101"/>
      <c r="J38" s="101"/>
      <c r="K38" s="102"/>
    </row>
    <row r="39" spans="1:23" s="26" customFormat="1" ht="15.75" customHeight="1" x14ac:dyDescent="0.25">
      <c r="A39" s="33" t="s">
        <v>51</v>
      </c>
      <c r="B39" s="79">
        <f>+ROUND(((1.2*$E$20+1.6*$E$21)*$B$6)/2,2)</f>
        <v>11.27</v>
      </c>
      <c r="C39" s="10"/>
      <c r="D39" s="68"/>
      <c r="E39" s="69"/>
      <c r="G39" s="33" t="s">
        <v>51</v>
      </c>
      <c r="H39" s="79">
        <f>+ROUND(((1.2*$K$20+1.6*$K$21)*$H$6)/2,2)</f>
        <v>25.04</v>
      </c>
      <c r="I39" s="10"/>
      <c r="J39" s="68"/>
      <c r="K39" s="69"/>
    </row>
    <row r="40" spans="1:23" s="26" customFormat="1" ht="15.75" customHeight="1" x14ac:dyDescent="0.25">
      <c r="A40" s="63" t="s">
        <v>52</v>
      </c>
      <c r="B40" s="103">
        <f>+(1/6)*($B$9^(1/2))*($B$7*1000)*(1000*($C$29+$C$30-0.03))/1000</f>
        <v>124.99999999999999</v>
      </c>
      <c r="C40" s="155" t="str">
        <f>+IF($B$40&gt;$B$39,"NO ES NECESARIA ARM. DE CORTE","ES NECESARIA ARM. DE CORTE")</f>
        <v>NO ES NECESARIA ARM. DE CORTE</v>
      </c>
      <c r="D40" s="155"/>
      <c r="E40" s="156"/>
      <c r="G40" s="63" t="s">
        <v>52</v>
      </c>
      <c r="H40" s="103">
        <f>+(1/6)*($H$9^(1/2))*($H$7*1000)*(1000*($I$29+$I$30-0.03))/1000</f>
        <v>124.99999999999999</v>
      </c>
      <c r="I40" s="155" t="str">
        <f>+IF($B$40&gt;$B$39,"NO ES NECESARIA ARM. DE CORTE","ES NECESARIA ARM. DE CORTE")</f>
        <v>NO ES NECESARIA ARM. DE CORTE</v>
      </c>
      <c r="J40" s="155"/>
      <c r="K40" s="156"/>
    </row>
    <row r="41" spans="1:23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1:23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1:23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1:23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 spans="1:23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spans="1:23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1:23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spans="1:23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spans="1:23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1:23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1:23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1:23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spans="1:23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1:23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 spans="1:23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spans="1:23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 spans="1:23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 spans="1:23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 spans="1:23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 spans="1:23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 spans="1:23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 spans="1:23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 spans="1:23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 spans="1:23" x14ac:dyDescent="0.25">
      <c r="A64" s="26"/>
      <c r="B64" s="26"/>
      <c r="C64" s="26"/>
      <c r="D64" s="26"/>
      <c r="E64" s="26"/>
    </row>
  </sheetData>
  <mergeCells count="45">
    <mergeCell ref="J24:K24"/>
    <mergeCell ref="D24:E24"/>
    <mergeCell ref="C40:E40"/>
    <mergeCell ref="A37:E37"/>
    <mergeCell ref="A33:E33"/>
    <mergeCell ref="A27:B27"/>
    <mergeCell ref="A28:B28"/>
    <mergeCell ref="A29:B29"/>
    <mergeCell ref="A30:B30"/>
    <mergeCell ref="A26:C26"/>
    <mergeCell ref="G37:K37"/>
    <mergeCell ref="I40:K40"/>
    <mergeCell ref="G26:I26"/>
    <mergeCell ref="G27:H27"/>
    <mergeCell ref="G28:H28"/>
    <mergeCell ref="G29:H29"/>
    <mergeCell ref="A22:E22"/>
    <mergeCell ref="G3:K3"/>
    <mergeCell ref="G5:I5"/>
    <mergeCell ref="J5:K5"/>
    <mergeCell ref="J6:K6"/>
    <mergeCell ref="G22:K22"/>
    <mergeCell ref="D6:E6"/>
    <mergeCell ref="D7:E7"/>
    <mergeCell ref="D8:E8"/>
    <mergeCell ref="A3:E3"/>
    <mergeCell ref="A11:E11"/>
    <mergeCell ref="D5:E5"/>
    <mergeCell ref="A5:C5"/>
    <mergeCell ref="A1:E1"/>
    <mergeCell ref="J7:K7"/>
    <mergeCell ref="J8:K8"/>
    <mergeCell ref="G11:K11"/>
    <mergeCell ref="G19:H19"/>
    <mergeCell ref="A19:B19"/>
    <mergeCell ref="G30:H30"/>
    <mergeCell ref="A35:B35"/>
    <mergeCell ref="C35:E35"/>
    <mergeCell ref="G35:H35"/>
    <mergeCell ref="I35:K35"/>
    <mergeCell ref="G31:H31"/>
    <mergeCell ref="J31:K31"/>
    <mergeCell ref="G33:K33"/>
    <mergeCell ref="A31:B31"/>
    <mergeCell ref="D31:E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40F-C532-48BA-94F1-7E5FA3C03385}">
  <dimension ref="A1:AC63"/>
  <sheetViews>
    <sheetView tabSelected="1" topLeftCell="X1" zoomScale="130" zoomScaleNormal="130" workbookViewId="0">
      <selection activeCell="V44" sqref="V44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  <col min="7" max="7" width="14.7109375" customWidth="1"/>
    <col min="8" max="8" width="12.5703125" customWidth="1"/>
    <col min="9" max="9" width="11.85546875" customWidth="1"/>
    <col min="10" max="10" width="12.42578125" customWidth="1"/>
    <col min="11" max="11" width="15.7109375" customWidth="1"/>
    <col min="13" max="13" width="14.7109375" customWidth="1"/>
    <col min="14" max="14" width="12.5703125" customWidth="1"/>
    <col min="15" max="15" width="11.85546875" customWidth="1"/>
    <col min="16" max="16" width="12.42578125" customWidth="1"/>
    <col min="17" max="17" width="15.7109375" customWidth="1"/>
    <col min="19" max="19" width="14.7109375" customWidth="1"/>
    <col min="20" max="20" width="12.5703125" customWidth="1"/>
    <col min="21" max="21" width="11.85546875" customWidth="1"/>
    <col min="22" max="22" width="12.42578125" customWidth="1"/>
    <col min="23" max="23" width="15.7109375" customWidth="1"/>
    <col min="25" max="25" width="14.7109375" customWidth="1"/>
    <col min="26" max="26" width="12.7109375" customWidth="1"/>
    <col min="27" max="27" width="11.85546875" customWidth="1"/>
    <col min="28" max="28" width="12.42578125" customWidth="1"/>
    <col min="29" max="29" width="15.7109375" customWidth="1"/>
  </cols>
  <sheetData>
    <row r="1" spans="1:29" x14ac:dyDescent="0.25">
      <c r="A1" s="172" t="s">
        <v>60</v>
      </c>
      <c r="B1" s="173"/>
      <c r="C1" s="173"/>
      <c r="D1" s="173"/>
      <c r="E1" s="174"/>
      <c r="F1" s="19"/>
    </row>
    <row r="2" spans="1:29" x14ac:dyDescent="0.25">
      <c r="A2" s="1"/>
      <c r="B2" s="2"/>
      <c r="C2" s="2"/>
      <c r="D2" s="2"/>
      <c r="E2" s="2"/>
      <c r="F2" s="15"/>
    </row>
    <row r="3" spans="1:29" x14ac:dyDescent="0.25">
      <c r="A3" s="172" t="s">
        <v>68</v>
      </c>
      <c r="B3" s="173"/>
      <c r="C3" s="173"/>
      <c r="D3" s="173"/>
      <c r="E3" s="174"/>
      <c r="G3" s="172" t="s">
        <v>75</v>
      </c>
      <c r="H3" s="173"/>
      <c r="I3" s="173"/>
      <c r="J3" s="173"/>
      <c r="K3" s="174"/>
      <c r="M3" s="138" t="s">
        <v>79</v>
      </c>
      <c r="N3" s="138"/>
      <c r="O3" s="138"/>
      <c r="P3" s="138"/>
      <c r="Q3" s="138"/>
      <c r="S3" s="138" t="s">
        <v>97</v>
      </c>
      <c r="T3" s="138"/>
      <c r="U3" s="138"/>
      <c r="V3" s="138"/>
      <c r="W3" s="138"/>
      <c r="Y3" s="172" t="s">
        <v>97</v>
      </c>
      <c r="Z3" s="173"/>
      <c r="AA3" s="173"/>
      <c r="AB3" s="173"/>
      <c r="AC3" s="174"/>
    </row>
    <row r="4" spans="1:29" x14ac:dyDescent="0.25">
      <c r="A4" s="74"/>
      <c r="B4" s="74"/>
      <c r="C4" s="74"/>
      <c r="D4" s="74"/>
      <c r="E4" s="74"/>
      <c r="G4" s="74"/>
      <c r="H4" s="74"/>
      <c r="I4" s="74"/>
      <c r="J4" s="74"/>
      <c r="K4" s="74"/>
      <c r="M4" s="74"/>
      <c r="N4" s="74"/>
      <c r="O4" s="74"/>
      <c r="P4" s="74"/>
      <c r="Q4" s="74"/>
      <c r="S4" s="74"/>
      <c r="T4" s="74"/>
      <c r="U4" s="74"/>
      <c r="V4" s="74"/>
      <c r="W4" s="74"/>
      <c r="Y4" s="73"/>
      <c r="Z4" s="74"/>
      <c r="AA4" s="74"/>
      <c r="AB4" s="74"/>
      <c r="AC4" s="17"/>
    </row>
    <row r="5" spans="1:29" x14ac:dyDescent="0.25">
      <c r="A5" s="116" t="s">
        <v>54</v>
      </c>
      <c r="B5" s="74"/>
      <c r="C5" s="74"/>
      <c r="D5" s="74"/>
      <c r="E5" s="74"/>
      <c r="G5" s="116" t="s">
        <v>54</v>
      </c>
      <c r="H5" s="74"/>
      <c r="I5" s="74"/>
      <c r="J5" s="74"/>
      <c r="K5" s="74"/>
      <c r="M5" s="116" t="s">
        <v>54</v>
      </c>
      <c r="N5" s="74"/>
      <c r="O5" s="74"/>
      <c r="P5" s="74"/>
      <c r="Q5" s="74"/>
      <c r="S5" s="116" t="s">
        <v>54</v>
      </c>
      <c r="T5" s="74"/>
      <c r="U5" s="74"/>
      <c r="V5" s="74"/>
      <c r="W5" s="74"/>
      <c r="Y5" s="93" t="s">
        <v>54</v>
      </c>
      <c r="Z5" s="74"/>
      <c r="AA5" s="74"/>
      <c r="AB5" s="74"/>
      <c r="AC5" s="17"/>
    </row>
    <row r="6" spans="1:29" x14ac:dyDescent="0.25">
      <c r="A6" s="74" t="s">
        <v>20</v>
      </c>
      <c r="B6" s="4">
        <v>3.2</v>
      </c>
      <c r="C6" s="2"/>
      <c r="D6" s="74" t="s">
        <v>23</v>
      </c>
      <c r="E6" s="4">
        <v>0.3</v>
      </c>
      <c r="G6" s="74" t="s">
        <v>20</v>
      </c>
      <c r="H6" s="4">
        <v>3.2</v>
      </c>
      <c r="I6" s="2"/>
      <c r="J6" s="74" t="s">
        <v>23</v>
      </c>
      <c r="K6" s="4">
        <v>0.3</v>
      </c>
      <c r="M6" s="74" t="s">
        <v>20</v>
      </c>
      <c r="N6" s="4">
        <v>1.78</v>
      </c>
      <c r="O6" s="2"/>
      <c r="P6" s="74" t="s">
        <v>23</v>
      </c>
      <c r="Q6" s="4">
        <v>0.17</v>
      </c>
      <c r="S6" s="74" t="s">
        <v>20</v>
      </c>
      <c r="T6" s="4">
        <v>1</v>
      </c>
      <c r="U6" s="2"/>
      <c r="V6" s="74" t="s">
        <v>23</v>
      </c>
      <c r="W6" s="4">
        <v>0.3</v>
      </c>
      <c r="Y6" s="73" t="s">
        <v>20</v>
      </c>
      <c r="Z6" s="4">
        <v>1</v>
      </c>
      <c r="AA6" s="2"/>
      <c r="AB6" s="74" t="s">
        <v>23</v>
      </c>
      <c r="AC6" s="87">
        <v>0.3</v>
      </c>
    </row>
    <row r="7" spans="1:29" x14ac:dyDescent="0.25">
      <c r="A7" s="74" t="s">
        <v>28</v>
      </c>
      <c r="B7" s="94">
        <v>25</v>
      </c>
      <c r="C7" s="2"/>
      <c r="D7" s="74" t="s">
        <v>35</v>
      </c>
      <c r="E7" s="4">
        <v>0.2</v>
      </c>
      <c r="F7" s="6"/>
      <c r="G7" s="74" t="s">
        <v>28</v>
      </c>
      <c r="H7" s="94">
        <v>25</v>
      </c>
      <c r="I7" s="2"/>
      <c r="J7" s="74" t="s">
        <v>35</v>
      </c>
      <c r="K7" s="4">
        <v>0.2</v>
      </c>
      <c r="M7" s="74" t="s">
        <v>28</v>
      </c>
      <c r="N7" s="94">
        <v>25</v>
      </c>
      <c r="O7" s="2"/>
      <c r="P7" s="74" t="s">
        <v>35</v>
      </c>
      <c r="Q7" s="4">
        <v>0.2</v>
      </c>
      <c r="S7" s="74" t="s">
        <v>28</v>
      </c>
      <c r="T7" s="94">
        <v>25</v>
      </c>
      <c r="U7" s="2"/>
      <c r="V7" s="74" t="s">
        <v>35</v>
      </c>
      <c r="W7" s="4">
        <v>0.2</v>
      </c>
      <c r="Y7" s="73" t="s">
        <v>28</v>
      </c>
      <c r="Z7" s="94">
        <v>25</v>
      </c>
      <c r="AA7" s="2"/>
      <c r="AB7" s="74" t="s">
        <v>35</v>
      </c>
      <c r="AC7" s="87">
        <v>0.2</v>
      </c>
    </row>
    <row r="8" spans="1:29" x14ac:dyDescent="0.25">
      <c r="A8" s="74" t="s">
        <v>29</v>
      </c>
      <c r="B8" s="94">
        <v>420</v>
      </c>
      <c r="C8" s="2"/>
      <c r="D8" s="170" t="s">
        <v>74</v>
      </c>
      <c r="E8" s="170"/>
      <c r="G8" s="74" t="s">
        <v>29</v>
      </c>
      <c r="H8" s="94">
        <v>420</v>
      </c>
      <c r="I8" s="2"/>
      <c r="J8" s="170" t="s">
        <v>74</v>
      </c>
      <c r="K8" s="170"/>
      <c r="M8" s="74" t="s">
        <v>29</v>
      </c>
      <c r="N8" s="94">
        <v>420</v>
      </c>
      <c r="O8" s="2"/>
      <c r="P8" s="170" t="s">
        <v>74</v>
      </c>
      <c r="Q8" s="170"/>
      <c r="S8" s="74" t="s">
        <v>29</v>
      </c>
      <c r="T8" s="94">
        <v>420</v>
      </c>
      <c r="U8" s="2"/>
      <c r="V8" s="170" t="s">
        <v>80</v>
      </c>
      <c r="W8" s="170"/>
      <c r="Y8" s="73" t="s">
        <v>29</v>
      </c>
      <c r="Z8" s="94">
        <v>420</v>
      </c>
      <c r="AA8" s="2"/>
      <c r="AB8" s="170" t="s">
        <v>80</v>
      </c>
      <c r="AC8" s="175"/>
    </row>
    <row r="9" spans="1:29" x14ac:dyDescent="0.25">
      <c r="A9" s="2"/>
      <c r="B9" s="2"/>
      <c r="C9" s="2"/>
      <c r="D9" s="2"/>
      <c r="E9" s="2"/>
      <c r="G9" s="2"/>
      <c r="H9" s="2"/>
      <c r="I9" s="2"/>
      <c r="J9" s="2"/>
      <c r="K9" s="2"/>
      <c r="M9" s="2"/>
      <c r="N9" s="2"/>
      <c r="O9" s="2"/>
      <c r="P9" s="2"/>
      <c r="Q9" s="2"/>
      <c r="S9" s="2"/>
      <c r="T9" s="2"/>
      <c r="U9" s="2"/>
      <c r="V9" s="2"/>
      <c r="W9" s="2"/>
      <c r="Y9" s="1"/>
      <c r="Z9" s="2"/>
      <c r="AA9" s="2"/>
      <c r="AB9" s="2"/>
      <c r="AC9" s="3"/>
    </row>
    <row r="10" spans="1:29" x14ac:dyDescent="0.25">
      <c r="A10" s="160" t="s">
        <v>67</v>
      </c>
      <c r="B10" s="161"/>
      <c r="C10" s="161"/>
      <c r="D10" s="161"/>
      <c r="E10" s="162"/>
      <c r="G10" s="160" t="s">
        <v>67</v>
      </c>
      <c r="H10" s="161"/>
      <c r="I10" s="161"/>
      <c r="J10" s="161"/>
      <c r="K10" s="162"/>
      <c r="M10" s="163" t="s">
        <v>67</v>
      </c>
      <c r="N10" s="163"/>
      <c r="O10" s="163"/>
      <c r="P10" s="163"/>
      <c r="Q10" s="163"/>
      <c r="S10" s="163" t="s">
        <v>67</v>
      </c>
      <c r="T10" s="163"/>
      <c r="U10" s="163"/>
      <c r="V10" s="163"/>
      <c r="W10" s="163"/>
      <c r="Y10" s="163" t="s">
        <v>67</v>
      </c>
      <c r="Z10" s="163"/>
      <c r="AA10" s="163"/>
      <c r="AB10" s="163"/>
      <c r="AC10" s="163"/>
    </row>
    <row r="11" spans="1:29" x14ac:dyDescent="0.25">
      <c r="A11" s="74"/>
      <c r="B11" s="74"/>
      <c r="C11" s="74"/>
      <c r="D11" s="74"/>
      <c r="E11" s="74"/>
      <c r="G11" s="74"/>
      <c r="H11" s="74"/>
      <c r="I11" s="74"/>
      <c r="J11" s="74"/>
      <c r="K11" s="74"/>
      <c r="M11" s="74"/>
      <c r="N11" s="74"/>
      <c r="O11" s="74"/>
      <c r="P11" s="74"/>
      <c r="Q11" s="74"/>
      <c r="S11" s="74"/>
      <c r="T11" s="74"/>
      <c r="U11" s="74"/>
      <c r="V11" s="74"/>
      <c r="W11" s="74"/>
      <c r="Y11" s="73"/>
      <c r="Z11" s="74"/>
      <c r="AA11" s="74"/>
      <c r="AB11" s="74"/>
      <c r="AC11" s="17"/>
    </row>
    <row r="12" spans="1:29" x14ac:dyDescent="0.25">
      <c r="A12" s="10"/>
      <c r="B12" s="10"/>
      <c r="C12" s="96" t="s">
        <v>6</v>
      </c>
      <c r="D12" s="96" t="s">
        <v>7</v>
      </c>
      <c r="E12" s="96" t="s">
        <v>8</v>
      </c>
      <c r="G12" s="10"/>
      <c r="H12" s="10"/>
      <c r="I12" s="96" t="s">
        <v>6</v>
      </c>
      <c r="J12" s="96" t="s">
        <v>7</v>
      </c>
      <c r="K12" s="96" t="s">
        <v>8</v>
      </c>
      <c r="M12" s="10"/>
      <c r="N12" s="10"/>
      <c r="O12" s="96" t="s">
        <v>6</v>
      </c>
      <c r="P12" s="96" t="s">
        <v>7</v>
      </c>
      <c r="Q12" s="96" t="s">
        <v>8</v>
      </c>
      <c r="S12" s="10"/>
      <c r="T12" s="10"/>
      <c r="U12" s="96" t="s">
        <v>6</v>
      </c>
      <c r="V12" s="96" t="s">
        <v>7</v>
      </c>
      <c r="W12" s="96" t="s">
        <v>8</v>
      </c>
      <c r="Y12" s="9"/>
      <c r="Z12" s="10"/>
      <c r="AA12" s="96" t="s">
        <v>6</v>
      </c>
      <c r="AB12" s="96" t="s">
        <v>7</v>
      </c>
      <c r="AC12" s="16" t="s">
        <v>8</v>
      </c>
    </row>
    <row r="13" spans="1:29" x14ac:dyDescent="0.25">
      <c r="A13" s="167" t="s">
        <v>62</v>
      </c>
      <c r="B13" s="167"/>
      <c r="C13" s="85">
        <f>+E6*E7</f>
        <v>0.06</v>
      </c>
      <c r="D13" s="13">
        <v>25</v>
      </c>
      <c r="E13" s="117">
        <f>+C13*D13</f>
        <v>1.5</v>
      </c>
      <c r="G13" s="167" t="s">
        <v>62</v>
      </c>
      <c r="H13" s="167"/>
      <c r="I13" s="85">
        <f>+K6*K7</f>
        <v>0.06</v>
      </c>
      <c r="J13" s="13">
        <v>25</v>
      </c>
      <c r="K13" s="117">
        <f>+I13*J13</f>
        <v>1.5</v>
      </c>
      <c r="M13" s="167" t="s">
        <v>62</v>
      </c>
      <c r="N13" s="167"/>
      <c r="O13" s="85">
        <f>+Q6*Q7</f>
        <v>3.4000000000000002E-2</v>
      </c>
      <c r="P13" s="13">
        <v>25</v>
      </c>
      <c r="Q13" s="117">
        <f>+O13*P13</f>
        <v>0.85000000000000009</v>
      </c>
      <c r="S13" s="167" t="s">
        <v>62</v>
      </c>
      <c r="T13" s="167"/>
      <c r="U13" s="85">
        <f>+W6*W7</f>
        <v>0.06</v>
      </c>
      <c r="V13" s="13">
        <v>25</v>
      </c>
      <c r="W13" s="117">
        <f>+U13*V13</f>
        <v>1.5</v>
      </c>
      <c r="Y13" s="176" t="s">
        <v>62</v>
      </c>
      <c r="Z13" s="167"/>
      <c r="AA13" s="85">
        <f>+AC6*AC7</f>
        <v>0.06</v>
      </c>
      <c r="AB13" s="13">
        <v>25</v>
      </c>
      <c r="AC13" s="86">
        <f>+AA13*AB13</f>
        <v>1.5</v>
      </c>
    </row>
    <row r="14" spans="1:29" x14ac:dyDescent="0.25">
      <c r="A14" s="167" t="s">
        <v>61</v>
      </c>
      <c r="B14" s="167"/>
      <c r="C14" s="85">
        <f>0.2*3</f>
        <v>0.60000000000000009</v>
      </c>
      <c r="D14" s="13">
        <v>17</v>
      </c>
      <c r="E14" s="117">
        <f>+C14*D14</f>
        <v>10.200000000000001</v>
      </c>
      <c r="G14" s="167" t="s">
        <v>61</v>
      </c>
      <c r="H14" s="167"/>
      <c r="I14" s="85">
        <f>0.2*4.55</f>
        <v>0.91</v>
      </c>
      <c r="J14" s="13">
        <v>17</v>
      </c>
      <c r="K14" s="117">
        <f>+I14*J14</f>
        <v>15.47</v>
      </c>
      <c r="M14" s="167" t="s">
        <v>61</v>
      </c>
      <c r="N14" s="167"/>
      <c r="O14" s="85">
        <v>0</v>
      </c>
      <c r="P14" s="13">
        <v>17</v>
      </c>
      <c r="Q14" s="117">
        <f>+O14*P14</f>
        <v>0</v>
      </c>
      <c r="S14" s="167" t="s">
        <v>61</v>
      </c>
      <c r="T14" s="167"/>
      <c r="U14" s="85">
        <f>0.2*5.65</f>
        <v>1.1300000000000001</v>
      </c>
      <c r="V14" s="13">
        <v>17</v>
      </c>
      <c r="W14" s="117">
        <f>+U14*V14</f>
        <v>19.21</v>
      </c>
      <c r="Y14" s="176" t="s">
        <v>61</v>
      </c>
      <c r="Z14" s="167"/>
      <c r="AA14" s="85">
        <f>0.2*5.65</f>
        <v>1.1300000000000001</v>
      </c>
      <c r="AB14" s="40">
        <v>17</v>
      </c>
      <c r="AC14" s="86">
        <f>+AA14*AB14</f>
        <v>19.21</v>
      </c>
    </row>
    <row r="15" spans="1:29" x14ac:dyDescent="0.25">
      <c r="A15" s="118" t="s">
        <v>48</v>
      </c>
      <c r="B15" s="78"/>
      <c r="C15" s="14"/>
      <c r="D15" s="13"/>
      <c r="E15" s="119">
        <f>SUM(E13:E14)</f>
        <v>11.700000000000001</v>
      </c>
      <c r="G15" s="118" t="s">
        <v>48</v>
      </c>
      <c r="H15" s="78"/>
      <c r="I15" s="14"/>
      <c r="J15" s="13"/>
      <c r="K15" s="119">
        <f>SUM(K13:K14)</f>
        <v>16.97</v>
      </c>
      <c r="M15" s="118" t="s">
        <v>48</v>
      </c>
      <c r="N15" s="78"/>
      <c r="O15" s="14"/>
      <c r="P15" s="13"/>
      <c r="Q15" s="119">
        <f>SUM(Q13:Q14)</f>
        <v>0.85000000000000009</v>
      </c>
      <c r="S15" s="118" t="s">
        <v>48</v>
      </c>
      <c r="T15" s="78"/>
      <c r="U15" s="14"/>
      <c r="V15" s="13"/>
      <c r="W15" s="119">
        <f>SUM(W13:W14)</f>
        <v>20.71</v>
      </c>
      <c r="Y15" s="49" t="s">
        <v>48</v>
      </c>
      <c r="Z15" s="50"/>
      <c r="AA15" s="51"/>
      <c r="AB15" s="13"/>
      <c r="AC15" s="89">
        <f>SUM(AC13:AC14)</f>
        <v>20.71</v>
      </c>
    </row>
    <row r="16" spans="1:29" x14ac:dyDescent="0.25">
      <c r="A16" s="118"/>
      <c r="B16" s="78"/>
      <c r="C16" s="14"/>
      <c r="D16" s="13"/>
      <c r="E16" s="119"/>
      <c r="G16" s="118"/>
      <c r="H16" s="78"/>
      <c r="I16" s="14"/>
      <c r="J16" s="13"/>
      <c r="K16" s="119"/>
      <c r="M16" s="118"/>
      <c r="N16" s="78"/>
      <c r="O16" s="14"/>
      <c r="P16" s="13"/>
      <c r="Q16" s="119"/>
      <c r="S16" s="118"/>
      <c r="T16" s="78"/>
      <c r="U16" s="14"/>
      <c r="V16" s="13"/>
      <c r="W16" s="119"/>
      <c r="Y16" s="53"/>
      <c r="Z16" s="78"/>
      <c r="AA16" s="14"/>
      <c r="AB16" s="13"/>
      <c r="AC16" s="88"/>
    </row>
    <row r="17" spans="1:29" x14ac:dyDescent="0.25">
      <c r="A17" s="118"/>
      <c r="B17" s="78"/>
      <c r="C17" s="96" t="s">
        <v>1</v>
      </c>
      <c r="D17" s="96" t="s">
        <v>7</v>
      </c>
      <c r="E17" s="96" t="s">
        <v>8</v>
      </c>
      <c r="G17" s="118"/>
      <c r="H17" s="78"/>
      <c r="I17" s="96" t="s">
        <v>1</v>
      </c>
      <c r="J17" s="96" t="s">
        <v>7</v>
      </c>
      <c r="K17" s="96" t="s">
        <v>8</v>
      </c>
      <c r="M17" s="118"/>
      <c r="N17" s="78"/>
      <c r="O17" s="96" t="s">
        <v>1</v>
      </c>
      <c r="P17" s="96" t="s">
        <v>7</v>
      </c>
      <c r="Q17" s="96" t="s">
        <v>8</v>
      </c>
      <c r="S17" s="118"/>
      <c r="T17" s="78"/>
      <c r="U17" s="96" t="s">
        <v>1</v>
      </c>
      <c r="V17" s="96" t="s">
        <v>8</v>
      </c>
      <c r="W17" s="96" t="s">
        <v>81</v>
      </c>
      <c r="Y17" s="53"/>
      <c r="Z17" s="78"/>
      <c r="AA17" s="96" t="s">
        <v>1</v>
      </c>
      <c r="AB17" s="96" t="s">
        <v>8</v>
      </c>
      <c r="AC17" s="16" t="s">
        <v>81</v>
      </c>
    </row>
    <row r="18" spans="1:29" x14ac:dyDescent="0.25">
      <c r="A18" s="167" t="s">
        <v>63</v>
      </c>
      <c r="B18" s="167"/>
      <c r="C18" s="12">
        <v>0</v>
      </c>
      <c r="D18" s="106">
        <v>0</v>
      </c>
      <c r="E18" s="117">
        <v>0</v>
      </c>
      <c r="G18" s="167" t="s">
        <v>63</v>
      </c>
      <c r="H18" s="167"/>
      <c r="I18" s="12">
        <v>0</v>
      </c>
      <c r="J18" s="106">
        <v>0</v>
      </c>
      <c r="K18" s="117">
        <v>0</v>
      </c>
      <c r="M18" s="171" t="s">
        <v>82</v>
      </c>
      <c r="N18" s="171"/>
      <c r="O18" s="107">
        <v>1.3</v>
      </c>
      <c r="P18" s="108">
        <v>2.5</v>
      </c>
      <c r="Q18" s="126">
        <f>+O18*P18</f>
        <v>3.25</v>
      </c>
      <c r="S18" s="167" t="s">
        <v>86</v>
      </c>
      <c r="T18" s="167"/>
      <c r="U18" s="12">
        <v>1.6</v>
      </c>
      <c r="V18" s="106">
        <v>5.2</v>
      </c>
      <c r="W18" s="117">
        <f>U18*V18</f>
        <v>8.32</v>
      </c>
      <c r="Y18" s="176" t="s">
        <v>86</v>
      </c>
      <c r="Z18" s="167"/>
      <c r="AA18" s="12">
        <v>1.6</v>
      </c>
      <c r="AB18" s="106">
        <v>5.2</v>
      </c>
      <c r="AC18" s="86">
        <f>AA18*AB18</f>
        <v>8.32</v>
      </c>
    </row>
    <row r="19" spans="1:29" x14ac:dyDescent="0.25">
      <c r="A19" s="167" t="s">
        <v>64</v>
      </c>
      <c r="B19" s="167"/>
      <c r="C19" s="12">
        <v>0</v>
      </c>
      <c r="D19" s="106">
        <v>0</v>
      </c>
      <c r="E19" s="117">
        <v>0</v>
      </c>
      <c r="G19" s="167" t="s">
        <v>64</v>
      </c>
      <c r="H19" s="167"/>
      <c r="I19" s="12">
        <v>0</v>
      </c>
      <c r="J19" s="106">
        <v>0</v>
      </c>
      <c r="K19" s="117">
        <v>0</v>
      </c>
      <c r="M19" s="171" t="s">
        <v>83</v>
      </c>
      <c r="N19" s="171"/>
      <c r="O19" s="107">
        <v>1.3</v>
      </c>
      <c r="P19" s="108">
        <f>1.2*0.5+1.6*2</f>
        <v>3.8000000000000003</v>
      </c>
      <c r="Q19" s="126">
        <f>+O19*P19</f>
        <v>4.9400000000000004</v>
      </c>
      <c r="S19" s="167" t="s">
        <v>87</v>
      </c>
      <c r="T19" s="167"/>
      <c r="U19" s="12">
        <v>1.6</v>
      </c>
      <c r="V19" s="106">
        <v>7.04</v>
      </c>
      <c r="W19" s="117">
        <f>+U19*V19</f>
        <v>11.264000000000001</v>
      </c>
      <c r="Y19" s="176" t="s">
        <v>87</v>
      </c>
      <c r="Z19" s="167"/>
      <c r="AA19" s="12">
        <v>1.6</v>
      </c>
      <c r="AB19" s="106">
        <v>7.04</v>
      </c>
      <c r="AC19" s="86">
        <f>+AA19*AB19</f>
        <v>11.264000000000001</v>
      </c>
    </row>
    <row r="20" spans="1:29" x14ac:dyDescent="0.25">
      <c r="A20" s="2"/>
      <c r="B20" s="2"/>
      <c r="C20" s="2"/>
      <c r="D20" s="2"/>
      <c r="E20" s="2"/>
      <c r="G20" s="2"/>
      <c r="H20" s="2"/>
      <c r="I20" s="2"/>
      <c r="J20" s="2"/>
      <c r="K20" s="2"/>
      <c r="M20" s="2"/>
      <c r="N20" s="2"/>
      <c r="O20" s="2"/>
      <c r="P20" s="2"/>
      <c r="Q20" s="2"/>
      <c r="S20" s="167" t="s">
        <v>85</v>
      </c>
      <c r="T20" s="167"/>
      <c r="U20" s="12">
        <v>2.5</v>
      </c>
      <c r="V20" s="106">
        <v>5.2</v>
      </c>
      <c r="W20" s="117">
        <f>U20*V20</f>
        <v>13</v>
      </c>
      <c r="Y20" s="176" t="s">
        <v>85</v>
      </c>
      <c r="Z20" s="167"/>
      <c r="AA20" s="12">
        <v>2.5</v>
      </c>
      <c r="AB20" s="106">
        <v>5.2</v>
      </c>
      <c r="AC20" s="86">
        <f>AA20*AB20</f>
        <v>13</v>
      </c>
    </row>
    <row r="21" spans="1:29" x14ac:dyDescent="0.25">
      <c r="A21" s="160" t="s">
        <v>69</v>
      </c>
      <c r="B21" s="161"/>
      <c r="C21" s="161"/>
      <c r="D21" s="161"/>
      <c r="E21" s="162"/>
      <c r="G21" s="160" t="s">
        <v>69</v>
      </c>
      <c r="H21" s="161"/>
      <c r="I21" s="161"/>
      <c r="J21" s="161"/>
      <c r="K21" s="162"/>
      <c r="M21" s="163" t="s">
        <v>69</v>
      </c>
      <c r="N21" s="163"/>
      <c r="O21" s="163"/>
      <c r="P21" s="163"/>
      <c r="Q21" s="163"/>
      <c r="S21" s="167" t="s">
        <v>84</v>
      </c>
      <c r="T21" s="167"/>
      <c r="U21" s="12">
        <v>2.5</v>
      </c>
      <c r="V21" s="106">
        <v>7.04</v>
      </c>
      <c r="W21" s="117">
        <f>+U21*V21</f>
        <v>17.600000000000001</v>
      </c>
      <c r="Y21" s="176" t="s">
        <v>84</v>
      </c>
      <c r="Z21" s="167"/>
      <c r="AA21" s="12">
        <v>2.5</v>
      </c>
      <c r="AB21" s="106">
        <v>7.04</v>
      </c>
      <c r="AC21" s="86">
        <f>+AA21*AB21</f>
        <v>17.600000000000001</v>
      </c>
    </row>
    <row r="22" spans="1:29" x14ac:dyDescent="0.25">
      <c r="A22" s="74"/>
      <c r="B22" s="74"/>
      <c r="C22" s="74"/>
      <c r="D22" s="74"/>
      <c r="E22" s="74"/>
      <c r="G22" s="74"/>
      <c r="H22" s="74"/>
      <c r="I22" s="74"/>
      <c r="J22" s="74"/>
      <c r="K22" s="74"/>
      <c r="M22" s="74"/>
      <c r="N22" s="74"/>
      <c r="O22" s="74"/>
      <c r="P22" s="74"/>
      <c r="Q22" s="74"/>
      <c r="S22" s="83"/>
      <c r="T22" s="83"/>
      <c r="U22" s="12"/>
      <c r="V22" s="106"/>
      <c r="W22" s="117"/>
      <c r="Y22" s="82"/>
      <c r="Z22" s="83"/>
      <c r="AA22" s="12"/>
      <c r="AB22" s="106"/>
      <c r="AC22" s="86"/>
    </row>
    <row r="23" spans="1:29" x14ac:dyDescent="0.25">
      <c r="A23" s="168" t="s">
        <v>21</v>
      </c>
      <c r="B23" s="168"/>
      <c r="C23" s="2"/>
      <c r="D23" s="168" t="s">
        <v>22</v>
      </c>
      <c r="E23" s="168"/>
      <c r="G23" s="168" t="s">
        <v>21</v>
      </c>
      <c r="H23" s="168"/>
      <c r="I23" s="2"/>
      <c r="J23" s="168" t="s">
        <v>22</v>
      </c>
      <c r="K23" s="168"/>
      <c r="M23" s="168" t="s">
        <v>21</v>
      </c>
      <c r="N23" s="168"/>
      <c r="O23" s="2"/>
      <c r="P23" s="168" t="s">
        <v>22</v>
      </c>
      <c r="Q23" s="168"/>
      <c r="S23" s="2"/>
      <c r="T23" s="2"/>
      <c r="U23" s="12"/>
      <c r="V23" s="106"/>
      <c r="W23" s="96" t="s">
        <v>92</v>
      </c>
      <c r="Y23" s="1"/>
      <c r="Z23" s="6"/>
      <c r="AA23" s="12"/>
      <c r="AB23" s="106"/>
      <c r="AC23" s="16" t="s">
        <v>92</v>
      </c>
    </row>
    <row r="24" spans="1:29" x14ac:dyDescent="0.25">
      <c r="A24" s="2" t="s">
        <v>77</v>
      </c>
      <c r="B24" s="91">
        <f>ROUND(((E15+E18)*B6^2/8),2)</f>
        <v>14.98</v>
      </c>
      <c r="C24" s="2"/>
      <c r="D24" s="2" t="s">
        <v>70</v>
      </c>
      <c r="E24" s="91">
        <f>ROUND(((1.2*E15+E19)*B6^2/8),2)</f>
        <v>17.97</v>
      </c>
      <c r="G24" s="2" t="s">
        <v>77</v>
      </c>
      <c r="H24" s="91">
        <f>ROUND(((K15+K18)*H6^2/8),2)</f>
        <v>21.72</v>
      </c>
      <c r="I24" s="2"/>
      <c r="J24" s="2" t="s">
        <v>70</v>
      </c>
      <c r="K24" s="91">
        <f>ROUND(((1.2*K15+K19)*H6^2/8),2)</f>
        <v>26.07</v>
      </c>
      <c r="M24" s="2" t="s">
        <v>77</v>
      </c>
      <c r="N24" s="91">
        <f>ROUND(((Q15+Q18)*N6^2/8),2)</f>
        <v>1.62</v>
      </c>
      <c r="O24" s="2"/>
      <c r="P24" s="2" t="s">
        <v>70</v>
      </c>
      <c r="Q24" s="91">
        <f>ROUND(((1.2*Q15+Q19)*N6^2/8),2)</f>
        <v>2.36</v>
      </c>
      <c r="S24" s="83" t="s">
        <v>88</v>
      </c>
      <c r="T24" s="83"/>
      <c r="U24" s="12"/>
      <c r="V24" s="106"/>
      <c r="W24" s="8">
        <v>27.15</v>
      </c>
      <c r="Y24" s="82" t="s">
        <v>88</v>
      </c>
      <c r="Z24" s="83"/>
      <c r="AA24" s="12"/>
      <c r="AB24" s="106"/>
      <c r="AC24" s="18">
        <v>27.15</v>
      </c>
    </row>
    <row r="25" spans="1:29" x14ac:dyDescent="0.25">
      <c r="A25" s="2" t="s">
        <v>78</v>
      </c>
      <c r="B25" s="8">
        <f>ROUND(((E15+E18)*B6/2),2)</f>
        <v>18.72</v>
      </c>
      <c r="C25" s="2"/>
      <c r="D25" s="2" t="s">
        <v>51</v>
      </c>
      <c r="E25" s="8">
        <f>ROUND(((1.2*E15+E19)*B6/2),2)</f>
        <v>22.46</v>
      </c>
      <c r="G25" s="2" t="s">
        <v>78</v>
      </c>
      <c r="H25" s="8">
        <f>ROUND(((K15+K18)*H6/2),2)</f>
        <v>27.15</v>
      </c>
      <c r="I25" s="2"/>
      <c r="J25" s="2" t="s">
        <v>51</v>
      </c>
      <c r="K25" s="8">
        <f>ROUND(((1.2*K15+K19)*H6/2),2)</f>
        <v>32.58</v>
      </c>
      <c r="M25" s="2" t="s">
        <v>78</v>
      </c>
      <c r="N25" s="8">
        <f>ROUND(((Q15+Q18)*N6/2),2)</f>
        <v>3.65</v>
      </c>
      <c r="O25" s="2"/>
      <c r="P25" s="2" t="s">
        <v>51</v>
      </c>
      <c r="Q25" s="8">
        <f>ROUND(((1.2*Q15+Q19)*N6/2),2)</f>
        <v>5.3</v>
      </c>
      <c r="S25" s="83" t="s">
        <v>91</v>
      </c>
      <c r="T25" s="83"/>
      <c r="U25" s="15"/>
      <c r="V25" s="2"/>
      <c r="W25" s="8">
        <v>32.58</v>
      </c>
      <c r="Y25" s="82" t="s">
        <v>91</v>
      </c>
      <c r="Z25" s="83"/>
      <c r="AA25" s="6"/>
      <c r="AB25" s="6"/>
      <c r="AC25" s="18">
        <v>32.58</v>
      </c>
    </row>
    <row r="26" spans="1:29" x14ac:dyDescent="0.25">
      <c r="A26" s="2"/>
      <c r="B26" s="2"/>
      <c r="C26" s="2"/>
      <c r="D26" s="2"/>
      <c r="E26" s="2"/>
      <c r="G26" s="2"/>
      <c r="H26" s="2"/>
      <c r="I26" s="2"/>
      <c r="J26" s="2"/>
      <c r="K26" s="2"/>
      <c r="M26" s="2"/>
      <c r="N26" s="2"/>
      <c r="O26" s="2"/>
      <c r="P26" s="2"/>
      <c r="Q26" s="2"/>
      <c r="S26" s="167" t="s">
        <v>89</v>
      </c>
      <c r="T26" s="167"/>
      <c r="U26" s="12"/>
      <c r="V26" s="106"/>
      <c r="W26" s="8">
        <v>3.65</v>
      </c>
      <c r="Y26" s="176" t="s">
        <v>89</v>
      </c>
      <c r="Z26" s="167"/>
      <c r="AA26" s="12"/>
      <c r="AB26" s="106"/>
      <c r="AC26" s="18">
        <v>3.65</v>
      </c>
    </row>
    <row r="27" spans="1:29" x14ac:dyDescent="0.25">
      <c r="A27" s="160" t="s">
        <v>45</v>
      </c>
      <c r="B27" s="161"/>
      <c r="C27" s="161"/>
      <c r="D27" s="161"/>
      <c r="E27" s="162"/>
      <c r="G27" s="160" t="s">
        <v>45</v>
      </c>
      <c r="H27" s="161"/>
      <c r="I27" s="161"/>
      <c r="J27" s="161"/>
      <c r="K27" s="162"/>
      <c r="M27" s="163" t="s">
        <v>45</v>
      </c>
      <c r="N27" s="163"/>
      <c r="O27" s="163"/>
      <c r="P27" s="163"/>
      <c r="Q27" s="163"/>
      <c r="S27" s="167" t="s">
        <v>90</v>
      </c>
      <c r="T27" s="167"/>
      <c r="U27" s="12"/>
      <c r="V27" s="106"/>
      <c r="W27" s="8">
        <v>5.3</v>
      </c>
      <c r="Y27" s="176" t="s">
        <v>90</v>
      </c>
      <c r="Z27" s="167"/>
      <c r="AA27" s="12"/>
      <c r="AB27" s="106"/>
      <c r="AC27" s="18">
        <v>5.3</v>
      </c>
    </row>
    <row r="28" spans="1:29" x14ac:dyDescent="0.25">
      <c r="A28" s="74"/>
      <c r="B28" s="74"/>
      <c r="C28" s="74"/>
      <c r="D28" s="74"/>
      <c r="E28" s="74"/>
      <c r="G28" s="74"/>
      <c r="H28" s="74"/>
      <c r="I28" s="74"/>
      <c r="J28" s="74"/>
      <c r="K28" s="74"/>
      <c r="M28" s="74"/>
      <c r="N28" s="74"/>
      <c r="O28" s="74"/>
      <c r="P28" s="74"/>
      <c r="Q28" s="74"/>
      <c r="S28" s="2"/>
      <c r="T28" s="2"/>
      <c r="U28" s="2"/>
      <c r="V28" s="2"/>
      <c r="W28" s="2"/>
      <c r="Y28" s="1"/>
      <c r="Z28" s="2"/>
      <c r="AA28" s="2"/>
      <c r="AB28" s="2"/>
      <c r="AC28" s="3"/>
    </row>
    <row r="29" spans="1:29" x14ac:dyDescent="0.25">
      <c r="A29" s="120" t="s">
        <v>23</v>
      </c>
      <c r="B29" s="5">
        <f>+E6</f>
        <v>0.3</v>
      </c>
      <c r="C29" s="2"/>
      <c r="D29" s="2" t="s">
        <v>26</v>
      </c>
      <c r="E29" s="121">
        <f>((E24/(1000*0.9)))</f>
        <v>1.9966666666666664E-2</v>
      </c>
      <c r="G29" s="120" t="s">
        <v>23</v>
      </c>
      <c r="H29" s="5">
        <f>+K6</f>
        <v>0.3</v>
      </c>
      <c r="I29" s="2"/>
      <c r="J29" s="2" t="s">
        <v>26</v>
      </c>
      <c r="K29" s="121">
        <f>((K24/(1000*0.9)))</f>
        <v>2.8966666666666668E-2</v>
      </c>
      <c r="M29" s="120" t="s">
        <v>23</v>
      </c>
      <c r="N29" s="5">
        <f>+Q6</f>
        <v>0.17</v>
      </c>
      <c r="O29" s="2"/>
      <c r="P29" s="2" t="s">
        <v>26</v>
      </c>
      <c r="Q29" s="121">
        <f>((Q24/(1000*0.9)))</f>
        <v>2.622222222222222E-3</v>
      </c>
      <c r="S29" s="163" t="s">
        <v>69</v>
      </c>
      <c r="T29" s="163"/>
      <c r="U29" s="163"/>
      <c r="V29" s="163"/>
      <c r="W29" s="163"/>
      <c r="Y29" s="163" t="s">
        <v>69</v>
      </c>
      <c r="Z29" s="163"/>
      <c r="AA29" s="163"/>
      <c r="AB29" s="163"/>
      <c r="AC29" s="163"/>
    </row>
    <row r="30" spans="1:29" x14ac:dyDescent="0.25">
      <c r="A30" s="84" t="s">
        <v>36</v>
      </c>
      <c r="B30" s="7">
        <v>2.5000000000000001E-2</v>
      </c>
      <c r="C30" s="2"/>
      <c r="D30" s="2" t="s">
        <v>27</v>
      </c>
      <c r="E30" s="122">
        <f>(B33/((E29/E7)^(1/2)))</f>
        <v>0.82287820944493295</v>
      </c>
      <c r="G30" s="84" t="s">
        <v>36</v>
      </c>
      <c r="H30" s="7">
        <v>2.5000000000000001E-2</v>
      </c>
      <c r="I30" s="2"/>
      <c r="J30" s="2" t="s">
        <v>27</v>
      </c>
      <c r="K30" s="122">
        <f>(H33/((K29/K7)^(1/2)))</f>
        <v>0.68318619950865478</v>
      </c>
      <c r="M30" s="84" t="s">
        <v>36</v>
      </c>
      <c r="N30" s="7">
        <v>2.5000000000000001E-2</v>
      </c>
      <c r="O30" s="2"/>
      <c r="P30" s="2" t="s">
        <v>27</v>
      </c>
      <c r="Q30" s="122">
        <f>(N33/((Q29/Q7)^(1/2)))</f>
        <v>1.1353338939921849</v>
      </c>
      <c r="S30" s="74"/>
      <c r="T30" s="74"/>
      <c r="U30" s="74"/>
      <c r="V30" s="74"/>
      <c r="W30" s="74"/>
      <c r="Y30" s="73"/>
      <c r="Z30" s="74"/>
      <c r="AA30" s="74"/>
      <c r="AB30" s="74"/>
      <c r="AC30" s="17"/>
    </row>
    <row r="31" spans="1:29" x14ac:dyDescent="0.25">
      <c r="A31" s="120" t="s">
        <v>65</v>
      </c>
      <c r="B31" s="7">
        <v>6.0000000000000001E-3</v>
      </c>
      <c r="C31" s="2"/>
      <c r="D31" s="2" t="s">
        <v>30</v>
      </c>
      <c r="E31" s="84">
        <v>0.79600000000000004</v>
      </c>
      <c r="G31" s="120" t="s">
        <v>65</v>
      </c>
      <c r="H31" s="7">
        <v>6.0000000000000001E-3</v>
      </c>
      <c r="I31" s="2"/>
      <c r="J31" s="2" t="s">
        <v>30</v>
      </c>
      <c r="K31" s="84">
        <v>0.67</v>
      </c>
      <c r="M31" s="120" t="s">
        <v>109</v>
      </c>
      <c r="N31" s="7">
        <v>6.0000000000000001E-3</v>
      </c>
      <c r="O31" s="2"/>
      <c r="P31" s="2" t="s">
        <v>30</v>
      </c>
      <c r="Q31" s="84">
        <v>1.089</v>
      </c>
      <c r="S31" s="168" t="s">
        <v>21</v>
      </c>
      <c r="T31" s="168"/>
      <c r="U31" s="2"/>
      <c r="V31" s="168" t="s">
        <v>22</v>
      </c>
      <c r="W31" s="168"/>
      <c r="Y31" s="177" t="s">
        <v>21</v>
      </c>
      <c r="Z31" s="168"/>
      <c r="AA31" s="2"/>
      <c r="AB31" s="168" t="s">
        <v>22</v>
      </c>
      <c r="AC31" s="178"/>
    </row>
    <row r="32" spans="1:29" ht="18" x14ac:dyDescent="0.35">
      <c r="A32" s="84" t="s">
        <v>24</v>
      </c>
      <c r="B32" s="7">
        <v>0.01</v>
      </c>
      <c r="C32" s="2"/>
      <c r="D32" s="2" t="s">
        <v>31</v>
      </c>
      <c r="E32" s="123">
        <v>24.765999999999998</v>
      </c>
      <c r="G32" s="84" t="s">
        <v>24</v>
      </c>
      <c r="H32" s="7">
        <v>0.01</v>
      </c>
      <c r="I32" s="2"/>
      <c r="J32" s="2" t="s">
        <v>31</v>
      </c>
      <c r="K32" s="123">
        <v>25.207000000000001</v>
      </c>
      <c r="M32" s="84" t="s">
        <v>24</v>
      </c>
      <c r="N32" s="7">
        <v>0.01</v>
      </c>
      <c r="O32" s="2"/>
      <c r="P32" s="2" t="s">
        <v>31</v>
      </c>
      <c r="Q32" s="123">
        <v>24.300999999999998</v>
      </c>
      <c r="S32" s="2" t="s">
        <v>94</v>
      </c>
      <c r="T32" s="91">
        <v>40.700000000000003</v>
      </c>
      <c r="U32" s="2"/>
      <c r="V32" s="2" t="s">
        <v>93</v>
      </c>
      <c r="W32" s="91">
        <v>49.7</v>
      </c>
      <c r="Y32" s="1" t="s">
        <v>94</v>
      </c>
      <c r="Z32" s="91">
        <v>40.700000000000003</v>
      </c>
      <c r="AA32" s="2"/>
      <c r="AB32" s="2" t="s">
        <v>93</v>
      </c>
      <c r="AC32" s="90">
        <v>49.7</v>
      </c>
    </row>
    <row r="33" spans="1:29" ht="18" x14ac:dyDescent="0.35">
      <c r="A33" s="74" t="s">
        <v>25</v>
      </c>
      <c r="B33" s="5">
        <f>+ROUND(B29-B30-B31-B32/2,2)</f>
        <v>0.26</v>
      </c>
      <c r="C33" s="2"/>
      <c r="D33" s="15"/>
      <c r="E33" s="2"/>
      <c r="G33" s="74" t="s">
        <v>25</v>
      </c>
      <c r="H33" s="5">
        <f>+ROUND(H29-H30-H31-H32/2,2)</f>
        <v>0.26</v>
      </c>
      <c r="I33" s="2"/>
      <c r="J33" s="15"/>
      <c r="K33" s="2"/>
      <c r="M33" s="74" t="s">
        <v>25</v>
      </c>
      <c r="N33" s="5">
        <f>+ROUND(N29-N30-N31-N32/2,2)</f>
        <v>0.13</v>
      </c>
      <c r="O33" s="2"/>
      <c r="P33" s="15"/>
      <c r="Q33" s="2"/>
      <c r="S33" s="2" t="s">
        <v>95</v>
      </c>
      <c r="T33" s="91">
        <v>13.2</v>
      </c>
      <c r="U33" s="2"/>
      <c r="V33" s="2" t="s">
        <v>96</v>
      </c>
      <c r="W33" s="91">
        <v>15.9</v>
      </c>
      <c r="Y33" s="1" t="s">
        <v>95</v>
      </c>
      <c r="Z33" s="91">
        <v>13.2</v>
      </c>
      <c r="AA33" s="2"/>
      <c r="AB33" s="2" t="s">
        <v>96</v>
      </c>
      <c r="AC33" s="90">
        <v>15.9</v>
      </c>
    </row>
    <row r="34" spans="1:29" x14ac:dyDescent="0.25">
      <c r="A34" s="2"/>
      <c r="B34" s="2"/>
      <c r="C34" s="2"/>
      <c r="D34" s="2"/>
      <c r="E34" s="2"/>
      <c r="G34" s="2"/>
      <c r="H34" s="2"/>
      <c r="I34" s="2"/>
      <c r="J34" s="2"/>
      <c r="K34" s="2"/>
      <c r="M34" s="2"/>
      <c r="N34" s="2"/>
      <c r="O34" s="2"/>
      <c r="P34" s="2"/>
      <c r="Q34" s="2"/>
      <c r="S34" s="2" t="s">
        <v>78</v>
      </c>
      <c r="T34" s="8">
        <v>49.4</v>
      </c>
      <c r="U34" s="2"/>
      <c r="V34" s="2" t="s">
        <v>51</v>
      </c>
      <c r="W34" s="8">
        <v>59.9</v>
      </c>
      <c r="Y34" s="1" t="s">
        <v>78</v>
      </c>
      <c r="Z34" s="8">
        <v>49.4</v>
      </c>
      <c r="AA34" s="2"/>
      <c r="AB34" s="2" t="s">
        <v>51</v>
      </c>
      <c r="AC34" s="18">
        <v>59.9</v>
      </c>
    </row>
    <row r="35" spans="1:29" x14ac:dyDescent="0.25">
      <c r="A35" s="84" t="s">
        <v>32</v>
      </c>
      <c r="B35" s="92">
        <f>(E32*(E29/B33))</f>
        <v>1.9019017948717944</v>
      </c>
      <c r="C35" s="2"/>
      <c r="D35" s="2"/>
      <c r="E35" s="2"/>
      <c r="G35" s="84" t="s">
        <v>32</v>
      </c>
      <c r="H35" s="92">
        <f>(K32*(K29/H33))</f>
        <v>2.8083183333333332</v>
      </c>
      <c r="I35" s="2"/>
      <c r="J35" s="2"/>
      <c r="K35" s="2"/>
      <c r="M35" s="84" t="s">
        <v>32</v>
      </c>
      <c r="N35" s="92">
        <f>(Q32*(Q29/N33))</f>
        <v>0.49017401709401698</v>
      </c>
      <c r="O35" s="2"/>
      <c r="P35" s="2"/>
      <c r="Q35" s="2"/>
      <c r="S35" s="2"/>
      <c r="T35" s="2"/>
      <c r="U35" s="2"/>
      <c r="V35" s="2"/>
      <c r="W35" s="2"/>
      <c r="Y35" s="1"/>
      <c r="Z35" s="2"/>
      <c r="AA35" s="2"/>
      <c r="AB35" s="2"/>
      <c r="AC35" s="3"/>
    </row>
    <row r="36" spans="1:29" x14ac:dyDescent="0.25">
      <c r="A36" s="84" t="s">
        <v>33</v>
      </c>
      <c r="B36" s="92">
        <f>+ROUND(((1.4*$E$7*$B$33)/$B$8)*10000,3)</f>
        <v>1.7330000000000001</v>
      </c>
      <c r="C36" s="2"/>
      <c r="D36" s="96" t="s">
        <v>66</v>
      </c>
      <c r="E36" s="124">
        <f>+IF(B36&gt;B35,B36,B35)</f>
        <v>1.9019017948717944</v>
      </c>
      <c r="G36" s="84" t="s">
        <v>33</v>
      </c>
      <c r="H36" s="92">
        <f>+ROUND(((1.4*$K$7*$H$33)/$H$8)*10000,3)</f>
        <v>1.7330000000000001</v>
      </c>
      <c r="I36" s="2"/>
      <c r="J36" s="96" t="s">
        <v>66</v>
      </c>
      <c r="K36" s="124">
        <f>+IF(H36&gt;H35,H36,H35)</f>
        <v>2.8083183333333332</v>
      </c>
      <c r="M36" s="84" t="s">
        <v>33</v>
      </c>
      <c r="N36" s="92">
        <f>+ROUND(((1.4*$Q$7*$N$33)/$N$8)*10000,3)</f>
        <v>0.86699999999999999</v>
      </c>
      <c r="O36" s="2"/>
      <c r="P36" s="96" t="s">
        <v>66</v>
      </c>
      <c r="Q36" s="124">
        <f>+IF(N36&gt;N35,N36,N35)</f>
        <v>0.86699999999999999</v>
      </c>
      <c r="S36" s="163" t="s">
        <v>98</v>
      </c>
      <c r="T36" s="163"/>
      <c r="U36" s="163"/>
      <c r="V36" s="163"/>
      <c r="W36" s="163"/>
      <c r="Y36" s="163" t="s">
        <v>105</v>
      </c>
      <c r="Z36" s="163"/>
      <c r="AA36" s="163"/>
      <c r="AB36" s="163"/>
      <c r="AC36" s="163"/>
    </row>
    <row r="37" spans="1:29" x14ac:dyDescent="0.25">
      <c r="A37" s="2"/>
      <c r="B37" s="2"/>
      <c r="C37" s="2"/>
      <c r="D37" s="2"/>
      <c r="E37" s="2"/>
      <c r="G37" s="2"/>
      <c r="H37" s="2"/>
      <c r="I37" s="2"/>
      <c r="J37" s="2"/>
      <c r="K37" s="2"/>
      <c r="M37" s="2"/>
      <c r="N37" s="2"/>
      <c r="O37" s="2"/>
      <c r="P37" s="2"/>
      <c r="Q37" s="2"/>
      <c r="S37" s="74"/>
      <c r="T37" s="74"/>
      <c r="U37" s="74"/>
      <c r="V37" s="74"/>
      <c r="W37" s="74"/>
      <c r="Y37" s="74"/>
      <c r="Z37" s="74"/>
      <c r="AA37" s="74"/>
      <c r="AB37" s="74"/>
      <c r="AC37" s="74"/>
    </row>
    <row r="38" spans="1:29" ht="18" x14ac:dyDescent="0.35">
      <c r="A38" s="165" t="s">
        <v>34</v>
      </c>
      <c r="B38" s="165"/>
      <c r="C38" s="97">
        <v>2</v>
      </c>
      <c r="D38" s="179">
        <v>10</v>
      </c>
      <c r="E38" s="180">
        <f>C38*(PI()*(D38/10)^2)/4</f>
        <v>1.5707963267948966</v>
      </c>
      <c r="G38" s="165" t="s">
        <v>34</v>
      </c>
      <c r="H38" s="165"/>
      <c r="I38" s="97">
        <v>2</v>
      </c>
      <c r="J38" s="179">
        <v>8</v>
      </c>
      <c r="K38" s="180">
        <f>I38*(PI()*(J38/10)^2)/4</f>
        <v>1.0053096491487339</v>
      </c>
      <c r="M38" s="165" t="s">
        <v>34</v>
      </c>
      <c r="N38" s="165"/>
      <c r="O38" s="181">
        <v>2</v>
      </c>
      <c r="P38" s="179">
        <v>8</v>
      </c>
      <c r="Q38" s="180">
        <f>O38*(PI()*(P38/10)^2)/4</f>
        <v>1.0053096491487339</v>
      </c>
      <c r="S38" s="120" t="s">
        <v>23</v>
      </c>
      <c r="T38" s="5">
        <f>+W6</f>
        <v>0.3</v>
      </c>
      <c r="U38" s="2"/>
      <c r="V38" s="2" t="s">
        <v>102</v>
      </c>
      <c r="W38" s="121">
        <f>((W32/(1000*0.9)))</f>
        <v>5.5222222222222228E-2</v>
      </c>
      <c r="Y38" s="120" t="s">
        <v>23</v>
      </c>
      <c r="Z38" s="5">
        <f>+AC6</f>
        <v>0.3</v>
      </c>
      <c r="AA38" s="2"/>
      <c r="AB38" s="2" t="s">
        <v>101</v>
      </c>
      <c r="AC38" s="121">
        <f>((AC33/(1000*0.9)))</f>
        <v>1.7666666666666667E-2</v>
      </c>
    </row>
    <row r="39" spans="1:29" x14ac:dyDescent="0.25">
      <c r="A39" s="165"/>
      <c r="B39" s="165"/>
      <c r="C39" s="97">
        <v>1</v>
      </c>
      <c r="D39" s="179">
        <v>8</v>
      </c>
      <c r="E39" s="180">
        <f>C39*(PI()*(D39/10)^2)/4</f>
        <v>0.50265482457436694</v>
      </c>
      <c r="G39" s="165"/>
      <c r="H39" s="165"/>
      <c r="I39" s="97">
        <v>2</v>
      </c>
      <c r="J39" s="179">
        <v>12</v>
      </c>
      <c r="K39" s="180">
        <f>I39*(PI()*(J39/10)^2)/4</f>
        <v>2.2619467105846511</v>
      </c>
      <c r="M39" s="165"/>
      <c r="N39" s="165"/>
      <c r="O39" s="182">
        <v>0</v>
      </c>
      <c r="P39" s="183">
        <v>0</v>
      </c>
      <c r="Q39" s="184">
        <f>O39*(PI()*(P39/10)^2)/4</f>
        <v>0</v>
      </c>
      <c r="S39" s="84" t="s">
        <v>36</v>
      </c>
      <c r="T39" s="7">
        <v>2.5000000000000001E-2</v>
      </c>
      <c r="U39" s="2"/>
      <c r="V39" s="2" t="s">
        <v>27</v>
      </c>
      <c r="W39" s="122">
        <f>(T42/((W38/W7)^(1/2)))</f>
        <v>0.49480195416252992</v>
      </c>
      <c r="Y39" s="84" t="s">
        <v>36</v>
      </c>
      <c r="Z39" s="7">
        <v>2.5000000000000001E-2</v>
      </c>
      <c r="AA39" s="2"/>
      <c r="AB39" s="2" t="s">
        <v>27</v>
      </c>
      <c r="AC39" s="122">
        <f>(Z42/((AC38/AC7)^(1/2)))</f>
        <v>0.874804560383589</v>
      </c>
    </row>
    <row r="40" spans="1:29" x14ac:dyDescent="0.25">
      <c r="A40" s="2"/>
      <c r="B40" s="2"/>
      <c r="C40" s="2"/>
      <c r="D40" s="99" t="str">
        <f>+IF(E40&gt;E36,"B.C.","M.C.")</f>
        <v>B.C.</v>
      </c>
      <c r="E40" s="124">
        <f>SUM(E38:E39)</f>
        <v>2.0734511513692633</v>
      </c>
      <c r="G40" s="2"/>
      <c r="H40" s="2"/>
      <c r="I40" s="2"/>
      <c r="J40" s="99" t="str">
        <f>+IF(K40&gt;K36,"B.C.","M.C.")</f>
        <v>B.C.</v>
      </c>
      <c r="K40" s="124">
        <f>SUM(K38:K39)</f>
        <v>3.267256359733385</v>
      </c>
      <c r="M40" s="2"/>
      <c r="N40" s="2"/>
      <c r="O40" s="2"/>
      <c r="P40" s="99" t="str">
        <f>+IF(Q40&gt;Q36,"B.C.","M.C.")</f>
        <v>B.C.</v>
      </c>
      <c r="Q40" s="124">
        <f>SUM(Q38:Q39)</f>
        <v>1.0053096491487339</v>
      </c>
      <c r="S40" s="120" t="s">
        <v>109</v>
      </c>
      <c r="T40" s="7">
        <v>6.0000000000000001E-3</v>
      </c>
      <c r="U40" s="2"/>
      <c r="V40" s="2" t="s">
        <v>30</v>
      </c>
      <c r="W40" s="125">
        <v>0.47</v>
      </c>
      <c r="Y40" s="120" t="s">
        <v>109</v>
      </c>
      <c r="Z40" s="7">
        <v>6.0000000000000001E-3</v>
      </c>
      <c r="AA40" s="2"/>
      <c r="AB40" s="2" t="s">
        <v>30</v>
      </c>
      <c r="AC40" s="125">
        <v>0.79600000000000004</v>
      </c>
    </row>
    <row r="41" spans="1:29" x14ac:dyDescent="0.25">
      <c r="A41" s="2"/>
      <c r="B41" s="2"/>
      <c r="C41" s="2"/>
      <c r="D41" s="2"/>
      <c r="E41" s="125"/>
      <c r="G41" s="2"/>
      <c r="H41" s="2"/>
      <c r="I41" s="2"/>
      <c r="J41" s="2"/>
      <c r="K41" s="2"/>
      <c r="M41" s="2"/>
      <c r="N41" s="2"/>
      <c r="O41" s="2"/>
      <c r="P41" s="2"/>
      <c r="Q41" s="2"/>
      <c r="S41" s="84" t="s">
        <v>24</v>
      </c>
      <c r="T41" s="7">
        <v>0.01</v>
      </c>
      <c r="U41" s="2"/>
      <c r="V41" s="2" t="s">
        <v>31</v>
      </c>
      <c r="W41" s="123">
        <v>27.1</v>
      </c>
      <c r="Y41" s="84" t="s">
        <v>24</v>
      </c>
      <c r="Z41" s="7">
        <v>0.01</v>
      </c>
      <c r="AA41" s="2"/>
      <c r="AB41" s="2" t="s">
        <v>31</v>
      </c>
      <c r="AC41" s="123">
        <v>24.765999999999998</v>
      </c>
    </row>
    <row r="42" spans="1:29" x14ac:dyDescent="0.25">
      <c r="A42" s="160" t="s">
        <v>46</v>
      </c>
      <c r="B42" s="161"/>
      <c r="C42" s="161"/>
      <c r="D42" s="161"/>
      <c r="E42" s="162"/>
      <c r="G42" s="160" t="s">
        <v>46</v>
      </c>
      <c r="H42" s="161"/>
      <c r="I42" s="161"/>
      <c r="J42" s="161"/>
      <c r="K42" s="162"/>
      <c r="M42" s="163" t="s">
        <v>46</v>
      </c>
      <c r="N42" s="163"/>
      <c r="O42" s="163"/>
      <c r="P42" s="163"/>
      <c r="Q42" s="163"/>
      <c r="S42" s="74" t="s">
        <v>25</v>
      </c>
      <c r="T42" s="5">
        <f>+ROUND(T38-T39-T40-T41/2,2)</f>
        <v>0.26</v>
      </c>
      <c r="U42" s="2"/>
      <c r="V42" s="15"/>
      <c r="W42" s="2"/>
      <c r="Y42" s="74" t="s">
        <v>25</v>
      </c>
      <c r="Z42" s="5">
        <f>+ROUND(Z38-Z39-Z40-Z41/2,2)</f>
        <v>0.26</v>
      </c>
      <c r="AA42" s="2"/>
      <c r="AB42" s="15"/>
      <c r="AC42" s="2"/>
    </row>
    <row r="43" spans="1:29" x14ac:dyDescent="0.25">
      <c r="A43" s="2"/>
      <c r="B43" s="2"/>
      <c r="C43" s="2"/>
      <c r="D43" s="2"/>
      <c r="E43" s="2"/>
      <c r="G43" s="2"/>
      <c r="H43" s="2"/>
      <c r="I43" s="2"/>
      <c r="J43" s="2"/>
      <c r="K43" s="2"/>
      <c r="M43" s="2"/>
      <c r="N43" s="2"/>
      <c r="O43" s="2"/>
      <c r="P43" s="2"/>
      <c r="Q43" s="2"/>
      <c r="S43" s="2"/>
      <c r="T43" s="2"/>
      <c r="U43" s="2"/>
      <c r="V43" s="2"/>
      <c r="W43" s="2"/>
      <c r="Y43" s="2"/>
      <c r="Z43" s="2"/>
      <c r="AA43" s="2"/>
      <c r="AB43" s="2"/>
      <c r="AC43" s="2"/>
    </row>
    <row r="44" spans="1:29" x14ac:dyDescent="0.25">
      <c r="A44" s="78" t="s">
        <v>76</v>
      </c>
      <c r="B44" s="8">
        <f>+E25/0.75</f>
        <v>29.946666666666669</v>
      </c>
      <c r="C44" s="2"/>
      <c r="D44" s="2"/>
      <c r="E44" s="2"/>
      <c r="G44" s="78" t="s">
        <v>76</v>
      </c>
      <c r="H44" s="8">
        <f>+K25/0.75</f>
        <v>43.44</v>
      </c>
      <c r="I44" s="2"/>
      <c r="J44" s="2"/>
      <c r="K44" s="2"/>
      <c r="M44" s="78" t="s">
        <v>76</v>
      </c>
      <c r="N44" s="8">
        <f>+Q25/0.75</f>
        <v>7.0666666666666664</v>
      </c>
      <c r="O44" s="2"/>
      <c r="P44" s="2"/>
      <c r="Q44" s="2"/>
      <c r="S44" s="84" t="s">
        <v>32</v>
      </c>
      <c r="T44" s="92">
        <f>(W41*(W38/T42))</f>
        <v>5.7558547008547016</v>
      </c>
      <c r="U44" s="2"/>
      <c r="V44" s="2"/>
      <c r="W44" s="2"/>
      <c r="Y44" s="84" t="s">
        <v>32</v>
      </c>
      <c r="Z44" s="92">
        <f>(AC41*(AC38/Z42))</f>
        <v>1.6828179487179484</v>
      </c>
      <c r="AA44" s="2"/>
      <c r="AB44" s="2"/>
      <c r="AC44" s="2"/>
    </row>
    <row r="45" spans="1:29" ht="15" customHeight="1" x14ac:dyDescent="0.25">
      <c r="A45" s="113" t="s">
        <v>52</v>
      </c>
      <c r="B45" s="8">
        <f>((1/6)*(B7^(1/2))*(E7*1000)*(1000*(B33))/1000)</f>
        <v>43.333333333333329</v>
      </c>
      <c r="C45" s="2"/>
      <c r="D45" s="2"/>
      <c r="E45" s="2"/>
      <c r="G45" s="113" t="s">
        <v>52</v>
      </c>
      <c r="H45" s="8">
        <f>((1/6)*(H7^(1/2))*(K7*1000)*(1000*(H33))/1000)</f>
        <v>43.333333333333329</v>
      </c>
      <c r="I45" s="2"/>
      <c r="J45" s="2"/>
      <c r="K45" s="2"/>
      <c r="M45" s="113" t="s">
        <v>52</v>
      </c>
      <c r="N45" s="8">
        <f>((1/6)*(N7^(1/2))*(Q7*1000)*(1000*(N33))/1000)</f>
        <v>21.666666666666664</v>
      </c>
      <c r="O45" s="2"/>
      <c r="P45" s="2"/>
      <c r="Q45" s="2"/>
      <c r="S45" s="84" t="s">
        <v>33</v>
      </c>
      <c r="T45" s="92">
        <f>+ROUND(((1.4*$W$7*$T$42)/$T$8)*10000,3)</f>
        <v>1.7330000000000001</v>
      </c>
      <c r="U45" s="2"/>
      <c r="V45" s="96" t="s">
        <v>66</v>
      </c>
      <c r="W45" s="124">
        <f>+IF(T45&gt;T44,T45,T44)</f>
        <v>5.7558547008547016</v>
      </c>
      <c r="Y45" s="84" t="s">
        <v>33</v>
      </c>
      <c r="Z45" s="92">
        <f>+ROUND(((1.4*$W$7*$T$42)/$T$8)*10000,3)</f>
        <v>1.7330000000000001</v>
      </c>
      <c r="AA45" s="2"/>
      <c r="AB45" s="96" t="s">
        <v>66</v>
      </c>
      <c r="AC45" s="124">
        <f>+IF(Z45&gt;Z44,Z45,Z44)</f>
        <v>1.7330000000000001</v>
      </c>
    </row>
    <row r="46" spans="1:29" x14ac:dyDescent="0.25">
      <c r="A46" s="2" t="s">
        <v>100</v>
      </c>
      <c r="B46" s="8">
        <f>+IF(B45&gt;B44,0,B44-B45)</f>
        <v>0</v>
      </c>
      <c r="C46" s="164" t="str">
        <f>+IF(B45&gt;B44,"ARM. MINIMA DE CORTE","ES NECESARIA ARM. DE CORTE")</f>
        <v>ARM. MINIMA DE CORTE</v>
      </c>
      <c r="D46" s="164"/>
      <c r="E46" s="164"/>
      <c r="G46" s="2" t="s">
        <v>100</v>
      </c>
      <c r="H46" s="8">
        <f>+IF(H45&gt;H44,0,H44-H45)</f>
        <v>0.10666666666666913</v>
      </c>
      <c r="I46" s="164" t="str">
        <f>+IF(H45&gt;H44,"ARM. MINIMA DE CORTE","ES NECESARIA ARM. DE CORTE")</f>
        <v>ES NECESARIA ARM. DE CORTE</v>
      </c>
      <c r="J46" s="164"/>
      <c r="K46" s="164"/>
      <c r="M46" s="2" t="s">
        <v>100</v>
      </c>
      <c r="N46" s="8">
        <f>+IF(N45&gt;N44,0,N44-N45)</f>
        <v>0</v>
      </c>
      <c r="O46" s="164" t="str">
        <f>+IF(N45&gt;N44,"ARM. MINIMA DE CORTE","ES NECESARIA ARM. DE CORTE")</f>
        <v>ARM. MINIMA DE CORTE</v>
      </c>
      <c r="P46" s="164"/>
      <c r="Q46" s="164"/>
      <c r="S46" s="2"/>
      <c r="T46" s="2"/>
      <c r="U46" s="2"/>
      <c r="V46" s="2"/>
      <c r="W46" s="2"/>
      <c r="Y46" s="2"/>
      <c r="Z46" s="2"/>
      <c r="AA46" s="2"/>
      <c r="AB46" s="2"/>
      <c r="AC46" s="2"/>
    </row>
    <row r="47" spans="1:29" x14ac:dyDescent="0.25">
      <c r="A47" s="2"/>
      <c r="B47" s="2"/>
      <c r="C47" s="2"/>
      <c r="D47" s="2"/>
      <c r="E47" s="2"/>
      <c r="G47" s="2"/>
      <c r="H47" s="2"/>
      <c r="I47" s="2"/>
      <c r="J47" s="2"/>
      <c r="K47" s="2"/>
      <c r="M47" s="2"/>
      <c r="N47" s="2"/>
      <c r="O47" s="2"/>
      <c r="P47" s="2"/>
      <c r="Q47" s="2"/>
      <c r="S47" s="165" t="s">
        <v>34</v>
      </c>
      <c r="T47" s="165"/>
      <c r="U47" s="181">
        <v>2</v>
      </c>
      <c r="V47" s="179">
        <v>12</v>
      </c>
      <c r="W47" s="180">
        <f>U47*(PI()*(V47/10)^2)/4</f>
        <v>2.2619467105846511</v>
      </c>
      <c r="Y47" s="165" t="s">
        <v>99</v>
      </c>
      <c r="Z47" s="165"/>
      <c r="AA47" s="97">
        <v>2</v>
      </c>
      <c r="AB47" s="98">
        <v>8</v>
      </c>
      <c r="AC47" s="92">
        <f>AA47*(PI()*(AB47/10)^2)/4</f>
        <v>1.0053096491487339</v>
      </c>
    </row>
    <row r="48" spans="1:29" x14ac:dyDescent="0.25">
      <c r="A48" s="165" t="s">
        <v>71</v>
      </c>
      <c r="B48" s="165"/>
      <c r="C48" s="169" t="s">
        <v>73</v>
      </c>
      <c r="D48" s="169"/>
      <c r="E48" s="169"/>
      <c r="G48" s="165" t="s">
        <v>71</v>
      </c>
      <c r="H48" s="165"/>
      <c r="I48" s="169" t="s">
        <v>73</v>
      </c>
      <c r="J48" s="169"/>
      <c r="K48" s="169"/>
      <c r="M48" s="165" t="s">
        <v>71</v>
      </c>
      <c r="N48" s="165"/>
      <c r="O48" s="169" t="s">
        <v>73</v>
      </c>
      <c r="P48" s="169"/>
      <c r="Q48" s="169"/>
      <c r="S48" s="165"/>
      <c r="T48" s="165"/>
      <c r="U48" s="182">
        <v>2</v>
      </c>
      <c r="V48" s="183">
        <v>16</v>
      </c>
      <c r="W48" s="184">
        <f>U48*(PI()*(V48/10)^2)/4</f>
        <v>4.0212385965949355</v>
      </c>
      <c r="Y48" s="165"/>
      <c r="Z48" s="165"/>
      <c r="AA48" s="104">
        <v>2</v>
      </c>
      <c r="AB48" s="105">
        <v>10</v>
      </c>
      <c r="AC48" s="127">
        <f>AA48*(PI()*(AB48/10)^2)/4</f>
        <v>1.5707963267948966</v>
      </c>
    </row>
    <row r="49" spans="1:29" x14ac:dyDescent="0.25">
      <c r="A49" s="165"/>
      <c r="B49" s="165"/>
      <c r="C49" s="109">
        <v>1</v>
      </c>
      <c r="D49" s="110">
        <v>6</v>
      </c>
      <c r="E49" s="111">
        <v>20</v>
      </c>
      <c r="G49" s="165"/>
      <c r="H49" s="165"/>
      <c r="I49" s="109">
        <v>1</v>
      </c>
      <c r="J49" s="110">
        <v>6</v>
      </c>
      <c r="K49" s="111">
        <v>20</v>
      </c>
      <c r="M49" s="165"/>
      <c r="N49" s="165"/>
      <c r="O49" s="109">
        <v>1</v>
      </c>
      <c r="P49" s="110">
        <v>6</v>
      </c>
      <c r="Q49" s="111">
        <v>20</v>
      </c>
      <c r="S49" s="2"/>
      <c r="T49" s="2"/>
      <c r="U49" s="2"/>
      <c r="V49" s="99" t="str">
        <f>+IF(W49&gt;W45,"B.C.","M.C.")</f>
        <v>B.C.</v>
      </c>
      <c r="W49" s="124">
        <f>SUM(W47:W48)</f>
        <v>6.2831853071795862</v>
      </c>
      <c r="Y49" s="2"/>
      <c r="Z49" s="2"/>
      <c r="AA49" s="2"/>
      <c r="AB49" s="99" t="str">
        <f>+IF(AC49&gt;AC45,"B.C.","M.C.")</f>
        <v>B.C.</v>
      </c>
      <c r="AC49" s="124">
        <f>SUM(AC47:AC48)</f>
        <v>2.5761059759436304</v>
      </c>
    </row>
    <row r="50" spans="1:29" x14ac:dyDescent="0.25">
      <c r="A50" s="2"/>
      <c r="B50" s="2"/>
      <c r="C50" s="2"/>
      <c r="D50" s="2"/>
      <c r="E50" s="2"/>
      <c r="G50" s="2"/>
      <c r="H50" s="2"/>
      <c r="I50" s="2"/>
      <c r="J50" s="2"/>
      <c r="K50" s="2"/>
      <c r="M50" s="2"/>
      <c r="N50" s="2"/>
      <c r="O50" s="2"/>
      <c r="P50" s="2"/>
      <c r="Q50" s="2"/>
      <c r="S50" s="2"/>
      <c r="T50" s="2"/>
      <c r="U50" s="2"/>
      <c r="V50" s="2"/>
      <c r="W50" s="2"/>
      <c r="Y50" s="2"/>
      <c r="Z50" s="2"/>
      <c r="AA50" s="2"/>
      <c r="AB50" s="2"/>
      <c r="AC50" s="2"/>
    </row>
    <row r="51" spans="1:29" ht="18" x14ac:dyDescent="0.35">
      <c r="A51" s="114" t="s">
        <v>104</v>
      </c>
      <c r="B51" s="112">
        <f>+((((2*(PI()*(D49/10)^2)/4)/(100^2))*B8*B33)/(E49/100))*1000</f>
        <v>30.875572599480485</v>
      </c>
      <c r="C51" s="99" t="str">
        <f>+IF(B51&gt;B46,"B.C.","M.C.")</f>
        <v>B.C.</v>
      </c>
      <c r="D51" s="2"/>
      <c r="E51" s="2"/>
      <c r="G51" s="114" t="s">
        <v>104</v>
      </c>
      <c r="H51" s="112">
        <f>+((((2*(PI()*(J49/10)^2)/4)/(100^2))*H8*H33)/(K49/100))*1000</f>
        <v>30.875572599480485</v>
      </c>
      <c r="I51" s="99" t="str">
        <f>+IF(H51&gt;H46,"B.C.","M.C.")</f>
        <v>B.C.</v>
      </c>
      <c r="J51" s="2"/>
      <c r="K51" s="2"/>
      <c r="M51" s="114" t="s">
        <v>104</v>
      </c>
      <c r="N51" s="112">
        <f>+((((2*(PI()*(P49/10)^2)/4)/(100^2))*N8*N33)/(Q49/100))*1000</f>
        <v>15.437786299740242</v>
      </c>
      <c r="O51" s="99" t="str">
        <f>+IF(N51&gt;N46,"B.C.","M.C.")</f>
        <v>B.C.</v>
      </c>
      <c r="P51" s="2"/>
      <c r="Q51" s="2"/>
      <c r="S51" s="163" t="s">
        <v>46</v>
      </c>
      <c r="T51" s="163"/>
      <c r="U51" s="163"/>
      <c r="V51" s="163"/>
      <c r="W51" s="163"/>
      <c r="Y51" s="163" t="s">
        <v>46</v>
      </c>
      <c r="Z51" s="163"/>
      <c r="AA51" s="163"/>
      <c r="AB51" s="163"/>
      <c r="AC51" s="163"/>
    </row>
    <row r="52" spans="1:29" x14ac:dyDescent="0.25">
      <c r="A52" s="2"/>
      <c r="B52" s="2"/>
      <c r="C52" s="2"/>
      <c r="D52" s="2"/>
      <c r="E52" s="2"/>
      <c r="G52" s="2"/>
      <c r="H52" s="2"/>
      <c r="I52" s="2"/>
      <c r="J52" s="2"/>
      <c r="K52" s="2"/>
      <c r="M52" s="2"/>
      <c r="N52" s="2"/>
      <c r="O52" s="2"/>
      <c r="P52" s="2"/>
      <c r="Q52" s="2"/>
      <c r="S52" s="2"/>
      <c r="T52" s="2"/>
      <c r="U52" s="2"/>
      <c r="V52" s="2"/>
      <c r="W52" s="2"/>
      <c r="Y52" s="2"/>
      <c r="Z52" s="2"/>
      <c r="AA52" s="2"/>
      <c r="AB52" s="2"/>
      <c r="AC52" s="2"/>
    </row>
    <row r="53" spans="1:29" x14ac:dyDescent="0.25">
      <c r="S53" s="78" t="s">
        <v>76</v>
      </c>
      <c r="T53" s="8">
        <f>+W34/0.75</f>
        <v>79.86666666666666</v>
      </c>
      <c r="U53" s="2"/>
      <c r="V53" s="2"/>
      <c r="W53" s="2"/>
      <c r="Y53" s="78" t="s">
        <v>76</v>
      </c>
      <c r="Z53" s="8">
        <f>+AC34/0.75</f>
        <v>79.86666666666666</v>
      </c>
      <c r="AA53" s="2"/>
      <c r="AB53" s="2"/>
      <c r="AC53" s="2"/>
    </row>
    <row r="54" spans="1:29" x14ac:dyDescent="0.25">
      <c r="S54" s="113" t="s">
        <v>52</v>
      </c>
      <c r="T54" s="8">
        <f>((1/6)*(T7^(1/2))*(W7*1000)*(1000*(T42))/1000)</f>
        <v>43.333333333333329</v>
      </c>
      <c r="U54" s="2"/>
      <c r="V54" s="2"/>
      <c r="W54" s="2"/>
      <c r="Y54" s="113" t="s">
        <v>52</v>
      </c>
      <c r="Z54" s="8">
        <f>((1/6)*(Z7^(1/2))*(AC7*1000)*(1000*(Z42))/1000)</f>
        <v>43.333333333333329</v>
      </c>
      <c r="AA54" s="2"/>
      <c r="AB54" s="2"/>
      <c r="AC54" s="2"/>
    </row>
    <row r="55" spans="1:29" ht="18" customHeight="1" x14ac:dyDescent="0.35">
      <c r="S55" s="114" t="s">
        <v>103</v>
      </c>
      <c r="T55" s="112">
        <f>+IF(T54&gt;T53,0,T53-T54)</f>
        <v>36.533333333333331</v>
      </c>
      <c r="U55" s="164" t="str">
        <f>+IF(T54&gt;T53,"ARM. MINIMA DE CORTE","ES NECESARIA ARM. DE CORTE")</f>
        <v>ES NECESARIA ARM. DE CORTE</v>
      </c>
      <c r="V55" s="164"/>
      <c r="W55" s="164"/>
      <c r="Y55" s="114" t="s">
        <v>100</v>
      </c>
      <c r="Z55" s="112">
        <f>+IF(Z54&gt;Z53,0,Z53-Z54)</f>
        <v>36.533333333333331</v>
      </c>
      <c r="AA55" s="164" t="str">
        <f>+IF(Z54&gt;Z53,"ARM. MINIMA DE CORTE","ES NECESARIA ARM. DE CORTE")</f>
        <v>ES NECESARIA ARM. DE CORTE</v>
      </c>
      <c r="AB55" s="164"/>
      <c r="AC55" s="164"/>
    </row>
    <row r="56" spans="1:29" x14ac:dyDescent="0.25">
      <c r="S56" s="2"/>
      <c r="T56" s="2"/>
      <c r="U56" s="2"/>
      <c r="V56" s="2"/>
      <c r="W56" s="2"/>
      <c r="Y56" s="2"/>
      <c r="Z56" s="2"/>
      <c r="AA56" s="2"/>
      <c r="AB56" s="2"/>
      <c r="AC56" s="2"/>
    </row>
    <row r="57" spans="1:29" x14ac:dyDescent="0.25">
      <c r="S57" s="165" t="s">
        <v>71</v>
      </c>
      <c r="T57" s="165"/>
      <c r="U57" s="166" t="s">
        <v>73</v>
      </c>
      <c r="V57" s="166"/>
      <c r="W57" s="166"/>
      <c r="Y57" s="165" t="s">
        <v>71</v>
      </c>
      <c r="Z57" s="165"/>
      <c r="AA57" s="166" t="s">
        <v>73</v>
      </c>
      <c r="AB57" s="166"/>
      <c r="AC57" s="166"/>
    </row>
    <row r="58" spans="1:29" x14ac:dyDescent="0.25">
      <c r="S58" s="165"/>
      <c r="T58" s="165"/>
      <c r="U58" s="109">
        <v>1</v>
      </c>
      <c r="V58" s="110">
        <v>6</v>
      </c>
      <c r="W58" s="111">
        <v>15</v>
      </c>
      <c r="Y58" s="165"/>
      <c r="Z58" s="165"/>
      <c r="AA58" s="109">
        <v>1</v>
      </c>
      <c r="AB58" s="110">
        <v>6</v>
      </c>
      <c r="AC58" s="111">
        <v>15</v>
      </c>
    </row>
    <row r="59" spans="1:29" x14ac:dyDescent="0.25">
      <c r="S59" s="2"/>
      <c r="T59" s="8"/>
      <c r="U59" s="81"/>
      <c r="V59" s="81"/>
      <c r="W59" s="81"/>
      <c r="Y59" s="2"/>
      <c r="Z59" s="8"/>
      <c r="AA59" s="81"/>
      <c r="AB59" s="81"/>
      <c r="AC59" s="81"/>
    </row>
    <row r="60" spans="1:29" ht="18" x14ac:dyDescent="0.35">
      <c r="S60" s="114" t="s">
        <v>104</v>
      </c>
      <c r="T60" s="112">
        <f>+((((2*(PI()*(V58/10)^2)/4)/(100^2))*T8*T42)/(W58/100))*1000</f>
        <v>41.167430132640654</v>
      </c>
      <c r="U60" s="99" t="str">
        <f>+IF(T60&gt;T55,"B.C.","M.C.")</f>
        <v>B.C.</v>
      </c>
      <c r="V60" s="81"/>
      <c r="W60" s="81"/>
      <c r="Y60" s="114" t="s">
        <v>104</v>
      </c>
      <c r="Z60" s="112">
        <f>+((((2*(PI()*(AB58/10)^2)/4)/(100^2))*Z8*Z42)/(AC58/100))*1000</f>
        <v>41.167430132640654</v>
      </c>
      <c r="AA60" s="99" t="str">
        <f>+IF(Z60&gt;Z55,"B.C.","M.C.")</f>
        <v>B.C.</v>
      </c>
      <c r="AB60" s="81"/>
      <c r="AC60" s="81"/>
    </row>
    <row r="61" spans="1:29" x14ac:dyDescent="0.25">
      <c r="S61" s="2"/>
      <c r="T61" s="8"/>
      <c r="U61" s="81"/>
      <c r="V61" s="81"/>
      <c r="W61" s="81"/>
      <c r="Y61" s="2"/>
      <c r="Z61" s="8"/>
      <c r="AA61" s="81"/>
      <c r="AB61" s="81"/>
      <c r="AC61" s="81"/>
    </row>
    <row r="62" spans="1:29" x14ac:dyDescent="0.25">
      <c r="S62" s="2"/>
      <c r="T62" s="8"/>
      <c r="U62" s="81"/>
      <c r="V62" s="81"/>
      <c r="W62" s="81"/>
      <c r="Y62" s="2"/>
      <c r="Z62" s="2"/>
      <c r="AA62" s="2"/>
      <c r="AB62" s="2"/>
      <c r="AC62" s="2"/>
    </row>
    <row r="63" spans="1:29" x14ac:dyDescent="0.25">
      <c r="R63" s="15"/>
      <c r="S63" s="2"/>
      <c r="T63" s="8"/>
      <c r="U63" s="81"/>
      <c r="V63" s="81"/>
      <c r="W63" s="81"/>
      <c r="X63" s="15"/>
    </row>
  </sheetData>
  <mergeCells count="89">
    <mergeCell ref="Y47:Z48"/>
    <mergeCell ref="Y51:AC51"/>
    <mergeCell ref="AA55:AC55"/>
    <mergeCell ref="Y57:Z58"/>
    <mergeCell ref="AA57:AC57"/>
    <mergeCell ref="Y27:Z27"/>
    <mergeCell ref="Y29:AC29"/>
    <mergeCell ref="Y31:Z31"/>
    <mergeCell ref="AB31:AC31"/>
    <mergeCell ref="Y36:AC36"/>
    <mergeCell ref="Y18:Z18"/>
    <mergeCell ref="Y19:Z19"/>
    <mergeCell ref="Y20:Z20"/>
    <mergeCell ref="Y21:Z21"/>
    <mergeCell ref="Y26:Z26"/>
    <mergeCell ref="Y3:AC3"/>
    <mergeCell ref="AB8:AC8"/>
    <mergeCell ref="Y10:AC10"/>
    <mergeCell ref="Y13:Z13"/>
    <mergeCell ref="Y14:Z14"/>
    <mergeCell ref="S18:T18"/>
    <mergeCell ref="S19:T19"/>
    <mergeCell ref="S26:T26"/>
    <mergeCell ref="A1:E1"/>
    <mergeCell ref="A3:E3"/>
    <mergeCell ref="A10:E10"/>
    <mergeCell ref="A13:B13"/>
    <mergeCell ref="A19:B19"/>
    <mergeCell ref="G3:K3"/>
    <mergeCell ref="G10:K10"/>
    <mergeCell ref="G13:H13"/>
    <mergeCell ref="G14:H14"/>
    <mergeCell ref="G18:H18"/>
    <mergeCell ref="M18:N18"/>
    <mergeCell ref="M3:Q3"/>
    <mergeCell ref="P8:Q8"/>
    <mergeCell ref="C46:E46"/>
    <mergeCell ref="A48:B49"/>
    <mergeCell ref="C48:E48"/>
    <mergeCell ref="A14:B14"/>
    <mergeCell ref="A18:B18"/>
    <mergeCell ref="A38:B39"/>
    <mergeCell ref="A27:E27"/>
    <mergeCell ref="A21:E21"/>
    <mergeCell ref="A23:B23"/>
    <mergeCell ref="D23:E23"/>
    <mergeCell ref="D8:E8"/>
    <mergeCell ref="J8:K8"/>
    <mergeCell ref="G42:K42"/>
    <mergeCell ref="G19:H19"/>
    <mergeCell ref="A42:E42"/>
    <mergeCell ref="G38:H39"/>
    <mergeCell ref="G21:K21"/>
    <mergeCell ref="G23:H23"/>
    <mergeCell ref="J23:K23"/>
    <mergeCell ref="G27:K27"/>
    <mergeCell ref="M14:N14"/>
    <mergeCell ref="M42:Q42"/>
    <mergeCell ref="O46:Q46"/>
    <mergeCell ref="I46:K46"/>
    <mergeCell ref="G48:H49"/>
    <mergeCell ref="I48:K48"/>
    <mergeCell ref="M48:N49"/>
    <mergeCell ref="O48:Q48"/>
    <mergeCell ref="S3:W3"/>
    <mergeCell ref="V8:W8"/>
    <mergeCell ref="S10:W10"/>
    <mergeCell ref="S13:T13"/>
    <mergeCell ref="S14:T14"/>
    <mergeCell ref="S20:T20"/>
    <mergeCell ref="M19:N19"/>
    <mergeCell ref="M21:Q21"/>
    <mergeCell ref="M23:N23"/>
    <mergeCell ref="P23:Q23"/>
    <mergeCell ref="M27:Q27"/>
    <mergeCell ref="M38:N39"/>
    <mergeCell ref="M10:Q10"/>
    <mergeCell ref="M13:N13"/>
    <mergeCell ref="S51:W51"/>
    <mergeCell ref="U55:W55"/>
    <mergeCell ref="S57:T58"/>
    <mergeCell ref="U57:W57"/>
    <mergeCell ref="S21:T21"/>
    <mergeCell ref="S29:W29"/>
    <mergeCell ref="S31:T31"/>
    <mergeCell ref="V31:W31"/>
    <mergeCell ref="S36:W36"/>
    <mergeCell ref="S47:T48"/>
    <mergeCell ref="S27:T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LOSAS VIGUETAS</vt:lpstr>
      <vt:lpstr>VIGAS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Ignacio Cabrera</cp:lastModifiedBy>
  <dcterms:created xsi:type="dcterms:W3CDTF">2015-06-05T18:17:20Z</dcterms:created>
  <dcterms:modified xsi:type="dcterms:W3CDTF">2022-02-03T17:07:30Z</dcterms:modified>
</cp:coreProperties>
</file>