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SIGMA\Memorias Genericas\Viviendas\Prototipo Duplex\"/>
    </mc:Choice>
  </mc:AlternateContent>
  <xr:revisionPtr revIDLastSave="0" documentId="13_ncr:1_{274535B5-E1C7-43F4-8053-D623254E3B2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LOSAS VIGUETAS" sheetId="1" r:id="rId1"/>
    <sheet name="VIGAS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5" l="1"/>
  <c r="C21" i="5"/>
  <c r="E21" i="5" s="1"/>
  <c r="E21" i="1"/>
  <c r="E19" i="5" l="1"/>
  <c r="E18" i="5"/>
  <c r="I19" i="1"/>
  <c r="B31" i="5" l="1"/>
  <c r="E41" i="5"/>
  <c r="E40" i="5"/>
  <c r="C13" i="5"/>
  <c r="E13" i="5" s="1"/>
  <c r="K19" i="1"/>
  <c r="H40" i="1"/>
  <c r="K16" i="1"/>
  <c r="K15" i="1"/>
  <c r="K14" i="1"/>
  <c r="B40" i="1"/>
  <c r="E15" i="1"/>
  <c r="E19" i="1"/>
  <c r="E14" i="1"/>
  <c r="E42" i="5" l="1"/>
  <c r="B35" i="5"/>
  <c r="E15" i="5"/>
  <c r="K20" i="1"/>
  <c r="H39" i="1" s="1"/>
  <c r="G26" i="5" l="1"/>
  <c r="E26" i="5"/>
  <c r="B47" i="5"/>
  <c r="B53" i="5"/>
  <c r="E27" i="5"/>
  <c r="B46" i="5" s="1"/>
  <c r="B27" i="5"/>
  <c r="B26" i="5"/>
  <c r="B38" i="5"/>
  <c r="I24" i="1"/>
  <c r="G33" i="1" s="1"/>
  <c r="C48" i="5" l="1"/>
  <c r="B48" i="5"/>
  <c r="C53" i="5" s="1"/>
  <c r="E16" i="1" l="1"/>
  <c r="E20" i="1" l="1"/>
  <c r="B24" i="1" l="1"/>
  <c r="B39" i="1"/>
  <c r="C40" i="1" l="1"/>
  <c r="I40" i="1"/>
  <c r="C24" i="1"/>
  <c r="A33" i="1" s="1"/>
  <c r="E31" i="5"/>
  <c r="B37" i="5" l="1"/>
  <c r="E38" i="5" s="1"/>
  <c r="D42" i="5" s="1"/>
  <c r="E32" i="5"/>
</calcChain>
</file>

<file path=xl/sharedStrings.xml><?xml version="1.0" encoding="utf-8"?>
<sst xmlns="http://schemas.openxmlformats.org/spreadsheetml/2006/main" count="136" uniqueCount="86">
  <si>
    <t>Luz</t>
  </si>
  <si>
    <t>Ancho</t>
  </si>
  <si>
    <t>Destino</t>
  </si>
  <si>
    <t>Sobrecarga de uso</t>
  </si>
  <si>
    <t>Peso propio</t>
  </si>
  <si>
    <t>Analisis de Carga</t>
  </si>
  <si>
    <t>Dimension</t>
  </si>
  <si>
    <t>Peso</t>
  </si>
  <si>
    <t>Carga</t>
  </si>
  <si>
    <t>Contrapiso HºPº</t>
  </si>
  <si>
    <t>Carpeta de Nivelacion</t>
  </si>
  <si>
    <t>Pegamento</t>
  </si>
  <si>
    <t>Piso Cermico</t>
  </si>
  <si>
    <t>Paredes internas</t>
  </si>
  <si>
    <t>Serie Adoptada</t>
  </si>
  <si>
    <t>Longitud</t>
  </si>
  <si>
    <t>Bobedilla</t>
  </si>
  <si>
    <t>Capa de compresion</t>
  </si>
  <si>
    <t>Residencial</t>
  </si>
  <si>
    <t>CÁLCULO DE LOSAS PARA PLANTA ALTA</t>
  </si>
  <si>
    <t>L</t>
  </si>
  <si>
    <t>ELS</t>
  </si>
  <si>
    <t>ELU</t>
  </si>
  <si>
    <t>h</t>
  </si>
  <si>
    <t>db Long</t>
  </si>
  <si>
    <t>d</t>
  </si>
  <si>
    <t>Mn</t>
  </si>
  <si>
    <t>kd</t>
  </si>
  <si>
    <t>f´c</t>
  </si>
  <si>
    <t>Fy</t>
  </si>
  <si>
    <t>kd tabla</t>
  </si>
  <si>
    <t>ke</t>
  </si>
  <si>
    <t>As</t>
  </si>
  <si>
    <t>As mín</t>
  </si>
  <si>
    <t>ARMADURA INFERIOR</t>
  </si>
  <si>
    <t>b</t>
  </si>
  <si>
    <t>Cc</t>
  </si>
  <si>
    <t>Designación</t>
  </si>
  <si>
    <t>-</t>
  </si>
  <si>
    <t>LV 17</t>
  </si>
  <si>
    <t>A eje de viga</t>
  </si>
  <si>
    <t>VIGUETAS VIGUETEC</t>
  </si>
  <si>
    <t>→ Según catálogo</t>
  </si>
  <si>
    <t>1 SIMPLE</t>
  </si>
  <si>
    <t>s/catálogo</t>
  </si>
  <si>
    <t>Dimensionado por flexión</t>
  </si>
  <si>
    <t>Dimensionado por corte</t>
  </si>
  <si>
    <t>Total Sobrecargas</t>
  </si>
  <si>
    <t>Total Cargas Permanentes</t>
  </si>
  <si>
    <t>Momento Admisible</t>
  </si>
  <si>
    <t>Momento Total</t>
  </si>
  <si>
    <t>Vu</t>
  </si>
  <si>
    <t>Vc</t>
  </si>
  <si>
    <t>f'c</t>
  </si>
  <si>
    <t>Características</t>
  </si>
  <si>
    <t>Ancho de calc.</t>
  </si>
  <si>
    <t>LV 17 - BAJO MURO DE 0.20 m</t>
  </si>
  <si>
    <t>1 DOBLE</t>
  </si>
  <si>
    <t>Armadura en capa de compresión</t>
  </si>
  <si>
    <t>Malla Electrosoldada  ф 6 mm 0.15 x 0.15 m</t>
  </si>
  <si>
    <t>Carga de mampostería</t>
  </si>
  <si>
    <t>Peso propio viga</t>
  </si>
  <si>
    <t>Carga de losa ELS</t>
  </si>
  <si>
    <t>Carga de losa ELU</t>
  </si>
  <si>
    <t>db Estrubo</t>
  </si>
  <si>
    <t>As nec</t>
  </si>
  <si>
    <t>Análisis de cargas</t>
  </si>
  <si>
    <t>VIGA 100 - 101</t>
  </si>
  <si>
    <t>Solicitaciones</t>
  </si>
  <si>
    <t>Mu</t>
  </si>
  <si>
    <t>ARMADURA TRANSVERSAL</t>
  </si>
  <si>
    <t>Malla Electrosoldada  Ø 6 mm 0.15 x 0.15 m</t>
  </si>
  <si>
    <t>Estribos cerrados en 2 ramas</t>
  </si>
  <si>
    <t>Simplemente apoyada</t>
  </si>
  <si>
    <t>Vn</t>
  </si>
  <si>
    <t>M</t>
  </si>
  <si>
    <t>V</t>
  </si>
  <si>
    <t>Vs</t>
  </si>
  <si>
    <r>
      <t>Vs</t>
    </r>
    <r>
      <rPr>
        <b/>
        <vertAlign val="subscript"/>
        <sz val="11"/>
        <color theme="1"/>
        <rFont val="Calibri"/>
        <family val="2"/>
        <scheme val="minor"/>
      </rPr>
      <t>real</t>
    </r>
  </si>
  <si>
    <t>Bovedilla</t>
  </si>
  <si>
    <t>Dimensión</t>
  </si>
  <si>
    <t>Apoyos continuos</t>
  </si>
  <si>
    <t>CÁLCULO DE VIGA</t>
  </si>
  <si>
    <t>Ref.: Ingresar valores</t>
  </si>
  <si>
    <t>TABLA Kd</t>
  </si>
  <si>
    <t>Sobrecarga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</si>
</sst>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#0.00\ &quot;m&quot;"/>
    <numFmt numFmtId="165" formatCode="#0.00\ &quot;KN/m²&quot;"/>
    <numFmt numFmtId="166" formatCode="#0.00\ &quot;Kg/m²&quot;"/>
    <numFmt numFmtId="167" formatCode="#0.00\ &quot;KN/m³&quot;"/>
    <numFmt numFmtId="168" formatCode="#0.00\ &quot;m³&quot;"/>
    <numFmt numFmtId="169" formatCode="#0.00\ &quot;KN&quot;"/>
    <numFmt numFmtId="170" formatCode="#0.000\ &quot;m&quot;"/>
    <numFmt numFmtId="171" formatCode="0.0000"/>
    <numFmt numFmtId="172" formatCode="0.00\ &quot;MPa&quot;"/>
    <numFmt numFmtId="173" formatCode="0.000\ &quot;cm²/MN&quot;"/>
    <numFmt numFmtId="174" formatCode="&quot;Ø&quot;\ 0"/>
    <numFmt numFmtId="175" formatCode="&quot;c/&quot;0\ &quot;cm&quot;"/>
    <numFmt numFmtId="176" formatCode="#0.00\ &quot;kN/m²&quot;"/>
    <numFmt numFmtId="177" formatCode="#0.00\ &quot;kg/m²&quot;"/>
    <numFmt numFmtId="178" formatCode="#0.00\ &quot;kNm/m&quot;"/>
    <numFmt numFmtId="179" formatCode="#0.00\ &quot;kgm/m&quot;"/>
    <numFmt numFmtId="180" formatCode="#0.00\ &quot;kN/m&quot;"/>
    <numFmt numFmtId="181" formatCode="#0.00\ &quot;MPa&quot;"/>
    <numFmt numFmtId="182" formatCode="#0.00\ &quot;m²&quot;"/>
    <numFmt numFmtId="183" formatCode="#0.00\ &quot;KN/m&quot;"/>
    <numFmt numFmtId="184" formatCode="0.00\ &quot;kNm&quot;"/>
    <numFmt numFmtId="185" formatCode="0.0000\ &quot;MNm&quot;"/>
    <numFmt numFmtId="186" formatCode="0.000\ &quot;cm²&quot;"/>
    <numFmt numFmtId="187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2">
    <xf numFmtId="0" fontId="0" fillId="0" borderId="0" xfId="0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 applyAlignment="1">
      <alignment horizontal="right" vertical="center"/>
    </xf>
    <xf numFmtId="170" fontId="0" fillId="2" borderId="0" xfId="0" applyNumberFormat="1" applyFill="1" applyAlignment="1">
      <alignment horizontal="right" vertical="center"/>
    </xf>
    <xf numFmtId="169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0" fillId="2" borderId="0" xfId="0" applyNumberFormat="1" applyFill="1" applyAlignment="1">
      <alignment horizontal="center" vertical="center"/>
    </xf>
    <xf numFmtId="0" fontId="2" fillId="0" borderId="0" xfId="0" applyFont="1"/>
    <xf numFmtId="0" fontId="0" fillId="2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3" xfId="0" applyFill="1" applyBorder="1"/>
    <xf numFmtId="0" fontId="0" fillId="0" borderId="2" xfId="0" applyBorder="1"/>
    <xf numFmtId="0" fontId="2" fillId="3" borderId="8" xfId="0" applyFont="1" applyFill="1" applyBorder="1" applyAlignment="1">
      <alignment horizontal="center" vertical="center"/>
    </xf>
    <xf numFmtId="2" fontId="0" fillId="2" borderId="3" xfId="0" applyNumberForma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6" fontId="3" fillId="2" borderId="0" xfId="0" applyNumberFormat="1" applyFont="1" applyFill="1" applyAlignment="1">
      <alignment horizontal="left"/>
    </xf>
    <xf numFmtId="0" fontId="0" fillId="2" borderId="2" xfId="0" applyFill="1" applyBorder="1" applyAlignment="1">
      <alignment vertical="center" wrapText="1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0" fillId="0" borderId="5" xfId="0" applyBorder="1"/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horizontal="left"/>
    </xf>
    <xf numFmtId="168" fontId="0" fillId="2" borderId="11" xfId="0" applyNumberFormat="1" applyFill="1" applyBorder="1" applyAlignment="1">
      <alignment horizontal="center" vertical="center"/>
    </xf>
    <xf numFmtId="167" fontId="0" fillId="2" borderId="1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176" fontId="0" fillId="2" borderId="3" xfId="0" applyNumberFormat="1" applyFill="1" applyBorder="1" applyAlignment="1">
      <alignment horizontal="right"/>
    </xf>
    <xf numFmtId="176" fontId="2" fillId="2" borderId="3" xfId="0" applyNumberFormat="1" applyFont="1" applyFill="1" applyBorder="1" applyAlignment="1">
      <alignment horizontal="right"/>
    </xf>
    <xf numFmtId="176" fontId="0" fillId="2" borderId="7" xfId="0" applyNumberFormat="1" applyFill="1" applyBorder="1" applyAlignment="1">
      <alignment horizontal="right"/>
    </xf>
    <xf numFmtId="177" fontId="0" fillId="2" borderId="0" xfId="0" applyNumberFormat="1" applyFill="1"/>
    <xf numFmtId="176" fontId="0" fillId="2" borderId="3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9" fontId="2" fillId="2" borderId="8" xfId="0" applyNumberFormat="1" applyFont="1" applyFill="1" applyBorder="1"/>
    <xf numFmtId="178" fontId="2" fillId="2" borderId="0" xfId="0" applyNumberFormat="1" applyFont="1" applyFill="1" applyAlignment="1">
      <alignment horizontal="right"/>
    </xf>
    <xf numFmtId="179" fontId="2" fillId="2" borderId="0" xfId="0" applyNumberFormat="1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180" fontId="2" fillId="2" borderId="0" xfId="0" applyNumberFormat="1" applyFont="1" applyFill="1" applyAlignment="1">
      <alignment horizontal="center"/>
    </xf>
    <xf numFmtId="181" fontId="0" fillId="2" borderId="0" xfId="0" applyNumberFormat="1" applyFill="1"/>
    <xf numFmtId="0" fontId="0" fillId="2" borderId="0" xfId="0" applyFill="1" applyAlignment="1">
      <alignment horizontal="center"/>
    </xf>
    <xf numFmtId="182" fontId="0" fillId="2" borderId="0" xfId="0" applyNumberFormat="1" applyFill="1" applyAlignment="1">
      <alignment horizontal="center" vertical="center"/>
    </xf>
    <xf numFmtId="184" fontId="0" fillId="2" borderId="0" xfId="0" applyNumberFormat="1" applyFill="1" applyAlignment="1">
      <alignment horizontal="right" vertical="center"/>
    </xf>
    <xf numFmtId="186" fontId="4" fillId="2" borderId="0" xfId="0" applyNumberFormat="1" applyFont="1" applyFill="1" applyAlignment="1">
      <alignment horizontal="center" vertical="center"/>
    </xf>
    <xf numFmtId="172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80" fontId="2" fillId="2" borderId="6" xfId="0" applyNumberFormat="1" applyFont="1" applyFill="1" applyBorder="1" applyAlignment="1">
      <alignment horizontal="center"/>
    </xf>
    <xf numFmtId="1" fontId="5" fillId="2" borderId="0" xfId="0" applyNumberFormat="1" applyFont="1" applyFill="1" applyAlignment="1">
      <alignment horizontal="center" vertical="center"/>
    </xf>
    <xf numFmtId="174" fontId="5" fillId="2" borderId="0" xfId="0" applyNumberFormat="1" applyFont="1" applyFill="1" applyAlignment="1">
      <alignment horizontal="center" vertical="center"/>
    </xf>
    <xf numFmtId="175" fontId="5" fillId="2" borderId="0" xfId="0" applyNumberFormat="1" applyFont="1" applyFill="1" applyAlignment="1">
      <alignment horizontal="center" vertical="center"/>
    </xf>
    <xf numFmtId="169" fontId="2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 vertical="center" wrapText="1"/>
    </xf>
    <xf numFmtId="0" fontId="2" fillId="2" borderId="0" xfId="0" applyFont="1" applyFill="1"/>
    <xf numFmtId="179" fontId="9" fillId="2" borderId="8" xfId="0" applyNumberFormat="1" applyFont="1" applyFill="1" applyBorder="1"/>
    <xf numFmtId="0" fontId="2" fillId="0" borderId="0" xfId="0" applyFont="1" applyAlignment="1">
      <alignment horizontal="center"/>
    </xf>
    <xf numFmtId="183" fontId="0" fillId="2" borderId="0" xfId="0" applyNumberFormat="1" applyFill="1" applyAlignment="1">
      <alignment horizontal="right"/>
    </xf>
    <xf numFmtId="0" fontId="2" fillId="2" borderId="0" xfId="0" applyFont="1" applyFill="1" applyAlignment="1">
      <alignment vertical="center"/>
    </xf>
    <xf numFmtId="183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185" fontId="4" fillId="2" borderId="0" xfId="0" applyNumberFormat="1" applyFont="1" applyFill="1" applyAlignment="1">
      <alignment horizontal="center" vertical="center"/>
    </xf>
    <xf numFmtId="171" fontId="4" fillId="2" borderId="0" xfId="0" applyNumberFormat="1" applyFont="1" applyFill="1" applyAlignment="1">
      <alignment horizontal="center" vertical="center"/>
    </xf>
    <xf numFmtId="173" fontId="0" fillId="2" borderId="0" xfId="0" applyNumberFormat="1" applyFill="1" applyAlignment="1">
      <alignment horizontal="center"/>
    </xf>
    <xf numFmtId="186" fontId="6" fillId="2" borderId="0" xfId="0" applyNumberFormat="1" applyFont="1" applyFill="1" applyAlignment="1">
      <alignment horizontal="center" vertical="center"/>
    </xf>
    <xf numFmtId="187" fontId="0" fillId="2" borderId="0" xfId="0" applyNumberFormat="1" applyFill="1" applyAlignment="1">
      <alignment horizontal="center"/>
    </xf>
    <xf numFmtId="174" fontId="10" fillId="5" borderId="0" xfId="0" applyNumberFormat="1" applyFont="1" applyFill="1" applyAlignment="1">
      <alignment horizontal="center" vertical="center"/>
    </xf>
    <xf numFmtId="186" fontId="4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72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0" fontId="2" fillId="2" borderId="8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6" fontId="0" fillId="2" borderId="0" xfId="0" applyNumberFormat="1" applyFill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Normal 2" xfId="1" xr:uid="{2657ADDD-791F-49FF-9B1F-72C12C431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68</xdr:row>
      <xdr:rowOff>0</xdr:rowOff>
    </xdr:from>
    <xdr:to>
      <xdr:col>24</xdr:col>
      <xdr:colOff>198286</xdr:colOff>
      <xdr:row>82</xdr:row>
      <xdr:rowOff>9190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EF6D552-EB2E-45B4-887D-1FAC3AD47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59808" y="12792808"/>
          <a:ext cx="13914286" cy="26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24</xdr:col>
      <xdr:colOff>112571</xdr:colOff>
      <xdr:row>93</xdr:row>
      <xdr:rowOff>75952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B8014BC-78D9-452F-A2B9-BB0053BB2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59808" y="15650308"/>
          <a:ext cx="13828571" cy="19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24</xdr:col>
      <xdr:colOff>160190</xdr:colOff>
      <xdr:row>107</xdr:row>
      <xdr:rowOff>47333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8C26059-1F03-458A-9E58-4CD7E58A6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9808" y="17936308"/>
          <a:ext cx="13876190" cy="2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opLeftCell="A9" zoomScale="130" zoomScaleNormal="130" workbookViewId="0">
      <selection activeCell="A22" sqref="A22:E22"/>
    </sheetView>
  </sheetViews>
  <sheetFormatPr baseColWidth="10" defaultColWidth="9.140625" defaultRowHeight="15" x14ac:dyDescent="0.25"/>
  <cols>
    <col min="1" max="1" width="18.42578125" customWidth="1"/>
    <col min="2" max="2" width="12.85546875" bestFit="1" customWidth="1"/>
    <col min="3" max="3" width="14.7109375" bestFit="1" customWidth="1"/>
    <col min="4" max="4" width="16" customWidth="1"/>
    <col min="5" max="5" width="12.7109375" bestFit="1" customWidth="1"/>
    <col min="7" max="7" width="21.42578125" customWidth="1"/>
    <col min="8" max="8" width="15.140625" customWidth="1"/>
    <col min="9" max="9" width="16.5703125" customWidth="1"/>
    <col min="10" max="10" width="14.7109375" customWidth="1"/>
    <col min="11" max="11" width="14.140625" customWidth="1"/>
  </cols>
  <sheetData>
    <row r="1" spans="1:23" x14ac:dyDescent="0.25">
      <c r="A1" s="106" t="s">
        <v>19</v>
      </c>
      <c r="B1" s="106"/>
      <c r="C1" s="106"/>
      <c r="D1" s="106"/>
      <c r="E1" s="10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3" s="2" customFormat="1" x14ac:dyDescent="0.25"/>
    <row r="3" spans="1:23" x14ac:dyDescent="0.25">
      <c r="A3" s="114" t="s">
        <v>39</v>
      </c>
      <c r="B3" s="115"/>
      <c r="C3" s="115"/>
      <c r="D3" s="115"/>
      <c r="E3" s="116"/>
      <c r="F3" s="2"/>
      <c r="G3" s="114" t="s">
        <v>56</v>
      </c>
      <c r="H3" s="115"/>
      <c r="I3" s="115"/>
      <c r="J3" s="115"/>
      <c r="K3" s="11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1"/>
      <c r="B4" s="15"/>
      <c r="C4" s="15"/>
      <c r="D4" s="15"/>
      <c r="E4" s="22"/>
      <c r="F4" s="2"/>
      <c r="G4" s="21"/>
      <c r="H4" s="15"/>
      <c r="I4" s="15"/>
      <c r="J4" s="15"/>
      <c r="K4" s="2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117" t="s">
        <v>54</v>
      </c>
      <c r="B5" s="118"/>
      <c r="C5" s="118"/>
      <c r="D5" s="119" t="s">
        <v>2</v>
      </c>
      <c r="E5" s="120"/>
      <c r="F5" s="2"/>
      <c r="G5" s="117" t="s">
        <v>54</v>
      </c>
      <c r="H5" s="118"/>
      <c r="I5" s="118"/>
      <c r="J5" s="119" t="s">
        <v>2</v>
      </c>
      <c r="K5" s="120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6.5" customHeight="1" x14ac:dyDescent="0.25">
      <c r="A6" s="1" t="s">
        <v>0</v>
      </c>
      <c r="B6" s="16">
        <v>4</v>
      </c>
      <c r="C6" s="24" t="s">
        <v>40</v>
      </c>
      <c r="D6" s="107" t="s">
        <v>18</v>
      </c>
      <c r="E6" s="108"/>
      <c r="F6" s="2"/>
      <c r="G6" s="1" t="s">
        <v>0</v>
      </c>
      <c r="H6" s="16">
        <v>3.2</v>
      </c>
      <c r="I6" s="24" t="s">
        <v>40</v>
      </c>
      <c r="J6" s="107" t="s">
        <v>18</v>
      </c>
      <c r="K6" s="10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" customHeight="1" x14ac:dyDescent="0.25">
      <c r="A7" s="1" t="s">
        <v>55</v>
      </c>
      <c r="B7" s="16">
        <v>1</v>
      </c>
      <c r="D7" s="107" t="s">
        <v>3</v>
      </c>
      <c r="E7" s="108"/>
      <c r="F7" s="2"/>
      <c r="G7" s="1" t="s">
        <v>55</v>
      </c>
      <c r="H7" s="16">
        <v>1</v>
      </c>
      <c r="J7" s="107" t="s">
        <v>3</v>
      </c>
      <c r="K7" s="10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6" t="s">
        <v>4</v>
      </c>
      <c r="B8" s="65">
        <v>178</v>
      </c>
      <c r="C8" s="25" t="s">
        <v>44</v>
      </c>
      <c r="D8" s="109">
        <v>3</v>
      </c>
      <c r="E8" s="110"/>
      <c r="F8" s="2"/>
      <c r="G8" s="26" t="s">
        <v>4</v>
      </c>
      <c r="H8" s="45">
        <v>215</v>
      </c>
      <c r="I8" s="25" t="s">
        <v>44</v>
      </c>
      <c r="J8" s="109">
        <v>2</v>
      </c>
      <c r="K8" s="110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s="26" t="s">
        <v>53</v>
      </c>
      <c r="B9" s="59">
        <v>30</v>
      </c>
      <c r="C9" s="25"/>
      <c r="D9" s="47"/>
      <c r="E9" s="46"/>
      <c r="F9" s="2"/>
      <c r="G9" s="26" t="s">
        <v>53</v>
      </c>
      <c r="H9" s="59">
        <v>25</v>
      </c>
      <c r="I9" s="25"/>
      <c r="J9" s="47"/>
      <c r="K9" s="4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34"/>
      <c r="B10" s="35"/>
      <c r="C10" s="35"/>
      <c r="D10" s="35"/>
      <c r="E10" s="36"/>
      <c r="F10" s="2"/>
      <c r="G10" s="34"/>
      <c r="H10" s="35"/>
      <c r="I10" s="35"/>
      <c r="J10" s="35"/>
      <c r="K10" s="3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s="111" t="s">
        <v>5</v>
      </c>
      <c r="B11" s="111"/>
      <c r="C11" s="111"/>
      <c r="D11" s="111"/>
      <c r="E11" s="111"/>
      <c r="F11" s="2"/>
      <c r="G11" s="111" t="s">
        <v>5</v>
      </c>
      <c r="H11" s="111"/>
      <c r="I11" s="111"/>
      <c r="J11" s="111"/>
      <c r="K11" s="1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" customHeight="1" x14ac:dyDescent="0.25">
      <c r="A12" s="1"/>
      <c r="B12" s="2"/>
      <c r="C12" s="2"/>
      <c r="D12" s="2"/>
      <c r="E12" s="17"/>
      <c r="F12" s="2"/>
      <c r="G12" s="1"/>
      <c r="H12" s="2"/>
      <c r="I12" s="2"/>
      <c r="J12" s="2"/>
      <c r="K12" s="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" customHeight="1" x14ac:dyDescent="0.25">
      <c r="A13" s="29" t="s">
        <v>37</v>
      </c>
      <c r="B13" s="30"/>
      <c r="C13" s="31" t="s">
        <v>80</v>
      </c>
      <c r="D13" s="31" t="s">
        <v>7</v>
      </c>
      <c r="E13" s="32" t="s">
        <v>8</v>
      </c>
      <c r="F13" s="2"/>
      <c r="G13" s="29" t="s">
        <v>37</v>
      </c>
      <c r="H13" s="30"/>
      <c r="I13" s="31" t="s">
        <v>80</v>
      </c>
      <c r="J13" s="31" t="s">
        <v>7</v>
      </c>
      <c r="K13" s="32" t="s">
        <v>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" customHeight="1" x14ac:dyDescent="0.25">
      <c r="A14" s="26" t="s">
        <v>4</v>
      </c>
      <c r="B14" s="2"/>
      <c r="C14" s="6" t="s">
        <v>38</v>
      </c>
      <c r="D14" s="6" t="s">
        <v>38</v>
      </c>
      <c r="E14" s="42">
        <f>+B8/100</f>
        <v>1.78</v>
      </c>
      <c r="F14" s="2"/>
      <c r="G14" s="26" t="s">
        <v>4</v>
      </c>
      <c r="H14" s="2"/>
      <c r="I14" s="6" t="s">
        <v>38</v>
      </c>
      <c r="J14" s="6" t="s">
        <v>38</v>
      </c>
      <c r="K14" s="42">
        <f>+H8/100</f>
        <v>2.15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s="11" t="s">
        <v>9</v>
      </c>
      <c r="B15" s="12"/>
      <c r="C15" s="7">
        <v>0.05</v>
      </c>
      <c r="D15" s="8">
        <v>16</v>
      </c>
      <c r="E15" s="42">
        <f>+C15*D15</f>
        <v>0.8</v>
      </c>
      <c r="F15" s="2"/>
      <c r="G15" s="11" t="s">
        <v>9</v>
      </c>
      <c r="H15" s="12"/>
      <c r="I15" s="7">
        <v>0.05</v>
      </c>
      <c r="J15" s="8">
        <v>16</v>
      </c>
      <c r="K15" s="42">
        <f>+I15*J15</f>
        <v>0.8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11" t="s">
        <v>10</v>
      </c>
      <c r="B16" s="12"/>
      <c r="C16" s="7">
        <v>0.02</v>
      </c>
      <c r="D16" s="8">
        <v>21</v>
      </c>
      <c r="E16" s="42">
        <f>+C16*D16</f>
        <v>0.42</v>
      </c>
      <c r="F16" s="2"/>
      <c r="G16" s="11" t="s">
        <v>10</v>
      </c>
      <c r="H16" s="12"/>
      <c r="I16" s="7">
        <v>0.02</v>
      </c>
      <c r="J16" s="8">
        <v>21</v>
      </c>
      <c r="K16" s="42">
        <f>+I16*J16</f>
        <v>0.42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" customHeight="1" x14ac:dyDescent="0.25">
      <c r="A17" s="13" t="s">
        <v>11</v>
      </c>
      <c r="B17" s="14"/>
      <c r="C17" s="7"/>
      <c r="D17" s="8"/>
      <c r="E17" s="42">
        <v>3.0000000000000001E-3</v>
      </c>
      <c r="F17" s="2"/>
      <c r="G17" s="13" t="s">
        <v>11</v>
      </c>
      <c r="H17" s="14"/>
      <c r="I17" s="7"/>
      <c r="J17" s="8"/>
      <c r="K17" s="42">
        <v>3.0000000000000001E-3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13" t="s">
        <v>12</v>
      </c>
      <c r="B18" s="14"/>
      <c r="C18" s="7"/>
      <c r="D18" s="8"/>
      <c r="E18" s="42">
        <v>0.2</v>
      </c>
      <c r="F18" s="2"/>
      <c r="G18" s="13" t="s">
        <v>12</v>
      </c>
      <c r="H18" s="14"/>
      <c r="I18" s="7"/>
      <c r="J18" s="8"/>
      <c r="K18" s="42">
        <v>0.2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s="112" t="s">
        <v>13</v>
      </c>
      <c r="B19" s="113"/>
      <c r="C19" s="27">
        <v>0</v>
      </c>
      <c r="D19" s="28">
        <v>17</v>
      </c>
      <c r="E19" s="44">
        <f>(C19*D19)/(B6*B7)</f>
        <v>0</v>
      </c>
      <c r="F19" s="2"/>
      <c r="G19" s="112" t="s">
        <v>13</v>
      </c>
      <c r="H19" s="113"/>
      <c r="I19" s="27">
        <f>0.2*2*3.2</f>
        <v>1.2800000000000002</v>
      </c>
      <c r="J19" s="28">
        <v>17</v>
      </c>
      <c r="K19" s="44">
        <f>(I19*J19)/(H6*H7)</f>
        <v>6.8000000000000016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s="37" t="s">
        <v>48</v>
      </c>
      <c r="B20" s="38"/>
      <c r="C20" s="39"/>
      <c r="D20" s="40"/>
      <c r="E20" s="43">
        <f>SUM(E14:E19)</f>
        <v>3.2030000000000003</v>
      </c>
      <c r="F20" s="2"/>
      <c r="G20" s="37" t="s">
        <v>48</v>
      </c>
      <c r="H20" s="38"/>
      <c r="I20" s="39"/>
      <c r="J20" s="40"/>
      <c r="K20" s="43">
        <f>SUM(K14:K19)</f>
        <v>10.373000000000001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41" t="s">
        <v>47</v>
      </c>
      <c r="B21" s="2"/>
      <c r="C21" s="2"/>
      <c r="E21" s="43">
        <f>+D8</f>
        <v>3</v>
      </c>
      <c r="F21" s="2"/>
      <c r="G21" s="41" t="s">
        <v>47</v>
      </c>
      <c r="H21" s="2"/>
      <c r="I21" s="2"/>
      <c r="K21" s="43"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" customHeight="1" x14ac:dyDescent="0.25">
      <c r="A22" s="111" t="s">
        <v>45</v>
      </c>
      <c r="B22" s="111"/>
      <c r="C22" s="111"/>
      <c r="D22" s="111"/>
      <c r="E22" s="111"/>
      <c r="F22" s="2"/>
      <c r="G22" s="111" t="s">
        <v>45</v>
      </c>
      <c r="H22" s="111"/>
      <c r="I22" s="111"/>
      <c r="J22" s="111"/>
      <c r="K22" s="1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" customHeight="1" x14ac:dyDescent="0.25">
      <c r="A23" s="21"/>
      <c r="B23" s="15"/>
      <c r="C23" s="15"/>
      <c r="D23" s="15"/>
      <c r="E23" s="22"/>
      <c r="F23" s="2"/>
      <c r="G23" s="21"/>
      <c r="H23" s="15"/>
      <c r="I23" s="15"/>
      <c r="J23" s="15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" customHeight="1" x14ac:dyDescent="0.25">
      <c r="A24" s="33" t="s">
        <v>50</v>
      </c>
      <c r="B24" s="49">
        <f>+ROUND((((E20+E21)*B6^2)/8),2)</f>
        <v>12.41</v>
      </c>
      <c r="C24" s="50">
        <f>+B24*100</f>
        <v>1241</v>
      </c>
      <c r="D24" s="121"/>
      <c r="E24" s="122"/>
      <c r="F24" s="2"/>
      <c r="G24" s="33" t="s">
        <v>50</v>
      </c>
      <c r="H24" s="49">
        <v>10</v>
      </c>
      <c r="I24" s="50">
        <f>+H24*100</f>
        <v>1000</v>
      </c>
      <c r="J24" s="121" t="s">
        <v>81</v>
      </c>
      <c r="K24" s="1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18"/>
      <c r="B25" s="2"/>
      <c r="C25" s="2"/>
      <c r="D25" s="2"/>
      <c r="E25" s="17"/>
      <c r="F25" s="2"/>
      <c r="G25" s="18"/>
      <c r="H25" s="2"/>
      <c r="I25" s="2"/>
      <c r="J25" s="2"/>
      <c r="K25" s="1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128" t="s">
        <v>41</v>
      </c>
      <c r="B26" s="129"/>
      <c r="C26" s="130"/>
      <c r="D26" s="2"/>
      <c r="E26" s="17"/>
      <c r="F26" s="2"/>
      <c r="G26" s="128" t="s">
        <v>41</v>
      </c>
      <c r="H26" s="129"/>
      <c r="I26" s="130"/>
      <c r="J26" s="2"/>
      <c r="K26" s="1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" customHeight="1" x14ac:dyDescent="0.25">
      <c r="A27" s="96" t="s">
        <v>14</v>
      </c>
      <c r="B27" s="96"/>
      <c r="C27" s="19" t="s">
        <v>43</v>
      </c>
      <c r="D27" s="2"/>
      <c r="E27" s="20"/>
      <c r="F27" s="2"/>
      <c r="G27" s="96" t="s">
        <v>14</v>
      </c>
      <c r="H27" s="96"/>
      <c r="I27" s="19" t="s">
        <v>57</v>
      </c>
      <c r="J27" s="2"/>
      <c r="K27" s="2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96" t="s">
        <v>15</v>
      </c>
      <c r="B28" s="96"/>
      <c r="C28" s="23">
        <v>4.3</v>
      </c>
      <c r="D28" s="2"/>
      <c r="E28" s="17"/>
      <c r="F28" s="2"/>
      <c r="G28" s="96" t="s">
        <v>15</v>
      </c>
      <c r="H28" s="96"/>
      <c r="I28" s="23">
        <v>3.1</v>
      </c>
      <c r="J28" s="2"/>
      <c r="K28" s="1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96" t="s">
        <v>79</v>
      </c>
      <c r="B29" s="96"/>
      <c r="C29" s="23">
        <v>0.13</v>
      </c>
      <c r="D29" s="2"/>
      <c r="E29" s="17"/>
      <c r="F29" s="2"/>
      <c r="G29" s="96" t="s">
        <v>16</v>
      </c>
      <c r="H29" s="96"/>
      <c r="I29" s="23">
        <v>0.13</v>
      </c>
      <c r="J29" s="2"/>
      <c r="K29" s="1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" customHeight="1" x14ac:dyDescent="0.25">
      <c r="A30" s="96" t="s">
        <v>17</v>
      </c>
      <c r="B30" s="96"/>
      <c r="C30" s="23">
        <v>0.05</v>
      </c>
      <c r="D30" s="2"/>
      <c r="E30" s="17"/>
      <c r="F30" s="2"/>
      <c r="G30" s="96" t="s">
        <v>17</v>
      </c>
      <c r="H30" s="96"/>
      <c r="I30" s="23">
        <v>0.05</v>
      </c>
      <c r="J30" s="2"/>
      <c r="K30" s="1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25">
      <c r="A31" s="96" t="s">
        <v>49</v>
      </c>
      <c r="B31" s="96"/>
      <c r="C31" s="48">
        <v>1088</v>
      </c>
      <c r="D31" s="101" t="s">
        <v>42</v>
      </c>
      <c r="E31" s="102"/>
      <c r="F31" s="2"/>
      <c r="G31" s="96" t="s">
        <v>49</v>
      </c>
      <c r="H31" s="96"/>
      <c r="I31" s="78">
        <v>1254</v>
      </c>
      <c r="J31" s="101" t="s">
        <v>42</v>
      </c>
      <c r="K31" s="10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1"/>
      <c r="B32" s="2"/>
      <c r="C32" s="2"/>
      <c r="D32" s="2"/>
      <c r="E32" s="17"/>
      <c r="F32" s="2"/>
      <c r="G32" s="1"/>
      <c r="H32" s="2"/>
      <c r="I32" s="2"/>
      <c r="J32" s="2"/>
      <c r="K32" s="1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25">
      <c r="A33" s="103" t="str">
        <f>IF(C31&gt;C24,"M Admisible &gt; M Total → Buenas Condiciones","M Admisible &lt; M Total  → Malas Condiciones")</f>
        <v>M Admisible &lt; M Total  → Malas Condiciones</v>
      </c>
      <c r="B33" s="104"/>
      <c r="C33" s="104"/>
      <c r="D33" s="104"/>
      <c r="E33" s="105"/>
      <c r="F33" s="2"/>
      <c r="G33" s="103" t="str">
        <f>IF(I31&gt;I24,"M Admisible &gt; M Total → Buenas Condiciones","M Admisible &lt; M Total  → Malas Condiciones")</f>
        <v>M Admisible &gt; M Total → Buenas Condiciones</v>
      </c>
      <c r="H33" s="104"/>
      <c r="I33" s="104"/>
      <c r="J33" s="104"/>
      <c r="K33" s="10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25">
      <c r="A34" s="54"/>
      <c r="B34" s="55"/>
      <c r="C34" s="55"/>
      <c r="D34" s="55"/>
      <c r="E34" s="56"/>
      <c r="F34" s="2"/>
      <c r="G34" s="54"/>
      <c r="H34" s="55"/>
      <c r="I34" s="55"/>
      <c r="J34" s="55"/>
      <c r="K34" s="5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25">
      <c r="A35" s="97" t="s">
        <v>58</v>
      </c>
      <c r="B35" s="98"/>
      <c r="C35" s="99" t="s">
        <v>71</v>
      </c>
      <c r="D35" s="99"/>
      <c r="E35" s="100"/>
      <c r="F35" s="2"/>
      <c r="G35" s="97" t="s">
        <v>58</v>
      </c>
      <c r="H35" s="98"/>
      <c r="I35" s="99" t="s">
        <v>59</v>
      </c>
      <c r="J35" s="99"/>
      <c r="K35" s="100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s="2" customFormat="1" ht="15.75" customHeight="1" x14ac:dyDescent="0.25">
      <c r="A36" s="51"/>
      <c r="B36" s="52"/>
      <c r="C36" s="52"/>
      <c r="D36" s="52"/>
      <c r="E36" s="53"/>
      <c r="G36" s="51"/>
      <c r="H36" s="52"/>
      <c r="I36" s="52"/>
      <c r="J36" s="52"/>
      <c r="K36" s="53"/>
    </row>
    <row r="37" spans="1:23" s="2" customFormat="1" ht="15.75" customHeight="1" x14ac:dyDescent="0.25">
      <c r="A37" s="125" t="s">
        <v>46</v>
      </c>
      <c r="B37" s="126"/>
      <c r="C37" s="126"/>
      <c r="D37" s="126"/>
      <c r="E37" s="127"/>
      <c r="G37" s="125" t="s">
        <v>46</v>
      </c>
      <c r="H37" s="126"/>
      <c r="I37" s="126"/>
      <c r="J37" s="126"/>
      <c r="K37" s="127"/>
    </row>
    <row r="38" spans="1:23" s="2" customFormat="1" ht="15.75" customHeight="1" x14ac:dyDescent="0.25">
      <c r="A38" s="68"/>
      <c r="B38" s="69"/>
      <c r="C38" s="69"/>
      <c r="D38" s="69"/>
      <c r="E38" s="70"/>
      <c r="G38" s="68"/>
      <c r="H38" s="69"/>
      <c r="I38" s="69"/>
      <c r="J38" s="69"/>
      <c r="K38" s="70"/>
    </row>
    <row r="39" spans="1:23" s="2" customFormat="1" ht="15.75" customHeight="1" x14ac:dyDescent="0.25">
      <c r="A39" s="21" t="s">
        <v>51</v>
      </c>
      <c r="B39" s="58">
        <f>+ROUND(((1.2*$E$20+1.6*$E$21)*$B$6)/2,2)</f>
        <v>17.29</v>
      </c>
      <c r="D39" s="15"/>
      <c r="E39" s="22"/>
      <c r="G39" s="21" t="s">
        <v>51</v>
      </c>
      <c r="H39" s="58">
        <f>+ROUND(((1.2*$K$20+1.6*$K$21)*$H$6)/2,2)</f>
        <v>25.04</v>
      </c>
      <c r="J39" s="15"/>
      <c r="K39" s="22"/>
    </row>
    <row r="40" spans="1:23" s="2" customFormat="1" ht="15.75" customHeight="1" x14ac:dyDescent="0.25">
      <c r="A40" s="51" t="s">
        <v>52</v>
      </c>
      <c r="B40" s="71">
        <f>+(1/6)*($B$9^(1/2))*($B$7*1000)*(1000*($C$29+$C$30-0.03))/1000</f>
        <v>136.93063937629154</v>
      </c>
      <c r="C40" s="123" t="str">
        <f>+IF($B$40&gt;$B$39,"NO ES NECESARIA ARM. DE CORTE","ES NECESARIA ARM. DE CORTE")</f>
        <v>NO ES NECESARIA ARM. DE CORTE</v>
      </c>
      <c r="D40" s="123"/>
      <c r="E40" s="124"/>
      <c r="G40" s="51" t="s">
        <v>52</v>
      </c>
      <c r="H40" s="71">
        <f>+(1/6)*($H$9^(1/2))*($H$7*1000)*(1000*($I$29+$I$30-0.03))/1000</f>
        <v>124.99999999999999</v>
      </c>
      <c r="I40" s="123" t="str">
        <f>+IF($B$40&gt;$B$39,"NO ES NECESARIA ARM. DE CORTE","ES NECESARIA ARM. DE CORTE")</f>
        <v>NO ES NECESARIA ARM. DE CORTE</v>
      </c>
      <c r="J40" s="123"/>
      <c r="K40" s="124"/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25">
      <c r="A64" s="2"/>
      <c r="B64" s="2"/>
      <c r="C64" s="2"/>
      <c r="D64" s="2"/>
      <c r="E64" s="2"/>
    </row>
  </sheetData>
  <mergeCells count="45">
    <mergeCell ref="J24:K24"/>
    <mergeCell ref="D24:E24"/>
    <mergeCell ref="C40:E40"/>
    <mergeCell ref="A37:E37"/>
    <mergeCell ref="A33:E33"/>
    <mergeCell ref="A27:B27"/>
    <mergeCell ref="A28:B28"/>
    <mergeCell ref="A29:B29"/>
    <mergeCell ref="A30:B30"/>
    <mergeCell ref="A26:C26"/>
    <mergeCell ref="G37:K37"/>
    <mergeCell ref="I40:K40"/>
    <mergeCell ref="G26:I26"/>
    <mergeCell ref="G27:H27"/>
    <mergeCell ref="G28:H28"/>
    <mergeCell ref="G29:H29"/>
    <mergeCell ref="A22:E22"/>
    <mergeCell ref="G3:K3"/>
    <mergeCell ref="G5:I5"/>
    <mergeCell ref="J5:K5"/>
    <mergeCell ref="J6:K6"/>
    <mergeCell ref="G22:K22"/>
    <mergeCell ref="D6:E6"/>
    <mergeCell ref="D7:E7"/>
    <mergeCell ref="D8:E8"/>
    <mergeCell ref="A3:E3"/>
    <mergeCell ref="A11:E11"/>
    <mergeCell ref="D5:E5"/>
    <mergeCell ref="A5:C5"/>
    <mergeCell ref="A1:E1"/>
    <mergeCell ref="J7:K7"/>
    <mergeCell ref="J8:K8"/>
    <mergeCell ref="G11:K11"/>
    <mergeCell ref="G19:H19"/>
    <mergeCell ref="A19:B19"/>
    <mergeCell ref="G30:H30"/>
    <mergeCell ref="A35:B35"/>
    <mergeCell ref="C35:E35"/>
    <mergeCell ref="G35:H35"/>
    <mergeCell ref="I35:K35"/>
    <mergeCell ref="G31:H31"/>
    <mergeCell ref="J31:K31"/>
    <mergeCell ref="G33:K33"/>
    <mergeCell ref="A31:B31"/>
    <mergeCell ref="D31:E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40F-C532-48BA-94F1-7E5FA3C03385}">
  <dimension ref="A1:G57"/>
  <sheetViews>
    <sheetView tabSelected="1" topLeftCell="A19" zoomScale="130" zoomScaleNormal="130" workbookViewId="0">
      <selection activeCell="D40" sqref="D40"/>
    </sheetView>
  </sheetViews>
  <sheetFormatPr baseColWidth="10" defaultRowHeight="15" x14ac:dyDescent="0.25"/>
  <cols>
    <col min="1" max="1" width="14.7109375" customWidth="1"/>
    <col min="2" max="2" width="12.5703125" customWidth="1"/>
    <col min="3" max="3" width="11.85546875" customWidth="1"/>
    <col min="4" max="4" width="12.42578125" bestFit="1" customWidth="1"/>
    <col min="5" max="5" width="15.7109375" customWidth="1"/>
  </cols>
  <sheetData>
    <row r="1" spans="1:6" x14ac:dyDescent="0.25">
      <c r="A1" s="136" t="s">
        <v>82</v>
      </c>
      <c r="B1" s="137"/>
      <c r="C1" s="137"/>
      <c r="D1" s="137"/>
      <c r="E1" s="138"/>
      <c r="F1" s="10"/>
    </row>
    <row r="2" spans="1:6" x14ac:dyDescent="0.25">
      <c r="A2" s="1"/>
      <c r="B2" s="2"/>
      <c r="C2" s="2"/>
      <c r="D2" s="2"/>
      <c r="E2" s="2"/>
    </row>
    <row r="3" spans="1:6" x14ac:dyDescent="0.25">
      <c r="A3" s="136" t="s">
        <v>67</v>
      </c>
      <c r="B3" s="137"/>
      <c r="C3" s="137"/>
      <c r="D3" s="137"/>
      <c r="E3" s="138"/>
    </row>
    <row r="4" spans="1:6" x14ac:dyDescent="0.25">
      <c r="A4" s="57"/>
      <c r="B4" s="57"/>
      <c r="C4" s="57"/>
      <c r="D4" s="139" t="s">
        <v>83</v>
      </c>
      <c r="E4" s="139"/>
    </row>
    <row r="5" spans="1:6" x14ac:dyDescent="0.25">
      <c r="A5" s="79" t="s">
        <v>54</v>
      </c>
      <c r="B5" s="57"/>
      <c r="C5" s="57"/>
      <c r="D5" s="57"/>
      <c r="E5" s="57"/>
    </row>
    <row r="6" spans="1:6" x14ac:dyDescent="0.25">
      <c r="A6" s="57" t="s">
        <v>20</v>
      </c>
      <c r="B6" s="91">
        <v>3.85</v>
      </c>
      <c r="C6" s="2"/>
      <c r="D6" s="57" t="s">
        <v>23</v>
      </c>
      <c r="E6" s="91">
        <v>0.4</v>
      </c>
    </row>
    <row r="7" spans="1:6" x14ac:dyDescent="0.25">
      <c r="A7" s="57" t="s">
        <v>28</v>
      </c>
      <c r="B7" s="92">
        <v>20</v>
      </c>
      <c r="C7" s="2"/>
      <c r="D7" s="57" t="s">
        <v>35</v>
      </c>
      <c r="E7" s="91">
        <v>0.2</v>
      </c>
      <c r="F7" s="2"/>
    </row>
    <row r="8" spans="1:6" x14ac:dyDescent="0.25">
      <c r="A8" s="57" t="s">
        <v>29</v>
      </c>
      <c r="B8" s="64">
        <v>420</v>
      </c>
      <c r="C8" s="2"/>
      <c r="D8" s="140" t="s">
        <v>73</v>
      </c>
      <c r="E8" s="140"/>
    </row>
    <row r="9" spans="1:6" x14ac:dyDescent="0.25">
      <c r="A9" s="2"/>
      <c r="B9" s="2"/>
      <c r="C9" s="2"/>
      <c r="D9" s="2"/>
      <c r="E9" s="2"/>
    </row>
    <row r="10" spans="1:6" x14ac:dyDescent="0.25">
      <c r="A10" s="128" t="s">
        <v>66</v>
      </c>
      <c r="B10" s="129"/>
      <c r="C10" s="129"/>
      <c r="D10" s="129"/>
      <c r="E10" s="130"/>
    </row>
    <row r="11" spans="1:6" x14ac:dyDescent="0.25">
      <c r="A11" s="57"/>
      <c r="B11" s="57"/>
      <c r="C11" s="57"/>
      <c r="D11" s="57"/>
      <c r="E11" s="57"/>
    </row>
    <row r="12" spans="1:6" x14ac:dyDescent="0.25">
      <c r="A12" s="2"/>
      <c r="B12" s="2"/>
      <c r="C12" s="6" t="s">
        <v>6</v>
      </c>
      <c r="D12" s="6" t="s">
        <v>7</v>
      </c>
      <c r="E12" s="6" t="s">
        <v>8</v>
      </c>
    </row>
    <row r="13" spans="1:6" x14ac:dyDescent="0.25">
      <c r="A13" s="134" t="s">
        <v>61</v>
      </c>
      <c r="B13" s="134"/>
      <c r="C13" s="61">
        <f>+E6*E7</f>
        <v>8.0000000000000016E-2</v>
      </c>
      <c r="D13" s="8">
        <v>25</v>
      </c>
      <c r="E13" s="80">
        <f>+C13*D13</f>
        <v>2.0000000000000004</v>
      </c>
    </row>
    <row r="14" spans="1:6" x14ac:dyDescent="0.25">
      <c r="A14" s="134" t="s">
        <v>60</v>
      </c>
      <c r="B14" s="134"/>
      <c r="C14" s="61">
        <v>0</v>
      </c>
      <c r="D14" s="8">
        <v>17</v>
      </c>
      <c r="E14" s="80">
        <f>+C14*D14</f>
        <v>0</v>
      </c>
    </row>
    <row r="15" spans="1:6" x14ac:dyDescent="0.25">
      <c r="A15" s="81" t="s">
        <v>48</v>
      </c>
      <c r="B15" s="14"/>
      <c r="C15" s="9"/>
      <c r="D15" s="8"/>
      <c r="E15" s="82">
        <f>SUM(E13:E14)</f>
        <v>2.0000000000000004</v>
      </c>
    </row>
    <row r="16" spans="1:6" x14ac:dyDescent="0.25">
      <c r="A16" s="81"/>
      <c r="B16" s="14"/>
      <c r="C16" s="9"/>
      <c r="D16" s="8"/>
      <c r="E16" s="82"/>
    </row>
    <row r="17" spans="1:7" x14ac:dyDescent="0.25">
      <c r="A17" s="81"/>
      <c r="B17" s="14"/>
      <c r="C17" s="6" t="s">
        <v>1</v>
      </c>
      <c r="D17" s="6" t="s">
        <v>7</v>
      </c>
      <c r="E17" s="6" t="s">
        <v>8</v>
      </c>
    </row>
    <row r="18" spans="1:7" x14ac:dyDescent="0.25">
      <c r="A18" s="134" t="s">
        <v>62</v>
      </c>
      <c r="B18" s="134"/>
      <c r="C18" s="91">
        <v>0</v>
      </c>
      <c r="D18" s="93">
        <v>0</v>
      </c>
      <c r="E18" s="80">
        <f>+C18*D18</f>
        <v>0</v>
      </c>
    </row>
    <row r="19" spans="1:7" x14ac:dyDescent="0.25">
      <c r="A19" s="134" t="s">
        <v>63</v>
      </c>
      <c r="B19" s="134"/>
      <c r="C19" s="91">
        <v>1.2749999999999999</v>
      </c>
      <c r="D19" s="93">
        <v>3.75</v>
      </c>
      <c r="E19" s="80">
        <f>+C19*D19</f>
        <v>4.78125</v>
      </c>
    </row>
    <row r="20" spans="1:7" x14ac:dyDescent="0.25">
      <c r="A20" s="12"/>
      <c r="B20" s="12"/>
      <c r="C20" s="7"/>
      <c r="D20" s="141"/>
      <c r="E20" s="80"/>
    </row>
    <row r="21" spans="1:7" x14ac:dyDescent="0.25">
      <c r="A21" s="12" t="s">
        <v>85</v>
      </c>
      <c r="B21" s="12"/>
      <c r="C21" s="91">
        <f>+C19</f>
        <v>1.2749999999999999</v>
      </c>
      <c r="D21" s="93">
        <v>2</v>
      </c>
      <c r="E21" s="80">
        <f>+C21*D21</f>
        <v>2.5499999999999998</v>
      </c>
    </row>
    <row r="22" spans="1:7" x14ac:dyDescent="0.25">
      <c r="A22" s="2"/>
      <c r="B22" s="2"/>
      <c r="C22" s="2"/>
      <c r="D22" s="2"/>
      <c r="E22" s="2"/>
    </row>
    <row r="23" spans="1:7" x14ac:dyDescent="0.25">
      <c r="A23" s="128" t="s">
        <v>68</v>
      </c>
      <c r="B23" s="129"/>
      <c r="C23" s="129"/>
      <c r="D23" s="129"/>
      <c r="E23" s="130"/>
    </row>
    <row r="24" spans="1:7" x14ac:dyDescent="0.25">
      <c r="A24" s="57"/>
      <c r="B24" s="57"/>
      <c r="C24" s="57"/>
      <c r="D24" s="57"/>
      <c r="E24" s="57"/>
    </row>
    <row r="25" spans="1:7" x14ac:dyDescent="0.25">
      <c r="A25" s="135" t="s">
        <v>21</v>
      </c>
      <c r="B25" s="135"/>
      <c r="C25" s="2"/>
      <c r="D25" s="135" t="s">
        <v>22</v>
      </c>
      <c r="E25" s="135"/>
    </row>
    <row r="26" spans="1:7" x14ac:dyDescent="0.25">
      <c r="A26" s="2" t="s">
        <v>75</v>
      </c>
      <c r="B26" s="62">
        <f>ROUND(((E15+E18)*B6^2/8),2)</f>
        <v>3.71</v>
      </c>
      <c r="C26" s="2"/>
      <c r="D26" s="2" t="s">
        <v>69</v>
      </c>
      <c r="E26" s="62">
        <f>ROUND((((1.2*(E15+E19))+(1.6*E21))*B6^2/8),2)</f>
        <v>22.64</v>
      </c>
      <c r="G26" s="62">
        <f>ROUND((((1.2*(E15+E19))+(1.6*E21))),2)</f>
        <v>12.22</v>
      </c>
    </row>
    <row r="27" spans="1:7" x14ac:dyDescent="0.25">
      <c r="A27" s="2" t="s">
        <v>76</v>
      </c>
      <c r="B27" s="5">
        <f>ROUND(((E15+E18)*B6/2),2)</f>
        <v>3.85</v>
      </c>
      <c r="C27" s="2"/>
      <c r="D27" s="2" t="s">
        <v>51</v>
      </c>
      <c r="E27" s="5">
        <f>ROUND(((1.2*E15+E19)*B6/2),2)</f>
        <v>13.82</v>
      </c>
    </row>
    <row r="28" spans="1:7" x14ac:dyDescent="0.25">
      <c r="A28" s="2"/>
      <c r="B28" s="2"/>
      <c r="C28" s="2"/>
      <c r="D28" s="2"/>
      <c r="E28" s="2"/>
    </row>
    <row r="29" spans="1:7" x14ac:dyDescent="0.25">
      <c r="A29" s="128" t="s">
        <v>45</v>
      </c>
      <c r="B29" s="129"/>
      <c r="C29" s="129"/>
      <c r="D29" s="129"/>
      <c r="E29" s="130"/>
    </row>
    <row r="30" spans="1:7" x14ac:dyDescent="0.25">
      <c r="A30" s="57"/>
      <c r="B30" s="57"/>
      <c r="C30" s="57"/>
      <c r="D30" s="57"/>
      <c r="E30" s="57"/>
    </row>
    <row r="31" spans="1:7" x14ac:dyDescent="0.25">
      <c r="A31" s="83" t="s">
        <v>23</v>
      </c>
      <c r="B31" s="3">
        <f>+E6</f>
        <v>0.4</v>
      </c>
      <c r="C31" s="2"/>
      <c r="D31" s="2" t="s">
        <v>26</v>
      </c>
      <c r="E31" s="84">
        <f>((E26/(1000*0.9)))</f>
        <v>2.5155555555555556E-2</v>
      </c>
    </row>
    <row r="32" spans="1:7" x14ac:dyDescent="0.25">
      <c r="A32" s="60" t="s">
        <v>36</v>
      </c>
      <c r="B32" s="4">
        <v>2.5000000000000001E-2</v>
      </c>
      <c r="C32" s="2"/>
      <c r="D32" s="2" t="s">
        <v>27</v>
      </c>
      <c r="E32" s="85">
        <f>(B35/((E31/E7)^(1/2)))</f>
        <v>1.0150806335358316</v>
      </c>
    </row>
    <row r="33" spans="1:6" x14ac:dyDescent="0.25">
      <c r="A33" s="83" t="s">
        <v>64</v>
      </c>
      <c r="B33" s="4">
        <v>6.0000000000000001E-3</v>
      </c>
      <c r="C33" s="2"/>
      <c r="D33" s="2" t="s">
        <v>30</v>
      </c>
      <c r="E33" s="94">
        <v>1.218</v>
      </c>
      <c r="F33" s="95" t="s">
        <v>84</v>
      </c>
    </row>
    <row r="34" spans="1:6" x14ac:dyDescent="0.25">
      <c r="A34" s="60" t="s">
        <v>24</v>
      </c>
      <c r="B34" s="4">
        <v>0.01</v>
      </c>
      <c r="C34" s="2"/>
      <c r="D34" s="2" t="s">
        <v>31</v>
      </c>
      <c r="E34" s="86">
        <v>24.300999999999998</v>
      </c>
    </row>
    <row r="35" spans="1:6" x14ac:dyDescent="0.25">
      <c r="A35" s="57" t="s">
        <v>25</v>
      </c>
      <c r="B35" s="3">
        <f>+ROUND(B31-B32-B33-B34/2,2)</f>
        <v>0.36</v>
      </c>
      <c r="C35" s="2"/>
      <c r="E35" s="2"/>
    </row>
    <row r="36" spans="1:6" x14ac:dyDescent="0.25">
      <c r="A36" s="2"/>
      <c r="B36" s="2"/>
      <c r="C36" s="2"/>
      <c r="D36" s="2"/>
      <c r="E36" s="2"/>
    </row>
    <row r="37" spans="1:6" x14ac:dyDescent="0.25">
      <c r="A37" s="60" t="s">
        <v>32</v>
      </c>
      <c r="B37" s="63">
        <f>(E34*(E31/B35))</f>
        <v>1.6980698765432098</v>
      </c>
      <c r="C37" s="2"/>
      <c r="D37" s="2"/>
      <c r="E37" s="2"/>
    </row>
    <row r="38" spans="1:6" x14ac:dyDescent="0.25">
      <c r="A38" s="60" t="s">
        <v>33</v>
      </c>
      <c r="B38" s="63">
        <f>+ROUND(((1.4*$E$7*$B$35)/$B$8)*10000,3)</f>
        <v>2.4</v>
      </c>
      <c r="C38" s="2"/>
      <c r="D38" s="6" t="s">
        <v>65</v>
      </c>
      <c r="E38" s="87">
        <f>+IF(B38&gt;B37,B38,B37)</f>
        <v>2.4</v>
      </c>
    </row>
    <row r="39" spans="1:6" x14ac:dyDescent="0.25">
      <c r="A39" s="2"/>
      <c r="B39" s="2"/>
      <c r="C39" s="2"/>
      <c r="D39" s="2"/>
      <c r="E39" s="2"/>
    </row>
    <row r="40" spans="1:6" x14ac:dyDescent="0.25">
      <c r="A40" s="132" t="s">
        <v>34</v>
      </c>
      <c r="B40" s="132"/>
      <c r="C40" s="66">
        <v>4</v>
      </c>
      <c r="D40" s="89">
        <v>10</v>
      </c>
      <c r="E40" s="90">
        <f>C40*(PI()*(D40/10)^2)/4</f>
        <v>3.1415926535897931</v>
      </c>
      <c r="F40" s="10"/>
    </row>
    <row r="41" spans="1:6" x14ac:dyDescent="0.25">
      <c r="A41" s="132"/>
      <c r="B41" s="132"/>
      <c r="C41" s="66">
        <v>0</v>
      </c>
      <c r="D41" s="89">
        <v>16</v>
      </c>
      <c r="E41" s="90">
        <f>C41*(PI()*(D41/10)^2)/4</f>
        <v>0</v>
      </c>
    </row>
    <row r="42" spans="1:6" x14ac:dyDescent="0.25">
      <c r="A42" s="2"/>
      <c r="B42" s="2"/>
      <c r="C42" s="2"/>
      <c r="D42" s="67" t="str">
        <f>+IF(E42&gt;E38,"B.C.","M.C.")</f>
        <v>B.C.</v>
      </c>
      <c r="E42" s="87">
        <f>SUM(E40:E41)</f>
        <v>3.1415926535897931</v>
      </c>
    </row>
    <row r="43" spans="1:6" x14ac:dyDescent="0.25">
      <c r="A43" s="2"/>
      <c r="B43" s="2"/>
      <c r="C43" s="2"/>
      <c r="D43" s="2"/>
      <c r="E43" s="88"/>
    </row>
    <row r="44" spans="1:6" x14ac:dyDescent="0.25">
      <c r="A44" s="128" t="s">
        <v>46</v>
      </c>
      <c r="B44" s="129"/>
      <c r="C44" s="129"/>
      <c r="D44" s="129"/>
      <c r="E44" s="130"/>
    </row>
    <row r="45" spans="1:6" x14ac:dyDescent="0.25">
      <c r="A45" s="2"/>
      <c r="B45" s="2"/>
      <c r="C45" s="2"/>
      <c r="D45" s="2"/>
      <c r="E45" s="2"/>
    </row>
    <row r="46" spans="1:6" x14ac:dyDescent="0.25">
      <c r="A46" s="14" t="s">
        <v>74</v>
      </c>
      <c r="B46" s="5">
        <f>+E27/0.75</f>
        <v>18.426666666666666</v>
      </c>
      <c r="C46" s="2"/>
      <c r="D46" s="2"/>
      <c r="E46" s="2"/>
    </row>
    <row r="47" spans="1:6" ht="15" customHeight="1" x14ac:dyDescent="0.25">
      <c r="A47" s="76" t="s">
        <v>52</v>
      </c>
      <c r="B47" s="5">
        <f>((1/6)*(B7^(1/2))*(E7*1000)*(1000*(B35))/1000)</f>
        <v>53.665631459994948</v>
      </c>
      <c r="C47" s="2"/>
      <c r="D47" s="2"/>
      <c r="E47" s="2"/>
    </row>
    <row r="48" spans="1:6" x14ac:dyDescent="0.25">
      <c r="A48" s="2" t="s">
        <v>77</v>
      </c>
      <c r="B48" s="5">
        <f>+IF(B47&gt;B46,0,B46-B47)</f>
        <v>0</v>
      </c>
      <c r="C48" s="131" t="str">
        <f>+IF(B47&gt;B46,"ARM. MINIMA DE CORTE","ES NECESARIA ARM. DE CORTE")</f>
        <v>ARM. MINIMA DE CORTE</v>
      </c>
      <c r="D48" s="131"/>
      <c r="E48" s="131"/>
    </row>
    <row r="49" spans="1:5" x14ac:dyDescent="0.25">
      <c r="A49" s="2"/>
      <c r="B49" s="2"/>
      <c r="C49" s="2"/>
      <c r="D49" s="2"/>
      <c r="E49" s="2"/>
    </row>
    <row r="50" spans="1:5" x14ac:dyDescent="0.25">
      <c r="A50" s="132" t="s">
        <v>70</v>
      </c>
      <c r="B50" s="132"/>
      <c r="C50" s="133" t="s">
        <v>72</v>
      </c>
      <c r="D50" s="133"/>
      <c r="E50" s="133"/>
    </row>
    <row r="51" spans="1:5" x14ac:dyDescent="0.25">
      <c r="A51" s="132"/>
      <c r="B51" s="132"/>
      <c r="C51" s="72">
        <v>1</v>
      </c>
      <c r="D51" s="73">
        <v>6</v>
      </c>
      <c r="E51" s="74">
        <v>20</v>
      </c>
    </row>
    <row r="52" spans="1:5" x14ac:dyDescent="0.25">
      <c r="A52" s="2"/>
      <c r="B52" s="2"/>
      <c r="C52" s="2"/>
      <c r="D52" s="2"/>
      <c r="E52" s="2"/>
    </row>
    <row r="53" spans="1:5" ht="18" x14ac:dyDescent="0.35">
      <c r="A53" s="77" t="s">
        <v>78</v>
      </c>
      <c r="B53" s="75">
        <f>+((((2*(PI()*(D51/10)^2)/4)/(100^2))*B8*B35)/(E51/100))*1000</f>
        <v>42.750792830049903</v>
      </c>
      <c r="C53" s="67" t="str">
        <f>+IF(B53&gt;B48,"B.C.","M.C.")</f>
        <v>B.C.</v>
      </c>
      <c r="D53" s="2"/>
      <c r="E53" s="2"/>
    </row>
    <row r="54" spans="1:5" x14ac:dyDescent="0.25">
      <c r="A54" s="2"/>
      <c r="B54" s="2"/>
      <c r="C54" s="2"/>
      <c r="D54" s="2"/>
      <c r="E54" s="2"/>
    </row>
    <row r="57" spans="1:5" ht="18" customHeight="1" x14ac:dyDescent="0.25"/>
  </sheetData>
  <mergeCells count="18">
    <mergeCell ref="A1:E1"/>
    <mergeCell ref="A3:E3"/>
    <mergeCell ref="A10:E10"/>
    <mergeCell ref="A13:B13"/>
    <mergeCell ref="A19:B19"/>
    <mergeCell ref="D4:E4"/>
    <mergeCell ref="D8:E8"/>
    <mergeCell ref="C48:E48"/>
    <mergeCell ref="A50:B51"/>
    <mergeCell ref="C50:E50"/>
    <mergeCell ref="A14:B14"/>
    <mergeCell ref="A18:B18"/>
    <mergeCell ref="A40:B41"/>
    <mergeCell ref="A29:E29"/>
    <mergeCell ref="A23:E23"/>
    <mergeCell ref="A25:B25"/>
    <mergeCell ref="D25:E25"/>
    <mergeCell ref="A44:E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LOSAS VIGUETAS</vt:lpstr>
      <vt:lpstr>VIGAS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Ignacio Cabrera</cp:lastModifiedBy>
  <dcterms:created xsi:type="dcterms:W3CDTF">2015-06-05T18:17:20Z</dcterms:created>
  <dcterms:modified xsi:type="dcterms:W3CDTF">2023-02-21T23:21:19Z</dcterms:modified>
</cp:coreProperties>
</file>