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gma\Proyectos\23-010_TAYARA_Nave\01_Hojas de calculo\"/>
    </mc:Choice>
  </mc:AlternateContent>
  <xr:revisionPtr revIDLastSave="0" documentId="13_ncr:1_{137E4F04-C9AD-42A1-95F1-83C68087938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E-Cat B TR=50" sheetId="4" r:id="rId1"/>
    <sheet name="SE-Cat B TR=25" sheetId="3" r:id="rId2"/>
    <sheet name="Hoja2" sheetId="5" r:id="rId3"/>
  </sheets>
  <definedNames>
    <definedName name="b">#REF!</definedName>
    <definedName name="d">#REF!</definedName>
    <definedName name="E">#REF!</definedName>
    <definedName name="fu">#REF!</definedName>
    <definedName name="fy">#REF!</definedName>
    <definedName name="g">#REF!</definedName>
    <definedName name="h">#REF!</definedName>
    <definedName name="pend">#REF!</definedName>
    <definedName name="qh">'SE-Cat B TR=25'!$D$33</definedName>
    <definedName name="t">#REF!</definedName>
    <definedName name="u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5" i="4" l="1"/>
  <c r="B75" i="4"/>
  <c r="D51" i="4"/>
  <c r="D52" i="4" s="1"/>
  <c r="C30" i="4"/>
  <c r="R113" i="3"/>
  <c r="S118" i="3"/>
  <c r="R118" i="3"/>
  <c r="L119" i="3" s="1"/>
  <c r="S117" i="3"/>
  <c r="R117" i="3"/>
  <c r="S116" i="3"/>
  <c r="R116" i="3"/>
  <c r="J119" i="3" s="1"/>
  <c r="S115" i="3"/>
  <c r="R115" i="3"/>
  <c r="L116" i="3" s="1"/>
  <c r="S114" i="3"/>
  <c r="R114" i="3"/>
  <c r="K116" i="3" s="1"/>
  <c r="S113" i="3"/>
  <c r="J115" i="3" s="1"/>
  <c r="I33" i="3"/>
  <c r="C30" i="3"/>
  <c r="B5" i="5"/>
  <c r="B7" i="5" s="1"/>
  <c r="B9" i="5" s="1"/>
  <c r="B11" i="5" s="1"/>
  <c r="C107" i="4"/>
  <c r="D106" i="4"/>
  <c r="C106" i="4"/>
  <c r="D105" i="4"/>
  <c r="C105" i="4"/>
  <c r="C103" i="4"/>
  <c r="D102" i="4"/>
  <c r="D101" i="4"/>
  <c r="C101" i="4"/>
  <c r="D93" i="4"/>
  <c r="D92" i="4"/>
  <c r="D91" i="4"/>
  <c r="D90" i="4"/>
  <c r="D89" i="4"/>
  <c r="B88" i="4"/>
  <c r="B87" i="4"/>
  <c r="B85" i="4"/>
  <c r="D84" i="4"/>
  <c r="B84" i="4"/>
  <c r="D79" i="4"/>
  <c r="D78" i="4"/>
  <c r="D77" i="4"/>
  <c r="D76" i="4"/>
  <c r="D75" i="4"/>
  <c r="D74" i="4"/>
  <c r="B64" i="4"/>
  <c r="B58" i="4"/>
  <c r="C57" i="4"/>
  <c r="B45" i="4"/>
  <c r="A45" i="4"/>
  <c r="C45" i="4" s="1"/>
  <c r="D45" i="4" s="1"/>
  <c r="E45" i="4" s="1"/>
  <c r="D35" i="4"/>
  <c r="C88" i="4" s="1"/>
  <c r="D34" i="4"/>
  <c r="C87" i="4" s="1"/>
  <c r="B33" i="4"/>
  <c r="B86" i="4" s="1"/>
  <c r="D33" i="4"/>
  <c r="B15" i="3"/>
  <c r="D105" i="3"/>
  <c r="D101" i="3"/>
  <c r="C105" i="3"/>
  <c r="B33" i="3"/>
  <c r="D92" i="3"/>
  <c r="D93" i="3"/>
  <c r="D91" i="3"/>
  <c r="D84" i="3"/>
  <c r="C57" i="3"/>
  <c r="J116" i="3" l="1"/>
  <c r="K119" i="3"/>
  <c r="K118" i="3"/>
  <c r="J118" i="3"/>
  <c r="L118" i="3"/>
  <c r="K115" i="3"/>
  <c r="L115" i="3"/>
  <c r="C79" i="4"/>
  <c r="C77" i="4"/>
  <c r="C86" i="4"/>
  <c r="J80" i="4"/>
  <c r="C76" i="4"/>
  <c r="C78" i="4"/>
  <c r="D31" i="4"/>
  <c r="D32" i="4"/>
  <c r="C101" i="3"/>
  <c r="B58" i="3"/>
  <c r="B64" i="3"/>
  <c r="B45" i="3"/>
  <c r="A45" i="3"/>
  <c r="D32" i="3"/>
  <c r="D33" i="3"/>
  <c r="D34" i="3"/>
  <c r="D35" i="3"/>
  <c r="D31" i="3"/>
  <c r="D102" i="3"/>
  <c r="C85" i="4" l="1"/>
  <c r="N107" i="4"/>
  <c r="M106" i="4"/>
  <c r="M105" i="4"/>
  <c r="N102" i="4"/>
  <c r="M100" i="4"/>
  <c r="M107" i="4"/>
  <c r="L106" i="4"/>
  <c r="L105" i="4"/>
  <c r="M102" i="4"/>
  <c r="L100" i="4"/>
  <c r="L107" i="4"/>
  <c r="K106" i="4"/>
  <c r="K105" i="4"/>
  <c r="L102" i="4"/>
  <c r="O101" i="4"/>
  <c r="K100" i="4"/>
  <c r="K107" i="4"/>
  <c r="J106" i="4"/>
  <c r="J105" i="4"/>
  <c r="K102" i="4"/>
  <c r="N101" i="4"/>
  <c r="J100" i="4"/>
  <c r="C92" i="4"/>
  <c r="C90" i="4"/>
  <c r="O106" i="4"/>
  <c r="O105" i="4"/>
  <c r="K101" i="4"/>
  <c r="N106" i="4"/>
  <c r="N105" i="4"/>
  <c r="C93" i="4"/>
  <c r="C89" i="4"/>
  <c r="J107" i="4"/>
  <c r="J102" i="4"/>
  <c r="M101" i="4"/>
  <c r="L101" i="4"/>
  <c r="O100" i="4"/>
  <c r="O107" i="4"/>
  <c r="O102" i="4"/>
  <c r="J101" i="4"/>
  <c r="N100" i="4"/>
  <c r="C91" i="4"/>
  <c r="F86" i="4"/>
  <c r="E86" i="4"/>
  <c r="F88" i="4"/>
  <c r="E87" i="4"/>
  <c r="C84" i="4"/>
  <c r="C74" i="4"/>
  <c r="E88" i="4"/>
  <c r="F77" i="4"/>
  <c r="E77" i="4"/>
  <c r="F79" i="4"/>
  <c r="E79" i="4"/>
  <c r="F87" i="4"/>
  <c r="F78" i="4"/>
  <c r="E78" i="4"/>
  <c r="F76" i="4"/>
  <c r="E76" i="4"/>
  <c r="C106" i="3"/>
  <c r="D106" i="3"/>
  <c r="C103" i="3"/>
  <c r="C107" i="3"/>
  <c r="D90" i="3"/>
  <c r="D89" i="3"/>
  <c r="D51" i="3"/>
  <c r="D52" i="3" s="1"/>
  <c r="B85" i="3"/>
  <c r="B86" i="3"/>
  <c r="B87" i="3"/>
  <c r="B88" i="3"/>
  <c r="B84" i="3"/>
  <c r="D78" i="3"/>
  <c r="D79" i="3"/>
  <c r="B75" i="3"/>
  <c r="E91" i="4" l="1"/>
  <c r="F91" i="4"/>
  <c r="F90" i="4"/>
  <c r="E90" i="4"/>
  <c r="F74" i="4"/>
  <c r="E74" i="4"/>
  <c r="T101" i="4"/>
  <c r="S101" i="4"/>
  <c r="F92" i="4"/>
  <c r="E92" i="4"/>
  <c r="F75" i="4"/>
  <c r="E75" i="4"/>
  <c r="F84" i="4"/>
  <c r="E84" i="4"/>
  <c r="E93" i="4"/>
  <c r="F93" i="4"/>
  <c r="J110" i="4"/>
  <c r="T100" i="4"/>
  <c r="S100" i="4"/>
  <c r="I110" i="4"/>
  <c r="W100" i="4"/>
  <c r="V100" i="4"/>
  <c r="V101" i="4"/>
  <c r="W101" i="4"/>
  <c r="E85" i="4"/>
  <c r="F85" i="4"/>
  <c r="E89" i="4"/>
  <c r="F89" i="4"/>
  <c r="D77" i="3"/>
  <c r="D76" i="3"/>
  <c r="D75" i="3"/>
  <c r="D74" i="3"/>
  <c r="C88" i="3" l="1"/>
  <c r="C87" i="3"/>
  <c r="J80" i="3"/>
  <c r="M106" i="3" l="1"/>
  <c r="K105" i="3"/>
  <c r="O102" i="3"/>
  <c r="J102" i="3"/>
  <c r="L105" i="3"/>
  <c r="J101" i="3"/>
  <c r="M107" i="3"/>
  <c r="J106" i="3"/>
  <c r="K101" i="3"/>
  <c r="O100" i="3"/>
  <c r="O105" i="3"/>
  <c r="N102" i="3"/>
  <c r="L102" i="3"/>
  <c r="K107" i="3"/>
  <c r="O106" i="3"/>
  <c r="M105" i="3"/>
  <c r="J107" i="3"/>
  <c r="K102" i="3"/>
  <c r="N100" i="3"/>
  <c r="L107" i="3"/>
  <c r="K100" i="3"/>
  <c r="J100" i="3"/>
  <c r="N107" i="3"/>
  <c r="O107" i="3"/>
  <c r="L106" i="3"/>
  <c r="J105" i="3"/>
  <c r="N101" i="3"/>
  <c r="L100" i="3"/>
  <c r="L101" i="3"/>
  <c r="N105" i="3"/>
  <c r="M101" i="3"/>
  <c r="M100" i="3"/>
  <c r="O101" i="3"/>
  <c r="N106" i="3"/>
  <c r="M102" i="3"/>
  <c r="K106" i="3"/>
  <c r="F87" i="3"/>
  <c r="E87" i="3"/>
  <c r="F88" i="3"/>
  <c r="E88" i="3"/>
  <c r="C90" i="3"/>
  <c r="C89" i="3"/>
  <c r="C93" i="3"/>
  <c r="C92" i="3"/>
  <c r="C91" i="3"/>
  <c r="C85" i="3"/>
  <c r="C75" i="3"/>
  <c r="C84" i="3"/>
  <c r="C74" i="3"/>
  <c r="C86" i="3"/>
  <c r="C77" i="3"/>
  <c r="C78" i="3"/>
  <c r="C79" i="3"/>
  <c r="C76" i="3"/>
  <c r="C45" i="3"/>
  <c r="D45" i="3" s="1"/>
  <c r="E45" i="3" s="1"/>
  <c r="S101" i="3" l="1"/>
  <c r="T101" i="3"/>
  <c r="V101" i="3"/>
  <c r="W101" i="3"/>
  <c r="J110" i="3"/>
  <c r="S100" i="3"/>
  <c r="I110" i="3"/>
  <c r="T100" i="3"/>
  <c r="W100" i="3"/>
  <c r="V100" i="3"/>
  <c r="F86" i="3"/>
  <c r="E86" i="3"/>
  <c r="E84" i="3"/>
  <c r="F84" i="3"/>
  <c r="F85" i="3"/>
  <c r="E85" i="3"/>
  <c r="F91" i="3"/>
  <c r="E91" i="3"/>
  <c r="F92" i="3"/>
  <c r="E92" i="3"/>
  <c r="F93" i="3"/>
  <c r="E93" i="3"/>
  <c r="F89" i="3"/>
  <c r="E89" i="3"/>
  <c r="F90" i="3"/>
  <c r="E90" i="3"/>
  <c r="F78" i="3"/>
  <c r="E78" i="3"/>
  <c r="E74" i="3"/>
  <c r="F74" i="3"/>
  <c r="E75" i="3"/>
  <c r="F75" i="3"/>
  <c r="F76" i="3"/>
  <c r="E76" i="3"/>
  <c r="F79" i="3"/>
  <c r="E79" i="3"/>
  <c r="F77" i="3"/>
  <c r="E77" i="3"/>
</calcChain>
</file>

<file path=xl/sharedStrings.xml><?xml version="1.0" encoding="utf-8"?>
<sst xmlns="http://schemas.openxmlformats.org/spreadsheetml/2006/main" count="429" uniqueCount="146">
  <si>
    <t>0-5</t>
  </si>
  <si>
    <t>Laterales</t>
  </si>
  <si>
    <t>Alero</t>
  </si>
  <si>
    <t>Cubierta</t>
  </si>
  <si>
    <t>Cumbrera</t>
  </si>
  <si>
    <t>Categoría</t>
  </si>
  <si>
    <t>II</t>
  </si>
  <si>
    <t>Factor de importancia (I)</t>
  </si>
  <si>
    <t>CALCULO DE VIENTO PARA NAVE INDUSTRIAL</t>
  </si>
  <si>
    <t>[m]</t>
  </si>
  <si>
    <t xml:space="preserve">Altura            </t>
  </si>
  <si>
    <t xml:space="preserve">Exposición              </t>
  </si>
  <si>
    <t>Denominación</t>
  </si>
  <si>
    <t>VALORES DE Kz</t>
  </si>
  <si>
    <t>PRESIÓN DINÁMICA</t>
  </si>
  <si>
    <t>[N/m2]</t>
  </si>
  <si>
    <t>q</t>
  </si>
  <si>
    <t>PRESIONES DE VIENTO DE DISEÑO - SPRFV</t>
  </si>
  <si>
    <t>Factor de Rafaga - G</t>
  </si>
  <si>
    <t>Altura media h</t>
  </si>
  <si>
    <t>Ancho menor</t>
  </si>
  <si>
    <t>h/ancho menor</t>
  </si>
  <si>
    <t>G</t>
  </si>
  <si>
    <t>Estructura</t>
  </si>
  <si>
    <t>Figura 3</t>
  </si>
  <si>
    <t>Pared a Barlovento</t>
  </si>
  <si>
    <t>Pared a Sotavento</t>
  </si>
  <si>
    <t>Paredes Laterales</t>
  </si>
  <si>
    <t>Todos los valores</t>
  </si>
  <si>
    <t>L/B</t>
  </si>
  <si>
    <t>Superficie</t>
  </si>
  <si>
    <t>Cp</t>
  </si>
  <si>
    <t>Usar con</t>
  </si>
  <si>
    <t>qz</t>
  </si>
  <si>
    <t>qh</t>
  </si>
  <si>
    <t>Para todo h</t>
  </si>
  <si>
    <t>Coeficiente de Presión Externa - Cp - Paredes</t>
  </si>
  <si>
    <t>Todas las Paredes</t>
  </si>
  <si>
    <t>Direccion del viento</t>
  </si>
  <si>
    <t>Todas</t>
  </si>
  <si>
    <t>Paralelo a la cumbrera</t>
  </si>
  <si>
    <t>Normal a la cumbrera</t>
  </si>
  <si>
    <t xml:space="preserve">Superficie </t>
  </si>
  <si>
    <t>h/L</t>
  </si>
  <si>
    <t>Angulo - Cp</t>
  </si>
  <si>
    <t>COEFICIENTE DE PRESION EXTERNA (Cp) p/Cubierta - VIENTO PARALELO A CUMBRERA</t>
  </si>
  <si>
    <t>Distancia horizontal desde el borde a barlovento</t>
  </si>
  <si>
    <t>0 - h</t>
  </si>
  <si>
    <t>h - 2h</t>
  </si>
  <si>
    <t>≥ 2h</t>
  </si>
  <si>
    <t>PRESIONES DE DISEÑO SOBRE EL SPRFV - VIENTO NORMAL A LA CUMBRERA</t>
  </si>
  <si>
    <t>q                  [N/m2]</t>
  </si>
  <si>
    <t>Presion Neta [N/m2]</t>
  </si>
  <si>
    <t>Gcpi+</t>
  </si>
  <si>
    <t>Gcpi-</t>
  </si>
  <si>
    <t>0 - 5</t>
  </si>
  <si>
    <t xml:space="preserve">Paredes Laterales </t>
  </si>
  <si>
    <t>PRESIONES DE DISEÑO SOBRE EL SPRFV - VIENTO PARALELO A LA CUMBRERA</t>
  </si>
  <si>
    <t>Altura media - h</t>
  </si>
  <si>
    <t>GCp</t>
  </si>
  <si>
    <t xml:space="preserve"> PAREDES</t>
  </si>
  <si>
    <t xml:space="preserve">Zonas 4 y 5 </t>
  </si>
  <si>
    <t>Zona 4</t>
  </si>
  <si>
    <t>Zona 5</t>
  </si>
  <si>
    <t>Largueros</t>
  </si>
  <si>
    <t>Panel</t>
  </si>
  <si>
    <t>Fijador</t>
  </si>
  <si>
    <t>CUBIERTA</t>
  </si>
  <si>
    <t>Correas</t>
  </si>
  <si>
    <t>PAREDES</t>
  </si>
  <si>
    <t>(+)</t>
  </si>
  <si>
    <t>(-)</t>
  </si>
  <si>
    <t>Larguero</t>
  </si>
  <si>
    <t xml:space="preserve">Zonas 1,2 Y 3 </t>
  </si>
  <si>
    <t>Correa</t>
  </si>
  <si>
    <t>Componentes</t>
  </si>
  <si>
    <t>Areas</t>
  </si>
  <si>
    <t>Areas efectivas</t>
  </si>
  <si>
    <t>[m2]</t>
  </si>
  <si>
    <t>-</t>
  </si>
  <si>
    <t>z                                     [m]</t>
  </si>
  <si>
    <t>Coeficiente GCp p/ Cubiertas y Revestimientos</t>
  </si>
  <si>
    <t>PRESIONES DE VIENTO DE DISEÑO  - COMPONENTES Y REVESTIMIENTOS</t>
  </si>
  <si>
    <t>PRESIONES NETAS SOBRE COMPONENTES Y REVESTIMIENTOS [N/m2]</t>
  </si>
  <si>
    <t>0-h</t>
  </si>
  <si>
    <t>h a 2h</t>
  </si>
  <si>
    <t xml:space="preserve"> z [m]</t>
  </si>
  <si>
    <t>Lado Mayor [m]</t>
  </si>
  <si>
    <t>Lado Menor [m]</t>
  </si>
  <si>
    <t>Altura de Cumbrera [m]</t>
  </si>
  <si>
    <t>Altura media de Cumbrera [m]</t>
  </si>
  <si>
    <t>Velocidad Básica [m/s]</t>
  </si>
  <si>
    <t>Carasteristicas Geométricas</t>
  </si>
  <si>
    <t>Parámetros Generales</t>
  </si>
  <si>
    <t>Factor de direccionalidad del viento (Kd)</t>
  </si>
  <si>
    <t>Categoría de Exposición</t>
  </si>
  <si>
    <t>Terrenos abiertos con obstrucciones dispersas y alturas menores que 10m.</t>
  </si>
  <si>
    <t>No existen efectos topográficos.</t>
  </si>
  <si>
    <t>Observaciones</t>
  </si>
  <si>
    <t>Sep. Largueros [m]</t>
  </si>
  <si>
    <t>Sep. Correas [m]</t>
  </si>
  <si>
    <t>Sep. Cerchas [m]</t>
  </si>
  <si>
    <t>Pendiente</t>
  </si>
  <si>
    <t>Factor topográfico (Kzt)</t>
  </si>
  <si>
    <t>0 a h</t>
  </si>
  <si>
    <t>P/ Edificios Cerrados</t>
  </si>
  <si>
    <t xml:space="preserve">COEFICIENTE DE PRESION INTERNA (GCpi) p/ Edificios </t>
  </si>
  <si>
    <r>
      <rPr>
        <sz val="10"/>
        <color theme="1"/>
        <rFont val="Calibri"/>
        <family val="2"/>
      </rPr>
      <t>±</t>
    </r>
    <r>
      <rPr>
        <sz val="10"/>
        <color theme="1"/>
        <rFont val="Arial"/>
        <family val="2"/>
      </rPr>
      <t>0,18</t>
    </r>
  </si>
  <si>
    <t>Zona 1 y 2</t>
  </si>
  <si>
    <t>Zona 4 y 5</t>
  </si>
  <si>
    <t>+Gcpi</t>
  </si>
  <si>
    <t>+GCpi</t>
  </si>
  <si>
    <t>-GCpi</t>
  </si>
  <si>
    <t>-Gcpi</t>
  </si>
  <si>
    <t>Zona 3</t>
  </si>
  <si>
    <t>Zona 1, 2 y 3</t>
  </si>
  <si>
    <t>Paredes</t>
  </si>
  <si>
    <t>Larquero</t>
  </si>
  <si>
    <t>PRESIONES MÁXIMAS Y MÍNIMAS SOBRE CyR [N/m²]</t>
  </si>
  <si>
    <t>Fig. 1A/B</t>
  </si>
  <si>
    <t>Tabla 6</t>
  </si>
  <si>
    <t>Fig. 2</t>
  </si>
  <si>
    <t>Tabla 1</t>
  </si>
  <si>
    <t>Tabla A-1</t>
  </si>
  <si>
    <t>Tabla 5</t>
  </si>
  <si>
    <t>Fig, 3</t>
  </si>
  <si>
    <t>Fig. 3</t>
  </si>
  <si>
    <t>Tabla 7</t>
  </si>
  <si>
    <t>P/ ciudad de Fontana.</t>
  </si>
  <si>
    <t>P/ galpón.</t>
  </si>
  <si>
    <t>COEFICIENTE DE PRESION EXTERNA (Cp) p/Cubierta - VIENTO NORMAL A LA CUMBRERA</t>
  </si>
  <si>
    <t>B</t>
  </si>
  <si>
    <t>Zona 1</t>
  </si>
  <si>
    <t>Ag</t>
  </si>
  <si>
    <t>r</t>
  </si>
  <si>
    <t>lamda</t>
  </si>
  <si>
    <t>L</t>
  </si>
  <si>
    <t>lamdac</t>
  </si>
  <si>
    <t>Fcr</t>
  </si>
  <si>
    <t>Pd</t>
  </si>
  <si>
    <t>3,81º</t>
  </si>
  <si>
    <t>P/ ciudad de Fontana con TR=25 años.</t>
  </si>
  <si>
    <t>pend</t>
  </si>
  <si>
    <t>Lr</t>
  </si>
  <si>
    <t>Wcorreas</t>
  </si>
  <si>
    <t>Área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</si>
</sst>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2" fillId="0" borderId="1" xfId="0" applyFont="1" applyBorder="1"/>
    <xf numFmtId="0" fontId="1" fillId="0" borderId="1" xfId="0" applyFont="1" applyBorder="1" applyAlignment="1">
      <alignment horizontal="center" wrapText="1"/>
    </xf>
    <xf numFmtId="0" fontId="2" fillId="3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2" fillId="0" borderId="5" xfId="0" applyFont="1" applyBorder="1"/>
    <xf numFmtId="0" fontId="2" fillId="0" borderId="5" xfId="0" applyFont="1" applyBorder="1" applyAlignment="1">
      <alignment horizontal="center"/>
    </xf>
    <xf numFmtId="2" fontId="2" fillId="0" borderId="1" xfId="0" applyNumberFormat="1" applyFont="1" applyBorder="1" applyAlignment="1">
      <alignment horizontal="right"/>
    </xf>
    <xf numFmtId="0" fontId="2" fillId="4" borderId="2" xfId="0" applyFont="1" applyFill="1" applyBorder="1"/>
    <xf numFmtId="2" fontId="2" fillId="0" borderId="1" xfId="0" applyNumberFormat="1" applyFont="1" applyBorder="1"/>
    <xf numFmtId="0" fontId="2" fillId="0" borderId="1" xfId="0" applyFont="1" applyBorder="1" applyAlignment="1">
      <alignment horizontal="left"/>
    </xf>
    <xf numFmtId="0" fontId="1" fillId="0" borderId="18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2" borderId="1" xfId="0" applyFont="1" applyFill="1" applyBorder="1"/>
    <xf numFmtId="2" fontId="2" fillId="0" borderId="1" xfId="0" applyNumberFormat="1" applyFont="1" applyBorder="1" applyAlignment="1">
      <alignment horizontal="right" vertical="center"/>
    </xf>
    <xf numFmtId="2" fontId="2" fillId="2" borderId="1" xfId="0" applyNumberFormat="1" applyFont="1" applyFill="1" applyBorder="1"/>
    <xf numFmtId="0" fontId="2" fillId="0" borderId="1" xfId="0" applyFont="1" applyBorder="1" applyAlignment="1">
      <alignment horizontal="right"/>
    </xf>
    <xf numFmtId="2" fontId="2" fillId="0" borderId="1" xfId="0" applyNumberFormat="1" applyFont="1" applyBorder="1" applyAlignment="1">
      <alignment horizontal="right" vertical="center" inden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0" xfId="0" applyNumberFormat="1" applyFont="1"/>
    <xf numFmtId="0" fontId="2" fillId="3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2" fillId="4" borderId="4" xfId="0" applyNumberFormat="1" applyFont="1" applyFill="1" applyBorder="1"/>
    <xf numFmtId="0" fontId="1" fillId="5" borderId="15" xfId="0" applyFont="1" applyFill="1" applyBorder="1"/>
    <xf numFmtId="0" fontId="2" fillId="7" borderId="1" xfId="0" applyFont="1" applyFill="1" applyBorder="1"/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vertical="center"/>
    </xf>
    <xf numFmtId="0" fontId="1" fillId="7" borderId="13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vertical="center"/>
    </xf>
    <xf numFmtId="0" fontId="2" fillId="7" borderId="15" xfId="0" applyFont="1" applyFill="1" applyBorder="1"/>
    <xf numFmtId="164" fontId="2" fillId="0" borderId="1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2" fontId="2" fillId="0" borderId="0" xfId="0" applyNumberFormat="1" applyFont="1" applyAlignment="1">
      <alignment horizontal="center" vertical="center"/>
    </xf>
    <xf numFmtId="0" fontId="1" fillId="7" borderId="1" xfId="0" quotePrefix="1" applyFont="1" applyFill="1" applyBorder="1" applyAlignment="1">
      <alignment horizontal="center"/>
    </xf>
    <xf numFmtId="0" fontId="1" fillId="7" borderId="1" xfId="0" quotePrefix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vertic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2" fontId="2" fillId="0" borderId="0" xfId="0" applyNumberFormat="1" applyFont="1" applyAlignment="1">
      <alignment horizontal="center"/>
    </xf>
    <xf numFmtId="0" fontId="2" fillId="3" borderId="0" xfId="0" applyFont="1" applyFill="1"/>
    <xf numFmtId="0" fontId="2" fillId="9" borderId="1" xfId="0" applyFont="1" applyFill="1" applyBorder="1" applyAlignment="1">
      <alignment horizontal="left" wrapText="1"/>
    </xf>
    <xf numFmtId="0" fontId="2" fillId="9" borderId="1" xfId="0" applyFont="1" applyFill="1" applyBorder="1" applyAlignment="1">
      <alignment horizontal="left" vertical="center" wrapText="1"/>
    </xf>
    <xf numFmtId="0" fontId="1" fillId="9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0" fontId="2" fillId="10" borderId="1" xfId="0" applyFont="1" applyFill="1" applyBorder="1"/>
    <xf numFmtId="2" fontId="2" fillId="10" borderId="1" xfId="0" applyNumberFormat="1" applyFont="1" applyFill="1" applyBorder="1"/>
    <xf numFmtId="2" fontId="2" fillId="10" borderId="1" xfId="0" applyNumberFormat="1" applyFont="1" applyFill="1" applyBorder="1" applyAlignment="1">
      <alignment horizontal="right"/>
    </xf>
    <xf numFmtId="0" fontId="2" fillId="10" borderId="0" xfId="0" applyFont="1" applyFill="1"/>
    <xf numFmtId="2" fontId="2" fillId="10" borderId="1" xfId="0" applyNumberFormat="1" applyFont="1" applyFill="1" applyBorder="1" applyAlignment="1">
      <alignment horizontal="center" vertical="center"/>
    </xf>
    <xf numFmtId="2" fontId="2" fillId="10" borderId="1" xfId="0" applyNumberFormat="1" applyFont="1" applyFill="1" applyBorder="1" applyAlignment="1">
      <alignment vertical="center"/>
    </xf>
    <xf numFmtId="2" fontId="2" fillId="1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1" fillId="7" borderId="19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2" fillId="0" borderId="18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1" fillId="9" borderId="1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2" fillId="0" borderId="12" xfId="0" applyFont="1" applyBorder="1" applyAlignment="1">
      <alignment horizontal="left" vertical="center"/>
    </xf>
    <xf numFmtId="2" fontId="2" fillId="0" borderId="18" xfId="0" applyNumberFormat="1" applyFont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8" borderId="14" xfId="0" applyFont="1" applyFill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2" fontId="2" fillId="3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" fillId="9" borderId="14" xfId="0" applyFont="1" applyFill="1" applyBorder="1" applyAlignment="1">
      <alignment horizontal="center"/>
    </xf>
    <xf numFmtId="0" fontId="1" fillId="9" borderId="13" xfId="0" applyFont="1" applyFill="1" applyBorder="1" applyAlignment="1">
      <alignment horizontal="center"/>
    </xf>
    <xf numFmtId="0" fontId="1" fillId="9" borderId="15" xfId="0" applyFont="1" applyFill="1" applyBorder="1" applyAlignment="1">
      <alignment horizontal="center"/>
    </xf>
    <xf numFmtId="0" fontId="1" fillId="0" borderId="18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2" fillId="0" borderId="1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 vertical="center" wrapText="1"/>
    </xf>
    <xf numFmtId="0" fontId="1" fillId="7" borderId="14" xfId="0" applyFont="1" applyFill="1" applyBorder="1" applyAlignment="1">
      <alignment horizontal="center"/>
    </xf>
    <xf numFmtId="0" fontId="1" fillId="7" borderId="13" xfId="0" applyFont="1" applyFill="1" applyBorder="1" applyAlignment="1">
      <alignment horizontal="center"/>
    </xf>
    <xf numFmtId="0" fontId="1" fillId="7" borderId="15" xfId="0" applyFont="1" applyFill="1" applyBorder="1" applyAlignment="1">
      <alignment horizont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8" borderId="2" xfId="0" applyFont="1" applyFill="1" applyBorder="1" applyAlignment="1">
      <alignment horizontal="center" wrapText="1"/>
    </xf>
    <xf numFmtId="0" fontId="1" fillId="8" borderId="3" xfId="0" applyFont="1" applyFill="1" applyBorder="1" applyAlignment="1">
      <alignment horizontal="center" wrapText="1"/>
    </xf>
    <xf numFmtId="0" fontId="1" fillId="8" borderId="4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8" borderId="6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1" fillId="8" borderId="14" xfId="0" applyFont="1" applyFill="1" applyBorder="1" applyAlignment="1">
      <alignment horizontal="center" vertical="center"/>
    </xf>
    <xf numFmtId="0" fontId="1" fillId="8" borderId="15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2" fillId="11" borderId="14" xfId="0" applyNumberFormat="1" applyFont="1" applyFill="1" applyBorder="1" applyAlignment="1">
      <alignment horizontal="center" vertical="center"/>
    </xf>
    <xf numFmtId="2" fontId="2" fillId="11" borderId="13" xfId="0" applyNumberFormat="1" applyFont="1" applyFill="1" applyBorder="1" applyAlignment="1">
      <alignment horizontal="center" vertical="center"/>
    </xf>
    <xf numFmtId="2" fontId="2" fillId="11" borderId="15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66"/>
      <color rgb="FFFFFFCC"/>
      <color rgb="FFD5F3E2"/>
      <color rgb="FF89FF89"/>
      <color rgb="FFFFCC66"/>
      <color rgb="FFFFFF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7620</xdr:colOff>
      <xdr:row>23</xdr:row>
      <xdr:rowOff>106680</xdr:rowOff>
    </xdr:from>
    <xdr:ext cx="3192780" cy="2667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111301D3-D041-41D2-87A0-4990339EF9D2}"/>
                </a:ext>
              </a:extLst>
            </xdr:cNvPr>
            <xdr:cNvSpPr txBox="1"/>
          </xdr:nvSpPr>
          <xdr:spPr>
            <a:xfrm>
              <a:off x="1398270" y="4973955"/>
              <a:ext cx="3192780" cy="26670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accent5">
                  <a:lumMod val="20000"/>
                  <a:lumOff val="8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AR" sz="14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q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= 0,613 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Kz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x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Kzt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x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Kd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x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sSup>
                      <m:sSupPr>
                        <m:ctrlPr>
                          <a:rPr lang="es-AR" sz="1400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r>
                          <a:rPr lang="es-AR" sz="1400" b="0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𝑉</m:t>
                        </m:r>
                      </m:e>
                      <m:sup>
                        <m:r>
                          <a:rPr lang="es-AR" sz="1400" b="0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s-AR" sz="1400" b="0" i="1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𝑥</m:t>
                    </m:r>
                    <m:r>
                      <a:rPr lang="es-AR" sz="1400" b="0" i="1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s-AR" sz="1400" b="0" i="1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𝐼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</m:oMath>
                </m:oMathPara>
              </a14:m>
              <a:endParaRPr lang="es-AR" sz="1400">
                <a:effectLst/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111301D3-D041-41D2-87A0-4990339EF9D2}"/>
                </a:ext>
              </a:extLst>
            </xdr:cNvPr>
            <xdr:cNvSpPr txBox="1"/>
          </xdr:nvSpPr>
          <xdr:spPr>
            <a:xfrm>
              <a:off x="1398270" y="4973955"/>
              <a:ext cx="3192780" cy="26670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accent5">
                  <a:lumMod val="20000"/>
                  <a:lumOff val="8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s-A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"q</a:t>
              </a:r>
              <a:r>
                <a:rPr lang="es-AR" sz="140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= 0,613 Kz x Kzt x Kd x " </a:t>
              </a:r>
              <a:r>
                <a:rPr lang="es-AR" sz="14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𝑉^2 𝑥 𝐼"</a:t>
              </a:r>
              <a:r>
                <a:rPr lang="es-AR" sz="140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"</a:t>
              </a:r>
              <a:endParaRPr lang="es-AR" sz="1400">
                <a:effectLst/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1</xdr:col>
      <xdr:colOff>144780</xdr:colOff>
      <xdr:row>38</xdr:row>
      <xdr:rowOff>15240</xdr:rowOff>
    </xdr:from>
    <xdr:ext cx="3040380" cy="2267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74AFB32E-BD79-486E-B97F-0FFDDEE183C0}"/>
                </a:ext>
              </a:extLst>
            </xdr:cNvPr>
            <xdr:cNvSpPr txBox="1"/>
          </xdr:nvSpPr>
          <xdr:spPr>
            <a:xfrm>
              <a:off x="1535430" y="6844665"/>
              <a:ext cx="3040380" cy="226783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400" b="0" i="1">
                        <a:latin typeface="Cambria Math" panose="02040503050406030204" pitchFamily="18" charset="0"/>
                      </a:rPr>
                      <m:t>𝑝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𝑞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𝐺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𝐶𝑝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 −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𝑞𝑖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∗(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𝐺𝐶𝑝𝑖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74AFB32E-BD79-486E-B97F-0FFDDEE183C0}"/>
                </a:ext>
              </a:extLst>
            </xdr:cNvPr>
            <xdr:cNvSpPr txBox="1"/>
          </xdr:nvSpPr>
          <xdr:spPr>
            <a:xfrm>
              <a:off x="1535430" y="6844665"/>
              <a:ext cx="3040380" cy="226783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s-AR" sz="1400" b="0" i="0">
                  <a:latin typeface="Cambria Math" panose="02040503050406030204" pitchFamily="18" charset="0"/>
                </a:rPr>
                <a:t>𝑝=𝑞∗𝐺∗𝐶𝑝 −𝑞𝑖∗(𝐺𝐶𝑝𝑖)</a:t>
              </a:r>
              <a:endParaRPr lang="es-AR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7620</xdr:colOff>
      <xdr:row>23</xdr:row>
      <xdr:rowOff>106680</xdr:rowOff>
    </xdr:from>
    <xdr:ext cx="3192780" cy="2667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160E491-5ABE-4EF9-BC1D-D13312C686B3}"/>
                </a:ext>
              </a:extLst>
            </xdr:cNvPr>
            <xdr:cNvSpPr txBox="1"/>
          </xdr:nvSpPr>
          <xdr:spPr>
            <a:xfrm>
              <a:off x="1607820" y="3246120"/>
              <a:ext cx="3192780" cy="26670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accent5">
                  <a:lumMod val="20000"/>
                  <a:lumOff val="8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AR" sz="14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q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= 0,613 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Kz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x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Kzt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x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Kd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x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sSup>
                      <m:sSupPr>
                        <m:ctrlPr>
                          <a:rPr lang="es-AR" sz="1400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r>
                          <a:rPr lang="es-AR" sz="1400" b="0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𝑉</m:t>
                        </m:r>
                      </m:e>
                      <m:sup>
                        <m:r>
                          <a:rPr lang="es-AR" sz="1400" b="0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s-AR" sz="1400" b="0" i="1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𝑥</m:t>
                    </m:r>
                    <m:r>
                      <a:rPr lang="es-AR" sz="1400" b="0" i="1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s-AR" sz="1400" b="0" i="1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𝐼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</m:oMath>
                </m:oMathPara>
              </a14:m>
              <a:endParaRPr lang="es-AR" sz="1400">
                <a:effectLst/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160E491-5ABE-4EF9-BC1D-D13312C686B3}"/>
                </a:ext>
              </a:extLst>
            </xdr:cNvPr>
            <xdr:cNvSpPr txBox="1"/>
          </xdr:nvSpPr>
          <xdr:spPr>
            <a:xfrm>
              <a:off x="1607820" y="3246120"/>
              <a:ext cx="3192780" cy="26670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accent5">
                  <a:lumMod val="20000"/>
                  <a:lumOff val="8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s-A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"q</a:t>
              </a:r>
              <a:r>
                <a:rPr lang="es-AR" sz="140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= 0,613 Kz x Kzt x Kd x " </a:t>
              </a:r>
              <a:r>
                <a:rPr lang="es-AR" sz="14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𝑉^2 𝑥 𝐼"</a:t>
              </a:r>
              <a:r>
                <a:rPr lang="es-AR" sz="140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"</a:t>
              </a:r>
              <a:endParaRPr lang="es-AR" sz="1400">
                <a:effectLst/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1</xdr:col>
      <xdr:colOff>144780</xdr:colOff>
      <xdr:row>38</xdr:row>
      <xdr:rowOff>15240</xdr:rowOff>
    </xdr:from>
    <xdr:ext cx="3040380" cy="2267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A1461770-8635-4655-B868-AF09CCA7DBDE}"/>
                </a:ext>
              </a:extLst>
            </xdr:cNvPr>
            <xdr:cNvSpPr txBox="1"/>
          </xdr:nvSpPr>
          <xdr:spPr>
            <a:xfrm>
              <a:off x="1744980" y="6492240"/>
              <a:ext cx="3040380" cy="226783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400" b="0" i="1">
                        <a:latin typeface="Cambria Math" panose="02040503050406030204" pitchFamily="18" charset="0"/>
                      </a:rPr>
                      <m:t>𝑝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𝑞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𝐺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𝐶𝑝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 −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𝑞𝑖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∗(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𝐺𝐶𝑝𝑖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A1461770-8635-4655-B868-AF09CCA7DBDE}"/>
                </a:ext>
              </a:extLst>
            </xdr:cNvPr>
            <xdr:cNvSpPr txBox="1"/>
          </xdr:nvSpPr>
          <xdr:spPr>
            <a:xfrm>
              <a:off x="1744980" y="6492240"/>
              <a:ext cx="3040380" cy="226783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s-AR" sz="1400" b="0" i="0">
                  <a:latin typeface="Cambria Math" panose="02040503050406030204" pitchFamily="18" charset="0"/>
                </a:rPr>
                <a:t>𝑝=𝑞∗𝐺∗𝐶𝑝 −𝑞𝑖∗(𝐺𝐶𝑝𝑖)</a:t>
              </a:r>
              <a:endParaRPr lang="es-AR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67DB9-8AB6-4155-B273-EF7216B1EE19}">
  <dimension ref="A1:W140"/>
  <sheetViews>
    <sheetView showGridLines="0" tabSelected="1" topLeftCell="A65" zoomScaleNormal="100" workbookViewId="0">
      <selection activeCell="B88" sqref="B88"/>
    </sheetView>
  </sheetViews>
  <sheetFormatPr baseColWidth="10" defaultColWidth="11.5546875" defaultRowHeight="13.2" x14ac:dyDescent="0.25"/>
  <cols>
    <col min="1" max="1" width="20.88671875" style="1" customWidth="1"/>
    <col min="2" max="2" width="19.5546875" style="3" customWidth="1"/>
    <col min="3" max="3" width="12.6640625" style="1" customWidth="1"/>
    <col min="4" max="4" width="16" style="1" customWidth="1"/>
    <col min="5" max="5" width="16.44140625" style="1" customWidth="1"/>
    <col min="6" max="6" width="11.6640625" style="1" customWidth="1"/>
    <col min="7" max="9" width="11.5546875" style="1"/>
    <col min="10" max="10" width="12.33203125" style="1" bestFit="1" customWidth="1"/>
    <col min="11" max="16384" width="11.5546875" style="1"/>
  </cols>
  <sheetData>
    <row r="1" spans="1:14" ht="14.4" customHeight="1" x14ac:dyDescent="0.25">
      <c r="A1" s="138" t="s">
        <v>8</v>
      </c>
      <c r="B1" s="139"/>
      <c r="C1" s="139"/>
      <c r="D1" s="139"/>
      <c r="E1" s="139"/>
      <c r="F1" s="140"/>
    </row>
    <row r="2" spans="1:14" ht="14.4" customHeight="1" thickBot="1" x14ac:dyDescent="0.3">
      <c r="A2" s="141"/>
      <c r="B2" s="142"/>
      <c r="C2" s="142"/>
      <c r="D2" s="142"/>
      <c r="E2" s="142"/>
      <c r="F2" s="143"/>
    </row>
    <row r="3" spans="1:14" ht="14.4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ht="14.4" customHeight="1" x14ac:dyDescent="0.25">
      <c r="A4" s="144" t="s">
        <v>92</v>
      </c>
      <c r="B4" s="14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ht="14.4" customHeight="1" x14ac:dyDescent="0.25">
      <c r="A5" s="60" t="s">
        <v>88</v>
      </c>
      <c r="B5" s="54">
        <v>12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ht="14.4" customHeight="1" x14ac:dyDescent="0.25">
      <c r="A6" s="60" t="s">
        <v>87</v>
      </c>
      <c r="B6" s="54">
        <v>30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25">
      <c r="A7" s="60" t="s">
        <v>89</v>
      </c>
      <c r="B7" s="7">
        <v>7.6</v>
      </c>
    </row>
    <row r="8" spans="1:14" ht="26.4" x14ac:dyDescent="0.25">
      <c r="A8" s="60" t="s">
        <v>90</v>
      </c>
      <c r="B8" s="54">
        <v>7.2</v>
      </c>
    </row>
    <row r="9" spans="1:14" x14ac:dyDescent="0.25">
      <c r="A9" s="60" t="s">
        <v>102</v>
      </c>
      <c r="B9" s="7" t="s">
        <v>140</v>
      </c>
    </row>
    <row r="10" spans="1:14" ht="14.4" x14ac:dyDescent="0.25">
      <c r="A10" s="61" t="s">
        <v>101</v>
      </c>
      <c r="B10" s="55">
        <v>6</v>
      </c>
    </row>
    <row r="11" spans="1:14" x14ac:dyDescent="0.25">
      <c r="A11" s="61" t="s">
        <v>99</v>
      </c>
      <c r="B11" s="54">
        <v>1</v>
      </c>
    </row>
    <row r="12" spans="1:14" x14ac:dyDescent="0.25">
      <c r="A12" s="61" t="s">
        <v>100</v>
      </c>
      <c r="B12" s="54">
        <v>1</v>
      </c>
    </row>
    <row r="13" spans="1:14" ht="14.4" x14ac:dyDescent="0.3">
      <c r="A13"/>
      <c r="B13"/>
    </row>
    <row r="14" spans="1:14" ht="14.4" x14ac:dyDescent="0.25">
      <c r="A14" s="146" t="s">
        <v>93</v>
      </c>
      <c r="B14" s="146"/>
      <c r="C14" s="147" t="s">
        <v>98</v>
      </c>
      <c r="D14" s="148"/>
    </row>
    <row r="15" spans="1:14" ht="14.4" x14ac:dyDescent="0.25">
      <c r="A15" s="61" t="s">
        <v>91</v>
      </c>
      <c r="B15" s="54">
        <v>45</v>
      </c>
      <c r="C15" s="130" t="s">
        <v>128</v>
      </c>
      <c r="D15" s="131"/>
      <c r="I15" s="59" t="s">
        <v>119</v>
      </c>
    </row>
    <row r="16" spans="1:14" ht="39.6" x14ac:dyDescent="0.25">
      <c r="A16" s="61" t="s">
        <v>94</v>
      </c>
      <c r="B16" s="55">
        <v>0.85</v>
      </c>
      <c r="C16" s="130" t="s">
        <v>79</v>
      </c>
      <c r="D16" s="131"/>
      <c r="I16" s="59" t="s">
        <v>120</v>
      </c>
    </row>
    <row r="17" spans="1:9" ht="14.4" x14ac:dyDescent="0.3">
      <c r="A17" s="61" t="s">
        <v>103</v>
      </c>
      <c r="B17" s="56">
        <v>1</v>
      </c>
      <c r="C17" s="130" t="s">
        <v>97</v>
      </c>
      <c r="D17" s="131"/>
      <c r="I17" s="59" t="s">
        <v>121</v>
      </c>
    </row>
    <row r="18" spans="1:9" ht="14.4" x14ac:dyDescent="0.25">
      <c r="A18" s="61" t="s">
        <v>5</v>
      </c>
      <c r="B18" s="55" t="s">
        <v>6</v>
      </c>
      <c r="C18" s="130" t="s">
        <v>129</v>
      </c>
      <c r="D18" s="131"/>
      <c r="I18" s="59" t="s">
        <v>123</v>
      </c>
    </row>
    <row r="19" spans="1:9" ht="26.4" x14ac:dyDescent="0.25">
      <c r="A19" s="61" t="s">
        <v>7</v>
      </c>
      <c r="B19" s="55">
        <v>1</v>
      </c>
      <c r="C19" s="130" t="s">
        <v>79</v>
      </c>
      <c r="D19" s="131"/>
      <c r="I19" s="59" t="s">
        <v>122</v>
      </c>
    </row>
    <row r="20" spans="1:9" ht="26.4" x14ac:dyDescent="0.25">
      <c r="A20" s="61" t="s">
        <v>95</v>
      </c>
      <c r="B20" s="55" t="s">
        <v>131</v>
      </c>
      <c r="C20" s="132" t="s">
        <v>96</v>
      </c>
      <c r="D20" s="133"/>
      <c r="I20" s="59">
        <v>5.6</v>
      </c>
    </row>
    <row r="21" spans="1:9" ht="14.4" x14ac:dyDescent="0.3">
      <c r="A21"/>
      <c r="B21"/>
    </row>
    <row r="22" spans="1:9" ht="13.8" thickBot="1" x14ac:dyDescent="0.3">
      <c r="A22" s="4"/>
      <c r="B22" s="2"/>
    </row>
    <row r="23" spans="1:9" ht="13.8" thickBot="1" x14ac:dyDescent="0.3">
      <c r="A23" s="134" t="s">
        <v>14</v>
      </c>
      <c r="B23" s="135"/>
      <c r="C23" s="135"/>
      <c r="D23" s="135"/>
      <c r="E23" s="135"/>
      <c r="F23" s="136"/>
    </row>
    <row r="24" spans="1:9" x14ac:dyDescent="0.25">
      <c r="A24" s="4"/>
      <c r="B24" s="2"/>
    </row>
    <row r="25" spans="1:9" x14ac:dyDescent="0.25">
      <c r="A25" s="4"/>
      <c r="B25" s="2"/>
    </row>
    <row r="26" spans="1:9" x14ac:dyDescent="0.25">
      <c r="A26" s="4"/>
      <c r="B26" s="2"/>
    </row>
    <row r="28" spans="1:9" x14ac:dyDescent="0.25">
      <c r="A28" s="83" t="s">
        <v>13</v>
      </c>
      <c r="B28" s="83"/>
      <c r="C28" s="83"/>
      <c r="D28" s="83" t="s">
        <v>14</v>
      </c>
      <c r="E28" s="83"/>
      <c r="I28" s="59" t="s">
        <v>124</v>
      </c>
    </row>
    <row r="29" spans="1:9" x14ac:dyDescent="0.25">
      <c r="A29" s="79" t="s">
        <v>12</v>
      </c>
      <c r="B29" s="6" t="s">
        <v>10</v>
      </c>
      <c r="C29" s="6" t="s">
        <v>11</v>
      </c>
      <c r="D29" s="137" t="s">
        <v>16</v>
      </c>
      <c r="E29" s="137"/>
    </row>
    <row r="30" spans="1:9" x14ac:dyDescent="0.25">
      <c r="A30" s="79"/>
      <c r="B30" s="6" t="s">
        <v>9</v>
      </c>
      <c r="C30" s="6" t="str">
        <f>B20</f>
        <v>B</v>
      </c>
      <c r="D30" s="79" t="s">
        <v>15</v>
      </c>
      <c r="E30" s="79"/>
    </row>
    <row r="31" spans="1:9" x14ac:dyDescent="0.25">
      <c r="A31" s="5" t="s">
        <v>1</v>
      </c>
      <c r="B31" s="7" t="s">
        <v>0</v>
      </c>
      <c r="C31" s="54">
        <v>0.59</v>
      </c>
      <c r="D31" s="118">
        <f>0.613*C31*$B$17*$B$16*$B$15^2*$B$19</f>
        <v>622.52448750000008</v>
      </c>
      <c r="E31" s="118"/>
    </row>
    <row r="32" spans="1:9" hidden="1" x14ac:dyDescent="0.25">
      <c r="A32" s="5" t="s">
        <v>2</v>
      </c>
      <c r="B32" s="7">
        <v>6.4</v>
      </c>
      <c r="C32" s="54">
        <v>0.63</v>
      </c>
      <c r="D32" s="118">
        <f t="shared" ref="D32:D35" si="0">0.613*C32*$B$17*$B$16*$B$15^2*$B$19</f>
        <v>664.72953749999999</v>
      </c>
      <c r="E32" s="118"/>
    </row>
    <row r="33" spans="1:9" x14ac:dyDescent="0.25">
      <c r="A33" s="38" t="s">
        <v>58</v>
      </c>
      <c r="B33" s="7">
        <f>B8</f>
        <v>7.2</v>
      </c>
      <c r="C33" s="7">
        <v>0.65</v>
      </c>
      <c r="D33" s="118">
        <f t="shared" si="0"/>
        <v>685.83206250000001</v>
      </c>
      <c r="E33" s="118"/>
      <c r="F33" s="62" t="s">
        <v>34</v>
      </c>
    </row>
    <row r="34" spans="1:9" hidden="1" x14ac:dyDescent="0.25">
      <c r="A34" s="5" t="s">
        <v>3</v>
      </c>
      <c r="B34" s="7">
        <v>7.57</v>
      </c>
      <c r="C34" s="7">
        <v>0.94</v>
      </c>
      <c r="D34" s="118">
        <f t="shared" si="0"/>
        <v>991.81867499999998</v>
      </c>
      <c r="E34" s="118"/>
    </row>
    <row r="35" spans="1:9" x14ac:dyDescent="0.25">
      <c r="A35" s="5" t="s">
        <v>4</v>
      </c>
      <c r="B35" s="7">
        <v>7.6</v>
      </c>
      <c r="C35" s="7">
        <v>0.66</v>
      </c>
      <c r="D35" s="118">
        <f t="shared" si="0"/>
        <v>696.38332500000001</v>
      </c>
      <c r="E35" s="118"/>
    </row>
    <row r="36" spans="1:9" ht="13.8" thickBot="1" x14ac:dyDescent="0.3"/>
    <row r="37" spans="1:9" ht="13.8" thickBot="1" x14ac:dyDescent="0.3">
      <c r="A37" s="119" t="s">
        <v>17</v>
      </c>
      <c r="B37" s="120"/>
      <c r="C37" s="120"/>
      <c r="D37" s="120"/>
      <c r="E37" s="120"/>
      <c r="F37" s="121"/>
    </row>
    <row r="38" spans="1:9" x14ac:dyDescent="0.25">
      <c r="B38" s="8"/>
      <c r="C38" s="8"/>
      <c r="D38" s="8"/>
      <c r="E38" s="8"/>
      <c r="F38" s="8"/>
      <c r="G38" s="8"/>
      <c r="H38" s="8"/>
    </row>
    <row r="39" spans="1:9" x14ac:dyDescent="0.25">
      <c r="B39" s="8"/>
      <c r="C39" s="8"/>
      <c r="D39" s="8"/>
      <c r="E39" s="8"/>
      <c r="F39" s="8"/>
      <c r="G39" s="8"/>
      <c r="H39" s="8"/>
    </row>
    <row r="40" spans="1:9" x14ac:dyDescent="0.25">
      <c r="B40" s="8"/>
      <c r="C40" s="8"/>
      <c r="D40" s="8"/>
      <c r="E40" s="8"/>
      <c r="F40" s="8"/>
      <c r="G40" s="8"/>
      <c r="H40" s="8"/>
    </row>
    <row r="42" spans="1:9" x14ac:dyDescent="0.25">
      <c r="A42" s="122" t="s">
        <v>18</v>
      </c>
      <c r="B42" s="122"/>
      <c r="C42" s="122"/>
      <c r="D42" s="122"/>
      <c r="E42" s="122"/>
    </row>
    <row r="43" spans="1:9" x14ac:dyDescent="0.25">
      <c r="A43" s="25" t="s">
        <v>19</v>
      </c>
      <c r="B43" s="25" t="s">
        <v>20</v>
      </c>
      <c r="C43" s="86" t="s">
        <v>21</v>
      </c>
      <c r="D43" s="79" t="s">
        <v>23</v>
      </c>
      <c r="E43" s="79" t="s">
        <v>22</v>
      </c>
    </row>
    <row r="44" spans="1:9" x14ac:dyDescent="0.25">
      <c r="A44" s="24" t="s">
        <v>9</v>
      </c>
      <c r="B44" s="24" t="s">
        <v>9</v>
      </c>
      <c r="C44" s="86"/>
      <c r="D44" s="79"/>
      <c r="E44" s="79"/>
    </row>
    <row r="45" spans="1:9" x14ac:dyDescent="0.25">
      <c r="A45" s="31">
        <f>B8</f>
        <v>7.2</v>
      </c>
      <c r="B45" s="31">
        <f>B5</f>
        <v>12</v>
      </c>
      <c r="C45" s="27">
        <f>+A45/B45</f>
        <v>0.6</v>
      </c>
      <c r="D45" s="31" t="str">
        <f>+IF(C45&lt;1.4, "Rígida", "Flexible")</f>
        <v>Rígida</v>
      </c>
      <c r="E45" s="31">
        <f>+IF(D45="Rígida", 0.85, "Ver 5.8")</f>
        <v>0.85</v>
      </c>
    </row>
    <row r="46" spans="1:9" x14ac:dyDescent="0.25">
      <c r="B46" s="1"/>
    </row>
    <row r="47" spans="1:9" x14ac:dyDescent="0.25">
      <c r="A47" s="83" t="s">
        <v>36</v>
      </c>
      <c r="B47" s="83"/>
      <c r="C47" s="83"/>
      <c r="D47" s="83"/>
      <c r="E47" s="83"/>
      <c r="F47" s="83"/>
      <c r="I47" s="59" t="s">
        <v>125</v>
      </c>
    </row>
    <row r="48" spans="1:9" x14ac:dyDescent="0.25">
      <c r="A48" s="123" t="s">
        <v>24</v>
      </c>
      <c r="B48" s="124"/>
      <c r="C48" s="125"/>
      <c r="D48" s="73" t="s">
        <v>37</v>
      </c>
      <c r="E48" s="73"/>
      <c r="F48" s="39" t="s">
        <v>35</v>
      </c>
    </row>
    <row r="49" spans="1:9" x14ac:dyDescent="0.25">
      <c r="A49" s="9" t="s">
        <v>30</v>
      </c>
      <c r="B49" s="126" t="s">
        <v>38</v>
      </c>
      <c r="C49" s="127"/>
      <c r="D49" s="26" t="s">
        <v>29</v>
      </c>
      <c r="E49" s="26" t="s">
        <v>31</v>
      </c>
      <c r="F49" s="26" t="s">
        <v>32</v>
      </c>
    </row>
    <row r="50" spans="1:9" x14ac:dyDescent="0.25">
      <c r="A50" s="10" t="s">
        <v>25</v>
      </c>
      <c r="B50" s="128" t="s">
        <v>39</v>
      </c>
      <c r="C50" s="129"/>
      <c r="D50" s="11" t="s">
        <v>28</v>
      </c>
      <c r="E50" s="34">
        <v>0.8</v>
      </c>
      <c r="F50" s="11" t="s">
        <v>33</v>
      </c>
    </row>
    <row r="51" spans="1:9" x14ac:dyDescent="0.25">
      <c r="A51" s="81" t="s">
        <v>26</v>
      </c>
      <c r="B51" s="107" t="s">
        <v>40</v>
      </c>
      <c r="C51" s="108"/>
      <c r="D51" s="31">
        <f>B6/B5</f>
        <v>2.5</v>
      </c>
      <c r="E51" s="7">
        <v>-0.3</v>
      </c>
      <c r="F51" s="116" t="s">
        <v>34</v>
      </c>
    </row>
    <row r="52" spans="1:9" x14ac:dyDescent="0.25">
      <c r="A52" s="82"/>
      <c r="B52" s="107" t="s">
        <v>41</v>
      </c>
      <c r="C52" s="108"/>
      <c r="D52" s="31">
        <f>1/D51</f>
        <v>0.4</v>
      </c>
      <c r="E52" s="7">
        <v>-0.5</v>
      </c>
      <c r="F52" s="117"/>
    </row>
    <row r="53" spans="1:9" x14ac:dyDescent="0.25">
      <c r="A53" s="5" t="s">
        <v>27</v>
      </c>
      <c r="B53" s="107" t="s">
        <v>39</v>
      </c>
      <c r="C53" s="108"/>
      <c r="D53" s="31" t="s">
        <v>28</v>
      </c>
      <c r="E53" s="7">
        <v>-0.7</v>
      </c>
      <c r="F53" s="31" t="s">
        <v>34</v>
      </c>
    </row>
    <row r="54" spans="1:9" hidden="1" x14ac:dyDescent="0.25"/>
    <row r="55" spans="1:9" hidden="1" x14ac:dyDescent="0.25">
      <c r="A55" s="109" t="s">
        <v>130</v>
      </c>
      <c r="B55" s="110"/>
      <c r="C55" s="110"/>
      <c r="D55" s="110"/>
      <c r="E55" s="111"/>
      <c r="I55" s="59" t="s">
        <v>126</v>
      </c>
    </row>
    <row r="56" spans="1:9" hidden="1" x14ac:dyDescent="0.25">
      <c r="A56" s="112" t="s">
        <v>42</v>
      </c>
      <c r="B56" s="112" t="s">
        <v>43</v>
      </c>
      <c r="C56" s="113" t="s">
        <v>44</v>
      </c>
      <c r="D56" s="114"/>
      <c r="E56" s="115"/>
    </row>
    <row r="57" spans="1:9" ht="14.4" hidden="1" customHeight="1" x14ac:dyDescent="0.25">
      <c r="A57" s="84"/>
      <c r="B57" s="84"/>
      <c r="C57" s="113" t="str">
        <f>B9</f>
        <v>3,81º</v>
      </c>
      <c r="D57" s="114"/>
      <c r="E57" s="115"/>
    </row>
    <row r="58" spans="1:9" hidden="1" x14ac:dyDescent="0.25">
      <c r="A58" s="81" t="s">
        <v>3</v>
      </c>
      <c r="B58" s="90">
        <f>B8/B5</f>
        <v>0.6</v>
      </c>
      <c r="C58" s="31" t="s">
        <v>84</v>
      </c>
      <c r="D58" s="102">
        <v>-0.9</v>
      </c>
      <c r="E58" s="103"/>
    </row>
    <row r="59" spans="1:9" hidden="1" x14ac:dyDescent="0.25">
      <c r="A59" s="82"/>
      <c r="B59" s="92"/>
      <c r="C59" s="31" t="s">
        <v>85</v>
      </c>
      <c r="D59" s="102">
        <v>-0.5</v>
      </c>
      <c r="E59" s="103"/>
    </row>
    <row r="61" spans="1:9" x14ac:dyDescent="0.25">
      <c r="A61" s="83" t="s">
        <v>45</v>
      </c>
      <c r="B61" s="83"/>
      <c r="C61" s="83"/>
      <c r="D61" s="83"/>
      <c r="E61" s="83"/>
      <c r="F61" s="83"/>
      <c r="I61" s="59" t="s">
        <v>126</v>
      </c>
    </row>
    <row r="62" spans="1:9" x14ac:dyDescent="0.25">
      <c r="A62" s="79" t="s">
        <v>30</v>
      </c>
      <c r="B62" s="79" t="s">
        <v>43</v>
      </c>
      <c r="C62" s="79" t="s">
        <v>46</v>
      </c>
      <c r="D62" s="79"/>
      <c r="E62" s="79"/>
      <c r="F62" s="79" t="s">
        <v>31</v>
      </c>
    </row>
    <row r="63" spans="1:9" x14ac:dyDescent="0.25">
      <c r="A63" s="79"/>
      <c r="B63" s="79"/>
      <c r="C63" s="79"/>
      <c r="D63" s="79"/>
      <c r="E63" s="79"/>
      <c r="F63" s="79"/>
    </row>
    <row r="64" spans="1:9" x14ac:dyDescent="0.25">
      <c r="A64" s="104" t="s">
        <v>3</v>
      </c>
      <c r="B64" s="105">
        <f>B8/B6</f>
        <v>0.24000000000000002</v>
      </c>
      <c r="C64" s="106" t="s">
        <v>47</v>
      </c>
      <c r="D64" s="106"/>
      <c r="E64" s="106"/>
      <c r="F64" s="54">
        <v>-0.9</v>
      </c>
    </row>
    <row r="65" spans="1:10" x14ac:dyDescent="0.25">
      <c r="A65" s="104"/>
      <c r="B65" s="105"/>
      <c r="C65" s="106" t="s">
        <v>48</v>
      </c>
      <c r="D65" s="106"/>
      <c r="E65" s="106"/>
      <c r="F65" s="54">
        <v>-0.5</v>
      </c>
    </row>
    <row r="66" spans="1:10" x14ac:dyDescent="0.25">
      <c r="A66" s="104"/>
      <c r="B66" s="105"/>
      <c r="C66" s="106" t="s">
        <v>49</v>
      </c>
      <c r="D66" s="106"/>
      <c r="E66" s="106"/>
      <c r="F66" s="54">
        <v>-0.3</v>
      </c>
    </row>
    <row r="67" spans="1:10" x14ac:dyDescent="0.25">
      <c r="A67" s="2"/>
      <c r="B67" s="49"/>
      <c r="C67" s="3"/>
      <c r="D67" s="3"/>
      <c r="E67" s="3"/>
      <c r="F67" s="2"/>
    </row>
    <row r="68" spans="1:10" x14ac:dyDescent="0.25">
      <c r="A68" s="83" t="s">
        <v>106</v>
      </c>
      <c r="B68" s="83"/>
      <c r="C68" s="83"/>
      <c r="D68" s="83"/>
      <c r="E68" s="83"/>
      <c r="F68" s="83"/>
    </row>
    <row r="69" spans="1:10" ht="13.8" x14ac:dyDescent="0.25">
      <c r="A69" s="29" t="s">
        <v>105</v>
      </c>
      <c r="B69" s="99" t="s">
        <v>107</v>
      </c>
      <c r="C69" s="99"/>
      <c r="D69" s="99"/>
      <c r="E69" s="99"/>
      <c r="F69" s="99"/>
      <c r="I69" s="59" t="s">
        <v>127</v>
      </c>
    </row>
    <row r="71" spans="1:10" ht="18" customHeight="1" x14ac:dyDescent="0.25">
      <c r="A71" s="100" t="s">
        <v>50</v>
      </c>
      <c r="B71" s="100"/>
      <c r="C71" s="100"/>
      <c r="D71" s="100"/>
      <c r="E71" s="100"/>
      <c r="F71" s="100"/>
    </row>
    <row r="72" spans="1:10" ht="18" customHeight="1" x14ac:dyDescent="0.25">
      <c r="A72" s="84" t="s">
        <v>30</v>
      </c>
      <c r="B72" s="85" t="s">
        <v>80</v>
      </c>
      <c r="C72" s="85" t="s">
        <v>51</v>
      </c>
      <c r="D72" s="101" t="s">
        <v>31</v>
      </c>
      <c r="E72" s="84" t="s">
        <v>52</v>
      </c>
      <c r="F72" s="84"/>
    </row>
    <row r="73" spans="1:10" x14ac:dyDescent="0.25">
      <c r="A73" s="79"/>
      <c r="B73" s="86"/>
      <c r="C73" s="86"/>
      <c r="D73" s="84"/>
      <c r="E73" s="25" t="s">
        <v>53</v>
      </c>
      <c r="F73" s="25" t="s">
        <v>54</v>
      </c>
    </row>
    <row r="74" spans="1:10" x14ac:dyDescent="0.25">
      <c r="A74" s="81" t="s">
        <v>25</v>
      </c>
      <c r="B74" s="31" t="s">
        <v>55</v>
      </c>
      <c r="C74" s="27">
        <f>D31</f>
        <v>622.52448750000008</v>
      </c>
      <c r="D74" s="27">
        <f>E50</f>
        <v>0.8</v>
      </c>
      <c r="E74" s="27">
        <f>+(C74*0.85*D74)-(J80*0.18)</f>
        <v>299.86688025000012</v>
      </c>
      <c r="F74" s="27">
        <f t="shared" ref="F74:F79" si="1">+(C74*0.85*D74)-($J$80*-0.18)</f>
        <v>546.76642275000006</v>
      </c>
    </row>
    <row r="75" spans="1:10" x14ac:dyDescent="0.25">
      <c r="A75" s="82"/>
      <c r="B75" s="31">
        <f>B35</f>
        <v>7.6</v>
      </c>
      <c r="C75" s="27">
        <f>D35</f>
        <v>696.38332500000001</v>
      </c>
      <c r="D75" s="27">
        <f>E50</f>
        <v>0.8</v>
      </c>
      <c r="E75" s="27">
        <f>+(C75*0.85*D75)-(J80*0.18)</f>
        <v>350.09088974999997</v>
      </c>
      <c r="F75" s="27">
        <f t="shared" si="1"/>
        <v>596.99043225000003</v>
      </c>
    </row>
    <row r="76" spans="1:10" x14ac:dyDescent="0.25">
      <c r="A76" s="28" t="s">
        <v>26</v>
      </c>
      <c r="B76" s="31" t="s">
        <v>39</v>
      </c>
      <c r="C76" s="27">
        <f>$D$33</f>
        <v>685.83206250000001</v>
      </c>
      <c r="D76" s="27">
        <f>E52</f>
        <v>-0.5</v>
      </c>
      <c r="E76" s="27">
        <f>+(C76*0.85*D76)-(J80*0.18)</f>
        <v>-414.92839781249995</v>
      </c>
      <c r="F76" s="27">
        <f t="shared" si="1"/>
        <v>-168.02885531249999</v>
      </c>
    </row>
    <row r="77" spans="1:10" x14ac:dyDescent="0.25">
      <c r="A77" s="28" t="s">
        <v>56</v>
      </c>
      <c r="B77" s="31" t="s">
        <v>39</v>
      </c>
      <c r="C77" s="27">
        <f t="shared" ref="C77:C79" si="2">$D$33</f>
        <v>685.83206250000001</v>
      </c>
      <c r="D77" s="27">
        <f>E53</f>
        <v>-0.7</v>
      </c>
      <c r="E77" s="27">
        <f>+(C77*0.85*D77)-(J80*0.18)</f>
        <v>-531.51984843749995</v>
      </c>
      <c r="F77" s="27">
        <f t="shared" si="1"/>
        <v>-284.62030593750001</v>
      </c>
    </row>
    <row r="78" spans="1:10" ht="18" customHeight="1" x14ac:dyDescent="0.3">
      <c r="A78" s="81" t="s">
        <v>3</v>
      </c>
      <c r="B78" s="35" t="s">
        <v>104</v>
      </c>
      <c r="C78" s="27">
        <f t="shared" si="2"/>
        <v>685.83206250000001</v>
      </c>
      <c r="D78" s="27">
        <f>D58</f>
        <v>-0.9</v>
      </c>
      <c r="E78" s="27">
        <f>+(C78*0.85*D78)-($J$80*0.18)</f>
        <v>-648.11129906250005</v>
      </c>
      <c r="F78" s="27">
        <f t="shared" si="1"/>
        <v>-401.2117565625</v>
      </c>
    </row>
    <row r="79" spans="1:10" ht="18" customHeight="1" thickBot="1" x14ac:dyDescent="0.35">
      <c r="A79" s="82"/>
      <c r="B79" s="48" t="s">
        <v>85</v>
      </c>
      <c r="C79" s="27">
        <f t="shared" si="2"/>
        <v>685.83206250000001</v>
      </c>
      <c r="D79" s="27">
        <f>D59</f>
        <v>-0.5</v>
      </c>
      <c r="E79" s="27">
        <f>+(C79*0.85*D79)-($J$80*0.18)</f>
        <v>-414.92839781249995</v>
      </c>
      <c r="F79" s="27">
        <f t="shared" si="1"/>
        <v>-168.02885531249999</v>
      </c>
    </row>
    <row r="80" spans="1:10" ht="13.8" thickBot="1" x14ac:dyDescent="0.3">
      <c r="I80" s="13" t="s">
        <v>34</v>
      </c>
      <c r="J80" s="36">
        <f>D33</f>
        <v>685.83206250000001</v>
      </c>
    </row>
    <row r="81" spans="1:7" x14ac:dyDescent="0.25">
      <c r="A81" s="83" t="s">
        <v>57</v>
      </c>
      <c r="B81" s="83"/>
      <c r="C81" s="83"/>
      <c r="D81" s="83"/>
      <c r="E81" s="83"/>
      <c r="F81" s="83"/>
    </row>
    <row r="82" spans="1:7" x14ac:dyDescent="0.25">
      <c r="A82" s="84" t="s">
        <v>30</v>
      </c>
      <c r="B82" s="85" t="s">
        <v>86</v>
      </c>
      <c r="C82" s="85" t="s">
        <v>51</v>
      </c>
      <c r="D82" s="84" t="s">
        <v>31</v>
      </c>
      <c r="E82" s="87" t="s">
        <v>52</v>
      </c>
      <c r="F82" s="88"/>
    </row>
    <row r="83" spans="1:7" x14ac:dyDescent="0.25">
      <c r="A83" s="79"/>
      <c r="B83" s="86"/>
      <c r="C83" s="86"/>
      <c r="D83" s="79"/>
      <c r="E83" s="25" t="s">
        <v>53</v>
      </c>
      <c r="F83" s="25" t="s">
        <v>54</v>
      </c>
    </row>
    <row r="84" spans="1:7" x14ac:dyDescent="0.25">
      <c r="A84" s="81" t="s">
        <v>25</v>
      </c>
      <c r="B84" s="31" t="str">
        <f>B31</f>
        <v>0-5</v>
      </c>
      <c r="C84" s="27">
        <f>D31</f>
        <v>622.52448750000008</v>
      </c>
      <c r="D84" s="90">
        <f>E50</f>
        <v>0.8</v>
      </c>
      <c r="E84" s="27">
        <f>+(C84*0.85*$D$84)-($J$80*0.18)</f>
        <v>299.86688025000012</v>
      </c>
      <c r="F84" s="27">
        <f>+(C84*0.85*$D$84)-($J$80*-0.18)</f>
        <v>546.76642275000006</v>
      </c>
    </row>
    <row r="85" spans="1:7" hidden="1" x14ac:dyDescent="0.25">
      <c r="A85" s="89"/>
      <c r="B85" s="31">
        <f>B32</f>
        <v>6.4</v>
      </c>
      <c r="C85" s="27">
        <f>D32</f>
        <v>664.72953749999999</v>
      </c>
      <c r="D85" s="91"/>
      <c r="E85" s="27">
        <f t="shared" ref="E85:E88" si="3">+(C85*0.85*$D$84)-($J$80*0.18)</f>
        <v>328.56631425</v>
      </c>
      <c r="F85" s="27">
        <f t="shared" ref="F85:F88" si="4">+(C85*0.85*$D$84)-($J$80*-0.18)</f>
        <v>575.46585675000006</v>
      </c>
    </row>
    <row r="86" spans="1:7" x14ac:dyDescent="0.25">
      <c r="A86" s="89"/>
      <c r="B86" s="31">
        <f>B33</f>
        <v>7.2</v>
      </c>
      <c r="C86" s="27">
        <f>D33</f>
        <v>685.83206250000001</v>
      </c>
      <c r="D86" s="91"/>
      <c r="E86" s="27">
        <f t="shared" si="3"/>
        <v>342.91603124999995</v>
      </c>
      <c r="F86" s="27">
        <f t="shared" si="4"/>
        <v>589.81557375</v>
      </c>
    </row>
    <row r="87" spans="1:7" hidden="1" x14ac:dyDescent="0.25">
      <c r="A87" s="89"/>
      <c r="B87" s="31">
        <f>B34</f>
        <v>7.57</v>
      </c>
      <c r="C87" s="27">
        <f>D34</f>
        <v>991.81867499999998</v>
      </c>
      <c r="D87" s="91"/>
      <c r="E87" s="27">
        <f t="shared" si="3"/>
        <v>550.98692774999995</v>
      </c>
      <c r="F87" s="27">
        <f t="shared" si="4"/>
        <v>797.88647025</v>
      </c>
    </row>
    <row r="88" spans="1:7" x14ac:dyDescent="0.25">
      <c r="A88" s="82"/>
      <c r="B88" s="31">
        <f>B35</f>
        <v>7.6</v>
      </c>
      <c r="C88" s="27">
        <f>D35</f>
        <v>696.38332500000001</v>
      </c>
      <c r="D88" s="92"/>
      <c r="E88" s="27">
        <f t="shared" si="3"/>
        <v>350.09088974999997</v>
      </c>
      <c r="F88" s="27">
        <f t="shared" si="4"/>
        <v>596.99043225000003</v>
      </c>
    </row>
    <row r="89" spans="1:7" x14ac:dyDescent="0.25">
      <c r="A89" s="15" t="s">
        <v>26</v>
      </c>
      <c r="B89" s="31" t="s">
        <v>39</v>
      </c>
      <c r="C89" s="27">
        <f>J80</f>
        <v>685.83206250000001</v>
      </c>
      <c r="D89" s="47">
        <f>E51</f>
        <v>-0.3</v>
      </c>
      <c r="E89" s="27">
        <f t="shared" ref="E89:E91" si="5">+(C89*0.85*D89)-($J$80*0.18)</f>
        <v>-298.33694718749996</v>
      </c>
      <c r="F89" s="27">
        <f>+(C89*0.85*D89)-($J$80*-0.18)</f>
        <v>-51.437404687499992</v>
      </c>
    </row>
    <row r="90" spans="1:7" x14ac:dyDescent="0.25">
      <c r="A90" s="15" t="s">
        <v>27</v>
      </c>
      <c r="B90" s="31" t="s">
        <v>39</v>
      </c>
      <c r="C90" s="27">
        <f>J80</f>
        <v>685.83206250000001</v>
      </c>
      <c r="D90" s="27">
        <f>E53</f>
        <v>-0.7</v>
      </c>
      <c r="E90" s="27">
        <f t="shared" si="5"/>
        <v>-531.51984843749995</v>
      </c>
      <c r="F90" s="27">
        <f t="shared" ref="F90:F93" si="6">+(C90*0.85*D90)-($J$80*-0.18)</f>
        <v>-284.62030593750001</v>
      </c>
    </row>
    <row r="91" spans="1:7" x14ac:dyDescent="0.25">
      <c r="A91" s="93" t="s">
        <v>3</v>
      </c>
      <c r="B91" s="31" t="s">
        <v>47</v>
      </c>
      <c r="C91" s="27">
        <f>J80</f>
        <v>685.83206250000001</v>
      </c>
      <c r="D91" s="27">
        <f>F64</f>
        <v>-0.9</v>
      </c>
      <c r="E91" s="27">
        <f t="shared" si="5"/>
        <v>-648.11129906250005</v>
      </c>
      <c r="F91" s="27">
        <f t="shared" si="6"/>
        <v>-401.2117565625</v>
      </c>
    </row>
    <row r="92" spans="1:7" x14ac:dyDescent="0.25">
      <c r="A92" s="93"/>
      <c r="B92" s="31" t="s">
        <v>48</v>
      </c>
      <c r="C92" s="27">
        <f>J80</f>
        <v>685.83206250000001</v>
      </c>
      <c r="D92" s="27">
        <f t="shared" ref="D92:D93" si="7">F65</f>
        <v>-0.5</v>
      </c>
      <c r="E92" s="27">
        <f>+(C92*0.85*D92)-($J$80*0.18)</f>
        <v>-414.92839781249995</v>
      </c>
      <c r="F92" s="27">
        <f t="shared" si="6"/>
        <v>-168.02885531249999</v>
      </c>
    </row>
    <row r="93" spans="1:7" x14ac:dyDescent="0.25">
      <c r="A93" s="93"/>
      <c r="B93" s="31" t="s">
        <v>49</v>
      </c>
      <c r="C93" s="27">
        <f>J80</f>
        <v>685.83206250000001</v>
      </c>
      <c r="D93" s="27">
        <f t="shared" si="7"/>
        <v>-0.3</v>
      </c>
      <c r="E93" s="27">
        <f>+(C93*0.85*D93)-($J$80*0.18)</f>
        <v>-298.33694718749996</v>
      </c>
      <c r="F93" s="27">
        <f t="shared" si="6"/>
        <v>-51.437404687499992</v>
      </c>
    </row>
    <row r="94" spans="1:7" x14ac:dyDescent="0.25">
      <c r="A94" s="57"/>
      <c r="C94" s="58"/>
      <c r="D94" s="58"/>
      <c r="E94" s="58"/>
      <c r="F94" s="58"/>
    </row>
    <row r="96" spans="1:7" x14ac:dyDescent="0.25">
      <c r="A96" s="94" t="s">
        <v>82</v>
      </c>
      <c r="B96" s="95"/>
      <c r="C96" s="95"/>
      <c r="D96" s="95"/>
      <c r="E96" s="95"/>
      <c r="F96" s="95"/>
      <c r="G96" s="37"/>
    </row>
    <row r="97" spans="1:23" ht="14.4" customHeight="1" x14ac:dyDescent="0.3">
      <c r="A97" s="96" t="s">
        <v>81</v>
      </c>
      <c r="B97" s="97"/>
      <c r="C97" s="97"/>
      <c r="D97" s="97"/>
      <c r="E97" s="97"/>
      <c r="F97" s="97"/>
      <c r="G97" s="98"/>
      <c r="I97" s="80" t="s">
        <v>83</v>
      </c>
      <c r="J97" s="80"/>
      <c r="K97" s="80"/>
      <c r="L97" s="80"/>
      <c r="M97" s="80"/>
      <c r="N97" s="80"/>
      <c r="O97" s="80"/>
      <c r="R97"/>
      <c r="S97"/>
      <c r="T97"/>
    </row>
    <row r="98" spans="1:23" x14ac:dyDescent="0.25">
      <c r="A98" s="79" t="s">
        <v>30</v>
      </c>
      <c r="B98" s="79" t="s">
        <v>75</v>
      </c>
      <c r="C98" s="16" t="s">
        <v>76</v>
      </c>
      <c r="D98" s="16" t="s">
        <v>77</v>
      </c>
      <c r="E98" s="79" t="s">
        <v>59</v>
      </c>
      <c r="F98" s="79"/>
      <c r="G98" s="79"/>
      <c r="I98" s="75" t="s">
        <v>69</v>
      </c>
      <c r="J98" s="73" t="s">
        <v>109</v>
      </c>
      <c r="K98" s="73"/>
      <c r="L98" s="73" t="s">
        <v>62</v>
      </c>
      <c r="M98" s="73"/>
      <c r="N98" s="73" t="s">
        <v>63</v>
      </c>
      <c r="O98" s="73"/>
      <c r="R98" s="74" t="s">
        <v>118</v>
      </c>
      <c r="S98" s="74"/>
      <c r="T98" s="74"/>
      <c r="U98" s="74"/>
      <c r="V98" s="74"/>
      <c r="W98" s="74"/>
    </row>
    <row r="99" spans="1:23" x14ac:dyDescent="0.25">
      <c r="A99" s="79"/>
      <c r="B99" s="79"/>
      <c r="C99" s="17" t="s">
        <v>78</v>
      </c>
      <c r="D99" s="17" t="s">
        <v>78</v>
      </c>
      <c r="E99" s="79"/>
      <c r="F99" s="79"/>
      <c r="G99" s="79"/>
      <c r="I99" s="75"/>
      <c r="J99" s="50" t="s">
        <v>111</v>
      </c>
      <c r="K99" s="51" t="s">
        <v>112</v>
      </c>
      <c r="L99" s="50" t="s">
        <v>110</v>
      </c>
      <c r="M99" s="50" t="s">
        <v>113</v>
      </c>
      <c r="N99" s="50" t="s">
        <v>110</v>
      </c>
      <c r="O99" s="50" t="s">
        <v>113</v>
      </c>
      <c r="R99" s="75" t="s">
        <v>116</v>
      </c>
      <c r="S99" s="75"/>
      <c r="T99" s="75"/>
      <c r="U99" s="75" t="s">
        <v>3</v>
      </c>
      <c r="V99" s="75"/>
      <c r="W99" s="75"/>
    </row>
    <row r="100" spans="1:23" x14ac:dyDescent="0.25">
      <c r="A100" s="76" t="s">
        <v>60</v>
      </c>
      <c r="B100" s="43"/>
      <c r="C100" s="43"/>
      <c r="D100" s="44"/>
      <c r="E100" s="40" t="s">
        <v>61</v>
      </c>
      <c r="F100" s="41" t="s">
        <v>62</v>
      </c>
      <c r="G100" s="41" t="s">
        <v>63</v>
      </c>
      <c r="I100" s="5" t="s">
        <v>72</v>
      </c>
      <c r="J100" s="23">
        <f>+$J$80*(E101-0.18)</f>
        <v>418.35755812500008</v>
      </c>
      <c r="K100" s="23">
        <f>+$J$80*(E101+0.18)</f>
        <v>665.25710062500002</v>
      </c>
      <c r="L100" s="23">
        <f>+$J$80*(F101-0.18)</f>
        <v>-788.70687187499993</v>
      </c>
      <c r="M100" s="23">
        <f>+$J$80*(F101+0.18)</f>
        <v>-541.80732937499999</v>
      </c>
      <c r="N100" s="27">
        <f>+$J$80*(G101-0.18)</f>
        <v>-802.423513125</v>
      </c>
      <c r="O100" s="27">
        <f>+$J$80*(G101+0.18)</f>
        <v>-555.52397062500006</v>
      </c>
      <c r="R100" s="39" t="s">
        <v>117</v>
      </c>
      <c r="S100" s="32">
        <f>MAX(J100:O100)</f>
        <v>665.25710062500002</v>
      </c>
      <c r="T100" s="32">
        <f>MIN(J100:O100)</f>
        <v>-802.423513125</v>
      </c>
      <c r="U100" s="39" t="s">
        <v>74</v>
      </c>
      <c r="V100" s="32">
        <f>MAX(J105:O105)</f>
        <v>260.61618375</v>
      </c>
      <c r="W100" s="32">
        <f>MIN(J105:O105)</f>
        <v>-1220.78107125</v>
      </c>
    </row>
    <row r="101" spans="1:23" x14ac:dyDescent="0.25">
      <c r="A101" s="77"/>
      <c r="B101" s="18" t="s">
        <v>64</v>
      </c>
      <c r="C101" s="19">
        <f>1.4*4</f>
        <v>5.6</v>
      </c>
      <c r="D101" s="12">
        <f>4*4/3</f>
        <v>5.333333333333333</v>
      </c>
      <c r="E101" s="20">
        <v>0.79</v>
      </c>
      <c r="F101" s="20">
        <v>-0.97</v>
      </c>
      <c r="G101" s="20">
        <v>-0.99</v>
      </c>
      <c r="I101" s="5" t="s">
        <v>65</v>
      </c>
      <c r="J101" s="23">
        <f t="shared" ref="J101:J102" si="8">+$J$80*(E102-0.18)</f>
        <v>473.22412312499995</v>
      </c>
      <c r="K101" s="23">
        <f t="shared" ref="K101:K102" si="9">+$J$80*(E102+0.18)</f>
        <v>720.12366562500006</v>
      </c>
      <c r="L101" s="23">
        <f t="shared" ref="L101:L102" si="10">+$J$80*(F102-0.18)</f>
        <v>-774.99023062499998</v>
      </c>
      <c r="M101" s="23">
        <f t="shared" ref="M101:M102" si="11">+$J$80*(F102+0.18)</f>
        <v>-528.09068812500004</v>
      </c>
      <c r="N101" s="27">
        <f t="shared" ref="N101:N102" si="12">+$J$80*(G102-0.18)</f>
        <v>-925.87328437499991</v>
      </c>
      <c r="O101" s="27">
        <f t="shared" ref="O101:O102" si="13">+$J$80*(G102+0.18)</f>
        <v>-678.97374187499997</v>
      </c>
      <c r="R101" s="39" t="s">
        <v>65</v>
      </c>
      <c r="S101" s="32">
        <f>MAX(J101:O101)</f>
        <v>720.12366562500006</v>
      </c>
      <c r="T101" s="32">
        <f>MIN(J101:O101)</f>
        <v>-925.87328437499991</v>
      </c>
      <c r="U101" s="39" t="s">
        <v>65</v>
      </c>
      <c r="V101" s="32">
        <f>MAX(J106:O106)</f>
        <v>315.48274875000004</v>
      </c>
      <c r="W101" s="32">
        <f>MIN(J106:O106)</f>
        <v>-3552.6100837499998</v>
      </c>
    </row>
    <row r="102" spans="1:23" x14ac:dyDescent="0.25">
      <c r="A102" s="77"/>
      <c r="B102" s="18" t="s">
        <v>65</v>
      </c>
      <c r="C102" s="21">
        <v>1.4</v>
      </c>
      <c r="D102" s="12">
        <f>1.4*1.4/3</f>
        <v>0.65333333333333321</v>
      </c>
      <c r="E102" s="20">
        <v>0.87</v>
      </c>
      <c r="F102" s="20">
        <v>-0.95</v>
      </c>
      <c r="G102" s="20">
        <v>-1.17</v>
      </c>
      <c r="I102" s="5" t="s">
        <v>66</v>
      </c>
      <c r="J102" s="23">
        <f t="shared" si="8"/>
        <v>562.38229125000009</v>
      </c>
      <c r="K102" s="23">
        <f t="shared" si="9"/>
        <v>809.28183374999992</v>
      </c>
      <c r="L102" s="23">
        <f t="shared" si="10"/>
        <v>-877.86504000000002</v>
      </c>
      <c r="M102" s="23">
        <f t="shared" si="11"/>
        <v>-630.96549750000008</v>
      </c>
      <c r="N102" s="27">
        <f t="shared" si="12"/>
        <v>-1083.61465875</v>
      </c>
      <c r="O102" s="27">
        <f t="shared" si="13"/>
        <v>-836.71511624999994</v>
      </c>
    </row>
    <row r="103" spans="1:23" x14ac:dyDescent="0.25">
      <c r="A103" s="78"/>
      <c r="B103" s="30" t="s">
        <v>66</v>
      </c>
      <c r="C103" s="14">
        <f>0.25*1.5</f>
        <v>0.375</v>
      </c>
      <c r="D103" s="22" t="s">
        <v>79</v>
      </c>
      <c r="E103" s="20">
        <v>1</v>
      </c>
      <c r="F103" s="20">
        <v>-1.1000000000000001</v>
      </c>
      <c r="G103" s="20">
        <v>-1.4</v>
      </c>
      <c r="I103" s="75" t="s">
        <v>67</v>
      </c>
      <c r="J103" s="73" t="s">
        <v>73</v>
      </c>
      <c r="K103" s="73"/>
      <c r="L103" s="73" t="s">
        <v>108</v>
      </c>
      <c r="M103" s="73"/>
      <c r="N103" s="73" t="s">
        <v>114</v>
      </c>
      <c r="O103" s="73"/>
    </row>
    <row r="104" spans="1:23" x14ac:dyDescent="0.25">
      <c r="A104" s="76" t="s">
        <v>67</v>
      </c>
      <c r="B104" s="42"/>
      <c r="C104" s="45"/>
      <c r="D104" s="46"/>
      <c r="E104" s="40" t="s">
        <v>115</v>
      </c>
      <c r="F104" s="40" t="s">
        <v>132</v>
      </c>
      <c r="G104" s="40" t="s">
        <v>114</v>
      </c>
      <c r="I104" s="75"/>
      <c r="J104" s="39" t="s">
        <v>70</v>
      </c>
      <c r="K104" s="39" t="s">
        <v>71</v>
      </c>
      <c r="L104" s="39" t="s">
        <v>70</v>
      </c>
      <c r="M104" s="39" t="s">
        <v>71</v>
      </c>
      <c r="N104" s="39" t="s">
        <v>70</v>
      </c>
      <c r="O104" s="39" t="s">
        <v>71</v>
      </c>
    </row>
    <row r="105" spans="1:23" x14ac:dyDescent="0.25">
      <c r="A105" s="77"/>
      <c r="B105" s="63" t="s">
        <v>68</v>
      </c>
      <c r="C105" s="64">
        <f>6*1</f>
        <v>6</v>
      </c>
      <c r="D105" s="65">
        <f>6*6/3</f>
        <v>12</v>
      </c>
      <c r="E105" s="66">
        <v>0.2</v>
      </c>
      <c r="F105" s="66">
        <v>-1.1000000000000001</v>
      </c>
      <c r="G105" s="66">
        <v>-1.6</v>
      </c>
      <c r="H105" s="67"/>
      <c r="I105" s="64" t="s">
        <v>74</v>
      </c>
      <c r="J105" s="68">
        <f>+$J$80*(E105-0.18)</f>
        <v>13.716641250000013</v>
      </c>
      <c r="K105" s="69">
        <f>+$J$80*(E105+0.18)</f>
        <v>260.61618375</v>
      </c>
      <c r="L105" s="69">
        <f>+$J$80*(F105-0.18)</f>
        <v>-877.86504000000002</v>
      </c>
      <c r="M105" s="69">
        <f>+$J$80*(F105+0.18)</f>
        <v>-630.96549750000008</v>
      </c>
      <c r="N105" s="70">
        <f>+$J$80*(G105-0.18)</f>
        <v>-1220.78107125</v>
      </c>
      <c r="O105" s="70">
        <f>+$J$80*(G105+0.18)</f>
        <v>-973.88152875000014</v>
      </c>
    </row>
    <row r="106" spans="1:23" x14ac:dyDescent="0.25">
      <c r="A106" s="77"/>
      <c r="B106" s="29" t="s">
        <v>65</v>
      </c>
      <c r="C106" s="21">
        <f>1*1.5</f>
        <v>1.5</v>
      </c>
      <c r="D106" s="14">
        <f>1/3</f>
        <v>0.33333333333333331</v>
      </c>
      <c r="E106" s="12">
        <v>0.28000000000000003</v>
      </c>
      <c r="F106" s="12">
        <v>-5</v>
      </c>
      <c r="G106" s="12">
        <v>-2.5</v>
      </c>
      <c r="I106" s="5" t="s">
        <v>65</v>
      </c>
      <c r="J106" s="32">
        <f t="shared" ref="J106:J107" si="14">+$J$80*(E106-0.18)</f>
        <v>68.583206250000018</v>
      </c>
      <c r="K106" s="52">
        <f t="shared" ref="K106:K107" si="15">+$J$80*(E106+0.18)</f>
        <v>315.48274875000004</v>
      </c>
      <c r="L106" s="52">
        <f t="shared" ref="L106:L107" si="16">+$J$80*(F106-0.18)</f>
        <v>-3552.6100837499998</v>
      </c>
      <c r="M106" s="52">
        <f t="shared" ref="M106:M107" si="17">+$J$80*(F106+0.18)</f>
        <v>-3305.71054125</v>
      </c>
      <c r="N106" s="27">
        <f t="shared" ref="N106:N107" si="18">+$J$80*(G106-0.18)</f>
        <v>-1838.0299275000002</v>
      </c>
      <c r="O106" s="27">
        <f t="shared" ref="O106:O107" si="19">+$J$80*(G106+0.18)</f>
        <v>-1591.1303849999999</v>
      </c>
    </row>
    <row r="107" spans="1:23" x14ac:dyDescent="0.25">
      <c r="A107" s="78"/>
      <c r="B107" s="31" t="s">
        <v>66</v>
      </c>
      <c r="C107" s="14">
        <f>0.25*2</f>
        <v>0.5</v>
      </c>
      <c r="D107" s="22" t="s">
        <v>79</v>
      </c>
      <c r="E107" s="12">
        <v>0.3</v>
      </c>
      <c r="F107" s="12">
        <v>-1</v>
      </c>
      <c r="G107" s="12">
        <v>-2.8</v>
      </c>
      <c r="I107" s="5" t="s">
        <v>66</v>
      </c>
      <c r="J107" s="32">
        <f t="shared" si="14"/>
        <v>82.299847499999998</v>
      </c>
      <c r="K107" s="52">
        <f t="shared" si="15"/>
        <v>329.19938999999999</v>
      </c>
      <c r="L107" s="52">
        <f t="shared" si="16"/>
        <v>-809.28183374999992</v>
      </c>
      <c r="M107" s="52">
        <f t="shared" si="17"/>
        <v>-562.38229125000009</v>
      </c>
      <c r="N107" s="27">
        <f t="shared" si="18"/>
        <v>-2043.7795462500001</v>
      </c>
      <c r="O107" s="27">
        <f t="shared" si="19"/>
        <v>-1796.8800037499998</v>
      </c>
    </row>
    <row r="109" spans="1:23" x14ac:dyDescent="0.25">
      <c r="B109" s="1"/>
    </row>
    <row r="110" spans="1:23" x14ac:dyDescent="0.25">
      <c r="B110" s="1"/>
      <c r="I110" s="33">
        <f>MAX(J100:O100)</f>
        <v>665.25710062500002</v>
      </c>
      <c r="J110" s="33">
        <f>MIN(J100:O100)</f>
        <v>-802.423513125</v>
      </c>
    </row>
    <row r="111" spans="1:23" x14ac:dyDescent="0.25">
      <c r="B111" s="1"/>
    </row>
    <row r="112" spans="1:23" x14ac:dyDescent="0.25">
      <c r="B112" s="1"/>
    </row>
    <row r="113" spans="1:17" x14ac:dyDescent="0.25">
      <c r="B113" s="1"/>
    </row>
    <row r="114" spans="1:17" x14ac:dyDescent="0.25">
      <c r="B114" s="1"/>
    </row>
    <row r="115" spans="1:17" x14ac:dyDescent="0.25">
      <c r="B115" s="1"/>
    </row>
    <row r="116" spans="1:17" x14ac:dyDescent="0.25">
      <c r="B116" s="1"/>
    </row>
    <row r="117" spans="1:17" x14ac:dyDescent="0.25">
      <c r="B117" s="1"/>
    </row>
    <row r="118" spans="1:17" ht="14.4" x14ac:dyDescent="0.3">
      <c r="B118" s="1"/>
      <c r="K118"/>
      <c r="L118"/>
      <c r="M118"/>
      <c r="N118"/>
      <c r="O118"/>
      <c r="P118"/>
      <c r="Q118"/>
    </row>
    <row r="119" spans="1:17" ht="14.4" x14ac:dyDescent="0.3">
      <c r="B119" s="1"/>
      <c r="K119"/>
      <c r="L119"/>
      <c r="M119"/>
      <c r="N119"/>
      <c r="O119"/>
      <c r="P119"/>
      <c r="Q119"/>
    </row>
    <row r="120" spans="1:17" ht="14.4" x14ac:dyDescent="0.3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</row>
    <row r="121" spans="1:17" ht="14.4" x14ac:dyDescent="0.3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</row>
    <row r="122" spans="1:17" ht="14.4" x14ac:dyDescent="0.3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</row>
    <row r="123" spans="1:17" ht="14.4" x14ac:dyDescent="0.3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</row>
    <row r="124" spans="1:17" ht="14.4" x14ac:dyDescent="0.3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</row>
    <row r="125" spans="1:17" ht="14.4" x14ac:dyDescent="0.3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</row>
    <row r="126" spans="1:17" ht="14.4" x14ac:dyDescent="0.3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</row>
    <row r="127" spans="1:17" ht="14.4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</row>
    <row r="128" spans="1:17" ht="14.4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</row>
    <row r="129" spans="1:17" ht="14.4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</row>
    <row r="130" spans="1:17" ht="14.4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</row>
    <row r="131" spans="1:17" ht="14.4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</row>
    <row r="132" spans="1:17" ht="12.6" customHeigh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</row>
    <row r="133" spans="1:17" ht="14.4" x14ac:dyDescent="0.3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</row>
    <row r="134" spans="1:17" ht="14.4" x14ac:dyDescent="0.3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</row>
    <row r="135" spans="1:17" ht="14.4" x14ac:dyDescent="0.3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</row>
    <row r="136" spans="1:17" ht="14.4" x14ac:dyDescent="0.3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</row>
    <row r="137" spans="1:17" ht="14.4" x14ac:dyDescent="0.3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</row>
    <row r="138" spans="1:17" ht="14.4" x14ac:dyDescent="0.3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</row>
    <row r="139" spans="1:17" ht="14.4" x14ac:dyDescent="0.3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</row>
    <row r="140" spans="1:17" x14ac:dyDescent="0.25">
      <c r="B140" s="1"/>
    </row>
  </sheetData>
  <mergeCells count="93">
    <mergeCell ref="C16:D16"/>
    <mergeCell ref="A1:F2"/>
    <mergeCell ref="A4:B4"/>
    <mergeCell ref="A14:B14"/>
    <mergeCell ref="C14:D14"/>
    <mergeCell ref="C15:D15"/>
    <mergeCell ref="D33:E33"/>
    <mergeCell ref="C17:D17"/>
    <mergeCell ref="C18:D18"/>
    <mergeCell ref="C19:D19"/>
    <mergeCell ref="C20:D20"/>
    <mergeCell ref="A23:F23"/>
    <mergeCell ref="A28:C28"/>
    <mergeCell ref="D28:E28"/>
    <mergeCell ref="A29:A30"/>
    <mergeCell ref="D29:E29"/>
    <mergeCell ref="D30:E30"/>
    <mergeCell ref="D31:E31"/>
    <mergeCell ref="D32:E32"/>
    <mergeCell ref="A51:A52"/>
    <mergeCell ref="B51:C51"/>
    <mergeCell ref="F51:F52"/>
    <mergeCell ref="B52:C52"/>
    <mergeCell ref="D34:E34"/>
    <mergeCell ref="D35:E35"/>
    <mergeCell ref="A37:F37"/>
    <mergeCell ref="A42:E42"/>
    <mergeCell ref="C43:C44"/>
    <mergeCell ref="D43:D44"/>
    <mergeCell ref="E43:E44"/>
    <mergeCell ref="A47:F47"/>
    <mergeCell ref="A48:C48"/>
    <mergeCell ref="D48:E48"/>
    <mergeCell ref="B49:C49"/>
    <mergeCell ref="B50:C50"/>
    <mergeCell ref="B53:C53"/>
    <mergeCell ref="A55:E55"/>
    <mergeCell ref="A56:A57"/>
    <mergeCell ref="B56:B57"/>
    <mergeCell ref="C56:E56"/>
    <mergeCell ref="C57:E57"/>
    <mergeCell ref="A68:F68"/>
    <mergeCell ref="A58:A59"/>
    <mergeCell ref="B58:B59"/>
    <mergeCell ref="D58:E58"/>
    <mergeCell ref="D59:E59"/>
    <mergeCell ref="A61:F61"/>
    <mergeCell ref="A62:A63"/>
    <mergeCell ref="B62:B63"/>
    <mergeCell ref="C62:E63"/>
    <mergeCell ref="F62:F63"/>
    <mergeCell ref="A64:A66"/>
    <mergeCell ref="B64:B66"/>
    <mergeCell ref="C64:E64"/>
    <mergeCell ref="C65:E65"/>
    <mergeCell ref="C66:E66"/>
    <mergeCell ref="B69:F69"/>
    <mergeCell ref="A71:F71"/>
    <mergeCell ref="A72:A73"/>
    <mergeCell ref="B72:B73"/>
    <mergeCell ref="C72:C73"/>
    <mergeCell ref="D72:D73"/>
    <mergeCell ref="E72:F72"/>
    <mergeCell ref="I97:O97"/>
    <mergeCell ref="A74:A75"/>
    <mergeCell ref="A78:A79"/>
    <mergeCell ref="A81:F81"/>
    <mergeCell ref="A82:A83"/>
    <mergeCell ref="B82:B83"/>
    <mergeCell ref="C82:C83"/>
    <mergeCell ref="D82:D83"/>
    <mergeCell ref="E82:F82"/>
    <mergeCell ref="A84:A88"/>
    <mergeCell ref="D84:D88"/>
    <mergeCell ref="A91:A93"/>
    <mergeCell ref="A96:F96"/>
    <mergeCell ref="A97:G97"/>
    <mergeCell ref="N98:O98"/>
    <mergeCell ref="R98:W98"/>
    <mergeCell ref="R99:T99"/>
    <mergeCell ref="U99:W99"/>
    <mergeCell ref="A100:A103"/>
    <mergeCell ref="I103:I104"/>
    <mergeCell ref="J103:K103"/>
    <mergeCell ref="L103:M103"/>
    <mergeCell ref="N103:O103"/>
    <mergeCell ref="A104:A107"/>
    <mergeCell ref="A98:A99"/>
    <mergeCell ref="B98:B99"/>
    <mergeCell ref="E98:G99"/>
    <mergeCell ref="I98:I99"/>
    <mergeCell ref="J98:K98"/>
    <mergeCell ref="L98:M98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40"/>
  <sheetViews>
    <sheetView showGridLines="0" topLeftCell="A105" zoomScaleNormal="100" workbookViewId="0">
      <selection activeCell="B128" sqref="B128"/>
    </sheetView>
  </sheetViews>
  <sheetFormatPr baseColWidth="10" defaultColWidth="11.5546875" defaultRowHeight="13.2" x14ac:dyDescent="0.25"/>
  <cols>
    <col min="1" max="1" width="20.88671875" style="1" customWidth="1"/>
    <col min="2" max="2" width="19.5546875" style="3" customWidth="1"/>
    <col min="3" max="3" width="12.6640625" style="1" customWidth="1"/>
    <col min="4" max="4" width="16" style="1" customWidth="1"/>
    <col min="5" max="5" width="16.44140625" style="1" customWidth="1"/>
    <col min="6" max="6" width="11.6640625" style="1" customWidth="1"/>
    <col min="7" max="9" width="11.5546875" style="1"/>
    <col min="10" max="12" width="12.77734375" style="1" customWidth="1"/>
    <col min="13" max="16384" width="11.5546875" style="1"/>
  </cols>
  <sheetData>
    <row r="1" spans="1:14" ht="14.4" customHeight="1" x14ac:dyDescent="0.25">
      <c r="A1" s="138" t="s">
        <v>8</v>
      </c>
      <c r="B1" s="139"/>
      <c r="C1" s="139"/>
      <c r="D1" s="139"/>
      <c r="E1" s="139"/>
      <c r="F1" s="140"/>
    </row>
    <row r="2" spans="1:14" ht="14.4" customHeight="1" thickBot="1" x14ac:dyDescent="0.3">
      <c r="A2" s="141"/>
      <c r="B2" s="142"/>
      <c r="C2" s="142"/>
      <c r="D2" s="142"/>
      <c r="E2" s="142"/>
      <c r="F2" s="143"/>
    </row>
    <row r="3" spans="1:14" ht="14.4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ht="14.4" customHeight="1" x14ac:dyDescent="0.25">
      <c r="A4" s="144" t="s">
        <v>92</v>
      </c>
      <c r="B4" s="14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ht="14.4" customHeight="1" x14ac:dyDescent="0.25">
      <c r="A5" s="60" t="s">
        <v>88</v>
      </c>
      <c r="B5" s="29">
        <v>12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ht="14.4" customHeight="1" x14ac:dyDescent="0.25">
      <c r="A6" s="60" t="s">
        <v>87</v>
      </c>
      <c r="B6" s="29">
        <v>30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25">
      <c r="A7" s="60" t="s">
        <v>89</v>
      </c>
      <c r="B7" s="31">
        <v>7.6</v>
      </c>
    </row>
    <row r="8" spans="1:14" ht="26.4" x14ac:dyDescent="0.25">
      <c r="A8" s="60" t="s">
        <v>90</v>
      </c>
      <c r="B8" s="29">
        <v>7.2</v>
      </c>
    </row>
    <row r="9" spans="1:14" x14ac:dyDescent="0.25">
      <c r="A9" s="60" t="s">
        <v>102</v>
      </c>
      <c r="B9" s="31" t="s">
        <v>140</v>
      </c>
    </row>
    <row r="10" spans="1:14" ht="14.4" x14ac:dyDescent="0.25">
      <c r="A10" s="61" t="s">
        <v>101</v>
      </c>
      <c r="B10" s="71">
        <v>6</v>
      </c>
    </row>
    <row r="11" spans="1:14" x14ac:dyDescent="0.25">
      <c r="A11" s="61" t="s">
        <v>99</v>
      </c>
      <c r="B11" s="29">
        <v>1</v>
      </c>
    </row>
    <row r="12" spans="1:14" x14ac:dyDescent="0.25">
      <c r="A12" s="61" t="s">
        <v>100</v>
      </c>
      <c r="B12" s="29">
        <v>1</v>
      </c>
    </row>
    <row r="13" spans="1:14" ht="14.4" x14ac:dyDescent="0.3">
      <c r="A13"/>
      <c r="B13"/>
    </row>
    <row r="14" spans="1:14" ht="14.4" x14ac:dyDescent="0.25">
      <c r="A14" s="146" t="s">
        <v>93</v>
      </c>
      <c r="B14" s="146"/>
      <c r="C14" s="147" t="s">
        <v>98</v>
      </c>
      <c r="D14" s="148"/>
    </row>
    <row r="15" spans="1:14" ht="14.4" x14ac:dyDescent="0.25">
      <c r="A15" s="61" t="s">
        <v>91</v>
      </c>
      <c r="B15" s="29">
        <f>45*0.93</f>
        <v>41.85</v>
      </c>
      <c r="C15" s="130" t="s">
        <v>141</v>
      </c>
      <c r="D15" s="131"/>
      <c r="I15" s="59" t="s">
        <v>119</v>
      </c>
    </row>
    <row r="16" spans="1:14" ht="39.6" x14ac:dyDescent="0.25">
      <c r="A16" s="61" t="s">
        <v>94</v>
      </c>
      <c r="B16" s="71">
        <v>0.85</v>
      </c>
      <c r="C16" s="130" t="s">
        <v>79</v>
      </c>
      <c r="D16" s="131"/>
      <c r="I16" s="59" t="s">
        <v>120</v>
      </c>
    </row>
    <row r="17" spans="1:9" ht="14.4" x14ac:dyDescent="0.3">
      <c r="A17" s="61" t="s">
        <v>103</v>
      </c>
      <c r="B17" s="35">
        <v>1</v>
      </c>
      <c r="C17" s="130" t="s">
        <v>97</v>
      </c>
      <c r="D17" s="131"/>
      <c r="I17" s="59" t="s">
        <v>121</v>
      </c>
    </row>
    <row r="18" spans="1:9" ht="14.4" x14ac:dyDescent="0.25">
      <c r="A18" s="61" t="s">
        <v>5</v>
      </c>
      <c r="B18" s="71" t="s">
        <v>6</v>
      </c>
      <c r="C18" s="130" t="s">
        <v>129</v>
      </c>
      <c r="D18" s="131"/>
      <c r="I18" s="59" t="s">
        <v>123</v>
      </c>
    </row>
    <row r="19" spans="1:9" ht="26.4" x14ac:dyDescent="0.25">
      <c r="A19" s="61" t="s">
        <v>7</v>
      </c>
      <c r="B19" s="71">
        <v>1</v>
      </c>
      <c r="C19" s="130" t="s">
        <v>79</v>
      </c>
      <c r="D19" s="131"/>
      <c r="I19" s="59" t="s">
        <v>122</v>
      </c>
    </row>
    <row r="20" spans="1:9" ht="26.4" x14ac:dyDescent="0.25">
      <c r="A20" s="61" t="s">
        <v>95</v>
      </c>
      <c r="B20" s="71" t="s">
        <v>131</v>
      </c>
      <c r="C20" s="132" t="s">
        <v>96</v>
      </c>
      <c r="D20" s="133"/>
      <c r="I20" s="59">
        <v>5.6</v>
      </c>
    </row>
    <row r="21" spans="1:9" ht="14.4" x14ac:dyDescent="0.3">
      <c r="A21"/>
      <c r="B21"/>
    </row>
    <row r="22" spans="1:9" ht="13.8" thickBot="1" x14ac:dyDescent="0.3">
      <c r="A22" s="4"/>
      <c r="B22" s="2"/>
    </row>
    <row r="23" spans="1:9" ht="13.8" thickBot="1" x14ac:dyDescent="0.3">
      <c r="A23" s="134" t="s">
        <v>14</v>
      </c>
      <c r="B23" s="135"/>
      <c r="C23" s="135"/>
      <c r="D23" s="135"/>
      <c r="E23" s="135"/>
      <c r="F23" s="136"/>
    </row>
    <row r="24" spans="1:9" x14ac:dyDescent="0.25">
      <c r="A24" s="4"/>
      <c r="B24" s="2"/>
    </row>
    <row r="25" spans="1:9" x14ac:dyDescent="0.25">
      <c r="A25" s="4"/>
      <c r="B25" s="2"/>
    </row>
    <row r="26" spans="1:9" x14ac:dyDescent="0.25">
      <c r="A26" s="4"/>
      <c r="B26" s="2"/>
    </row>
    <row r="28" spans="1:9" x14ac:dyDescent="0.25">
      <c r="A28" s="83" t="s">
        <v>13</v>
      </c>
      <c r="B28" s="83"/>
      <c r="C28" s="83"/>
      <c r="D28" s="83" t="s">
        <v>14</v>
      </c>
      <c r="E28" s="83"/>
      <c r="I28" s="59" t="s">
        <v>124</v>
      </c>
    </row>
    <row r="29" spans="1:9" x14ac:dyDescent="0.25">
      <c r="A29" s="79" t="s">
        <v>12</v>
      </c>
      <c r="B29" s="6" t="s">
        <v>10</v>
      </c>
      <c r="C29" s="6" t="s">
        <v>11</v>
      </c>
      <c r="D29" s="137" t="s">
        <v>16</v>
      </c>
      <c r="E29" s="137"/>
    </row>
    <row r="30" spans="1:9" x14ac:dyDescent="0.25">
      <c r="A30" s="79"/>
      <c r="B30" s="6" t="s">
        <v>9</v>
      </c>
      <c r="C30" s="6" t="str">
        <f>B20</f>
        <v>B</v>
      </c>
      <c r="D30" s="79" t="s">
        <v>15</v>
      </c>
      <c r="E30" s="79"/>
    </row>
    <row r="31" spans="1:9" hidden="1" x14ac:dyDescent="0.25">
      <c r="A31" s="5" t="s">
        <v>1</v>
      </c>
      <c r="B31" s="7" t="s">
        <v>0</v>
      </c>
      <c r="C31" s="53">
        <v>0.87</v>
      </c>
      <c r="D31" s="118">
        <f>0.613*C31*$B$17*$B$16*$B$15^2*$B$19</f>
        <v>793.94346345374993</v>
      </c>
      <c r="E31" s="118"/>
    </row>
    <row r="32" spans="1:9" hidden="1" x14ac:dyDescent="0.25">
      <c r="A32" s="5" t="s">
        <v>2</v>
      </c>
      <c r="B32" s="7">
        <v>6.4</v>
      </c>
      <c r="C32" s="53">
        <v>0.91100000000000003</v>
      </c>
      <c r="D32" s="118">
        <f t="shared" ref="D32:D35" si="0">0.613*C32*$B$17*$B$16*$B$15^2*$B$19</f>
        <v>831.35918989237507</v>
      </c>
      <c r="E32" s="118"/>
    </row>
    <row r="33" spans="1:9" x14ac:dyDescent="0.25">
      <c r="A33" s="5" t="s">
        <v>58</v>
      </c>
      <c r="B33" s="31">
        <f>B8</f>
        <v>7.2</v>
      </c>
      <c r="C33" s="31">
        <v>0.65</v>
      </c>
      <c r="D33" s="118">
        <f t="shared" si="0"/>
        <v>593.17615085625005</v>
      </c>
      <c r="E33" s="118"/>
      <c r="F33" s="62" t="s">
        <v>34</v>
      </c>
      <c r="I33" s="1">
        <f>2.01*(7.2/366)^(2/7)</f>
        <v>0.65422183072694717</v>
      </c>
    </row>
    <row r="34" spans="1:9" hidden="1" x14ac:dyDescent="0.25">
      <c r="A34" s="5" t="s">
        <v>3</v>
      </c>
      <c r="B34" s="7">
        <v>7.57</v>
      </c>
      <c r="C34" s="7">
        <v>0.94</v>
      </c>
      <c r="D34" s="118">
        <f t="shared" si="0"/>
        <v>857.82397200750006</v>
      </c>
      <c r="E34" s="118"/>
    </row>
    <row r="35" spans="1:9" hidden="1" x14ac:dyDescent="0.25">
      <c r="A35" s="5" t="s">
        <v>4</v>
      </c>
      <c r="B35" s="7">
        <v>7.6</v>
      </c>
      <c r="C35" s="7">
        <v>0.66</v>
      </c>
      <c r="D35" s="118">
        <f t="shared" si="0"/>
        <v>602.3019377925001</v>
      </c>
      <c r="E35" s="118"/>
    </row>
    <row r="36" spans="1:9" ht="13.8" thickBot="1" x14ac:dyDescent="0.3"/>
    <row r="37" spans="1:9" ht="13.8" thickBot="1" x14ac:dyDescent="0.3">
      <c r="A37" s="119" t="s">
        <v>17</v>
      </c>
      <c r="B37" s="120"/>
      <c r="C37" s="120"/>
      <c r="D37" s="120"/>
      <c r="E37" s="120"/>
      <c r="F37" s="121"/>
    </row>
    <row r="38" spans="1:9" x14ac:dyDescent="0.25">
      <c r="B38" s="8"/>
      <c r="C38" s="8"/>
      <c r="D38" s="8"/>
      <c r="E38" s="8"/>
      <c r="F38" s="8"/>
      <c r="G38" s="8"/>
      <c r="H38" s="8"/>
    </row>
    <row r="39" spans="1:9" x14ac:dyDescent="0.25">
      <c r="B39" s="8"/>
      <c r="C39" s="8"/>
      <c r="D39" s="8"/>
      <c r="E39" s="8"/>
      <c r="F39" s="8"/>
      <c r="G39" s="8"/>
      <c r="H39" s="8"/>
    </row>
    <row r="40" spans="1:9" x14ac:dyDescent="0.25">
      <c r="B40" s="8"/>
      <c r="C40" s="8"/>
      <c r="D40" s="8"/>
      <c r="E40" s="8"/>
      <c r="F40" s="8"/>
      <c r="G40" s="8"/>
      <c r="H40" s="8"/>
    </row>
    <row r="42" spans="1:9" x14ac:dyDescent="0.25">
      <c r="A42" s="122" t="s">
        <v>18</v>
      </c>
      <c r="B42" s="122"/>
      <c r="C42" s="122"/>
      <c r="D42" s="122"/>
      <c r="E42" s="122"/>
    </row>
    <row r="43" spans="1:9" x14ac:dyDescent="0.25">
      <c r="A43" s="25" t="s">
        <v>19</v>
      </c>
      <c r="B43" s="25" t="s">
        <v>20</v>
      </c>
      <c r="C43" s="86" t="s">
        <v>21</v>
      </c>
      <c r="D43" s="79" t="s">
        <v>23</v>
      </c>
      <c r="E43" s="79" t="s">
        <v>22</v>
      </c>
    </row>
    <row r="44" spans="1:9" x14ac:dyDescent="0.25">
      <c r="A44" s="24" t="s">
        <v>9</v>
      </c>
      <c r="B44" s="24" t="s">
        <v>9</v>
      </c>
      <c r="C44" s="86"/>
      <c r="D44" s="79"/>
      <c r="E44" s="79"/>
    </row>
    <row r="45" spans="1:9" x14ac:dyDescent="0.25">
      <c r="A45" s="31">
        <f>B8</f>
        <v>7.2</v>
      </c>
      <c r="B45" s="31">
        <f>B5</f>
        <v>12</v>
      </c>
      <c r="C45" s="27">
        <f>+A45/B45</f>
        <v>0.6</v>
      </c>
      <c r="D45" s="31" t="str">
        <f>+IF(C45&lt;1.4, "Rígida", "Flexible")</f>
        <v>Rígida</v>
      </c>
      <c r="E45" s="31">
        <f>+IF(D45="Rígida", 0.85, "Ver 5.8")</f>
        <v>0.85</v>
      </c>
    </row>
    <row r="46" spans="1:9" x14ac:dyDescent="0.25">
      <c r="B46" s="1"/>
    </row>
    <row r="47" spans="1:9" hidden="1" x14ac:dyDescent="0.25">
      <c r="A47" s="83" t="s">
        <v>36</v>
      </c>
      <c r="B47" s="83"/>
      <c r="C47" s="83"/>
      <c r="D47" s="83"/>
      <c r="E47" s="83"/>
      <c r="F47" s="83"/>
      <c r="I47" s="59" t="s">
        <v>125</v>
      </c>
    </row>
    <row r="48" spans="1:9" hidden="1" x14ac:dyDescent="0.25">
      <c r="A48" s="123" t="s">
        <v>24</v>
      </c>
      <c r="B48" s="124"/>
      <c r="C48" s="125"/>
      <c r="D48" s="73" t="s">
        <v>37</v>
      </c>
      <c r="E48" s="73"/>
      <c r="F48" s="39" t="s">
        <v>35</v>
      </c>
    </row>
    <row r="49" spans="1:9" hidden="1" x14ac:dyDescent="0.25">
      <c r="A49" s="9" t="s">
        <v>30</v>
      </c>
      <c r="B49" s="126" t="s">
        <v>38</v>
      </c>
      <c r="C49" s="127"/>
      <c r="D49" s="26" t="s">
        <v>29</v>
      </c>
      <c r="E49" s="26" t="s">
        <v>31</v>
      </c>
      <c r="F49" s="26" t="s">
        <v>32</v>
      </c>
    </row>
    <row r="50" spans="1:9" hidden="1" x14ac:dyDescent="0.25">
      <c r="A50" s="10" t="s">
        <v>25</v>
      </c>
      <c r="B50" s="128" t="s">
        <v>39</v>
      </c>
      <c r="C50" s="129"/>
      <c r="D50" s="11" t="s">
        <v>28</v>
      </c>
      <c r="E50" s="34">
        <v>0.8</v>
      </c>
      <c r="F50" s="11" t="s">
        <v>33</v>
      </c>
    </row>
    <row r="51" spans="1:9" hidden="1" x14ac:dyDescent="0.25">
      <c r="A51" s="81" t="s">
        <v>26</v>
      </c>
      <c r="B51" s="107" t="s">
        <v>40</v>
      </c>
      <c r="C51" s="108"/>
      <c r="D51" s="31">
        <f>B11/B12</f>
        <v>1</v>
      </c>
      <c r="E51" s="7">
        <v>-0.27500000000000002</v>
      </c>
      <c r="F51" s="116" t="s">
        <v>34</v>
      </c>
    </row>
    <row r="52" spans="1:9" hidden="1" x14ac:dyDescent="0.25">
      <c r="A52" s="82"/>
      <c r="B52" s="107" t="s">
        <v>41</v>
      </c>
      <c r="C52" s="108"/>
      <c r="D52" s="31">
        <f>1/D51</f>
        <v>1</v>
      </c>
      <c r="E52" s="7">
        <v>-0.5</v>
      </c>
      <c r="F52" s="117"/>
    </row>
    <row r="53" spans="1:9" hidden="1" x14ac:dyDescent="0.25">
      <c r="A53" s="5" t="s">
        <v>27</v>
      </c>
      <c r="B53" s="107" t="s">
        <v>39</v>
      </c>
      <c r="C53" s="108"/>
      <c r="D53" s="31" t="s">
        <v>28</v>
      </c>
      <c r="E53" s="7">
        <v>-0.7</v>
      </c>
      <c r="F53" s="31" t="s">
        <v>34</v>
      </c>
    </row>
    <row r="54" spans="1:9" hidden="1" x14ac:dyDescent="0.25"/>
    <row r="55" spans="1:9" x14ac:dyDescent="0.25">
      <c r="A55" s="109" t="s">
        <v>130</v>
      </c>
      <c r="B55" s="110"/>
      <c r="C55" s="110"/>
      <c r="D55" s="110"/>
      <c r="E55" s="111"/>
      <c r="I55" s="59" t="s">
        <v>126</v>
      </c>
    </row>
    <row r="56" spans="1:9" x14ac:dyDescent="0.25">
      <c r="A56" s="112" t="s">
        <v>42</v>
      </c>
      <c r="B56" s="112" t="s">
        <v>43</v>
      </c>
      <c r="C56" s="113" t="s">
        <v>44</v>
      </c>
      <c r="D56" s="114"/>
      <c r="E56" s="115"/>
    </row>
    <row r="57" spans="1:9" ht="14.4" customHeight="1" x14ac:dyDescent="0.25">
      <c r="A57" s="84"/>
      <c r="B57" s="84"/>
      <c r="C57" s="113" t="str">
        <f>B9</f>
        <v>3,81º</v>
      </c>
      <c r="D57" s="114"/>
      <c r="E57" s="115"/>
    </row>
    <row r="58" spans="1:9" x14ac:dyDescent="0.25">
      <c r="A58" s="81" t="s">
        <v>3</v>
      </c>
      <c r="B58" s="90">
        <f>B8/B5</f>
        <v>0.6</v>
      </c>
      <c r="C58" s="31" t="s">
        <v>84</v>
      </c>
      <c r="D58" s="102">
        <v>-0.9</v>
      </c>
      <c r="E58" s="103"/>
    </row>
    <row r="59" spans="1:9" x14ac:dyDescent="0.25">
      <c r="A59" s="82"/>
      <c r="B59" s="92"/>
      <c r="C59" s="31" t="s">
        <v>85</v>
      </c>
      <c r="D59" s="102">
        <v>-0.5</v>
      </c>
      <c r="E59" s="103"/>
    </row>
    <row r="61" spans="1:9" hidden="1" x14ac:dyDescent="0.25">
      <c r="A61" s="83" t="s">
        <v>45</v>
      </c>
      <c r="B61" s="83"/>
      <c r="C61" s="83"/>
      <c r="D61" s="83"/>
      <c r="E61" s="83"/>
      <c r="F61" s="83"/>
      <c r="I61" s="59" t="s">
        <v>126</v>
      </c>
    </row>
    <row r="62" spans="1:9" ht="14.4" hidden="1" customHeight="1" x14ac:dyDescent="0.25">
      <c r="A62" s="79" t="s">
        <v>30</v>
      </c>
      <c r="B62" s="79" t="s">
        <v>43</v>
      </c>
      <c r="C62" s="79" t="s">
        <v>46</v>
      </c>
      <c r="D62" s="79"/>
      <c r="E62" s="79"/>
      <c r="F62" s="79" t="s">
        <v>31</v>
      </c>
    </row>
    <row r="63" spans="1:9" hidden="1" x14ac:dyDescent="0.25">
      <c r="A63" s="79"/>
      <c r="B63" s="79"/>
      <c r="C63" s="79"/>
      <c r="D63" s="79"/>
      <c r="E63" s="79"/>
      <c r="F63" s="79"/>
    </row>
    <row r="64" spans="1:9" hidden="1" x14ac:dyDescent="0.25">
      <c r="A64" s="104" t="s">
        <v>3</v>
      </c>
      <c r="B64" s="105">
        <f>B8/B6</f>
        <v>0.24000000000000002</v>
      </c>
      <c r="C64" s="106" t="s">
        <v>47</v>
      </c>
      <c r="D64" s="106"/>
      <c r="E64" s="106"/>
      <c r="F64" s="54">
        <v>-0.9</v>
      </c>
    </row>
    <row r="65" spans="1:10" hidden="1" x14ac:dyDescent="0.25">
      <c r="A65" s="104"/>
      <c r="B65" s="105"/>
      <c r="C65" s="106" t="s">
        <v>48</v>
      </c>
      <c r="D65" s="106"/>
      <c r="E65" s="106"/>
      <c r="F65" s="54">
        <v>-0.5</v>
      </c>
    </row>
    <row r="66" spans="1:10" hidden="1" x14ac:dyDescent="0.25">
      <c r="A66" s="104"/>
      <c r="B66" s="105"/>
      <c r="C66" s="106" t="s">
        <v>49</v>
      </c>
      <c r="D66" s="106"/>
      <c r="E66" s="106"/>
      <c r="F66" s="54">
        <v>-0.3</v>
      </c>
    </row>
    <row r="67" spans="1:10" hidden="1" x14ac:dyDescent="0.25">
      <c r="A67" s="2"/>
      <c r="B67" s="49"/>
      <c r="C67" s="3"/>
      <c r="D67" s="3"/>
      <c r="E67" s="3"/>
      <c r="F67" s="2"/>
    </row>
    <row r="68" spans="1:10" x14ac:dyDescent="0.25">
      <c r="A68" s="83" t="s">
        <v>106</v>
      </c>
      <c r="B68" s="83"/>
      <c r="C68" s="83"/>
      <c r="D68" s="83"/>
      <c r="E68" s="83"/>
      <c r="F68" s="83"/>
    </row>
    <row r="69" spans="1:10" ht="13.8" x14ac:dyDescent="0.25">
      <c r="A69" s="29" t="s">
        <v>105</v>
      </c>
      <c r="B69" s="149" t="s">
        <v>107</v>
      </c>
      <c r="C69" s="150"/>
      <c r="D69" s="150"/>
      <c r="E69" s="150"/>
      <c r="F69" s="151"/>
      <c r="I69" s="59" t="s">
        <v>127</v>
      </c>
    </row>
    <row r="71" spans="1:10" ht="18" customHeight="1" x14ac:dyDescent="0.25">
      <c r="A71" s="100" t="s">
        <v>50</v>
      </c>
      <c r="B71" s="100"/>
      <c r="C71" s="100"/>
      <c r="D71" s="100"/>
      <c r="E71" s="100"/>
      <c r="F71" s="100"/>
    </row>
    <row r="72" spans="1:10" ht="18" customHeight="1" x14ac:dyDescent="0.25">
      <c r="A72" s="84" t="s">
        <v>30</v>
      </c>
      <c r="B72" s="85" t="s">
        <v>80</v>
      </c>
      <c r="C72" s="85" t="s">
        <v>51</v>
      </c>
      <c r="D72" s="101" t="s">
        <v>31</v>
      </c>
      <c r="E72" s="84" t="s">
        <v>52</v>
      </c>
      <c r="F72" s="84"/>
    </row>
    <row r="73" spans="1:10" ht="18" customHeight="1" x14ac:dyDescent="0.25">
      <c r="A73" s="79"/>
      <c r="B73" s="86"/>
      <c r="C73" s="86"/>
      <c r="D73" s="84"/>
      <c r="E73" s="25" t="s">
        <v>53</v>
      </c>
      <c r="F73" s="25" t="s">
        <v>54</v>
      </c>
    </row>
    <row r="74" spans="1:10" ht="18" hidden="1" customHeight="1" x14ac:dyDescent="0.25">
      <c r="A74" s="81" t="s">
        <v>25</v>
      </c>
      <c r="B74" s="31" t="s">
        <v>55</v>
      </c>
      <c r="C74" s="27">
        <f>D31</f>
        <v>793.94346345374993</v>
      </c>
      <c r="D74" s="27">
        <f>E50</f>
        <v>0.8</v>
      </c>
      <c r="E74" s="27">
        <f>+(C74*0.85*D74)-(J80*0.18)</f>
        <v>433.10984799442497</v>
      </c>
      <c r="F74" s="27">
        <f t="shared" ref="F74:F79" si="1">+(C74*0.85*D74)-($J$80*-0.18)</f>
        <v>646.65326230267499</v>
      </c>
    </row>
    <row r="75" spans="1:10" ht="18" hidden="1" customHeight="1" x14ac:dyDescent="0.25">
      <c r="A75" s="82"/>
      <c r="B75" s="31">
        <f>B32</f>
        <v>6.4</v>
      </c>
      <c r="C75" s="27">
        <f>D32</f>
        <v>831.35918989237507</v>
      </c>
      <c r="D75" s="27">
        <f>E50</f>
        <v>0.8</v>
      </c>
      <c r="E75" s="27">
        <f>+(C75*0.85*D75)-(J80*0.18)</f>
        <v>458.55254197269005</v>
      </c>
      <c r="F75" s="27">
        <f t="shared" si="1"/>
        <v>672.09595628094007</v>
      </c>
    </row>
    <row r="76" spans="1:10" ht="18" hidden="1" customHeight="1" x14ac:dyDescent="0.25">
      <c r="A76" s="28" t="s">
        <v>26</v>
      </c>
      <c r="B76" s="31" t="s">
        <v>39</v>
      </c>
      <c r="C76" s="27">
        <f>$D$33</f>
        <v>593.17615085625005</v>
      </c>
      <c r="D76" s="27">
        <f>E52</f>
        <v>-0.5</v>
      </c>
      <c r="E76" s="27">
        <f>+(C76*0.85*D76)-(J80*0.18)</f>
        <v>-358.87157126803129</v>
      </c>
      <c r="F76" s="27">
        <f t="shared" si="1"/>
        <v>-145.32815695978124</v>
      </c>
    </row>
    <row r="77" spans="1:10" ht="18" hidden="1" customHeight="1" x14ac:dyDescent="0.25">
      <c r="A77" s="28" t="s">
        <v>56</v>
      </c>
      <c r="B77" s="31" t="s">
        <v>39</v>
      </c>
      <c r="C77" s="27">
        <f t="shared" ref="C77:C79" si="2">$D$33</f>
        <v>593.17615085625005</v>
      </c>
      <c r="D77" s="27">
        <f>E53</f>
        <v>-0.7</v>
      </c>
      <c r="E77" s="27">
        <f>+(C77*0.85*D77)-(J80*0.18)</f>
        <v>-459.71151691359375</v>
      </c>
      <c r="F77" s="27">
        <f t="shared" si="1"/>
        <v>-246.16810260534373</v>
      </c>
    </row>
    <row r="78" spans="1:10" ht="18" customHeight="1" x14ac:dyDescent="0.3">
      <c r="A78" s="81" t="s">
        <v>3</v>
      </c>
      <c r="B78" s="35" t="s">
        <v>104</v>
      </c>
      <c r="C78" s="27">
        <f t="shared" si="2"/>
        <v>593.17615085625005</v>
      </c>
      <c r="D78" s="27">
        <f>D58</f>
        <v>-0.9</v>
      </c>
      <c r="E78" s="27">
        <f>+(C78*0.85*D78)-($J$80*0.18)</f>
        <v>-560.55146255915633</v>
      </c>
      <c r="F78" s="27">
        <f t="shared" si="1"/>
        <v>-347.00804825090626</v>
      </c>
    </row>
    <row r="79" spans="1:10" ht="18" customHeight="1" x14ac:dyDescent="0.3">
      <c r="A79" s="82"/>
      <c r="B79" s="48" t="s">
        <v>85</v>
      </c>
      <c r="C79" s="27">
        <f t="shared" si="2"/>
        <v>593.17615085625005</v>
      </c>
      <c r="D79" s="27">
        <f>D59</f>
        <v>-0.5</v>
      </c>
      <c r="E79" s="27">
        <f>+(C79*0.85*D79)-($J$80*0.18)</f>
        <v>-358.87157126803129</v>
      </c>
      <c r="F79" s="27">
        <f t="shared" si="1"/>
        <v>-145.32815695978124</v>
      </c>
    </row>
    <row r="80" spans="1:10" ht="13.8" hidden="1" customHeight="1" thickBot="1" x14ac:dyDescent="0.3">
      <c r="I80" s="13" t="s">
        <v>34</v>
      </c>
      <c r="J80" s="36">
        <f>D33</f>
        <v>593.17615085625005</v>
      </c>
    </row>
    <row r="81" spans="1:7" ht="13.2" hidden="1" customHeight="1" x14ac:dyDescent="0.25">
      <c r="A81" s="83" t="s">
        <v>57</v>
      </c>
      <c r="B81" s="83"/>
      <c r="C81" s="83"/>
      <c r="D81" s="83"/>
      <c r="E81" s="83"/>
      <c r="F81" s="83"/>
    </row>
    <row r="82" spans="1:7" ht="13.2" hidden="1" customHeight="1" x14ac:dyDescent="0.25">
      <c r="A82" s="84" t="s">
        <v>30</v>
      </c>
      <c r="B82" s="85" t="s">
        <v>86</v>
      </c>
      <c r="C82" s="85" t="s">
        <v>51</v>
      </c>
      <c r="D82" s="84" t="s">
        <v>31</v>
      </c>
      <c r="E82" s="87" t="s">
        <v>52</v>
      </c>
      <c r="F82" s="88"/>
    </row>
    <row r="83" spans="1:7" ht="13.2" hidden="1" customHeight="1" x14ac:dyDescent="0.25">
      <c r="A83" s="79"/>
      <c r="B83" s="86"/>
      <c r="C83" s="86"/>
      <c r="D83" s="79"/>
      <c r="E83" s="25" t="s">
        <v>53</v>
      </c>
      <c r="F83" s="25" t="s">
        <v>54</v>
      </c>
    </row>
    <row r="84" spans="1:7" ht="13.2" hidden="1" customHeight="1" x14ac:dyDescent="0.25">
      <c r="A84" s="81" t="s">
        <v>25</v>
      </c>
      <c r="B84" s="31" t="str">
        <f>B31</f>
        <v>0-5</v>
      </c>
      <c r="C84" s="27">
        <f>D31</f>
        <v>793.94346345374993</v>
      </c>
      <c r="D84" s="90">
        <f>E50</f>
        <v>0.8</v>
      </c>
      <c r="E84" s="27">
        <f>+(C84*0.85*$D$84)-($J$80*0.18)</f>
        <v>433.10984799442497</v>
      </c>
      <c r="F84" s="27">
        <f>+(C84*0.85*$D$84)-($J$80*-0.18)</f>
        <v>646.65326230267499</v>
      </c>
    </row>
    <row r="85" spans="1:7" ht="13.2" hidden="1" customHeight="1" x14ac:dyDescent="0.25">
      <c r="A85" s="89"/>
      <c r="B85" s="31">
        <f>B32</f>
        <v>6.4</v>
      </c>
      <c r="C85" s="27">
        <f>D32</f>
        <v>831.35918989237507</v>
      </c>
      <c r="D85" s="91"/>
      <c r="E85" s="27">
        <f t="shared" ref="E85:E88" si="3">+(C85*0.85*$D$84)-($J$80*0.18)</f>
        <v>458.55254197269005</v>
      </c>
      <c r="F85" s="27">
        <f t="shared" ref="F85:F88" si="4">+(C85*0.85*$D$84)-($J$80*-0.18)</f>
        <v>672.09595628094007</v>
      </c>
    </row>
    <row r="86" spans="1:7" ht="13.2" hidden="1" customHeight="1" x14ac:dyDescent="0.25">
      <c r="A86" s="89"/>
      <c r="B86" s="31">
        <f>B33</f>
        <v>7.2</v>
      </c>
      <c r="C86" s="27">
        <f>D33</f>
        <v>593.17615085625005</v>
      </c>
      <c r="D86" s="91"/>
      <c r="E86" s="27">
        <f t="shared" si="3"/>
        <v>296.58807542812502</v>
      </c>
      <c r="F86" s="27">
        <f t="shared" si="4"/>
        <v>510.13148973637504</v>
      </c>
    </row>
    <row r="87" spans="1:7" ht="13.2" hidden="1" customHeight="1" x14ac:dyDescent="0.25">
      <c r="A87" s="89"/>
      <c r="B87" s="31">
        <f>B34</f>
        <v>7.57</v>
      </c>
      <c r="C87" s="27">
        <f>D34</f>
        <v>857.82397200750006</v>
      </c>
      <c r="D87" s="91"/>
      <c r="E87" s="27">
        <f t="shared" si="3"/>
        <v>476.54859381097504</v>
      </c>
      <c r="F87" s="27">
        <f t="shared" si="4"/>
        <v>690.09200811922506</v>
      </c>
    </row>
    <row r="88" spans="1:7" ht="13.2" hidden="1" customHeight="1" x14ac:dyDescent="0.25">
      <c r="A88" s="82"/>
      <c r="B88" s="31">
        <f>B35</f>
        <v>7.6</v>
      </c>
      <c r="C88" s="27">
        <f>D35</f>
        <v>602.3019377925001</v>
      </c>
      <c r="D88" s="92"/>
      <c r="E88" s="27">
        <f t="shared" si="3"/>
        <v>302.79361054477511</v>
      </c>
      <c r="F88" s="27">
        <f t="shared" si="4"/>
        <v>516.33702485302513</v>
      </c>
    </row>
    <row r="89" spans="1:7" ht="13.2" hidden="1" customHeight="1" x14ac:dyDescent="0.25">
      <c r="A89" s="15" t="s">
        <v>26</v>
      </c>
      <c r="B89" s="31" t="s">
        <v>39</v>
      </c>
      <c r="C89" s="27">
        <f>J80</f>
        <v>593.17615085625005</v>
      </c>
      <c r="D89" s="47">
        <f>E51</f>
        <v>-0.27500000000000002</v>
      </c>
      <c r="E89" s="27">
        <f t="shared" ref="E89:E91" si="5">+(C89*0.85*D89)-($J$80*0.18)</f>
        <v>-245.42663241677346</v>
      </c>
      <c r="F89" s="27">
        <f>+(C89*0.85*D89)-($J$80*-0.18)</f>
        <v>-31.883218108523437</v>
      </c>
    </row>
    <row r="90" spans="1:7" ht="13.2" hidden="1" customHeight="1" x14ac:dyDescent="0.25">
      <c r="A90" s="15" t="s">
        <v>27</v>
      </c>
      <c r="B90" s="31" t="s">
        <v>39</v>
      </c>
      <c r="C90" s="27">
        <f>J80</f>
        <v>593.17615085625005</v>
      </c>
      <c r="D90" s="27">
        <f>E53</f>
        <v>-0.7</v>
      </c>
      <c r="E90" s="27">
        <f t="shared" si="5"/>
        <v>-459.71151691359375</v>
      </c>
      <c r="F90" s="27">
        <f t="shared" ref="F90:F93" si="6">+(C90*0.85*D90)-($J$80*-0.18)</f>
        <v>-246.16810260534373</v>
      </c>
    </row>
    <row r="91" spans="1:7" ht="13.2" hidden="1" customHeight="1" x14ac:dyDescent="0.25">
      <c r="A91" s="93" t="s">
        <v>3</v>
      </c>
      <c r="B91" s="31" t="s">
        <v>47</v>
      </c>
      <c r="C91" s="27">
        <f>J80</f>
        <v>593.17615085625005</v>
      </c>
      <c r="D91" s="27">
        <f>F64</f>
        <v>-0.9</v>
      </c>
      <c r="E91" s="27">
        <f t="shared" si="5"/>
        <v>-560.55146255915633</v>
      </c>
      <c r="F91" s="27">
        <f t="shared" si="6"/>
        <v>-347.00804825090626</v>
      </c>
    </row>
    <row r="92" spans="1:7" x14ac:dyDescent="0.25">
      <c r="A92" s="93"/>
      <c r="B92" s="31" t="s">
        <v>48</v>
      </c>
      <c r="C92" s="27">
        <f>J80</f>
        <v>593.17615085625005</v>
      </c>
      <c r="D92" s="27">
        <f t="shared" ref="D92:D93" si="7">F65</f>
        <v>-0.5</v>
      </c>
      <c r="E92" s="27">
        <f>+(C92*0.85*D92)-($J$80*0.18)</f>
        <v>-358.87157126803129</v>
      </c>
      <c r="F92" s="27">
        <f t="shared" si="6"/>
        <v>-145.32815695978124</v>
      </c>
    </row>
    <row r="93" spans="1:7" x14ac:dyDescent="0.25">
      <c r="A93" s="93"/>
      <c r="B93" s="31" t="s">
        <v>49</v>
      </c>
      <c r="C93" s="27">
        <f>J80</f>
        <v>593.17615085625005</v>
      </c>
      <c r="D93" s="27">
        <f t="shared" si="7"/>
        <v>-0.3</v>
      </c>
      <c r="E93" s="27">
        <f>+(C93*0.85*D93)-($J$80*0.18)</f>
        <v>-258.03162562246877</v>
      </c>
      <c r="F93" s="27">
        <f t="shared" si="6"/>
        <v>-44.488211314218745</v>
      </c>
    </row>
    <row r="94" spans="1:7" x14ac:dyDescent="0.25">
      <c r="A94" s="57"/>
      <c r="C94" s="58"/>
      <c r="D94" s="58"/>
      <c r="E94" s="58"/>
      <c r="F94" s="58"/>
    </row>
    <row r="96" spans="1:7" x14ac:dyDescent="0.25">
      <c r="A96" s="94" t="s">
        <v>82</v>
      </c>
      <c r="B96" s="95"/>
      <c r="C96" s="95"/>
      <c r="D96" s="95"/>
      <c r="E96" s="95"/>
      <c r="F96" s="95"/>
      <c r="G96" s="37"/>
    </row>
    <row r="97" spans="1:23" ht="14.4" customHeight="1" x14ac:dyDescent="0.3">
      <c r="A97" s="96" t="s">
        <v>81</v>
      </c>
      <c r="B97" s="97"/>
      <c r="C97" s="97"/>
      <c r="D97" s="97"/>
      <c r="E97" s="97"/>
      <c r="F97" s="97"/>
      <c r="G97" s="98"/>
      <c r="I97" s="80" t="s">
        <v>83</v>
      </c>
      <c r="J97" s="80"/>
      <c r="K97" s="80"/>
      <c r="L97" s="80"/>
      <c r="M97" s="80"/>
      <c r="N97" s="80"/>
      <c r="O97" s="80"/>
      <c r="R97"/>
      <c r="S97"/>
      <c r="T97"/>
    </row>
    <row r="98" spans="1:23" x14ac:dyDescent="0.25">
      <c r="A98" s="79" t="s">
        <v>30</v>
      </c>
      <c r="B98" s="79" t="s">
        <v>75</v>
      </c>
      <c r="C98" s="16" t="s">
        <v>76</v>
      </c>
      <c r="D98" s="16" t="s">
        <v>77</v>
      </c>
      <c r="E98" s="79" t="s">
        <v>59</v>
      </c>
      <c r="F98" s="79"/>
      <c r="G98" s="79"/>
      <c r="I98" s="75" t="s">
        <v>69</v>
      </c>
      <c r="J98" s="73" t="s">
        <v>109</v>
      </c>
      <c r="K98" s="73"/>
      <c r="L98" s="73" t="s">
        <v>62</v>
      </c>
      <c r="M98" s="73"/>
      <c r="N98" s="73" t="s">
        <v>63</v>
      </c>
      <c r="O98" s="73"/>
      <c r="R98" s="74" t="s">
        <v>118</v>
      </c>
      <c r="S98" s="74"/>
      <c r="T98" s="74"/>
      <c r="U98" s="74"/>
      <c r="V98" s="74"/>
      <c r="W98" s="74"/>
    </row>
    <row r="99" spans="1:23" x14ac:dyDescent="0.25">
      <c r="A99" s="79"/>
      <c r="B99" s="79"/>
      <c r="C99" s="17" t="s">
        <v>78</v>
      </c>
      <c r="D99" s="17" t="s">
        <v>78</v>
      </c>
      <c r="E99" s="79"/>
      <c r="F99" s="79"/>
      <c r="G99" s="79"/>
      <c r="I99" s="75"/>
      <c r="J99" s="50" t="s">
        <v>111</v>
      </c>
      <c r="K99" s="51" t="s">
        <v>112</v>
      </c>
      <c r="L99" s="50" t="s">
        <v>110</v>
      </c>
      <c r="M99" s="50" t="s">
        <v>113</v>
      </c>
      <c r="N99" s="50" t="s">
        <v>110</v>
      </c>
      <c r="O99" s="50" t="s">
        <v>113</v>
      </c>
      <c r="R99" s="75" t="s">
        <v>116</v>
      </c>
      <c r="S99" s="75"/>
      <c r="T99" s="75"/>
      <c r="U99" s="75" t="s">
        <v>3</v>
      </c>
      <c r="V99" s="75"/>
      <c r="W99" s="75"/>
    </row>
    <row r="100" spans="1:23" x14ac:dyDescent="0.25">
      <c r="A100" s="76" t="s">
        <v>60</v>
      </c>
      <c r="B100" s="43"/>
      <c r="C100" s="43"/>
      <c r="D100" s="44"/>
      <c r="E100" s="40" t="s">
        <v>61</v>
      </c>
      <c r="F100" s="41" t="s">
        <v>62</v>
      </c>
      <c r="G100" s="41" t="s">
        <v>63</v>
      </c>
      <c r="I100" s="5" t="s">
        <v>72</v>
      </c>
      <c r="J100" s="23">
        <f>+$J$80*(E101-0.18)</f>
        <v>361.83745202231256</v>
      </c>
      <c r="K100" s="23">
        <f>+$J$80*(E101+0.18)</f>
        <v>575.38086633056253</v>
      </c>
      <c r="L100" s="23">
        <f>+$J$80*(F101-0.18)</f>
        <v>-682.15257348468754</v>
      </c>
      <c r="M100" s="23">
        <f>+$J$80*(F101+0.18)</f>
        <v>-468.60915917643757</v>
      </c>
      <c r="N100" s="27">
        <f>+$J$80*(G101-0.18)</f>
        <v>-694.01609650181251</v>
      </c>
      <c r="O100" s="27">
        <f>+$J$80*(G101+0.18)</f>
        <v>-480.47268219356255</v>
      </c>
      <c r="R100" s="39" t="s">
        <v>117</v>
      </c>
      <c r="S100" s="32">
        <f>MAX(J100:O100)</f>
        <v>575.38086633056253</v>
      </c>
      <c r="T100" s="32">
        <f>MIN(J100:O100)</f>
        <v>-694.01609650181251</v>
      </c>
      <c r="U100" s="39" t="s">
        <v>74</v>
      </c>
      <c r="V100" s="32">
        <f>MAX(J105:O105)</f>
        <v>225.40693732537503</v>
      </c>
      <c r="W100" s="32">
        <f>MIN(J105:O105)</f>
        <v>-1055.853548524125</v>
      </c>
    </row>
    <row r="101" spans="1:23" x14ac:dyDescent="0.25">
      <c r="A101" s="77"/>
      <c r="B101" s="18" t="s">
        <v>64</v>
      </c>
      <c r="C101" s="19">
        <f>1.4*4</f>
        <v>5.6</v>
      </c>
      <c r="D101" s="12">
        <f>4*4/3</f>
        <v>5.333333333333333</v>
      </c>
      <c r="E101" s="20">
        <v>0.79</v>
      </c>
      <c r="F101" s="20">
        <v>-0.97</v>
      </c>
      <c r="G101" s="20">
        <v>-0.99</v>
      </c>
      <c r="I101" s="5" t="s">
        <v>65</v>
      </c>
      <c r="J101" s="23">
        <f t="shared" ref="J101:J102" si="8">+$J$80*(E102-0.18)</f>
        <v>409.29154409081252</v>
      </c>
      <c r="K101" s="23">
        <f t="shared" ref="K101:K102" si="9">+$J$80*(E102+0.18)</f>
        <v>622.83495839906254</v>
      </c>
      <c r="L101" s="23">
        <f t="shared" ref="L101:L102" si="10">+$J$80*(F102-0.18)</f>
        <v>-670.28905046756245</v>
      </c>
      <c r="M101" s="23">
        <f t="shared" ref="M101:M102" si="11">+$J$80*(F102+0.18)</f>
        <v>-456.74563615931254</v>
      </c>
      <c r="N101" s="27">
        <f t="shared" ref="N101:N102" si="12">+$J$80*(G102-0.18)</f>
        <v>-800.78780365593752</v>
      </c>
      <c r="O101" s="27">
        <f t="shared" ref="O101:O102" si="13">+$J$80*(G102+0.18)</f>
        <v>-587.2443893476875</v>
      </c>
      <c r="R101" s="39" t="s">
        <v>65</v>
      </c>
      <c r="S101" s="32">
        <f>MAX(J101:O101)</f>
        <v>622.83495839906254</v>
      </c>
      <c r="T101" s="32">
        <f>MIN(J101:O101)</f>
        <v>-800.78780365593752</v>
      </c>
      <c r="U101" s="39" t="s">
        <v>65</v>
      </c>
      <c r="V101" s="32">
        <f>MAX(J106:O106)</f>
        <v>272.86102939387501</v>
      </c>
      <c r="W101" s="32">
        <f>MIN(J106:O106)</f>
        <v>-3072.6524614353752</v>
      </c>
    </row>
    <row r="102" spans="1:23" x14ac:dyDescent="0.25">
      <c r="A102" s="77"/>
      <c r="B102" s="18" t="s">
        <v>65</v>
      </c>
      <c r="C102" s="21">
        <v>1.4</v>
      </c>
      <c r="D102" s="12">
        <f>1.4*1.4/3</f>
        <v>0.65333333333333321</v>
      </c>
      <c r="E102" s="20">
        <v>0.87</v>
      </c>
      <c r="F102" s="20">
        <v>-0.95</v>
      </c>
      <c r="G102" s="20">
        <v>-1.17</v>
      </c>
      <c r="I102" s="5" t="s">
        <v>66</v>
      </c>
      <c r="J102" s="23">
        <f t="shared" si="8"/>
        <v>486.40444370212509</v>
      </c>
      <c r="K102" s="23">
        <f t="shared" si="9"/>
        <v>699.94785801037506</v>
      </c>
      <c r="L102" s="23">
        <f t="shared" si="10"/>
        <v>-759.26547309600005</v>
      </c>
      <c r="M102" s="23">
        <f t="shared" si="11"/>
        <v>-545.72205878775014</v>
      </c>
      <c r="N102" s="27">
        <f t="shared" si="12"/>
        <v>-937.21831835287503</v>
      </c>
      <c r="O102" s="27">
        <f t="shared" si="13"/>
        <v>-723.67490404462501</v>
      </c>
    </row>
    <row r="103" spans="1:23" x14ac:dyDescent="0.25">
      <c r="A103" s="78"/>
      <c r="B103" s="30" t="s">
        <v>66</v>
      </c>
      <c r="C103" s="14">
        <f>0.25*1.5</f>
        <v>0.375</v>
      </c>
      <c r="D103" s="22" t="s">
        <v>79</v>
      </c>
      <c r="E103" s="20">
        <v>1</v>
      </c>
      <c r="F103" s="20">
        <v>-1.1000000000000001</v>
      </c>
      <c r="G103" s="20">
        <v>-1.4</v>
      </c>
      <c r="I103" s="75" t="s">
        <v>67</v>
      </c>
      <c r="J103" s="73" t="s">
        <v>73</v>
      </c>
      <c r="K103" s="73"/>
      <c r="L103" s="73" t="s">
        <v>108</v>
      </c>
      <c r="M103" s="73"/>
      <c r="N103" s="73" t="s">
        <v>114</v>
      </c>
      <c r="O103" s="73"/>
    </row>
    <row r="104" spans="1:23" x14ac:dyDescent="0.25">
      <c r="A104" s="76" t="s">
        <v>67</v>
      </c>
      <c r="B104" s="42"/>
      <c r="C104" s="45"/>
      <c r="D104" s="46"/>
      <c r="E104" s="40" t="s">
        <v>115</v>
      </c>
      <c r="F104" s="40" t="s">
        <v>132</v>
      </c>
      <c r="G104" s="40" t="s">
        <v>114</v>
      </c>
      <c r="I104" s="75"/>
      <c r="J104" s="39" t="s">
        <v>70</v>
      </c>
      <c r="K104" s="39" t="s">
        <v>71</v>
      </c>
      <c r="L104" s="39" t="s">
        <v>70</v>
      </c>
      <c r="M104" s="39" t="s">
        <v>71</v>
      </c>
      <c r="N104" s="39" t="s">
        <v>70</v>
      </c>
      <c r="O104" s="39" t="s">
        <v>71</v>
      </c>
    </row>
    <row r="105" spans="1:23" x14ac:dyDescent="0.25">
      <c r="A105" s="77"/>
      <c r="B105" s="63" t="s">
        <v>68</v>
      </c>
      <c r="C105" s="64">
        <f>6*1</f>
        <v>6</v>
      </c>
      <c r="D105" s="65">
        <f>6*6/3</f>
        <v>12</v>
      </c>
      <c r="E105" s="66">
        <v>0.2</v>
      </c>
      <c r="F105" s="66">
        <v>-1.1000000000000001</v>
      </c>
      <c r="G105" s="66">
        <v>-1.6</v>
      </c>
      <c r="H105" s="67"/>
      <c r="I105" s="64" t="s">
        <v>74</v>
      </c>
      <c r="J105" s="68">
        <f>+$J$80*(E105-0.18)</f>
        <v>11.863523017125011</v>
      </c>
      <c r="K105" s="69">
        <f>+$J$80*(E105+0.18)</f>
        <v>225.40693732537503</v>
      </c>
      <c r="L105" s="69">
        <f>+$J$80*(F105-0.18)</f>
        <v>-759.26547309600005</v>
      </c>
      <c r="M105" s="69">
        <f>+$J$80*(F105+0.18)</f>
        <v>-545.72205878775014</v>
      </c>
      <c r="N105" s="70">
        <f>+$J$80*(G105-0.18)</f>
        <v>-1055.853548524125</v>
      </c>
      <c r="O105" s="70">
        <f>+$J$80*(G105+0.18)</f>
        <v>-842.31013421587511</v>
      </c>
    </row>
    <row r="106" spans="1:23" x14ac:dyDescent="0.25">
      <c r="A106" s="77"/>
      <c r="B106" s="29" t="s">
        <v>65</v>
      </c>
      <c r="C106" s="21">
        <f>1*1.5</f>
        <v>1.5</v>
      </c>
      <c r="D106" s="14">
        <f>1/3</f>
        <v>0.33333333333333331</v>
      </c>
      <c r="E106" s="12">
        <v>0.28000000000000003</v>
      </c>
      <c r="F106" s="12">
        <v>-5</v>
      </c>
      <c r="G106" s="12">
        <v>-2.5</v>
      </c>
      <c r="I106" s="5" t="s">
        <v>65</v>
      </c>
      <c r="J106" s="32">
        <f t="shared" ref="J106:J107" si="14">+$J$80*(E106-0.18)</f>
        <v>59.317615085625022</v>
      </c>
      <c r="K106" s="52">
        <f t="shared" ref="K106:K107" si="15">+$J$80*(E106+0.18)</f>
        <v>272.86102939387501</v>
      </c>
      <c r="L106" s="52">
        <f t="shared" ref="L106:L107" si="16">+$J$80*(F106-0.18)</f>
        <v>-3072.6524614353752</v>
      </c>
      <c r="M106" s="52">
        <f t="shared" ref="M106:M107" si="17">+$J$80*(F106+0.18)</f>
        <v>-2859.1090471271255</v>
      </c>
      <c r="N106" s="27">
        <f t="shared" ref="N106:N107" si="18">+$J$80*(G106-0.18)</f>
        <v>-1589.7120842947502</v>
      </c>
      <c r="O106" s="27">
        <f t="shared" ref="O106:O107" si="19">+$J$80*(G106+0.18)</f>
        <v>-1376.1686699864999</v>
      </c>
    </row>
    <row r="107" spans="1:23" x14ac:dyDescent="0.25">
      <c r="A107" s="78"/>
      <c r="B107" s="31" t="s">
        <v>66</v>
      </c>
      <c r="C107" s="14">
        <f>0.25*2</f>
        <v>0.5</v>
      </c>
      <c r="D107" s="22" t="s">
        <v>79</v>
      </c>
      <c r="E107" s="12">
        <v>0.3</v>
      </c>
      <c r="F107" s="12">
        <v>-1</v>
      </c>
      <c r="G107" s="12">
        <v>-2.8</v>
      </c>
      <c r="I107" s="5" t="s">
        <v>66</v>
      </c>
      <c r="J107" s="32">
        <f t="shared" si="14"/>
        <v>71.181138102749998</v>
      </c>
      <c r="K107" s="52">
        <f t="shared" si="15"/>
        <v>284.72455241099999</v>
      </c>
      <c r="L107" s="52">
        <f t="shared" si="16"/>
        <v>-699.94785801037506</v>
      </c>
      <c r="M107" s="52">
        <f t="shared" si="17"/>
        <v>-486.40444370212509</v>
      </c>
      <c r="N107" s="27">
        <f t="shared" si="18"/>
        <v>-1767.6649295516252</v>
      </c>
      <c r="O107" s="27">
        <f t="shared" si="19"/>
        <v>-1554.1215152433749</v>
      </c>
    </row>
    <row r="109" spans="1:23" x14ac:dyDescent="0.25">
      <c r="B109" s="1"/>
    </row>
    <row r="110" spans="1:23" x14ac:dyDescent="0.25">
      <c r="B110" s="1"/>
      <c r="I110" s="33">
        <f>MAX(J100:O100)</f>
        <v>575.38086633056253</v>
      </c>
      <c r="J110" s="33">
        <f>MIN(J100:O100)</f>
        <v>-694.01609650181251</v>
      </c>
    </row>
    <row r="111" spans="1:23" ht="14.4" x14ac:dyDescent="0.3">
      <c r="B111" s="1"/>
      <c r="F111"/>
      <c r="G111"/>
    </row>
    <row r="112" spans="1:23" ht="14.4" x14ac:dyDescent="0.3">
      <c r="A112" s="83" t="s">
        <v>82</v>
      </c>
      <c r="B112" s="83"/>
      <c r="C112" s="83"/>
      <c r="D112" s="83"/>
      <c r="E112" s="83"/>
      <c r="F112"/>
      <c r="G112"/>
      <c r="I112" s="152" t="s">
        <v>83</v>
      </c>
      <c r="J112" s="152"/>
      <c r="K112" s="152"/>
      <c r="L112" s="152"/>
      <c r="M112"/>
      <c r="N112"/>
      <c r="O112"/>
      <c r="R112" s="50" t="s">
        <v>111</v>
      </c>
      <c r="S112" s="51" t="s">
        <v>112</v>
      </c>
    </row>
    <row r="113" spans="1:19" ht="14.4" x14ac:dyDescent="0.3">
      <c r="A113" s="137" t="s">
        <v>81</v>
      </c>
      <c r="B113" s="137"/>
      <c r="C113" s="137"/>
      <c r="D113" s="137"/>
      <c r="E113" s="137"/>
      <c r="F113"/>
      <c r="G113"/>
      <c r="I113" s="152"/>
      <c r="J113" s="152"/>
      <c r="K113" s="152"/>
      <c r="L113" s="152"/>
      <c r="M113"/>
      <c r="N113"/>
      <c r="O113"/>
      <c r="R113" s="1">
        <f>qh*(C117-0.18)</f>
        <v>367.76921353087511</v>
      </c>
      <c r="S113" s="1">
        <f>qh*(C117+0.18)</f>
        <v>581.31262783912507</v>
      </c>
    </row>
    <row r="114" spans="1:19" ht="14.4" x14ac:dyDescent="0.3">
      <c r="A114" s="79" t="s">
        <v>75</v>
      </c>
      <c r="B114" s="24" t="s">
        <v>145</v>
      </c>
      <c r="C114" s="79" t="s">
        <v>59</v>
      </c>
      <c r="D114" s="79"/>
      <c r="E114" s="79"/>
      <c r="I114" s="79" t="s">
        <v>69</v>
      </c>
      <c r="J114" s="25" t="s">
        <v>109</v>
      </c>
      <c r="K114" s="25" t="s">
        <v>62</v>
      </c>
      <c r="L114" s="25" t="s">
        <v>63</v>
      </c>
      <c r="M114"/>
      <c r="N114"/>
      <c r="O114"/>
      <c r="R114" s="1">
        <f>qh*(D117-0.18)</f>
        <v>-652.49376594187515</v>
      </c>
      <c r="S114" s="1">
        <f>qh*(D117+0.18)</f>
        <v>-438.95035163362502</v>
      </c>
    </row>
    <row r="115" spans="1:19" ht="14.4" x14ac:dyDescent="0.3">
      <c r="A115" s="79"/>
      <c r="B115" s="25" t="s">
        <v>78</v>
      </c>
      <c r="C115" s="79"/>
      <c r="D115" s="79"/>
      <c r="E115" s="79"/>
      <c r="I115" s="79"/>
      <c r="J115" s="72" t="str">
        <f>IF(ABS(R113)&gt;ABS(S113),R112,S112)</f>
        <v>-GCpi</v>
      </c>
      <c r="K115" s="72" t="str">
        <f>IF(ABS(R114)&gt;ABS(S114),R112,S112)</f>
        <v>+GCpi</v>
      </c>
      <c r="L115" s="72" t="str">
        <f>IF(ABS(R115)&gt;ABS(S115),R112,S112)</f>
        <v>+GCpi</v>
      </c>
      <c r="M115"/>
      <c r="N115"/>
      <c r="O115"/>
      <c r="R115" s="1">
        <f>qh*(E117-0.18)</f>
        <v>-699.94785801037506</v>
      </c>
      <c r="S115" s="1">
        <f>qh*(E117+0.18)</f>
        <v>-486.40444370212509</v>
      </c>
    </row>
    <row r="116" spans="1:19" ht="14.4" x14ac:dyDescent="0.3">
      <c r="A116" s="104" t="s">
        <v>64</v>
      </c>
      <c r="B116" s="116">
        <v>12</v>
      </c>
      <c r="C116" s="24" t="s">
        <v>61</v>
      </c>
      <c r="D116" s="25" t="s">
        <v>62</v>
      </c>
      <c r="E116" s="25" t="s">
        <v>63</v>
      </c>
      <c r="I116" s="29" t="s">
        <v>72</v>
      </c>
      <c r="J116" s="32">
        <f>IF(ABS(R113)&gt;ABS(S113),R113,S113)</f>
        <v>581.31262783912507</v>
      </c>
      <c r="K116" s="32">
        <f>IF(ABS(R114)&gt;ABS(S114),R114,S114)</f>
        <v>-652.49376594187515</v>
      </c>
      <c r="L116" s="32">
        <f>IF(ABS(R115)&gt;ABS(S115),R115,S115)</f>
        <v>-699.94785801037506</v>
      </c>
      <c r="M116"/>
      <c r="N116"/>
      <c r="O116"/>
      <c r="R116" s="1">
        <f>qh*(C119-0.18)</f>
        <v>11.863523017125011</v>
      </c>
      <c r="S116" s="1">
        <f>qh*(C119+0.18)</f>
        <v>225.40693732537503</v>
      </c>
    </row>
    <row r="117" spans="1:19" ht="14.4" x14ac:dyDescent="0.3">
      <c r="A117" s="104"/>
      <c r="B117" s="117"/>
      <c r="C117" s="32">
        <v>0.8</v>
      </c>
      <c r="D117" s="32">
        <v>-0.92</v>
      </c>
      <c r="E117" s="32">
        <v>-1</v>
      </c>
      <c r="I117" s="79" t="s">
        <v>67</v>
      </c>
      <c r="J117" s="25" t="s">
        <v>73</v>
      </c>
      <c r="K117" s="24" t="s">
        <v>132</v>
      </c>
      <c r="L117" s="25" t="s">
        <v>114</v>
      </c>
      <c r="M117"/>
      <c r="N117"/>
      <c r="O117"/>
      <c r="R117" s="1">
        <f>qh*(D119-0.18)</f>
        <v>-759.26547309600005</v>
      </c>
      <c r="S117" s="1">
        <f>qh*(D119+0.18)</f>
        <v>-545.72205878775014</v>
      </c>
    </row>
    <row r="118" spans="1:19" ht="14.4" x14ac:dyDescent="0.3">
      <c r="A118" s="104" t="s">
        <v>68</v>
      </c>
      <c r="B118" s="116">
        <v>12</v>
      </c>
      <c r="C118" s="24" t="s">
        <v>115</v>
      </c>
      <c r="D118" s="24" t="s">
        <v>132</v>
      </c>
      <c r="E118" s="24" t="s">
        <v>114</v>
      </c>
      <c r="H118"/>
      <c r="I118" s="79"/>
      <c r="J118" s="25" t="str">
        <f>IF(ABS(R116)&gt;ABS(S116),R112,S112)</f>
        <v>-GCpi</v>
      </c>
      <c r="K118" s="25" t="str">
        <f>IF(ABS(R117)&gt;ABS(S117),R112,S112)</f>
        <v>+GCpi</v>
      </c>
      <c r="L118" s="25" t="str">
        <f>IF(ABS(R118)&gt;ABS(S118),R112,S112)</f>
        <v>+GCpi</v>
      </c>
      <c r="M118"/>
      <c r="N118"/>
      <c r="O118"/>
      <c r="P118"/>
      <c r="Q118"/>
      <c r="R118" s="1">
        <f>qh*(E119-0.18)</f>
        <v>-1055.853548524125</v>
      </c>
      <c r="S118" s="1">
        <f>qh*(E119+0.18)</f>
        <v>-842.31013421587511</v>
      </c>
    </row>
    <row r="119" spans="1:19" ht="14.4" x14ac:dyDescent="0.3">
      <c r="A119" s="104"/>
      <c r="B119" s="117"/>
      <c r="C119" s="32">
        <v>0.2</v>
      </c>
      <c r="D119" s="32">
        <v>-1.1000000000000001</v>
      </c>
      <c r="E119" s="32">
        <v>-1.6</v>
      </c>
      <c r="H119"/>
      <c r="I119" s="29" t="s">
        <v>74</v>
      </c>
      <c r="J119" s="32">
        <f>IF(ABS(R116)&gt;ABS(S116),R116,S116)</f>
        <v>225.40693732537503</v>
      </c>
      <c r="K119" s="32">
        <f>IF(ABS(R117)&gt;ABS(S117),R117,S117)</f>
        <v>-759.26547309600005</v>
      </c>
      <c r="L119" s="32">
        <f>IF(ABS(R118)&gt;ABS(S118),R118,S118)</f>
        <v>-1055.853548524125</v>
      </c>
      <c r="M119"/>
      <c r="N119"/>
      <c r="O119"/>
      <c r="P119"/>
      <c r="Q119"/>
    </row>
    <row r="120" spans="1:19" ht="14.4" x14ac:dyDescent="0.3">
      <c r="H120"/>
      <c r="P120"/>
      <c r="Q120"/>
    </row>
    <row r="121" spans="1:19" ht="14.4" x14ac:dyDescent="0.3">
      <c r="A121"/>
      <c r="H121"/>
      <c r="M121"/>
      <c r="N121"/>
      <c r="O121"/>
      <c r="P121"/>
      <c r="Q121"/>
    </row>
    <row r="122" spans="1:19" ht="14.4" x14ac:dyDescent="0.3">
      <c r="A122"/>
      <c r="H122"/>
      <c r="P122"/>
      <c r="Q122"/>
    </row>
    <row r="123" spans="1:19" ht="14.4" x14ac:dyDescent="0.3">
      <c r="A123"/>
      <c r="H123"/>
      <c r="P123"/>
      <c r="Q123"/>
    </row>
    <row r="124" spans="1:19" ht="14.4" x14ac:dyDescent="0.3">
      <c r="A124"/>
      <c r="H124"/>
      <c r="P124"/>
      <c r="Q124"/>
    </row>
    <row r="125" spans="1:19" ht="14.4" x14ac:dyDescent="0.3">
      <c r="A125"/>
      <c r="H125"/>
      <c r="M125"/>
      <c r="N125"/>
      <c r="O125"/>
      <c r="P125"/>
      <c r="Q125"/>
    </row>
    <row r="126" spans="1:19" ht="14.4" x14ac:dyDescent="0.3">
      <c r="A126"/>
      <c r="H126"/>
      <c r="I126"/>
      <c r="J126"/>
      <c r="K126"/>
      <c r="L126"/>
      <c r="M126"/>
      <c r="N126"/>
      <c r="O126"/>
      <c r="P126"/>
      <c r="Q126"/>
    </row>
    <row r="127" spans="1:19" ht="14.4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</row>
    <row r="128" spans="1:19" ht="14.4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</row>
    <row r="129" spans="1:17" ht="14.4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</row>
    <row r="130" spans="1:17" ht="14.4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</row>
    <row r="131" spans="1:17" ht="14.4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</row>
    <row r="132" spans="1:17" ht="12.6" customHeigh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</row>
    <row r="133" spans="1:17" ht="14.4" x14ac:dyDescent="0.3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</row>
    <row r="134" spans="1:17" ht="14.4" x14ac:dyDescent="0.3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</row>
    <row r="135" spans="1:17" ht="14.4" x14ac:dyDescent="0.3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</row>
    <row r="136" spans="1:17" ht="14.4" x14ac:dyDescent="0.3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</row>
    <row r="137" spans="1:17" ht="14.4" x14ac:dyDescent="0.3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</row>
    <row r="138" spans="1:17" ht="14.4" x14ac:dyDescent="0.3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</row>
    <row r="139" spans="1:17" ht="14.4" x14ac:dyDescent="0.3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</row>
    <row r="140" spans="1:17" x14ac:dyDescent="0.25">
      <c r="B140" s="1"/>
    </row>
  </sheetData>
  <mergeCells count="104">
    <mergeCell ref="A55:E55"/>
    <mergeCell ref="A56:A57"/>
    <mergeCell ref="I117:I118"/>
    <mergeCell ref="I112:L113"/>
    <mergeCell ref="I114:I115"/>
    <mergeCell ref="A113:E113"/>
    <mergeCell ref="A112:E112"/>
    <mergeCell ref="B116:B117"/>
    <mergeCell ref="B118:B119"/>
    <mergeCell ref="A116:A117"/>
    <mergeCell ref="A118:A119"/>
    <mergeCell ref="A114:A115"/>
    <mergeCell ref="C114:E115"/>
    <mergeCell ref="A64:A66"/>
    <mergeCell ref="B64:B66"/>
    <mergeCell ref="C64:E64"/>
    <mergeCell ref="C65:E65"/>
    <mergeCell ref="D58:E58"/>
    <mergeCell ref="D59:E59"/>
    <mergeCell ref="C66:E66"/>
    <mergeCell ref="B56:B57"/>
    <mergeCell ref="C56:E56"/>
    <mergeCell ref="C57:E57"/>
    <mergeCell ref="A1:F2"/>
    <mergeCell ref="A74:A75"/>
    <mergeCell ref="A71:F71"/>
    <mergeCell ref="A72:A73"/>
    <mergeCell ref="B72:B73"/>
    <mergeCell ref="C72:C73"/>
    <mergeCell ref="D72:D73"/>
    <mergeCell ref="E72:F72"/>
    <mergeCell ref="A61:F61"/>
    <mergeCell ref="A62:A63"/>
    <mergeCell ref="B62:B63"/>
    <mergeCell ref="C62:E63"/>
    <mergeCell ref="F62:F63"/>
    <mergeCell ref="D32:E32"/>
    <mergeCell ref="D33:E33"/>
    <mergeCell ref="D34:E34"/>
    <mergeCell ref="D35:E35"/>
    <mergeCell ref="A37:F37"/>
    <mergeCell ref="A42:E42"/>
    <mergeCell ref="A58:A59"/>
    <mergeCell ref="B58:B59"/>
    <mergeCell ref="A47:F47"/>
    <mergeCell ref="A48:C48"/>
    <mergeCell ref="D48:E48"/>
    <mergeCell ref="C18:D18"/>
    <mergeCell ref="C19:D19"/>
    <mergeCell ref="C20:D20"/>
    <mergeCell ref="A4:B4"/>
    <mergeCell ref="A14:B14"/>
    <mergeCell ref="C15:D15"/>
    <mergeCell ref="C16:D16"/>
    <mergeCell ref="C17:D17"/>
    <mergeCell ref="C14:D14"/>
    <mergeCell ref="A96:F96"/>
    <mergeCell ref="B98:B99"/>
    <mergeCell ref="A98:A99"/>
    <mergeCell ref="E98:G99"/>
    <mergeCell ref="A100:A103"/>
    <mergeCell ref="A104:A107"/>
    <mergeCell ref="I97:O97"/>
    <mergeCell ref="A23:F23"/>
    <mergeCell ref="A28:C28"/>
    <mergeCell ref="D28:E28"/>
    <mergeCell ref="B49:C49"/>
    <mergeCell ref="B50:C50"/>
    <mergeCell ref="A51:A52"/>
    <mergeCell ref="B51:C51"/>
    <mergeCell ref="C43:C44"/>
    <mergeCell ref="D43:D44"/>
    <mergeCell ref="E43:E44"/>
    <mergeCell ref="B53:C53"/>
    <mergeCell ref="A29:A30"/>
    <mergeCell ref="D29:E29"/>
    <mergeCell ref="D30:E30"/>
    <mergeCell ref="D31:E31"/>
    <mergeCell ref="F51:F52"/>
    <mergeCell ref="B52:C52"/>
    <mergeCell ref="U99:W99"/>
    <mergeCell ref="R99:T99"/>
    <mergeCell ref="R98:W98"/>
    <mergeCell ref="N98:O98"/>
    <mergeCell ref="J103:K103"/>
    <mergeCell ref="N103:O103"/>
    <mergeCell ref="J98:K98"/>
    <mergeCell ref="L98:M98"/>
    <mergeCell ref="A68:F68"/>
    <mergeCell ref="B69:F69"/>
    <mergeCell ref="A84:A88"/>
    <mergeCell ref="D84:D88"/>
    <mergeCell ref="A91:A93"/>
    <mergeCell ref="A81:F81"/>
    <mergeCell ref="A82:A83"/>
    <mergeCell ref="B82:B83"/>
    <mergeCell ref="C82:C83"/>
    <mergeCell ref="D82:D83"/>
    <mergeCell ref="E82:F82"/>
    <mergeCell ref="A78:A79"/>
    <mergeCell ref="I98:I99"/>
    <mergeCell ref="I103:I104"/>
    <mergeCell ref="L103:M103"/>
    <mergeCell ref="A97:G97"/>
  </mergeCells>
  <pageMargins left="0.7" right="0.7" top="0.75" bottom="0.75" header="0.3" footer="0.3"/>
  <pageSetup orientation="portrait" horizontalDpi="300" verticalDpi="300" r:id="rId1"/>
  <ignoredErrors>
    <ignoredError sqref="D75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E5F21-BF7D-433C-901E-F3C9D2F5C0DC}">
  <dimension ref="A1:J11"/>
  <sheetViews>
    <sheetView workbookViewId="0">
      <selection activeCell="I4" sqref="I4"/>
    </sheetView>
  </sheetViews>
  <sheetFormatPr baseColWidth="10" defaultRowHeight="14.4" x14ac:dyDescent="0.3"/>
  <sheetData>
    <row r="1" spans="1:10" x14ac:dyDescent="0.3">
      <c r="A1" t="s">
        <v>133</v>
      </c>
      <c r="B1">
        <v>3.46</v>
      </c>
      <c r="H1" t="s">
        <v>142</v>
      </c>
      <c r="I1" t="s">
        <v>143</v>
      </c>
      <c r="J1" t="s">
        <v>144</v>
      </c>
    </row>
    <row r="2" spans="1:10" x14ac:dyDescent="0.3">
      <c r="A2" t="s">
        <v>134</v>
      </c>
      <c r="B2">
        <v>0.72</v>
      </c>
      <c r="H2">
        <v>6.66</v>
      </c>
      <c r="I2">
        <v>0.44</v>
      </c>
      <c r="J2">
        <v>-0.76</v>
      </c>
    </row>
    <row r="3" spans="1:10" x14ac:dyDescent="0.3">
      <c r="A3" t="s">
        <v>136</v>
      </c>
      <c r="B3">
        <v>75</v>
      </c>
      <c r="H3">
        <v>10</v>
      </c>
      <c r="I3">
        <v>0.43</v>
      </c>
    </row>
    <row r="5" spans="1:10" x14ac:dyDescent="0.3">
      <c r="A5" t="s">
        <v>135</v>
      </c>
      <c r="B5">
        <f>B3/B2</f>
        <v>104.16666666666667</v>
      </c>
    </row>
    <row r="7" spans="1:10" x14ac:dyDescent="0.3">
      <c r="A7" t="s">
        <v>137</v>
      </c>
      <c r="B7">
        <f>B5*SQRT(235/200000)/PI()</f>
        <v>1.1365742893588737</v>
      </c>
    </row>
    <row r="9" spans="1:10" x14ac:dyDescent="0.3">
      <c r="A9" t="s">
        <v>138</v>
      </c>
      <c r="B9">
        <f>0.658^(B7^2)*235</f>
        <v>136.85222694721449</v>
      </c>
    </row>
    <row r="11" spans="1:10" x14ac:dyDescent="0.3">
      <c r="A11" t="s">
        <v>139</v>
      </c>
      <c r="B11">
        <f>0.85*B9*B1*0.1</f>
        <v>40.248239945175783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SE-Cat B TR=50</vt:lpstr>
      <vt:lpstr>SE-Cat B TR=25</vt:lpstr>
      <vt:lpstr>Hoja2</vt:lpstr>
      <vt:lpstr>qh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Cabrera</dc:creator>
  <cp:lastModifiedBy>Andrés Romero</cp:lastModifiedBy>
  <dcterms:created xsi:type="dcterms:W3CDTF">2020-04-11T15:38:33Z</dcterms:created>
  <dcterms:modified xsi:type="dcterms:W3CDTF">2023-04-25T20:23:17Z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2023-04-25T01:59:51Z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a7900d88-f2a9-4340-b322-e683e4cb0cdc</vt:lpwstr>
  </property>
  <property fmtid="{D5CDD505-2E9C-101B-9397-08002B2CF9AE}" pid="7" name="MSIP_Label_defa4170-0d19-0005-0004-bc88714345d2_ActionId">
    <vt:lpwstr>ea0bb6a5-8c80-4d7d-9261-169c4307059e</vt:lpwstr>
  </property>
  <property fmtid="{D5CDD505-2E9C-101B-9397-08002B2CF9AE}" pid="8" name="MSIP_Label_defa4170-0d19-0005-0004-bc88714345d2_ContentBits">
    <vt:lpwstr>0</vt:lpwstr>
  </property>
</Properties>
</file>