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gma\Proyectos\23-010_TAYARA_Nave\01_Hojas de calculo\"/>
    </mc:Choice>
  </mc:AlternateContent>
  <xr:revisionPtr revIDLastSave="0" documentId="13_ncr:1_{F20C0BDE-4D97-4C0E-94A5-12387A4EF63F}" xr6:coauthVersionLast="47" xr6:coauthVersionMax="47" xr10:uidLastSave="{00000000-0000-0000-0000-000000000000}"/>
  <bookViews>
    <workbookView xWindow="-28920" yWindow="-90" windowWidth="29040" windowHeight="15840" activeTab="3" xr2:uid="{00000000-000D-0000-FFFF-FFFF00000000}"/>
  </bookViews>
  <sheets>
    <sheet name="Correas Flexion Cajon" sheetId="20" r:id="rId1"/>
    <sheet name="Correas Compresion Cajon" sheetId="19" r:id="rId2"/>
    <sheet name="Correas Compresion" sheetId="18" r:id="rId3"/>
    <sheet name="Correas Flexion (2)" sheetId="22" r:id="rId4"/>
    <sheet name="Correas Flexion" sheetId="13" r:id="rId5"/>
    <sheet name="Perf C Ternium" sheetId="21" r:id="rId6"/>
    <sheet name="Perfiles C" sheetId="17" r:id="rId7"/>
  </sheets>
  <definedNames>
    <definedName name="_xlnm.Print_Area" localSheetId="2">'Correas Compresion'!$A$1:$G$208</definedName>
    <definedName name="_xlnm.Print_Area" localSheetId="1">'Correas Compresion Cajon'!$A$1:$G$206</definedName>
    <definedName name="b" localSheetId="2">'Correas Compresion'!$B$34</definedName>
    <definedName name="b" localSheetId="1">'Correas Compresion Cajon'!$B$34</definedName>
    <definedName name="b" localSheetId="3">'Correas Flexion (2)'!$B$24</definedName>
    <definedName name="b" localSheetId="0">'Correas Flexion Cajon'!$B$24</definedName>
    <definedName name="b">'Correas Flexion'!$B$24</definedName>
    <definedName name="CTernium">'Perf C Ternium'!$A$6:$O$42</definedName>
    <definedName name="d" localSheetId="2">'Correas Compresion'!$B$35</definedName>
    <definedName name="d" localSheetId="1">'Correas Compresion Cajon'!$B$35</definedName>
    <definedName name="d" localSheetId="3">'Correas Flexion (2)'!$B$25</definedName>
    <definedName name="d" localSheetId="0">'Correas Flexion Cajon'!$B$25</definedName>
    <definedName name="d">'Correas Flexion'!$B$25</definedName>
    <definedName name="DatosExternos_1" localSheetId="5" hidden="1">'Perf C Ternium'!$A$2:$O$42</definedName>
    <definedName name="E" localSheetId="2">'Correas Compresion'!$O$4</definedName>
    <definedName name="E" localSheetId="1">'Correas Compresion Cajon'!$O$4</definedName>
    <definedName name="E" localSheetId="3">'Correas Flexion (2)'!$O$3</definedName>
    <definedName name="E" localSheetId="0">'Correas Flexion Cajon'!#REF!</definedName>
    <definedName name="E">'Correas Flexion'!$O$3</definedName>
    <definedName name="fu" localSheetId="2">'Correas Compresion'!$B$31</definedName>
    <definedName name="fu" localSheetId="1">'Correas Compresion Cajon'!$B$31</definedName>
    <definedName name="fu" localSheetId="3">'Correas Flexion (2)'!$B$21</definedName>
    <definedName name="fu" localSheetId="0">'Correas Flexion Cajon'!$B$21</definedName>
    <definedName name="fu">'Correas Flexion'!$B$21</definedName>
    <definedName name="fy" localSheetId="2">'Correas Compresion'!$B$30</definedName>
    <definedName name="fy" localSheetId="1">'Correas Compresion Cajon'!$B$30</definedName>
    <definedName name="fy" localSheetId="3">'Correas Flexion (2)'!$B$20</definedName>
    <definedName name="fy" localSheetId="0">'Correas Flexion Cajon'!$B$20</definedName>
    <definedName name="fy">'Correas Flexion'!$B$20</definedName>
    <definedName name="g" localSheetId="1">'Correas Compresion Cajon'!$O$6</definedName>
    <definedName name="g">'Correas Compresion'!$O$6</definedName>
    <definedName name="h" localSheetId="2">'Correas Compresion'!$B$33</definedName>
    <definedName name="h" localSheetId="1">'Correas Compresion Cajon'!$B$33</definedName>
    <definedName name="h" localSheetId="3">'Correas Flexion (2)'!$B$23</definedName>
    <definedName name="h" localSheetId="0">'Correas Flexion Cajon'!$B$23</definedName>
    <definedName name="h">'Correas Flexion'!$B$23</definedName>
    <definedName name="pend">#REF!</definedName>
    <definedName name="t" localSheetId="2">'Correas Compresion'!$B$29</definedName>
    <definedName name="t" localSheetId="1">'Correas Compresion Cajon'!$B$29</definedName>
    <definedName name="t" localSheetId="3">'Correas Flexion (2)'!$B$19</definedName>
    <definedName name="t" localSheetId="0">'Correas Flexion Cajon'!$B$19</definedName>
    <definedName name="t">'Correas Flexion'!$B$19</definedName>
    <definedName name="u" localSheetId="2">'Correas Compresion'!$O$5</definedName>
    <definedName name="u" localSheetId="1">'Correas Compresion Cajon'!$O$5</definedName>
    <definedName name="u" localSheetId="3">'Correas Flexion (2)'!$O$4</definedName>
    <definedName name="u" localSheetId="0">'Correas Flexion Cajon'!#REF!</definedName>
    <definedName name="u">'Correas Flexion'!$O$4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1" i="22" l="1"/>
  <c r="D259" i="22"/>
  <c r="B255" i="22"/>
  <c r="B253" i="22"/>
  <c r="D235" i="22"/>
  <c r="B212" i="22"/>
  <c r="D151" i="22"/>
  <c r="B144" i="22"/>
  <c r="C141" i="22"/>
  <c r="I141" i="22" s="1"/>
  <c r="D135" i="22"/>
  <c r="P132" i="22"/>
  <c r="F125" i="22"/>
  <c r="D95" i="22"/>
  <c r="B60" i="22"/>
  <c r="B58" i="22"/>
  <c r="B45" i="22"/>
  <c r="E24" i="22"/>
  <c r="B182" i="22" s="1"/>
  <c r="E23" i="22"/>
  <c r="E22" i="22"/>
  <c r="B116" i="22" s="1"/>
  <c r="B118" i="22" s="1"/>
  <c r="E21" i="22"/>
  <c r="E20" i="22"/>
  <c r="E19" i="22"/>
  <c r="B19" i="22"/>
  <c r="B202" i="22" s="1"/>
  <c r="E18" i="22"/>
  <c r="B261" i="22" s="1"/>
  <c r="F261" i="22" s="1"/>
  <c r="B18" i="22"/>
  <c r="E17" i="22"/>
  <c r="B17" i="22"/>
  <c r="I203" i="22" s="1"/>
  <c r="I206" i="22" s="1"/>
  <c r="E16" i="22"/>
  <c r="B16" i="22"/>
  <c r="C125" i="22" s="1"/>
  <c r="C128" i="22" s="1"/>
  <c r="B204" i="22" l="1"/>
  <c r="D204" i="22" s="1"/>
  <c r="D202" i="22"/>
  <c r="B130" i="22"/>
  <c r="B132" i="22" s="1"/>
  <c r="E202" i="22"/>
  <c r="B259" i="22"/>
  <c r="F259" i="22" s="1"/>
  <c r="E204" i="22"/>
  <c r="B24" i="22"/>
  <c r="C66" i="22" s="1"/>
  <c r="B25" i="22"/>
  <c r="B64" i="22" s="1"/>
  <c r="E201" i="22"/>
  <c r="E203" i="22"/>
  <c r="B23" i="22"/>
  <c r="C101" i="22" s="1"/>
  <c r="E205" i="22"/>
  <c r="B269" i="22"/>
  <c r="B183" i="22"/>
  <c r="C48" i="22" l="1"/>
  <c r="B51" i="22" s="1"/>
  <c r="I51" i="22" s="1"/>
  <c r="C188" i="22"/>
  <c r="B192" i="22" s="1"/>
  <c r="B196" i="22" s="1"/>
  <c r="C69" i="22"/>
  <c r="C71" i="22" s="1"/>
  <c r="B73" i="22" s="1"/>
  <c r="K30" i="22"/>
  <c r="F135" i="22"/>
  <c r="D77" i="22"/>
  <c r="C38" i="22"/>
  <c r="G38" i="22" s="1"/>
  <c r="B205" i="22"/>
  <c r="D205" i="22" s="1"/>
  <c r="F205" i="22" s="1"/>
  <c r="B243" i="22"/>
  <c r="C147" i="22"/>
  <c r="B149" i="22" s="1"/>
  <c r="C158" i="22" s="1"/>
  <c r="A141" i="22"/>
  <c r="J144" i="22" s="1"/>
  <c r="C40" i="22"/>
  <c r="G40" i="22" s="1"/>
  <c r="B270" i="22"/>
  <c r="B198" i="22"/>
  <c r="B201" i="22" s="1"/>
  <c r="D201" i="22" s="1"/>
  <c r="B268" i="22"/>
  <c r="B279" i="22" s="1"/>
  <c r="B280" i="22" s="1"/>
  <c r="C174" i="22"/>
  <c r="G174" i="22" s="1"/>
  <c r="B98" i="22"/>
  <c r="B104" i="22" s="1"/>
  <c r="F202" i="22"/>
  <c r="C75" i="22"/>
  <c r="G75" i="22" s="1"/>
  <c r="C176" i="22"/>
  <c r="G176" i="22" s="1"/>
  <c r="B203" i="22"/>
  <c r="D203" i="22" s="1"/>
  <c r="F203" i="22" s="1"/>
  <c r="B62" i="22"/>
  <c r="I62" i="22" s="1"/>
  <c r="C36" i="22"/>
  <c r="G36" i="22" s="1"/>
  <c r="F204" i="22"/>
  <c r="D79" i="22" l="1"/>
  <c r="C82" i="22" s="1"/>
  <c r="B85" i="22" s="1"/>
  <c r="I85" i="22" s="1"/>
  <c r="B284" i="22"/>
  <c r="D206" i="22"/>
  <c r="F201" i="22"/>
  <c r="F206" i="22" s="1"/>
  <c r="F158" i="22"/>
  <c r="K34" i="22"/>
  <c r="K32" i="22"/>
  <c r="F151" i="22"/>
  <c r="B207" i="22" l="1"/>
  <c r="B213" i="22"/>
  <c r="M184" i="22"/>
  <c r="M185" i="22" s="1"/>
  <c r="G204" i="22"/>
  <c r="H204" i="22" s="1"/>
  <c r="B214" i="22"/>
  <c r="B216" i="22" s="1"/>
  <c r="D218" i="22" s="1"/>
  <c r="C221" i="22" s="1"/>
  <c r="G205" i="22"/>
  <c r="H205" i="22" s="1"/>
  <c r="G203" i="22"/>
  <c r="H203" i="22" s="1"/>
  <c r="G202" i="22"/>
  <c r="H202" i="22" s="1"/>
  <c r="G201" i="22"/>
  <c r="H201" i="22" s="1"/>
  <c r="H206" i="22" s="1"/>
  <c r="B208" i="22" s="1"/>
  <c r="B209" i="22" s="1"/>
  <c r="B230" i="22" s="1"/>
  <c r="B232" i="22" s="1"/>
  <c r="K31" i="22" l="1"/>
  <c r="K27" i="22" s="1"/>
  <c r="F235" i="22"/>
  <c r="C243" i="22"/>
  <c r="B224" i="22"/>
  <c r="P132" i="13" l="1"/>
  <c r="E21" i="13"/>
  <c r="E19" i="13"/>
  <c r="E23" i="13"/>
  <c r="E24" i="13"/>
  <c r="E20" i="13"/>
  <c r="E22" i="13"/>
  <c r="E18" i="13"/>
  <c r="E17" i="13"/>
  <c r="E16" i="13"/>
  <c r="B19" i="13"/>
  <c r="B18" i="13"/>
  <c r="B17" i="13"/>
  <c r="D42" i="21"/>
  <c r="D41" i="21"/>
  <c r="D40" i="21"/>
  <c r="D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D24" i="21"/>
  <c r="D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10" i="21"/>
  <c r="D9" i="21"/>
  <c r="D8" i="21"/>
  <c r="D7" i="21"/>
  <c r="D6" i="21"/>
  <c r="Q15" i="21"/>
  <c r="Q16" i="21"/>
  <c r="Q17" i="21"/>
  <c r="Q18" i="21"/>
  <c r="Q19" i="21"/>
  <c r="Q20" i="21"/>
  <c r="Q21" i="21"/>
  <c r="Q22" i="21"/>
  <c r="Q23" i="21"/>
  <c r="Q24" i="21"/>
  <c r="Q25" i="21"/>
  <c r="Q26" i="21"/>
  <c r="Q27" i="21"/>
  <c r="Q28" i="21"/>
  <c r="Q29" i="21"/>
  <c r="Q30" i="21"/>
  <c r="Q31" i="21"/>
  <c r="Q32" i="21"/>
  <c r="Q33" i="21"/>
  <c r="Q34" i="21"/>
  <c r="Q35" i="21"/>
  <c r="Q36" i="21"/>
  <c r="Q37" i="21"/>
  <c r="Q38" i="21"/>
  <c r="Q39" i="21"/>
  <c r="Q40" i="21"/>
  <c r="Q41" i="21"/>
  <c r="Q42" i="21"/>
  <c r="Q14" i="21"/>
  <c r="Q7" i="21"/>
  <c r="Q8" i="21"/>
  <c r="Q9" i="21"/>
  <c r="Q10" i="21"/>
  <c r="Q11" i="21"/>
  <c r="Q12" i="21"/>
  <c r="Q13" i="21"/>
  <c r="Q6" i="21"/>
  <c r="B16" i="13"/>
  <c r="O81" i="20"/>
  <c r="O64" i="20"/>
  <c r="O65" i="20" s="1"/>
  <c r="O77" i="20" s="1"/>
  <c r="O78" i="20" s="1"/>
  <c r="S50" i="20"/>
  <c r="S46" i="20"/>
  <c r="S48" i="20" s="1"/>
  <c r="S45" i="20"/>
  <c r="S44" i="20"/>
  <c r="S43" i="20"/>
  <c r="S42" i="20"/>
  <c r="S41" i="20"/>
  <c r="S49" i="20" s="1"/>
  <c r="S40" i="20"/>
  <c r="S47" i="20" l="1"/>
  <c r="O69" i="20"/>
  <c r="O66" i="20"/>
  <c r="O68" i="20" s="1"/>
  <c r="S33" i="20"/>
  <c r="S29" i="20" s="1"/>
  <c r="S28" i="20"/>
  <c r="S27" i="20"/>
  <c r="S26" i="20"/>
  <c r="M242" i="20"/>
  <c r="M246" i="20" s="1"/>
  <c r="B215" i="20"/>
  <c r="B254" i="20"/>
  <c r="D260" i="20" s="1"/>
  <c r="B252" i="20"/>
  <c r="D258" i="20" s="1"/>
  <c r="D234" i="20"/>
  <c r="D156" i="20"/>
  <c r="B149" i="20"/>
  <c r="C146" i="20"/>
  <c r="K146" i="20" s="1"/>
  <c r="D140" i="20"/>
  <c r="F130" i="20"/>
  <c r="D100" i="20"/>
  <c r="B63" i="20"/>
  <c r="B65" i="20" s="1"/>
  <c r="B50" i="20"/>
  <c r="E22" i="20"/>
  <c r="E21" i="20"/>
  <c r="E20" i="20"/>
  <c r="E27" i="20" s="1"/>
  <c r="E19" i="20"/>
  <c r="B19" i="20"/>
  <c r="B203" i="20" s="1"/>
  <c r="E18" i="20"/>
  <c r="B18" i="20"/>
  <c r="E17" i="20"/>
  <c r="E24" i="20" s="1"/>
  <c r="B17" i="20"/>
  <c r="E16" i="20"/>
  <c r="B16" i="20"/>
  <c r="G68" i="19"/>
  <c r="B61" i="19"/>
  <c r="B63" i="19" s="1"/>
  <c r="D206" i="19"/>
  <c r="B201" i="19"/>
  <c r="B203" i="19" s="1"/>
  <c r="F206" i="19" s="1"/>
  <c r="B179" i="19"/>
  <c r="E156" i="19"/>
  <c r="E32" i="19"/>
  <c r="E31" i="19"/>
  <c r="E30" i="19"/>
  <c r="E37" i="19" s="1"/>
  <c r="B54" i="19" s="1"/>
  <c r="E29" i="19"/>
  <c r="B29" i="19"/>
  <c r="E28" i="19"/>
  <c r="E35" i="19" s="1"/>
  <c r="B28" i="19"/>
  <c r="E27" i="19"/>
  <c r="E34" i="19" s="1"/>
  <c r="B27" i="19"/>
  <c r="E26" i="19"/>
  <c r="B26" i="19"/>
  <c r="B4" i="19"/>
  <c r="B144" i="13"/>
  <c r="E158" i="18"/>
  <c r="B255" i="13"/>
  <c r="D261" i="13" s="1"/>
  <c r="B253" i="13"/>
  <c r="D259" i="13" s="1"/>
  <c r="D235" i="13"/>
  <c r="D151" i="13"/>
  <c r="B181" i="18"/>
  <c r="E34" i="18"/>
  <c r="E26" i="18"/>
  <c r="E33" i="18"/>
  <c r="E32" i="18"/>
  <c r="E31" i="18"/>
  <c r="B53" i="18" s="1"/>
  <c r="C56" i="18" s="1"/>
  <c r="E30" i="18"/>
  <c r="B62" i="18" s="1"/>
  <c r="C65" i="18" s="1"/>
  <c r="B29" i="18"/>
  <c r="E169" i="18" s="1"/>
  <c r="E29" i="18"/>
  <c r="B28" i="18"/>
  <c r="E28" i="18"/>
  <c r="B27" i="18"/>
  <c r="E27" i="18"/>
  <c r="B26" i="18"/>
  <c r="D208" i="18"/>
  <c r="B4" i="18"/>
  <c r="B182" i="13"/>
  <c r="B261" i="13"/>
  <c r="E202" i="13"/>
  <c r="B212" i="13"/>
  <c r="F261" i="13" l="1"/>
  <c r="B260" i="20"/>
  <c r="B258" i="20"/>
  <c r="F258" i="20" s="1"/>
  <c r="S30" i="20"/>
  <c r="S31" i="20"/>
  <c r="O71" i="20"/>
  <c r="O72" i="20" s="1"/>
  <c r="M244" i="20"/>
  <c r="E170" i="19"/>
  <c r="E26" i="20"/>
  <c r="E30" i="20" s="1"/>
  <c r="E203" i="20"/>
  <c r="E25" i="20"/>
  <c r="E29" i="20" s="1"/>
  <c r="E205" i="20"/>
  <c r="H204" i="20"/>
  <c r="H207" i="20" s="1"/>
  <c r="F260" i="20"/>
  <c r="B205" i="20"/>
  <c r="D205" i="20" s="1"/>
  <c r="D203" i="20"/>
  <c r="B23" i="20"/>
  <c r="C152" i="20" s="1"/>
  <c r="B24" i="20"/>
  <c r="C71" i="20" s="1"/>
  <c r="E206" i="20"/>
  <c r="E204" i="20"/>
  <c r="B25" i="20"/>
  <c r="E202" i="20"/>
  <c r="B268" i="20"/>
  <c r="A71" i="19"/>
  <c r="E36" i="19"/>
  <c r="E38" i="19" s="1"/>
  <c r="B65" i="19" s="1"/>
  <c r="C68" i="19" s="1"/>
  <c r="B34" i="19"/>
  <c r="G65" i="19"/>
  <c r="C57" i="19"/>
  <c r="B105" i="19"/>
  <c r="I99" i="19" s="1"/>
  <c r="C44" i="19"/>
  <c r="G44" i="19" s="1"/>
  <c r="B167" i="19"/>
  <c r="D122" i="19"/>
  <c r="E167" i="19"/>
  <c r="B33" i="19"/>
  <c r="C48" i="19" s="1"/>
  <c r="G48" i="19" s="1"/>
  <c r="B35" i="19"/>
  <c r="C91" i="19" s="1"/>
  <c r="E171" i="19"/>
  <c r="B166" i="19"/>
  <c r="E166" i="19"/>
  <c r="D135" i="13"/>
  <c r="B259" i="13"/>
  <c r="F259" i="13" s="1"/>
  <c r="B269" i="13"/>
  <c r="C68" i="18"/>
  <c r="C74" i="18" s="1"/>
  <c r="G62" i="18"/>
  <c r="G53" i="18"/>
  <c r="B33" i="18"/>
  <c r="C141" i="18" s="1"/>
  <c r="E168" i="18"/>
  <c r="B34" i="18"/>
  <c r="E172" i="18"/>
  <c r="E173" i="18"/>
  <c r="B35" i="18"/>
  <c r="B168" i="18"/>
  <c r="E201" i="13"/>
  <c r="E204" i="13"/>
  <c r="E203" i="13"/>
  <c r="I203" i="13"/>
  <c r="I206" i="13" s="1"/>
  <c r="E205" i="13"/>
  <c r="B202" i="13"/>
  <c r="B183" i="13"/>
  <c r="C141" i="13"/>
  <c r="I141" i="13" s="1"/>
  <c r="F125" i="13"/>
  <c r="C125" i="13"/>
  <c r="C128" i="13" s="1"/>
  <c r="B130" i="13" s="1"/>
  <c r="B132" i="13" s="1"/>
  <c r="B116" i="13"/>
  <c r="B118" i="13" s="1"/>
  <c r="D95" i="13"/>
  <c r="B58" i="13"/>
  <c r="B60" i="13" s="1"/>
  <c r="B45" i="13"/>
  <c r="B25" i="13"/>
  <c r="B24" i="13"/>
  <c r="C176" i="13" s="1"/>
  <c r="G176" i="13" s="1"/>
  <c r="B23" i="13"/>
  <c r="C147" i="13" s="1"/>
  <c r="E161" i="19" l="1"/>
  <c r="C130" i="20"/>
  <c r="E28" i="20"/>
  <c r="C106" i="20"/>
  <c r="G203" i="20"/>
  <c r="F203" i="20"/>
  <c r="G205" i="20"/>
  <c r="F205" i="20"/>
  <c r="B121" i="20"/>
  <c r="B123" i="20" s="1"/>
  <c r="D82" i="20"/>
  <c r="C74" i="20"/>
  <c r="C76" i="20" s="1"/>
  <c r="C80" i="20"/>
  <c r="G80" i="20" s="1"/>
  <c r="C181" i="20"/>
  <c r="G181" i="20" s="1"/>
  <c r="B204" i="20"/>
  <c r="D204" i="20" s="1"/>
  <c r="B67" i="20"/>
  <c r="I67" i="20" s="1"/>
  <c r="C41" i="20"/>
  <c r="G41" i="20" s="1"/>
  <c r="B206" i="20"/>
  <c r="D206" i="20" s="1"/>
  <c r="C43" i="20"/>
  <c r="G43" i="20" s="1"/>
  <c r="B69" i="20"/>
  <c r="B154" i="20"/>
  <c r="B269" i="20"/>
  <c r="B267" i="20"/>
  <c r="B278" i="20" s="1"/>
  <c r="B279" i="20" s="1"/>
  <c r="C45" i="20"/>
  <c r="G45" i="20" s="1"/>
  <c r="A146" i="20"/>
  <c r="K150" i="20" s="1"/>
  <c r="B103" i="20"/>
  <c r="C179" i="20"/>
  <c r="G179" i="20" s="1"/>
  <c r="C189" i="20"/>
  <c r="C53" i="20"/>
  <c r="B56" i="20" s="1"/>
  <c r="I56" i="20" s="1"/>
  <c r="C74" i="19"/>
  <c r="C77" i="19" s="1"/>
  <c r="D71" i="19"/>
  <c r="G71" i="19" s="1"/>
  <c r="B170" i="19"/>
  <c r="D170" i="19" s="1"/>
  <c r="D166" i="19"/>
  <c r="B171" i="19"/>
  <c r="D171" i="19" s="1"/>
  <c r="D167" i="19"/>
  <c r="C139" i="19"/>
  <c r="C46" i="19"/>
  <c r="G46" i="19" s="1"/>
  <c r="I165" i="19"/>
  <c r="K170" i="19"/>
  <c r="E165" i="19"/>
  <c r="B165" i="19"/>
  <c r="G54" i="19"/>
  <c r="E172" i="19"/>
  <c r="B107" i="19"/>
  <c r="B243" i="13"/>
  <c r="K30" i="13"/>
  <c r="B98" i="13"/>
  <c r="B270" i="13"/>
  <c r="B268" i="13"/>
  <c r="B279" i="13" s="1"/>
  <c r="B280" i="13" s="1"/>
  <c r="E163" i="18"/>
  <c r="D124" i="18"/>
  <c r="C43" i="18"/>
  <c r="G43" i="18" s="1"/>
  <c r="C47" i="18"/>
  <c r="G47" i="18" s="1"/>
  <c r="E174" i="18"/>
  <c r="C45" i="18"/>
  <c r="G45" i="18" s="1"/>
  <c r="C71" i="18"/>
  <c r="E76" i="18" s="1"/>
  <c r="B107" i="18"/>
  <c r="I101" i="18" s="1"/>
  <c r="B169" i="18"/>
  <c r="D169" i="18" s="1"/>
  <c r="F169" i="18" s="1"/>
  <c r="D168" i="18"/>
  <c r="F168" i="18" s="1"/>
  <c r="B172" i="18"/>
  <c r="D172" i="18" s="1"/>
  <c r="K172" i="18"/>
  <c r="E167" i="18"/>
  <c r="I167" i="18"/>
  <c r="I174" i="18" s="1"/>
  <c r="B109" i="18"/>
  <c r="B167" i="18"/>
  <c r="C93" i="18"/>
  <c r="B64" i="13"/>
  <c r="B205" i="13"/>
  <c r="D205" i="13" s="1"/>
  <c r="F205" i="13" s="1"/>
  <c r="B204" i="13"/>
  <c r="D204" i="13" s="1"/>
  <c r="F204" i="13" s="1"/>
  <c r="D202" i="13"/>
  <c r="F202" i="13" s="1"/>
  <c r="C188" i="13"/>
  <c r="B203" i="13"/>
  <c r="D203" i="13" s="1"/>
  <c r="F203" i="13" s="1"/>
  <c r="C174" i="13"/>
  <c r="G174" i="13" s="1"/>
  <c r="C66" i="13"/>
  <c r="C69" i="13"/>
  <c r="A141" i="13"/>
  <c r="J144" i="13" s="1"/>
  <c r="B149" i="13" s="1"/>
  <c r="K32" i="13" s="1"/>
  <c r="C101" i="13"/>
  <c r="C36" i="13"/>
  <c r="G36" i="13" s="1"/>
  <c r="C38" i="13"/>
  <c r="G38" i="13" s="1"/>
  <c r="C40" i="13"/>
  <c r="G40" i="13" s="1"/>
  <c r="C75" i="13"/>
  <c r="G75" i="13" s="1"/>
  <c r="D77" i="13"/>
  <c r="C48" i="13"/>
  <c r="B51" i="13" s="1"/>
  <c r="I51" i="13" s="1"/>
  <c r="B62" i="13"/>
  <c r="I62" i="13" s="1"/>
  <c r="B109" i="20" l="1"/>
  <c r="C158" i="13"/>
  <c r="B104" i="13"/>
  <c r="G204" i="20"/>
  <c r="F204" i="20"/>
  <c r="G206" i="20"/>
  <c r="F206" i="20"/>
  <c r="B193" i="20"/>
  <c r="B197" i="20" s="1"/>
  <c r="B199" i="20" s="1"/>
  <c r="B202" i="20" s="1"/>
  <c r="D202" i="20" s="1"/>
  <c r="B135" i="20"/>
  <c r="B137" i="20" s="1"/>
  <c r="B78" i="20"/>
  <c r="K37" i="20"/>
  <c r="F156" i="20"/>
  <c r="D84" i="20"/>
  <c r="C87" i="20" s="1"/>
  <c r="B90" i="20" s="1"/>
  <c r="I90" i="20" s="1"/>
  <c r="B82" i="19"/>
  <c r="C84" i="19" s="1"/>
  <c r="B136" i="19" s="1"/>
  <c r="B143" i="19" s="1"/>
  <c r="B147" i="19" s="1"/>
  <c r="I172" i="19"/>
  <c r="B172" i="19"/>
  <c r="D172" i="19" s="1"/>
  <c r="D165" i="19"/>
  <c r="F167" i="19"/>
  <c r="F171" i="19"/>
  <c r="F166" i="19"/>
  <c r="F170" i="19"/>
  <c r="B284" i="13"/>
  <c r="C79" i="18"/>
  <c r="B84" i="18" s="1"/>
  <c r="C86" i="18" s="1"/>
  <c r="B173" i="18"/>
  <c r="D173" i="18" s="1"/>
  <c r="F173" i="18" s="1"/>
  <c r="D167" i="18"/>
  <c r="B174" i="18"/>
  <c r="D174" i="18" s="1"/>
  <c r="F172" i="18"/>
  <c r="B192" i="13"/>
  <c r="B196" i="13" s="1"/>
  <c r="B198" i="13" s="1"/>
  <c r="B201" i="13" s="1"/>
  <c r="D201" i="13" s="1"/>
  <c r="C71" i="13"/>
  <c r="B73" i="13" s="1"/>
  <c r="D79" i="13"/>
  <c r="C82" i="13" s="1"/>
  <c r="B85" i="13" s="1"/>
  <c r="I85" i="13" s="1"/>
  <c r="G202" i="20" l="1"/>
  <c r="F202" i="20"/>
  <c r="F207" i="20" s="1"/>
  <c r="D207" i="20"/>
  <c r="K35" i="20"/>
  <c r="F140" i="20"/>
  <c r="B242" i="20"/>
  <c r="B283" i="20" s="1"/>
  <c r="C163" i="20"/>
  <c r="K39" i="20" s="1"/>
  <c r="B88" i="19"/>
  <c r="B94" i="19" s="1"/>
  <c r="I88" i="19" s="1"/>
  <c r="B101" i="19"/>
  <c r="B103" i="19" s="1"/>
  <c r="F165" i="19"/>
  <c r="F172" i="19"/>
  <c r="G156" i="19"/>
  <c r="B149" i="19"/>
  <c r="C152" i="19" s="1"/>
  <c r="F158" i="13"/>
  <c r="K34" i="13"/>
  <c r="B138" i="18"/>
  <c r="B145" i="18" s="1"/>
  <c r="B149" i="18" s="1"/>
  <c r="B103" i="18"/>
  <c r="B105" i="18" s="1"/>
  <c r="B90" i="18"/>
  <c r="B96" i="18" s="1"/>
  <c r="I90" i="18" s="1"/>
  <c r="F174" i="18"/>
  <c r="F167" i="18"/>
  <c r="F201" i="13"/>
  <c r="D206" i="13"/>
  <c r="F163" i="20" l="1"/>
  <c r="D217" i="20"/>
  <c r="C220" i="20" s="1"/>
  <c r="B223" i="20" s="1"/>
  <c r="B168" i="19"/>
  <c r="C156" i="19"/>
  <c r="A242" i="20" s="1"/>
  <c r="E105" i="19"/>
  <c r="C113" i="19"/>
  <c r="C110" i="19"/>
  <c r="C120" i="19"/>
  <c r="F120" i="19" s="1"/>
  <c r="D125" i="19" s="1"/>
  <c r="C128" i="19" s="1"/>
  <c r="B131" i="19" s="1"/>
  <c r="I126" i="19" s="1"/>
  <c r="B151" i="18"/>
  <c r="C154" i="18" s="1"/>
  <c r="C158" i="18" s="1"/>
  <c r="A243" i="22" s="1"/>
  <c r="B244" i="22" s="1"/>
  <c r="G158" i="18"/>
  <c r="E107" i="18"/>
  <c r="C122" i="18"/>
  <c r="C112" i="18"/>
  <c r="C115" i="18"/>
  <c r="F206" i="13"/>
  <c r="B207" i="13" s="1"/>
  <c r="K33" i="22" l="1"/>
  <c r="F244" i="22"/>
  <c r="G207" i="20"/>
  <c r="A243" i="13"/>
  <c r="C115" i="19"/>
  <c r="B117" i="19" s="1"/>
  <c r="K156" i="19"/>
  <c r="B161" i="19"/>
  <c r="B170" i="18"/>
  <c r="B171" i="18" s="1"/>
  <c r="E168" i="19"/>
  <c r="D168" i="19"/>
  <c r="I168" i="19"/>
  <c r="B169" i="19"/>
  <c r="B163" i="18"/>
  <c r="K158" i="18"/>
  <c r="F122" i="18"/>
  <c r="D127" i="18" s="1"/>
  <c r="C130" i="18" s="1"/>
  <c r="B133" i="18" s="1"/>
  <c r="I128" i="18" s="1"/>
  <c r="C117" i="18"/>
  <c r="B119" i="18" s="1"/>
  <c r="F135" i="13"/>
  <c r="F151" i="13"/>
  <c r="M184" i="13"/>
  <c r="M185" i="13" s="1"/>
  <c r="B214" i="13"/>
  <c r="B213" i="13"/>
  <c r="G203" i="13"/>
  <c r="H203" i="13" s="1"/>
  <c r="G201" i="13"/>
  <c r="H201" i="13" s="1"/>
  <c r="G202" i="13"/>
  <c r="H202" i="13" s="1"/>
  <c r="G204" i="13"/>
  <c r="H204" i="13" s="1"/>
  <c r="G205" i="13"/>
  <c r="H205" i="13" s="1"/>
  <c r="B208" i="20" l="1"/>
  <c r="I170" i="18"/>
  <c r="E170" i="18"/>
  <c r="D170" i="18"/>
  <c r="F170" i="18" s="1"/>
  <c r="I169" i="19"/>
  <c r="I173" i="19" s="1"/>
  <c r="D169" i="19"/>
  <c r="D173" i="19" s="1"/>
  <c r="B176" i="19" s="1"/>
  <c r="E169" i="19"/>
  <c r="F168" i="19"/>
  <c r="D171" i="18"/>
  <c r="I171" i="18"/>
  <c r="I175" i="18" s="1"/>
  <c r="E171" i="18"/>
  <c r="B203" i="18"/>
  <c r="B205" i="18" s="1"/>
  <c r="F208" i="18" s="1"/>
  <c r="B216" i="13"/>
  <c r="D218" i="13" s="1"/>
  <c r="C221" i="13" s="1"/>
  <c r="B224" i="13" s="1"/>
  <c r="H206" i="13"/>
  <c r="B208" i="13" s="1"/>
  <c r="B209" i="13" s="1"/>
  <c r="B230" i="13" s="1"/>
  <c r="B232" i="13" s="1"/>
  <c r="B209" i="20" l="1"/>
  <c r="B229" i="20" s="1"/>
  <c r="B231" i="20" s="1"/>
  <c r="K31" i="13"/>
  <c r="K27" i="13" s="1"/>
  <c r="H161" i="19"/>
  <c r="J161" i="19" s="1"/>
  <c r="F169" i="19"/>
  <c r="F173" i="19" s="1"/>
  <c r="B174" i="19" s="1"/>
  <c r="G169" i="19" s="1"/>
  <c r="H169" i="19" s="1"/>
  <c r="C243" i="13"/>
  <c r="B244" i="13" s="1"/>
  <c r="D175" i="18"/>
  <c r="B178" i="18" s="1"/>
  <c r="F171" i="18"/>
  <c r="F175" i="18" s="1"/>
  <c r="F235" i="13"/>
  <c r="H163" i="18"/>
  <c r="J163" i="18" s="1"/>
  <c r="F234" i="20" l="1"/>
  <c r="C242" i="20"/>
  <c r="B243" i="20" s="1"/>
  <c r="K36" i="20"/>
  <c r="B181" i="19"/>
  <c r="G170" i="19"/>
  <c r="H170" i="19" s="1"/>
  <c r="B180" i="19"/>
  <c r="G167" i="19"/>
  <c r="H167" i="19" s="1"/>
  <c r="G171" i="19"/>
  <c r="H171" i="19" s="1"/>
  <c r="G166" i="19"/>
  <c r="H166" i="19" s="1"/>
  <c r="G172" i="19"/>
  <c r="H172" i="19" s="1"/>
  <c r="G165" i="19"/>
  <c r="H165" i="19" s="1"/>
  <c r="G168" i="19"/>
  <c r="H168" i="19" s="1"/>
  <c r="F244" i="13"/>
  <c r="K33" i="13"/>
  <c r="B176" i="18"/>
  <c r="G171" i="18" s="1"/>
  <c r="H171" i="18" s="1"/>
  <c r="F243" i="20" l="1"/>
  <c r="K38" i="20"/>
  <c r="H173" i="19"/>
  <c r="B175" i="19" s="1"/>
  <c r="B177" i="19" s="1"/>
  <c r="B183" i="19"/>
  <c r="D186" i="19" s="1"/>
  <c r="C189" i="19" s="1"/>
  <c r="B193" i="19" s="1"/>
  <c r="G170" i="18"/>
  <c r="H170" i="18" s="1"/>
  <c r="G172" i="18"/>
  <c r="H172" i="18" s="1"/>
  <c r="G173" i="18"/>
  <c r="H173" i="18" s="1"/>
  <c r="B182" i="18"/>
  <c r="G168" i="18"/>
  <c r="H168" i="18" s="1"/>
  <c r="B183" i="18"/>
  <c r="G169" i="18"/>
  <c r="H169" i="18" s="1"/>
  <c r="G174" i="18"/>
  <c r="H174" i="18" s="1"/>
  <c r="G167" i="18"/>
  <c r="H167" i="18" s="1"/>
  <c r="B185" i="18" l="1"/>
  <c r="D188" i="18" s="1"/>
  <c r="C191" i="18" s="1"/>
  <c r="B195" i="18" s="1"/>
  <c r="H175" i="18"/>
  <c r="B177" i="18" s="1"/>
  <c r="B179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47CBB5-886C-4D9A-9D78-8367EA954182}" keepAlive="1" name="Consulta - Table009 (Page 4)" description="Conexión a la consulta 'Table009 (Page 4)' en el libro." type="5" refreshedVersion="8" background="1" saveData="1">
    <dbPr connection="Provider=Microsoft.Mashup.OleDb.1;Data Source=$Workbook$;Location=&quot;Table009 (Page 4)&quot;;Extended Properties=&quot;&quot;" command="SELECT * FROM [Table009 (Page 4)]"/>
  </connection>
</connections>
</file>

<file path=xl/sharedStrings.xml><?xml version="1.0" encoding="utf-8"?>
<sst xmlns="http://schemas.openxmlformats.org/spreadsheetml/2006/main" count="1584" uniqueCount="516">
  <si>
    <t>C</t>
  </si>
  <si>
    <t>G</t>
  </si>
  <si>
    <t>m</t>
  </si>
  <si>
    <t>kN</t>
  </si>
  <si>
    <t>Correa</t>
  </si>
  <si>
    <t>cm</t>
  </si>
  <si>
    <t>r</t>
  </si>
  <si>
    <t>E</t>
  </si>
  <si>
    <t>Ag</t>
  </si>
  <si>
    <t>b</t>
  </si>
  <si>
    <t>h</t>
  </si>
  <si>
    <t>Pd</t>
  </si>
  <si>
    <t>Pn</t>
  </si>
  <si>
    <t>mm</t>
  </si>
  <si>
    <t>Pendiente</t>
  </si>
  <si>
    <t>KN</t>
  </si>
  <si>
    <t>Datos</t>
  </si>
  <si>
    <t>Sep. Cercha</t>
  </si>
  <si>
    <t>Sep. Correa</t>
  </si>
  <si>
    <t>º</t>
  </si>
  <si>
    <t>Dimensionamiento</t>
  </si>
  <si>
    <t>Perfil</t>
  </si>
  <si>
    <t>MPa</t>
  </si>
  <si>
    <t>cm²</t>
  </si>
  <si>
    <t>Verificacion de esbelteces</t>
  </si>
  <si>
    <t>&lt;</t>
  </si>
  <si>
    <t>Verifica</t>
  </si>
  <si>
    <t>No Verifica</t>
  </si>
  <si>
    <t>Alma</t>
  </si>
  <si>
    <t>Anchos Efectivos</t>
  </si>
  <si>
    <t>Elemento 1. Rigidizador. Elemento rigidizador de borde con tensiones variables.</t>
  </si>
  <si>
    <t>u</t>
  </si>
  <si>
    <t>El ancho es totalmente efectivo.</t>
  </si>
  <si>
    <t>Elemento 2.Pliegue. Elemento totalmente efectivo por ser pliegue de la sección transversal.</t>
  </si>
  <si>
    <t>Elemento 3. Ala. Elemento uniformemente comprimido con rigidizador de borde.</t>
  </si>
  <si>
    <t>&gt;</t>
  </si>
  <si>
    <t>0,328*S=12,25</t>
  </si>
  <si>
    <t>Elemento 4. Alma. Elemento rigidizado con tensiones linealmente variables.</t>
  </si>
  <si>
    <t>Elemento 5 y 6. Ala y rigidizador inferior totalmente efectivo por ser elementos traccionados.</t>
  </si>
  <si>
    <t>Sección totalmente efectiva.</t>
  </si>
  <si>
    <t>Resistencia de Diseño a Flexión</t>
  </si>
  <si>
    <t>Resistencia nominal de secciones laterlamente arriostradas en forma continua</t>
  </si>
  <si>
    <t>Resistencia al pandel lateral torsional</t>
  </si>
  <si>
    <t>Resistencia de diseño al corte</t>
  </si>
  <si>
    <t>h/t</t>
  </si>
  <si>
    <t>H =</t>
  </si>
  <si>
    <t>B =</t>
  </si>
  <si>
    <t>D =</t>
  </si>
  <si>
    <t>t=R =</t>
  </si>
  <si>
    <t>Fy =</t>
  </si>
  <si>
    <t>Fu =</t>
  </si>
  <si>
    <t>h =</t>
  </si>
  <si>
    <t>b =</t>
  </si>
  <si>
    <t>d =</t>
  </si>
  <si>
    <t>Ag =</t>
  </si>
  <si>
    <t>Ix =</t>
  </si>
  <si>
    <t>Iy =</t>
  </si>
  <si>
    <t>rx =</t>
  </si>
  <si>
    <t>ry =</t>
  </si>
  <si>
    <t>Sx =</t>
  </si>
  <si>
    <t>Sy =</t>
  </si>
  <si>
    <t>J =</t>
  </si>
  <si>
    <t>Cw =</t>
  </si>
  <si>
    <t>x0 =</t>
  </si>
  <si>
    <t>xg =</t>
  </si>
  <si>
    <r>
      <t>cm</t>
    </r>
    <r>
      <rPr>
        <vertAlign val="superscript"/>
        <sz val="11"/>
        <color theme="1"/>
        <rFont val="Calibri"/>
        <family val="2"/>
        <scheme val="minor"/>
      </rPr>
      <t>4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</si>
  <si>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</si>
  <si>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6</t>
    </r>
  </si>
  <si>
    <t>L =</t>
  </si>
  <si>
    <t>b/t =</t>
  </si>
  <si>
    <t>d/t =</t>
  </si>
  <si>
    <t>h/t =</t>
  </si>
  <si>
    <t>Ala:</t>
  </si>
  <si>
    <t>Labio:</t>
  </si>
  <si>
    <t>Alma:</t>
  </si>
  <si>
    <t>f3 =</t>
  </si>
  <si>
    <t>k =</t>
  </si>
  <si>
    <t>D/b =</t>
  </si>
  <si>
    <t>kNm</t>
  </si>
  <si>
    <t>Lb =</t>
  </si>
  <si>
    <t>Cb =</t>
  </si>
  <si>
    <t>ky =</t>
  </si>
  <si>
    <t>kv =</t>
  </si>
  <si>
    <t>kN/m</t>
  </si>
  <si>
    <t>ANÁLISIS DE LA DIRECCIÓN X</t>
  </si>
  <si>
    <t>ANÁLISIS DE LA DIRECCIÓN Y</t>
  </si>
  <si>
    <t>Supongo fluencia en el ala traccionada</t>
  </si>
  <si>
    <t>x1 = xg =</t>
  </si>
  <si>
    <t xml:space="preserve">x2 = </t>
  </si>
  <si>
    <t xml:space="preserve">f1 = </t>
  </si>
  <si>
    <t>f2 = Fy =</t>
  </si>
  <si>
    <t>Elemento</t>
  </si>
  <si>
    <t>li.ni</t>
  </si>
  <si>
    <t>Longitud (li)</t>
  </si>
  <si>
    <t>Cantidad (ni)</t>
  </si>
  <si>
    <t>Dist. al eje 1-1</t>
  </si>
  <si>
    <t>Elemento 1. Ala. Elemento uniformemente comprimido con ambos bordes rigidizados</t>
  </si>
  <si>
    <t>li.ni.xi</t>
  </si>
  <si>
    <t>xgi = xi-xg</t>
  </si>
  <si>
    <t>Iey</t>
  </si>
  <si>
    <t>li.ni.xgi²</t>
  </si>
  <si>
    <t>Elemento 3. Alma con tensiones linealmente variables.</t>
  </si>
  <si>
    <t>f1 =</t>
  </si>
  <si>
    <t>fc =</t>
  </si>
  <si>
    <t>ft =</t>
  </si>
  <si>
    <t>Solicitaciones</t>
  </si>
  <si>
    <t>pu/pd</t>
  </si>
  <si>
    <t>Mu</t>
  </si>
  <si>
    <t>Flexocompresion</t>
  </si>
  <si>
    <t>Barra</t>
  </si>
  <si>
    <t>d</t>
  </si>
  <si>
    <t>Designación del Perfil</t>
  </si>
  <si>
    <t>Altura</t>
  </si>
  <si>
    <t>Ala</t>
  </si>
  <si>
    <t>Rigidizador</t>
  </si>
  <si>
    <t>Espesor</t>
  </si>
  <si>
    <t>Radio de Acuerdo</t>
  </si>
  <si>
    <t>Area nominal de la sección</t>
  </si>
  <si>
    <t>Masa Nominal</t>
  </si>
  <si>
    <t>Distancias al CG</t>
  </si>
  <si>
    <t>Momentos de Inercia</t>
  </si>
  <si>
    <t>Módulos Resistentes</t>
  </si>
  <si>
    <t>Radios de Giro</t>
  </si>
  <si>
    <t>e</t>
  </si>
  <si>
    <t>S</t>
  </si>
  <si>
    <r>
      <t>e</t>
    </r>
    <r>
      <rPr>
        <vertAlign val="subscript"/>
        <sz val="11"/>
        <color theme="1"/>
        <rFont val="Calibri"/>
        <family val="2"/>
        <scheme val="minor"/>
      </rPr>
      <t>y</t>
    </r>
  </si>
  <si>
    <r>
      <t>I</t>
    </r>
    <r>
      <rPr>
        <vertAlign val="subscript"/>
        <sz val="11"/>
        <color theme="1"/>
        <rFont val="Calibri"/>
        <family val="2"/>
        <scheme val="minor"/>
      </rPr>
      <t>x</t>
    </r>
  </si>
  <si>
    <r>
      <t>I</t>
    </r>
    <r>
      <rPr>
        <vertAlign val="subscript"/>
        <sz val="11"/>
        <color theme="1"/>
        <rFont val="Calibri"/>
        <family val="2"/>
        <scheme val="minor"/>
      </rPr>
      <t>y</t>
    </r>
  </si>
  <si>
    <r>
      <t>W</t>
    </r>
    <r>
      <rPr>
        <vertAlign val="subscript"/>
        <sz val="11"/>
        <color theme="1"/>
        <rFont val="Calibri"/>
        <family val="2"/>
        <scheme val="minor"/>
      </rPr>
      <t>x</t>
    </r>
  </si>
  <si>
    <r>
      <t>W</t>
    </r>
    <r>
      <rPr>
        <vertAlign val="subscript"/>
        <sz val="11"/>
        <color theme="1"/>
        <rFont val="Calibri"/>
        <family val="2"/>
        <scheme val="minor"/>
      </rPr>
      <t>y</t>
    </r>
  </si>
  <si>
    <r>
      <t>i</t>
    </r>
    <r>
      <rPr>
        <vertAlign val="subscript"/>
        <sz val="11"/>
        <color theme="1"/>
        <rFont val="Calibri"/>
        <family val="2"/>
        <scheme val="minor"/>
      </rPr>
      <t>x</t>
    </r>
  </si>
  <si>
    <r>
      <t>i</t>
    </r>
    <r>
      <rPr>
        <vertAlign val="subscript"/>
        <sz val="11"/>
        <color theme="1"/>
        <rFont val="Calibri"/>
        <family val="2"/>
        <scheme val="minor"/>
      </rPr>
      <t>y</t>
    </r>
  </si>
  <si>
    <t>kg/m</t>
  </si>
  <si>
    <t>cm³</t>
  </si>
  <si>
    <t>80x40x15 x 1,60</t>
  </si>
  <si>
    <t>80x40x15 x 1,80</t>
  </si>
  <si>
    <t>80x40x15 x 2,00</t>
  </si>
  <si>
    <t>80x50x15 x 1,60</t>
  </si>
  <si>
    <t>80x50x15 x 2,00</t>
  </si>
  <si>
    <t>80x50x20 x 1,60</t>
  </si>
  <si>
    <t>80x50x20 x 2,00</t>
  </si>
  <si>
    <t>100x40x15 x 1,60</t>
  </si>
  <si>
    <t>100x40x15 x 2,00</t>
  </si>
  <si>
    <t>100x45x10 x 1,60</t>
  </si>
  <si>
    <t>100x45x10 x 2,00</t>
  </si>
  <si>
    <t>100x45x15 x 1,60</t>
  </si>
  <si>
    <t>100x45x15 x 2,00</t>
  </si>
  <si>
    <t>100x50x15 x 1,60</t>
  </si>
  <si>
    <t>100x50x15 x 1,80</t>
  </si>
  <si>
    <t>100x50x15 x 2,00</t>
  </si>
  <si>
    <t>100x50x15 x 2,50</t>
  </si>
  <si>
    <t>100x50x20 x 1,60</t>
  </si>
  <si>
    <t>100x50x20 x 2,00</t>
  </si>
  <si>
    <t>100x50x20 x 2,50</t>
  </si>
  <si>
    <t>120x50x15 x 1,60</t>
  </si>
  <si>
    <t>120x50x15 x 1,80</t>
  </si>
  <si>
    <t>120x50x15 x 2,00</t>
  </si>
  <si>
    <t>120x50x15 x 2,50</t>
  </si>
  <si>
    <t>120x50x15 x 3,20</t>
  </si>
  <si>
    <t>120x50x20 x 1,60</t>
  </si>
  <si>
    <t>120x50x20 x 2,00</t>
  </si>
  <si>
    <t>120x50x20 x 2,50</t>
  </si>
  <si>
    <t>120x50x20 x 3,20</t>
  </si>
  <si>
    <t>120x60x20 x 1,80</t>
  </si>
  <si>
    <t>120x60x20 x 2,00</t>
  </si>
  <si>
    <t>120x60x20 x 3,20</t>
  </si>
  <si>
    <t>140x50x10x1,60</t>
  </si>
  <si>
    <t>140x50x10x2,00</t>
  </si>
  <si>
    <t>140x50x10x2,50</t>
  </si>
  <si>
    <t>140x50x15x 1,60</t>
  </si>
  <si>
    <t>140x50x15x 2,00</t>
  </si>
  <si>
    <t>140x50x15x2,50</t>
  </si>
  <si>
    <t>140x50x20 x 1,60</t>
  </si>
  <si>
    <t>140x50x20 x 2,00</t>
  </si>
  <si>
    <t>140x50x20 x 2,50</t>
  </si>
  <si>
    <t>140x50x20 x 3,20</t>
  </si>
  <si>
    <t>140x60x15 x 2,00</t>
  </si>
  <si>
    <t>140x60x20 x 1,60</t>
  </si>
  <si>
    <t>140x60x20 x 1,80</t>
  </si>
  <si>
    <t>140x60x20 x 2,00</t>
  </si>
  <si>
    <t>140x60x20 x 2,50</t>
  </si>
  <si>
    <t>140x60x20 x 3,20</t>
  </si>
  <si>
    <t>150x100x30 x 3,20</t>
  </si>
  <si>
    <t>150x100x30 x 4,75</t>
  </si>
  <si>
    <t>150x100x40x3,20</t>
  </si>
  <si>
    <t>150x100x40x4,75</t>
  </si>
  <si>
    <t>160x50x15 x 2,00</t>
  </si>
  <si>
    <t>160x50x20x 2,00</t>
  </si>
  <si>
    <t>160x60x15x1,60</t>
  </si>
  <si>
    <t>160x60x15x2,00</t>
  </si>
  <si>
    <t>160x60x20 x 1,60</t>
  </si>
  <si>
    <t>160x60x20 x 2,00</t>
  </si>
  <si>
    <t>160x60x20 x 2,50</t>
  </si>
  <si>
    <t>160x60x20 x 3,20</t>
  </si>
  <si>
    <t>160x60x25x1,60</t>
  </si>
  <si>
    <t>160x60x25x2,50</t>
  </si>
  <si>
    <t>160x60x25x4,75</t>
  </si>
  <si>
    <t>160x60x25 x 3,20</t>
  </si>
  <si>
    <t>180x60x20 x 2,00</t>
  </si>
  <si>
    <t>180x60x20 x 2,50</t>
  </si>
  <si>
    <t>180x60x20 x 3,20</t>
  </si>
  <si>
    <t>180x70x15x1,60</t>
  </si>
  <si>
    <t>180x70x15x2,00</t>
  </si>
  <si>
    <t>180x70x20 x 2,00</t>
  </si>
  <si>
    <t>180x70x20 x 2,50</t>
  </si>
  <si>
    <t>180x70x20 x 3,20</t>
  </si>
  <si>
    <t>180x70x25 x 2,00</t>
  </si>
  <si>
    <t>180x70x25 x 2,50</t>
  </si>
  <si>
    <t>180x70x25 x 3,20</t>
  </si>
  <si>
    <t>180x70x25 x 4,75</t>
  </si>
  <si>
    <t>200x60x20 x 2,00</t>
  </si>
  <si>
    <t>200x60x20 x 2,50</t>
  </si>
  <si>
    <t>200x60x20 x 3,20</t>
  </si>
  <si>
    <t>200x70x25 x 2,00</t>
  </si>
  <si>
    <t>200x70x25 x 2,50</t>
  </si>
  <si>
    <t>200x70x25 x 3,20</t>
  </si>
  <si>
    <t>200x80x15x1,60</t>
  </si>
  <si>
    <t>200x80x15x2,00</t>
  </si>
  <si>
    <t>200x80x20x2,00</t>
  </si>
  <si>
    <t>200x80x20x2,50</t>
  </si>
  <si>
    <t>200x80x20x3,20</t>
  </si>
  <si>
    <t>200x80x25 x 2,00</t>
  </si>
  <si>
    <t>200x80x25 x 2,50</t>
  </si>
  <si>
    <t>200x80x25 x 3,20</t>
  </si>
  <si>
    <t>200x80x25 x 4,75</t>
  </si>
  <si>
    <t>200x100x25x3,20</t>
  </si>
  <si>
    <t>200x100x25x4,75</t>
  </si>
  <si>
    <t>200x100x30x4,75</t>
  </si>
  <si>
    <t>220x60x20 x 2,00</t>
  </si>
  <si>
    <t>220x60x20 x 2,50</t>
  </si>
  <si>
    <t>220x60x20 x 3,20</t>
  </si>
  <si>
    <t>220x70x25 x 2,00</t>
  </si>
  <si>
    <t>220x70x25 x 2,50</t>
  </si>
  <si>
    <t>220x70x25 x 3,20</t>
  </si>
  <si>
    <t>220x80x25 x 2,00</t>
  </si>
  <si>
    <t>220x80x25 x 2,50</t>
  </si>
  <si>
    <t>220x80x25 x 3,20</t>
  </si>
  <si>
    <t>220x80x25 x 4,75</t>
  </si>
  <si>
    <t>220x90x25 x 2,00</t>
  </si>
  <si>
    <t>220x90x25 x 2,50</t>
  </si>
  <si>
    <t>220x90x25 x 3,20</t>
  </si>
  <si>
    <t>240x80x20 x 2,00</t>
  </si>
  <si>
    <t>240x80x20 x 2,50</t>
  </si>
  <si>
    <t>240x80x20 x 3,20</t>
  </si>
  <si>
    <t>240x80x25 x 2,00</t>
  </si>
  <si>
    <t>240x80x25 x 2,50</t>
  </si>
  <si>
    <t>240x80x25 x 3,20</t>
  </si>
  <si>
    <t>240x80x25 x 4,75</t>
  </si>
  <si>
    <t>240x90x25 x 2,00</t>
  </si>
  <si>
    <t>240x90x25 x 2,50</t>
  </si>
  <si>
    <t>240x90x25 x 3,20</t>
  </si>
  <si>
    <t>240x90x30 x 2,50</t>
  </si>
  <si>
    <t>240x90x30 x 3,20</t>
  </si>
  <si>
    <t>240x100x25 x 2,00</t>
  </si>
  <si>
    <t>240x100x25 x 2,50</t>
  </si>
  <si>
    <t>240x100x25 x 3,20</t>
  </si>
  <si>
    <t>260x80x15x 1,60</t>
  </si>
  <si>
    <t>260x80x15x 2,00</t>
  </si>
  <si>
    <t>260x80x20x 1,60</t>
  </si>
  <si>
    <t>260x80x20 x 2,00</t>
  </si>
  <si>
    <t>260x80x20 x 2,50</t>
  </si>
  <si>
    <t>260x80x20 x 3,20</t>
  </si>
  <si>
    <t>260x80x20x 4,75</t>
  </si>
  <si>
    <t>260x80x40x 2,50</t>
  </si>
  <si>
    <t>260x80x40x3,20</t>
  </si>
  <si>
    <t>260x80x40x 4,75</t>
  </si>
  <si>
    <t>260x90x25 x 2,00</t>
  </si>
  <si>
    <t>260x90x25 x 2,50</t>
  </si>
  <si>
    <t>260x90x25 x 3,20</t>
  </si>
  <si>
    <t>260x100x25 x 2,00</t>
  </si>
  <si>
    <t>260x100x25 x 2,50</t>
  </si>
  <si>
    <t>260x100x25 x 3,20</t>
  </si>
  <si>
    <t>260x100x30 x 2,50</t>
  </si>
  <si>
    <t>260x100x30 x 3,20</t>
  </si>
  <si>
    <t>280x80x20 x 2,00</t>
  </si>
  <si>
    <t>280x80x20 x 2,50</t>
  </si>
  <si>
    <t>280x80x20 x 3,20</t>
  </si>
  <si>
    <t>280x90x25 x 2,00</t>
  </si>
  <si>
    <t>280x90x25 x 2,50</t>
  </si>
  <si>
    <t>280x90x25 x 3,20</t>
  </si>
  <si>
    <t>280x100x25 x 2,00</t>
  </si>
  <si>
    <t>280x100x25 x 2,50</t>
  </si>
  <si>
    <t>280x100x25 x 3,20</t>
  </si>
  <si>
    <t>300x80x20 x 2,00</t>
  </si>
  <si>
    <t>300x80x20 x 2,50</t>
  </si>
  <si>
    <t>300x80x20 x 3,20</t>
  </si>
  <si>
    <t>300x80x30 x 3,20</t>
  </si>
  <si>
    <t>300x90x20x 3,20</t>
  </si>
  <si>
    <t>300x90x20x4,75</t>
  </si>
  <si>
    <t>300x90x25 x 2,00</t>
  </si>
  <si>
    <t>300x90x25 x 2,50</t>
  </si>
  <si>
    <t>300x90x25 x 3,20</t>
  </si>
  <si>
    <t>300x90x25x 4,75</t>
  </si>
  <si>
    <t>300x90x30 x 2,50</t>
  </si>
  <si>
    <t>300x90x30 x 3,20</t>
  </si>
  <si>
    <t>300x90x30x 4,75</t>
  </si>
  <si>
    <t>300x90x40x 3,20</t>
  </si>
  <si>
    <t>300x90x40x 4,75</t>
  </si>
  <si>
    <t>300x100x25 x 2,00</t>
  </si>
  <si>
    <t>300x100x25 x 2,50</t>
  </si>
  <si>
    <t>300x100x25 x 3,20</t>
  </si>
  <si>
    <t>300x100x30 x 2,00</t>
  </si>
  <si>
    <t>300x100x30 x 3,20</t>
  </si>
  <si>
    <t>320x80x20 x 2,00</t>
  </si>
  <si>
    <t>320x80x20 x 2,50</t>
  </si>
  <si>
    <t>320x80x20 x 3,20</t>
  </si>
  <si>
    <t>320x90x25 x 2,00</t>
  </si>
  <si>
    <t>320x90x25 x 2,50</t>
  </si>
  <si>
    <t>320x90x25 x 3,20</t>
  </si>
  <si>
    <t>320x100x25 x 2,00</t>
  </si>
  <si>
    <t>320x100x25 x 2,50</t>
  </si>
  <si>
    <t>320x100x25 x 3,20</t>
  </si>
  <si>
    <t>340x90x25 x 2,00</t>
  </si>
  <si>
    <t>340x90x25 x 2,50</t>
  </si>
  <si>
    <t>340x90x25 x 3,20</t>
  </si>
  <si>
    <t>340x100x25 x 2,00</t>
  </si>
  <si>
    <t>340x100x25 x 2,50</t>
  </si>
  <si>
    <t>340x100x25 x 3,20</t>
  </si>
  <si>
    <t>340x80x20 x 2,00</t>
  </si>
  <si>
    <t>340x80x20 x 2,50</t>
  </si>
  <si>
    <t>340x80x20 x 3,20</t>
  </si>
  <si>
    <t>350x100x25 x 2,00</t>
  </si>
  <si>
    <t>350x100x25 x 2,50</t>
  </si>
  <si>
    <t>350x100x25 x 3,20</t>
  </si>
  <si>
    <t>360x100x20x 3,20</t>
  </si>
  <si>
    <t>360x100x20x 4,75</t>
  </si>
  <si>
    <t>360x100x25 x 3,20</t>
  </si>
  <si>
    <t>360x100x25x 4,75</t>
  </si>
  <si>
    <t>360x100x30 x 3,20</t>
  </si>
  <si>
    <t>360x100x30 x 4,75</t>
  </si>
  <si>
    <t>360x100x40x 3,20</t>
  </si>
  <si>
    <t>360x100x40 x 4,75</t>
  </si>
  <si>
    <t>Pu</t>
  </si>
  <si>
    <t>Elemento 1. Rigidizador. Elemento rigidizador de borde uniformemente comprimido.</t>
  </si>
  <si>
    <t>Elemento 4. Alma. Elemento rigidizado uniformemente comprimido.</t>
  </si>
  <si>
    <t>f =</t>
  </si>
  <si>
    <t>4.1</t>
  </si>
  <si>
    <t>4.2</t>
  </si>
  <si>
    <t>0,328*S=</t>
  </si>
  <si>
    <t>Lx =</t>
  </si>
  <si>
    <t>Ly =</t>
  </si>
  <si>
    <t>MPA</t>
  </si>
  <si>
    <t>PU</t>
  </si>
  <si>
    <t>mux/mnx</t>
  </si>
  <si>
    <t>muy/mny</t>
  </si>
  <si>
    <t>Tensión de pandeo elástico alrededor del eje y-y</t>
  </si>
  <si>
    <t>DETERMINACIÓN DE LA TENSIÓN DE COMPRESIÓN DE LOS ELEMENTOS</t>
  </si>
  <si>
    <t>Tensión de pandel elástico flexotorsional alrededor del eje x-x</t>
  </si>
  <si>
    <t>Determinación de Fn</t>
  </si>
  <si>
    <t>DETERMINACIÓN DE ANCHOS EFECTIVOS</t>
  </si>
  <si>
    <t>El ancho es parcialmente efectivo.</t>
  </si>
  <si>
    <t>DETERMINACIÓN DEL ÁREA EFECTIVA</t>
  </si>
  <si>
    <t>RESISTENCIA DE DISEÑO A LA COMPRESIÓN</t>
  </si>
  <si>
    <t>g =</t>
  </si>
  <si>
    <t>Mux =</t>
  </si>
  <si>
    <t>Muy =</t>
  </si>
  <si>
    <t>Pu =</t>
  </si>
  <si>
    <t>Vux =</t>
  </si>
  <si>
    <t>Vuy =</t>
  </si>
  <si>
    <t>pandeo localizado</t>
  </si>
  <si>
    <t>N</t>
  </si>
  <si>
    <t>hay que poner una placa en los extremos</t>
  </si>
  <si>
    <t>N/t</t>
  </si>
  <si>
    <t>N/h</t>
  </si>
  <si>
    <t xml:space="preserve">theta </t>
  </si>
  <si>
    <t>Cr</t>
  </si>
  <si>
    <t>Cn</t>
  </si>
  <si>
    <t>ch</t>
  </si>
  <si>
    <t>phiw</t>
  </si>
  <si>
    <t>pu</t>
  </si>
  <si>
    <t>VERIFICACIÓN EN ESTADO DE SERVICIO</t>
  </si>
  <si>
    <t>cm               &lt;</t>
  </si>
  <si>
    <t>Para determinar la flecha considero a la viga como simplemente apoyada.</t>
  </si>
  <si>
    <t>Mnx</t>
  </si>
  <si>
    <t>Mny</t>
  </si>
  <si>
    <t>Vnx</t>
  </si>
  <si>
    <t>Flexión y Corte Combinados</t>
  </si>
  <si>
    <t>COMBINACIÓN DE FLEXIÓN OBLICUA Y COMPRESIÓN</t>
  </si>
  <si>
    <t>kN          &gt;</t>
  </si>
  <si>
    <t>flexocompresion</t>
  </si>
  <si>
    <t>flexion y corte</t>
  </si>
  <si>
    <t>160x50x20x 2,50</t>
  </si>
  <si>
    <t>Estado A.4.3-6</t>
  </si>
  <si>
    <t>&lt;     2,78.Fy =</t>
  </si>
  <si>
    <t>Sección Compuesta</t>
  </si>
  <si>
    <t>Tensión de pandeo elástico alrededor del eje x-x</t>
  </si>
  <si>
    <t>Campos (n)</t>
  </si>
  <si>
    <t>Sep. (a)</t>
  </si>
  <si>
    <t>f2 =</t>
  </si>
  <si>
    <t>&gt;     2,78.Fy =</t>
  </si>
  <si>
    <t>Resistencia de Diseño a Compresión</t>
  </si>
  <si>
    <t>fi</t>
  </si>
  <si>
    <t>RdFluencia</t>
  </si>
  <si>
    <t>RdRotura</t>
  </si>
  <si>
    <t>ey =</t>
  </si>
  <si>
    <t>sep =</t>
  </si>
  <si>
    <t>rmin =</t>
  </si>
  <si>
    <t>Cordón</t>
  </si>
  <si>
    <t>Sección Armada</t>
  </si>
  <si>
    <t>Diagonal</t>
  </si>
  <si>
    <t>IPN 120</t>
  </si>
  <si>
    <t>Zx =</t>
  </si>
  <si>
    <t>Zy =</t>
  </si>
  <si>
    <t>2xIPN 120</t>
  </si>
  <si>
    <t>UPN 120</t>
  </si>
  <si>
    <t>2xUPN 120</t>
  </si>
  <si>
    <t>L64x64x9,5</t>
  </si>
  <si>
    <t>h'</t>
  </si>
  <si>
    <t>fmax</t>
  </si>
  <si>
    <t>Zu</t>
  </si>
  <si>
    <t>n</t>
  </si>
  <si>
    <t>zui</t>
  </si>
  <si>
    <t>tp</t>
  </si>
  <si>
    <t>tpadop</t>
  </si>
  <si>
    <t>Muper</t>
  </si>
  <si>
    <t>dp</t>
  </si>
  <si>
    <t>n1</t>
  </si>
  <si>
    <t>cartela</t>
  </si>
  <si>
    <t>f</t>
  </si>
  <si>
    <t>tc</t>
  </si>
  <si>
    <t>hc</t>
  </si>
  <si>
    <t>md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</si>
  <si>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</si>
  <si>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</si>
  <si>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</si>
  <si>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</si>
  <si>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</si>
  <si>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</si>
  <si>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</si>
  <si>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</si>
  <si>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</si>
  <si>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</si>
  <si>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</si>
  <si>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</si>
  <si>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Valores estáticos relativos a los ejes XX-YY</t>
  </si>
  <si>
    <t>Dimensiones
(mm)</t>
  </si>
  <si>
    <t>Espesor
(mm)</t>
  </si>
  <si>
    <t>Peso LAC
(kg/m)</t>
  </si>
  <si>
    <t>Peso Galva
(kg/m)</t>
  </si>
  <si>
    <t>Sección
(cm2)</t>
  </si>
  <si>
    <t>Wx
(cm3)</t>
  </si>
  <si>
    <t>Jx
( cm4)</t>
  </si>
  <si>
    <t>Ix
(cm)</t>
  </si>
  <si>
    <t>Xg
(cm)</t>
  </si>
  <si>
    <t>Wy
( cm3)</t>
  </si>
  <si>
    <t>Jy
( cm4)</t>
  </si>
  <si>
    <t>Iy
(cm)</t>
  </si>
  <si>
    <t/>
  </si>
  <si>
    <t>2</t>
  </si>
  <si>
    <t>-</t>
  </si>
  <si>
    <t>35</t>
  </si>
  <si>
    <t>5</t>
  </si>
  <si>
    <t>7</t>
  </si>
  <si>
    <t>10</t>
  </si>
  <si>
    <t>80x40x15x2</t>
  </si>
  <si>
    <t>80x50x15x2</t>
  </si>
  <si>
    <t>100x45x10x2</t>
  </si>
  <si>
    <t>100x50x15x2</t>
  </si>
  <si>
    <t>120x50x15x2</t>
  </si>
  <si>
    <t>140x60x20x2</t>
  </si>
  <si>
    <t>160x60x20x2</t>
  </si>
  <si>
    <t>180x70x20x2</t>
  </si>
  <si>
    <t>200x80x20x2</t>
  </si>
  <si>
    <t>220x80x20x2</t>
  </si>
  <si>
    <t>Column13</t>
  </si>
  <si>
    <t>Altura(mm)</t>
  </si>
  <si>
    <t>80</t>
  </si>
  <si>
    <t>100</t>
  </si>
  <si>
    <t>120</t>
  </si>
  <si>
    <t>140</t>
  </si>
  <si>
    <t>160</t>
  </si>
  <si>
    <t>180</t>
  </si>
  <si>
    <t>200</t>
  </si>
  <si>
    <t>220</t>
  </si>
  <si>
    <t>240</t>
  </si>
  <si>
    <t>Column14</t>
  </si>
  <si>
    <t>Ancho(mm)</t>
  </si>
  <si>
    <t>Column15</t>
  </si>
  <si>
    <t>Labio(mm)</t>
  </si>
  <si>
    <t>40</t>
  </si>
  <si>
    <t>50</t>
  </si>
  <si>
    <t>45</t>
  </si>
  <si>
    <t>60</t>
  </si>
  <si>
    <t>70</t>
  </si>
  <si>
    <t>80x40x15x1,6</t>
  </si>
  <si>
    <t>80x40x15x2,5</t>
  </si>
  <si>
    <t>80x40x15x3,2</t>
  </si>
  <si>
    <t>80x50x15x1,6</t>
  </si>
  <si>
    <t>80x50x15x2,5</t>
  </si>
  <si>
    <t>80x50x15x3,2</t>
  </si>
  <si>
    <t>100x45x10x1,6</t>
  </si>
  <si>
    <t>100x45x10x2,5</t>
  </si>
  <si>
    <t>100x45x10x3,2</t>
  </si>
  <si>
    <t>100x50x15x1,6</t>
  </si>
  <si>
    <t>100x50x15x2,5</t>
  </si>
  <si>
    <t>100x50x15x3,2</t>
  </si>
  <si>
    <t>120x50x15x1,6</t>
  </si>
  <si>
    <t>120x50x15x2,5</t>
  </si>
  <si>
    <t>120x50x15x3,2</t>
  </si>
  <si>
    <t>140x60x20x2,5</t>
  </si>
  <si>
    <t>140x60x20x3,2</t>
  </si>
  <si>
    <t>160x60x20x2,5</t>
  </si>
  <si>
    <t>160x60x20x3,2</t>
  </si>
  <si>
    <t>180x70x20x2,5</t>
  </si>
  <si>
    <t>180x70x20x3,2</t>
  </si>
  <si>
    <t>200x80x20x2,5</t>
  </si>
  <si>
    <t>200x80x20x3,2</t>
  </si>
  <si>
    <t>220x80x20x2,5</t>
  </si>
  <si>
    <t>220x80x20x3,2</t>
  </si>
  <si>
    <t>240x80x25x2,5</t>
  </si>
  <si>
    <t>240x80x25x3,2</t>
  </si>
  <si>
    <t>1,146,37</t>
  </si>
  <si>
    <t>ma</t>
  </si>
  <si>
    <t>mb</t>
  </si>
  <si>
    <t>mc</t>
  </si>
  <si>
    <t>mmax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</si>
</sst>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0" fillId="0" borderId="0" xfId="0" quotePrefix="1"/>
    <xf numFmtId="0" fontId="2" fillId="0" borderId="0" xfId="0" applyFont="1"/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left"/>
    </xf>
    <xf numFmtId="0" fontId="0" fillId="0" borderId="0" xfId="0" quotePrefix="1" applyAlignment="1">
      <alignment horizontal="right"/>
    </xf>
    <xf numFmtId="0" fontId="8" fillId="0" borderId="0" xfId="0" applyFont="1"/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quotePrefix="1" applyAlignment="1">
      <alignment horizontal="center"/>
    </xf>
    <xf numFmtId="2" fontId="2" fillId="0" borderId="0" xfId="0" applyNumberFormat="1" applyFont="1"/>
    <xf numFmtId="0" fontId="9" fillId="0" borderId="0" xfId="0" applyFont="1"/>
    <xf numFmtId="0" fontId="10" fillId="0" borderId="0" xfId="0" applyFont="1"/>
    <xf numFmtId="164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164" fontId="2" fillId="0" borderId="1" xfId="0" applyNumberFormat="1" applyFont="1" applyBorder="1"/>
    <xf numFmtId="2" fontId="2" fillId="2" borderId="0" xfId="0" applyNumberFormat="1" applyFont="1" applyFill="1" applyAlignment="1">
      <alignment horizontal="right"/>
    </xf>
    <xf numFmtId="0" fontId="0" fillId="2" borderId="1" xfId="0" applyFill="1" applyBorder="1" applyAlignment="1">
      <alignment horizontal="center"/>
    </xf>
    <xf numFmtId="1" fontId="0" fillId="0" borderId="0" xfId="0" applyNumberFormat="1"/>
    <xf numFmtId="0" fontId="4" fillId="0" borderId="0" xfId="0" applyFont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12" fillId="0" borderId="0" xfId="0" applyFont="1"/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/>
    </xf>
    <xf numFmtId="0" fontId="6" fillId="0" borderId="0" xfId="0" applyFont="1" applyAlignment="1">
      <alignment horizontal="left"/>
    </xf>
    <xf numFmtId="0" fontId="0" fillId="3" borderId="1" xfId="0" applyFill="1" applyBorder="1" applyAlignment="1">
      <alignment horizontal="center" vertical="center" wrapText="1"/>
    </xf>
  </cellXfs>
  <cellStyles count="1">
    <cellStyle name="Normal" xfId="0" builtinId="0"/>
  </cellStyles>
  <dxfs count="66"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D5F3E2"/>
      <color rgb="FF89FF89"/>
      <color rgb="FFFFFFCC"/>
      <color rgb="FF66FF66"/>
      <color rgb="FFFFCC66"/>
      <color rgb="FFFFFF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51</xdr:row>
      <xdr:rowOff>72390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1D16576-3A38-4B73-8FD6-4C8A358D6197}"/>
                </a:ext>
              </a:extLst>
            </xdr:cNvPr>
            <xdr:cNvSpPr txBox="1"/>
          </xdr:nvSpPr>
          <xdr:spPr>
            <a:xfrm>
              <a:off x="76200" y="2117217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1D16576-3A38-4B73-8FD6-4C8A358D6197}"/>
                </a:ext>
              </a:extLst>
            </xdr:cNvPr>
            <xdr:cNvSpPr txBox="1"/>
          </xdr:nvSpPr>
          <xdr:spPr>
            <a:xfrm>
              <a:off x="76200" y="2117217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91440</xdr:colOff>
      <xdr:row>53</xdr:row>
      <xdr:rowOff>156210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32116A5A-2F66-457A-9C18-FFE14861EF69}"/>
                </a:ext>
              </a:extLst>
            </xdr:cNvPr>
            <xdr:cNvSpPr txBox="1"/>
          </xdr:nvSpPr>
          <xdr:spPr>
            <a:xfrm>
              <a:off x="91440" y="2162175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32116A5A-2F66-457A-9C18-FFE14861EF69}"/>
                </a:ext>
              </a:extLst>
            </xdr:cNvPr>
            <xdr:cNvSpPr txBox="1"/>
          </xdr:nvSpPr>
          <xdr:spPr>
            <a:xfrm>
              <a:off x="91440" y="2162175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99060</xdr:colOff>
      <xdr:row>63</xdr:row>
      <xdr:rowOff>19050</xdr:rowOff>
    </xdr:from>
    <xdr:ext cx="990784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B8C1B054-64B6-4A85-842B-EAE2BF418953}"/>
                </a:ext>
              </a:extLst>
            </xdr:cNvPr>
            <xdr:cNvSpPr txBox="1"/>
          </xdr:nvSpPr>
          <xdr:spPr>
            <a:xfrm>
              <a:off x="99060" y="23313390"/>
              <a:ext cx="99078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=1,28.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B8C1B054-64B6-4A85-842B-EAE2BF418953}"/>
                </a:ext>
              </a:extLst>
            </xdr:cNvPr>
            <xdr:cNvSpPr txBox="1"/>
          </xdr:nvSpPr>
          <xdr:spPr>
            <a:xfrm>
              <a:off x="99060" y="23313390"/>
              <a:ext cx="99078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𝑆=1,28.√(𝐸/𝑓)=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67</xdr:row>
      <xdr:rowOff>102870</xdr:rowOff>
    </xdr:from>
    <xdr:ext cx="732508" cy="3372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D9D87B3C-B39D-4012-B731-07A15660EE7A}"/>
                </a:ext>
              </a:extLst>
            </xdr:cNvPr>
            <xdr:cNvSpPr txBox="1"/>
          </xdr:nvSpPr>
          <xdr:spPr>
            <a:xfrm>
              <a:off x="83820" y="24128730"/>
              <a:ext cx="732508" cy="337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𝐼𝑠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³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D9D87B3C-B39D-4012-B731-07A15660EE7A}"/>
                </a:ext>
              </a:extLst>
            </xdr:cNvPr>
            <xdr:cNvSpPr txBox="1"/>
          </xdr:nvSpPr>
          <xdr:spPr>
            <a:xfrm>
              <a:off x="83820" y="24128730"/>
              <a:ext cx="732508" cy="337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𝐼𝑠=(𝑡.𝑑³)/12=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45720</xdr:colOff>
      <xdr:row>70</xdr:row>
      <xdr:rowOff>0</xdr:rowOff>
    </xdr:from>
    <xdr:ext cx="1976503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5E44F314-C89A-4482-B667-D09B1C1C96EA}"/>
                </a:ext>
              </a:extLst>
            </xdr:cNvPr>
            <xdr:cNvSpPr txBox="1"/>
          </xdr:nvSpPr>
          <xdr:spPr>
            <a:xfrm>
              <a:off x="45720" y="24597360"/>
              <a:ext cx="1976503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=399.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/</m:t>
                                </m:r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den>
                            </m:f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−0,328</m:t>
                            </m:r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5E44F314-C89A-4482-B667-D09B1C1C96EA}"/>
                </a:ext>
              </a:extLst>
            </xdr:cNvPr>
            <xdr:cNvSpPr txBox="1"/>
          </xdr:nvSpPr>
          <xdr:spPr>
            <a:xfrm>
              <a:off x="45720" y="24597360"/>
              <a:ext cx="1976503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𝐼_𝑎1=399.𝑡^4 ((𝑏/𝑡)/𝑆−0,328)^3=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60960</xdr:colOff>
      <xdr:row>72</xdr:row>
      <xdr:rowOff>95250</xdr:rowOff>
    </xdr:from>
    <xdr:ext cx="1618969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DEDFFE45-D17F-45A3-BCAE-8FC273B8CE0C}"/>
                </a:ext>
              </a:extLst>
            </xdr:cNvPr>
            <xdr:cNvSpPr txBox="1"/>
          </xdr:nvSpPr>
          <xdr:spPr>
            <a:xfrm>
              <a:off x="60960" y="25081230"/>
              <a:ext cx="1618969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115</m:t>
                        </m:r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/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den>
                        </m:f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+5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DEDFFE45-D17F-45A3-BCAE-8FC273B8CE0C}"/>
                </a:ext>
              </a:extLst>
            </xdr:cNvPr>
            <xdr:cNvSpPr txBox="1"/>
          </xdr:nvSpPr>
          <xdr:spPr>
            <a:xfrm>
              <a:off x="60960" y="25081230"/>
              <a:ext cx="1618969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𝐼_𝑎2=𝑡^4 (115 (𝑏/𝑡)/𝑆+5)=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106680</xdr:colOff>
      <xdr:row>77</xdr:row>
      <xdr:rowOff>0</xdr:rowOff>
    </xdr:from>
    <xdr:ext cx="632545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1D5B06AB-D971-4AA6-84FA-67EB451356FF}"/>
                </a:ext>
              </a:extLst>
            </xdr:cNvPr>
            <xdr:cNvSpPr txBox="1"/>
          </xdr:nvSpPr>
          <xdr:spPr>
            <a:xfrm>
              <a:off x="106680" y="25946100"/>
              <a:ext cx="63254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𝐼𝑠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𝐼𝑎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1D5B06AB-D971-4AA6-84FA-67EB451356FF}"/>
                </a:ext>
              </a:extLst>
            </xdr:cNvPr>
            <xdr:cNvSpPr txBox="1"/>
          </xdr:nvSpPr>
          <xdr:spPr>
            <a:xfrm>
              <a:off x="106680" y="25946100"/>
              <a:ext cx="63254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𝑅_𝐼=</a:t>
              </a:r>
              <a:r>
                <a:rPr lang="es-AR" sz="1100" b="0" i="0">
                  <a:latin typeface="Cambria Math" panose="02040503050406030204" pitchFamily="18" charset="0"/>
                </a:rPr>
                <a:t>𝐼𝑠/𝐼𝑎=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99060</xdr:colOff>
      <xdr:row>79</xdr:row>
      <xdr:rowOff>0</xdr:rowOff>
    </xdr:from>
    <xdr:ext cx="1160446" cy="321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C8DE54FE-1436-4463-A570-C1FD714BB13B}"/>
                </a:ext>
              </a:extLst>
            </xdr:cNvPr>
            <xdr:cNvSpPr txBox="1"/>
          </xdr:nvSpPr>
          <xdr:spPr>
            <a:xfrm>
              <a:off x="99060" y="26311860"/>
              <a:ext cx="1160446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=0,528−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C8DE54FE-1436-4463-A570-C1FD714BB13B}"/>
                </a:ext>
              </a:extLst>
            </xdr:cNvPr>
            <xdr:cNvSpPr txBox="1"/>
          </xdr:nvSpPr>
          <xdr:spPr>
            <a:xfrm>
              <a:off x="99060" y="26311860"/>
              <a:ext cx="1160446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𝑛=0,528−(𝑏/𝑡)/4𝑆=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152400</xdr:colOff>
      <xdr:row>82</xdr:row>
      <xdr:rowOff>110490</xdr:rowOff>
    </xdr:from>
    <xdr:ext cx="1933734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5A0D1D76-E3D6-42FF-87B5-249899E229FD}"/>
                </a:ext>
              </a:extLst>
            </xdr:cNvPr>
            <xdr:cNvSpPr txBox="1"/>
          </xdr:nvSpPr>
          <xdr:spPr>
            <a:xfrm>
              <a:off x="152400" y="26970990"/>
              <a:ext cx="193373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4,82−</m:t>
                        </m:r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den>
                        </m:f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sub>
                        </m:sSub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+0,43=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5A0D1D76-E3D6-42FF-87B5-249899E229FD}"/>
                </a:ext>
              </a:extLst>
            </xdr:cNvPr>
            <xdr:cNvSpPr txBox="1"/>
          </xdr:nvSpPr>
          <xdr:spPr>
            <a:xfrm>
              <a:off x="152400" y="26970990"/>
              <a:ext cx="193373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𝑘=(4,82−5𝐷/𝑏).〖𝑅_𝐼〗^𝑛+0,43=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91440</xdr:colOff>
      <xdr:row>85</xdr:row>
      <xdr:rowOff>80010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72AC3990-D0E9-4458-881A-97CA90168A80}"/>
                </a:ext>
              </a:extLst>
            </xdr:cNvPr>
            <xdr:cNvSpPr txBox="1"/>
          </xdr:nvSpPr>
          <xdr:spPr>
            <a:xfrm>
              <a:off x="91440" y="2748915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72AC3990-D0E9-4458-881A-97CA90168A80}"/>
                </a:ext>
              </a:extLst>
            </xdr:cNvPr>
            <xdr:cNvSpPr txBox="1"/>
          </xdr:nvSpPr>
          <xdr:spPr>
            <a:xfrm>
              <a:off x="91440" y="2748915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167640</xdr:colOff>
      <xdr:row>88</xdr:row>
      <xdr:rowOff>49530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F1DB7208-D489-4A05-9A31-66873B0EF05A}"/>
                </a:ext>
              </a:extLst>
            </xdr:cNvPr>
            <xdr:cNvSpPr txBox="1"/>
          </xdr:nvSpPr>
          <xdr:spPr>
            <a:xfrm>
              <a:off x="167640" y="2800731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F1DB7208-D489-4A05-9A31-66873B0EF05A}"/>
                </a:ext>
              </a:extLst>
            </xdr:cNvPr>
            <xdr:cNvSpPr txBox="1"/>
          </xdr:nvSpPr>
          <xdr:spPr>
            <a:xfrm>
              <a:off x="167640" y="2800731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137160</xdr:colOff>
      <xdr:row>95</xdr:row>
      <xdr:rowOff>148590</xdr:rowOff>
    </xdr:from>
    <xdr:ext cx="1676741" cy="3012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B97ECBDC-C8BD-4931-B117-61CF26D8E730}"/>
                </a:ext>
              </a:extLst>
            </xdr:cNvPr>
            <xdr:cNvSpPr txBox="1"/>
          </xdr:nvSpPr>
          <xdr:spPr>
            <a:xfrm>
              <a:off x="137160" y="29386530"/>
              <a:ext cx="1676741" cy="3012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1=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2 ⇒ 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𝜓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skw"/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B97ECBDC-C8BD-4931-B117-61CF26D8E730}"/>
                </a:ext>
              </a:extLst>
            </xdr:cNvPr>
            <xdr:cNvSpPr txBox="1"/>
          </xdr:nvSpPr>
          <xdr:spPr>
            <a:xfrm>
              <a:off x="137160" y="29386530"/>
              <a:ext cx="1676741" cy="3012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𝑓1=𝑓2 ⇒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𝜓=|𝑓1⁄𝑓2|=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152400</xdr:colOff>
      <xdr:row>99</xdr:row>
      <xdr:rowOff>3810</xdr:rowOff>
    </xdr:from>
    <xdr:ext cx="200734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3169F7D8-7ACA-4DA7-B59F-3893075C2FEF}"/>
                </a:ext>
              </a:extLst>
            </xdr:cNvPr>
            <xdr:cNvSpPr txBox="1"/>
          </xdr:nvSpPr>
          <xdr:spPr>
            <a:xfrm>
              <a:off x="152400" y="29973270"/>
              <a:ext cx="20073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=4+2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𝜓</m:t>
                            </m:r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+2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𝜓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3169F7D8-7ACA-4DA7-B59F-3893075C2FEF}"/>
                </a:ext>
              </a:extLst>
            </xdr:cNvPr>
            <xdr:cNvSpPr txBox="1"/>
          </xdr:nvSpPr>
          <xdr:spPr>
            <a:xfrm>
              <a:off x="152400" y="29973270"/>
              <a:ext cx="20073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𝑘=4+2(1+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𝜓)^3+2(1+𝜓)=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236220</xdr:colOff>
      <xdr:row>101</xdr:row>
      <xdr:rowOff>95250</xdr:rowOff>
    </xdr:from>
    <xdr:ext cx="813813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4FC29163-1D7D-4D1B-A5C2-E7292E593833}"/>
                </a:ext>
              </a:extLst>
            </xdr:cNvPr>
            <xdr:cNvSpPr txBox="1"/>
          </xdr:nvSpPr>
          <xdr:spPr>
            <a:xfrm>
              <a:off x="236220" y="30430470"/>
              <a:ext cx="813813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1=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𝐹𝑦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4FC29163-1D7D-4D1B-A5C2-E7292E593833}"/>
                </a:ext>
              </a:extLst>
            </xdr:cNvPr>
            <xdr:cNvSpPr txBox="1"/>
          </xdr:nvSpPr>
          <xdr:spPr>
            <a:xfrm>
              <a:off x="236220" y="30430470"/>
              <a:ext cx="813813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𝑓1=𝐹𝑦 ℎ/𝐻=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152400</xdr:colOff>
      <xdr:row>104</xdr:row>
      <xdr:rowOff>95250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6EB9B59F-3B6C-45B2-B2F6-0B771EECD67F}"/>
                </a:ext>
              </a:extLst>
            </xdr:cNvPr>
            <xdr:cNvSpPr txBox="1"/>
          </xdr:nvSpPr>
          <xdr:spPr>
            <a:xfrm>
              <a:off x="152400" y="3097911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6EB9B59F-3B6C-45B2-B2F6-0B771EECD67F}"/>
                </a:ext>
              </a:extLst>
            </xdr:cNvPr>
            <xdr:cNvSpPr txBox="1"/>
          </xdr:nvSpPr>
          <xdr:spPr>
            <a:xfrm>
              <a:off x="152400" y="3097911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320040</xdr:colOff>
      <xdr:row>107</xdr:row>
      <xdr:rowOff>19050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3020D4CB-1EFD-48AF-8AD8-E2EA3C27E782}"/>
                </a:ext>
              </a:extLst>
            </xdr:cNvPr>
            <xdr:cNvSpPr txBox="1"/>
          </xdr:nvSpPr>
          <xdr:spPr>
            <a:xfrm>
              <a:off x="320040" y="3145155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3020D4CB-1EFD-48AF-8AD8-E2EA3C27E782}"/>
                </a:ext>
              </a:extLst>
            </xdr:cNvPr>
            <xdr:cNvSpPr txBox="1"/>
          </xdr:nvSpPr>
          <xdr:spPr>
            <a:xfrm>
              <a:off x="320040" y="3145155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</xdr:colOff>
      <xdr:row>120</xdr:row>
      <xdr:rowOff>11430</xdr:rowOff>
    </xdr:from>
    <xdr:ext cx="124854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0AE12210-492C-4448-BE21-02120D4DCC63}"/>
                </a:ext>
              </a:extLst>
            </xdr:cNvPr>
            <xdr:cNvSpPr txBox="1"/>
          </xdr:nvSpPr>
          <xdr:spPr>
            <a:xfrm>
              <a:off x="15240" y="33851850"/>
              <a:ext cx="12485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𝐹𝑦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,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0AE12210-492C-4448-BE21-02120D4DCC63}"/>
                </a:ext>
              </a:extLst>
            </xdr:cNvPr>
            <xdr:cNvSpPr txBox="1"/>
          </xdr:nvSpPr>
          <xdr:spPr>
            <a:xfrm>
              <a:off x="15240" y="33851850"/>
              <a:ext cx="12485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𝑀_𝑛=𝑆_𝑒.𝐹𝑦,10^(−3)=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22860</xdr:colOff>
      <xdr:row>122</xdr:row>
      <xdr:rowOff>3810</xdr:rowOff>
    </xdr:from>
    <xdr:ext cx="9521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12A7FA8C-C47F-48F1-BADA-8FCF5D6A96FF}"/>
                </a:ext>
              </a:extLst>
            </xdr:cNvPr>
            <xdr:cNvSpPr txBox="1"/>
          </xdr:nvSpPr>
          <xdr:spPr>
            <a:xfrm>
              <a:off x="22860" y="34209990"/>
              <a:ext cx="95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12A7FA8C-C47F-48F1-BADA-8FCF5D6A96FF}"/>
                </a:ext>
              </a:extLst>
            </xdr:cNvPr>
            <xdr:cNvSpPr txBox="1"/>
          </xdr:nvSpPr>
          <xdr:spPr>
            <a:xfrm>
              <a:off x="22860" y="34209990"/>
              <a:ext cx="95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𝑀_𝑑=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𝑏.𝑀_𝑛=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723900</xdr:colOff>
      <xdr:row>122</xdr:row>
      <xdr:rowOff>11430</xdr:rowOff>
    </xdr:from>
    <xdr:ext cx="89986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E8F31DB4-9445-4592-A019-0A48B1FC5170}"/>
                </a:ext>
              </a:extLst>
            </xdr:cNvPr>
            <xdr:cNvSpPr txBox="1"/>
          </xdr:nvSpPr>
          <xdr:spPr>
            <a:xfrm>
              <a:off x="2308860" y="34217610"/>
              <a:ext cx="899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𝑐𝑜𝑛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=0,95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E8F31DB4-9445-4592-A019-0A48B1FC5170}"/>
                </a:ext>
              </a:extLst>
            </xdr:cNvPr>
            <xdr:cNvSpPr txBox="1"/>
          </xdr:nvSpPr>
          <xdr:spPr>
            <a:xfrm>
              <a:off x="2308860" y="34217610"/>
              <a:ext cx="899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〖𝑐𝑜𝑛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𝜙〗_</a:t>
              </a:r>
              <a:r>
                <a:rPr lang="es-AR" sz="1100" b="0" i="0">
                  <a:latin typeface="Cambria Math" panose="02040503050406030204" pitchFamily="18" charset="0"/>
                </a:rPr>
                <a:t>𝑏=0,95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106680</xdr:colOff>
      <xdr:row>128</xdr:row>
      <xdr:rowOff>110490</xdr:rowOff>
    </xdr:from>
    <xdr:ext cx="1364925" cy="3953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4F6EB571-8CDC-47DE-A174-4AC85401F579}"/>
                </a:ext>
              </a:extLst>
            </xdr:cNvPr>
            <xdr:cNvSpPr txBox="1"/>
          </xdr:nvSpPr>
          <xdr:spPr>
            <a:xfrm>
              <a:off x="106680" y="35413950"/>
              <a:ext cx="1364925" cy="3953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𝐶𝑏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𝑦𝑐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.(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)²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4F6EB571-8CDC-47DE-A174-4AC85401F579}"/>
                </a:ext>
              </a:extLst>
            </xdr:cNvPr>
            <xdr:cNvSpPr txBox="1"/>
          </xdr:nvSpPr>
          <xdr:spPr>
            <a:xfrm>
              <a:off x="106680" y="35413950"/>
              <a:ext cx="1364925" cy="3953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𝐹_𝑒=(𝐶𝑏.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𝜋^2.𝐸.𝑑.𝐼_𝑦𝑐)/(</a:t>
              </a:r>
              <a:r>
                <a:rPr lang="es-AR" sz="1100" b="0" i="0">
                  <a:latin typeface="Cambria Math" panose="02040503050406030204" pitchFamily="18" charset="0"/>
                </a:rPr>
                <a:t>𝑆_𝑓.(𝑘_𝑦.𝐿_𝑦)²)=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</xdr:colOff>
      <xdr:row>134</xdr:row>
      <xdr:rowOff>7620</xdr:rowOff>
    </xdr:from>
    <xdr:ext cx="123290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ADFC47CA-6CB0-4735-AB0F-F7C54D4EBF19}"/>
                </a:ext>
              </a:extLst>
            </xdr:cNvPr>
            <xdr:cNvSpPr txBox="1"/>
          </xdr:nvSpPr>
          <xdr:spPr>
            <a:xfrm>
              <a:off x="15240" y="36408360"/>
              <a:ext cx="123290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𝐹𝑐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ADFC47CA-6CB0-4735-AB0F-F7C54D4EBF19}"/>
                </a:ext>
              </a:extLst>
            </xdr:cNvPr>
            <xdr:cNvSpPr txBox="1"/>
          </xdr:nvSpPr>
          <xdr:spPr>
            <a:xfrm>
              <a:off x="15240" y="36408360"/>
              <a:ext cx="123290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𝑀_𝑛=𝑆_𝑐.𝐹𝑐.10^(−3)=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7620</xdr:colOff>
      <xdr:row>136</xdr:row>
      <xdr:rowOff>16017</xdr:rowOff>
    </xdr:from>
    <xdr:ext cx="9442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677AA487-7913-4688-94D4-4CE45BEBA464}"/>
                </a:ext>
              </a:extLst>
            </xdr:cNvPr>
            <xdr:cNvSpPr txBox="1"/>
          </xdr:nvSpPr>
          <xdr:spPr>
            <a:xfrm rot="10800000" flipV="1">
              <a:off x="7620" y="36782517"/>
              <a:ext cx="9442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677AA487-7913-4688-94D4-4CE45BEBA464}"/>
                </a:ext>
              </a:extLst>
            </xdr:cNvPr>
            <xdr:cNvSpPr txBox="1"/>
          </xdr:nvSpPr>
          <xdr:spPr>
            <a:xfrm rot="10800000" flipV="1">
              <a:off x="7620" y="36782517"/>
              <a:ext cx="9442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𝑀_𝑑=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𝑏.𝑀_𝑛=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495300</xdr:colOff>
      <xdr:row>136</xdr:row>
      <xdr:rowOff>8397</xdr:rowOff>
    </xdr:from>
    <xdr:ext cx="12039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A9297407-5759-40D9-B49A-668B14107938}"/>
                </a:ext>
              </a:extLst>
            </xdr:cNvPr>
            <xdr:cNvSpPr txBox="1"/>
          </xdr:nvSpPr>
          <xdr:spPr>
            <a:xfrm rot="10800000" flipV="1">
              <a:off x="2080260" y="36774897"/>
              <a:ext cx="12039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𝑐𝑜𝑛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=0,90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A9297407-5759-40D9-B49A-668B14107938}"/>
                </a:ext>
              </a:extLst>
            </xdr:cNvPr>
            <xdr:cNvSpPr txBox="1"/>
          </xdr:nvSpPr>
          <xdr:spPr>
            <a:xfrm rot="10800000" flipV="1">
              <a:off x="2080260" y="36774897"/>
              <a:ext cx="12039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〖𝑐𝑜𝑛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𝜙〗_</a:t>
              </a:r>
              <a:r>
                <a:rPr lang="es-AR" sz="1100" b="0" i="0">
                  <a:latin typeface="Cambria Math" panose="02040503050406030204" pitchFamily="18" charset="0"/>
                </a:rPr>
                <a:t>𝑏=0,90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17145</xdr:colOff>
      <xdr:row>143</xdr:row>
      <xdr:rowOff>140970</xdr:rowOff>
    </xdr:from>
    <xdr:ext cx="678134" cy="2049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5FC4AAC0-26CD-4846-9DED-ED01BC8EFEF4}"/>
                </a:ext>
              </a:extLst>
            </xdr:cNvPr>
            <xdr:cNvSpPr txBox="1"/>
          </xdr:nvSpPr>
          <xdr:spPr>
            <a:xfrm>
              <a:off x="1598295" y="38936295"/>
              <a:ext cx="678134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𝑘𝑣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𝐹𝑦</m:t>
                        </m:r>
                      </m:e>
                    </m:rad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5FC4AAC0-26CD-4846-9DED-ED01BC8EFEF4}"/>
                </a:ext>
              </a:extLst>
            </xdr:cNvPr>
            <xdr:cNvSpPr txBox="1"/>
          </xdr:nvSpPr>
          <xdr:spPr>
            <a:xfrm>
              <a:off x="1598295" y="38936295"/>
              <a:ext cx="678134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√(</a:t>
              </a:r>
              <a:r>
                <a:rPr lang="es-AR" sz="1100" b="0" i="0">
                  <a:latin typeface="Cambria Math" panose="02040503050406030204" pitchFamily="18" charset="0"/>
                </a:rPr>
                <a:t>𝐸.𝑘𝑣/𝐹𝑦)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10</xdr:col>
      <xdr:colOff>36195</xdr:colOff>
      <xdr:row>143</xdr:row>
      <xdr:rowOff>152400</xdr:rowOff>
    </xdr:from>
    <xdr:ext cx="941348" cy="2049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48722933-2106-44B9-912C-C65F08D6DE03}"/>
                </a:ext>
              </a:extLst>
            </xdr:cNvPr>
            <xdr:cNvSpPr txBox="1"/>
          </xdr:nvSpPr>
          <xdr:spPr>
            <a:xfrm>
              <a:off x="7351395" y="38947725"/>
              <a:ext cx="941348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1,51</m:t>
                    </m:r>
                    <m:rad>
                      <m:radPr>
                        <m:degHide m:val="on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𝑘𝑣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𝐹𝑦</m:t>
                        </m:r>
                      </m:e>
                    </m:rad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48722933-2106-44B9-912C-C65F08D6DE03}"/>
                </a:ext>
              </a:extLst>
            </xdr:cNvPr>
            <xdr:cNvSpPr txBox="1"/>
          </xdr:nvSpPr>
          <xdr:spPr>
            <a:xfrm>
              <a:off x="7351395" y="38947725"/>
              <a:ext cx="941348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1,51</a:t>
              </a:r>
              <a:r>
                <a:rPr lang="es-AR" sz="1100" i="0">
                  <a:latin typeface="Cambria Math" panose="02040503050406030204" pitchFamily="18" charset="0"/>
                </a:rPr>
                <a:t>√(</a:t>
              </a:r>
              <a:r>
                <a:rPr lang="es-AR" sz="1100" b="0" i="0">
                  <a:latin typeface="Cambria Math" panose="02040503050406030204" pitchFamily="18" charset="0"/>
                </a:rPr>
                <a:t>𝐸.𝑘𝑣/𝐹𝑦)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8</xdr:col>
      <xdr:colOff>34290</xdr:colOff>
      <xdr:row>148</xdr:row>
      <xdr:rowOff>97155</xdr:rowOff>
    </xdr:from>
    <xdr:ext cx="1420004" cy="3917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F6982C79-79D0-4637-BBFB-4F5D8160AB25}"/>
                </a:ext>
              </a:extLst>
            </xdr:cNvPr>
            <xdr:cNvSpPr txBox="1"/>
          </xdr:nvSpPr>
          <xdr:spPr>
            <a:xfrm>
              <a:off x="6025515" y="39797355"/>
              <a:ext cx="1420004" cy="3917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𝐹𝑣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0,60</m:t>
                        </m:r>
                        <m:rad>
                          <m:radPr>
                            <m:degHide m:val="on"/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𝑘𝑣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𝐹𝑦</m:t>
                            </m:r>
                          </m:e>
                        </m:rad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h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F6982C79-79D0-4637-BBFB-4F5D8160AB25}"/>
                </a:ext>
              </a:extLst>
            </xdr:cNvPr>
            <xdr:cNvSpPr txBox="1"/>
          </xdr:nvSpPr>
          <xdr:spPr>
            <a:xfrm>
              <a:off x="6025515" y="39797355"/>
              <a:ext cx="1420004" cy="3917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𝐹𝑣=(0,60√(𝐸.𝑘𝑣.𝐹𝑦))/(ℎ/𝑡)=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38100</xdr:colOff>
      <xdr:row>151</xdr:row>
      <xdr:rowOff>3810</xdr:rowOff>
    </xdr:from>
    <xdr:ext cx="1298369" cy="1749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BA251ABF-4075-46CF-AE2E-973465338E2B}"/>
                </a:ext>
              </a:extLst>
            </xdr:cNvPr>
            <xdr:cNvSpPr txBox="1"/>
          </xdr:nvSpPr>
          <xdr:spPr>
            <a:xfrm>
              <a:off x="38100" y="39528750"/>
              <a:ext cx="1298369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𝑉𝑛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𝐴𝑤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𝐹𝑦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BA251ABF-4075-46CF-AE2E-973465338E2B}"/>
                </a:ext>
              </a:extLst>
            </xdr:cNvPr>
            <xdr:cNvSpPr txBox="1"/>
          </xdr:nvSpPr>
          <xdr:spPr>
            <a:xfrm>
              <a:off x="38100" y="39528750"/>
              <a:ext cx="1298369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𝑉𝑛=𝐴𝑤.𝐹𝑦.10^(−1)=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60960</xdr:colOff>
      <xdr:row>153</xdr:row>
      <xdr:rowOff>3810</xdr:rowOff>
    </xdr:from>
    <xdr:ext cx="9162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02379D34-F3CF-40DE-8AE4-574F1ABF1614}"/>
                </a:ext>
              </a:extLst>
            </xdr:cNvPr>
            <xdr:cNvSpPr txBox="1"/>
          </xdr:nvSpPr>
          <xdr:spPr>
            <a:xfrm>
              <a:off x="60960" y="39894510"/>
              <a:ext cx="9162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𝑉𝑑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𝑉𝑛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02379D34-F3CF-40DE-8AE4-574F1ABF1614}"/>
                </a:ext>
              </a:extLst>
            </xdr:cNvPr>
            <xdr:cNvSpPr txBox="1"/>
          </xdr:nvSpPr>
          <xdr:spPr>
            <a:xfrm>
              <a:off x="60960" y="39894510"/>
              <a:ext cx="9162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𝑉𝑑=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𝑣.𝑉𝑛=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731520</xdr:colOff>
      <xdr:row>153</xdr:row>
      <xdr:rowOff>22860</xdr:rowOff>
    </xdr:from>
    <xdr:ext cx="10286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53912B06-0F9B-4B25-BF80-19E35B41DE02}"/>
                </a:ext>
              </a:extLst>
            </xdr:cNvPr>
            <xdr:cNvSpPr txBox="1"/>
          </xdr:nvSpPr>
          <xdr:spPr>
            <a:xfrm rot="10800000" flipV="1">
              <a:off x="2316480" y="39913560"/>
              <a:ext cx="10286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𝑐𝑜𝑛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=0,95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53912B06-0F9B-4B25-BF80-19E35B41DE02}"/>
                </a:ext>
              </a:extLst>
            </xdr:cNvPr>
            <xdr:cNvSpPr txBox="1"/>
          </xdr:nvSpPr>
          <xdr:spPr>
            <a:xfrm rot="10800000" flipV="1">
              <a:off x="2316480" y="39913560"/>
              <a:ext cx="10286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〖𝑐𝑜𝑛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𝜙〗_</a:t>
              </a:r>
              <a:r>
                <a:rPr lang="es-AR" sz="1100" b="0" i="0">
                  <a:latin typeface="Cambria Math" panose="02040503050406030204" pitchFamily="18" charset="0"/>
                </a:rPr>
                <a:t>𝑣=0,95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152400</xdr:colOff>
      <xdr:row>77</xdr:row>
      <xdr:rowOff>19050</xdr:rowOff>
    </xdr:from>
    <xdr:ext cx="57150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A6D31871-2DEB-49FF-ADB3-3BEADFF3DF20}"/>
                </a:ext>
              </a:extLst>
            </xdr:cNvPr>
            <xdr:cNvSpPr txBox="1"/>
          </xdr:nvSpPr>
          <xdr:spPr>
            <a:xfrm>
              <a:off x="3322320" y="25965150"/>
              <a:ext cx="5715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⟹</m:t>
                        </m:r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 </m:t>
                        </m:r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A6D31871-2DEB-49FF-ADB3-3BEADFF3DF20}"/>
                </a:ext>
              </a:extLst>
            </xdr:cNvPr>
            <xdr:cNvSpPr txBox="1"/>
          </xdr:nvSpPr>
          <xdr:spPr>
            <a:xfrm>
              <a:off x="3322320" y="25965150"/>
              <a:ext cx="5715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⟹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𝑅〗_𝐼  =</a:t>
              </a:r>
              <a:endParaRPr lang="es-AR" sz="1100"/>
            </a:p>
          </xdr:txBody>
        </xdr:sp>
      </mc:Fallback>
    </mc:AlternateContent>
    <xdr:clientData/>
  </xdr:oneCellAnchor>
  <xdr:twoCellAnchor editAs="oneCell">
    <xdr:from>
      <xdr:col>0</xdr:col>
      <xdr:colOff>83820</xdr:colOff>
      <xdr:row>3</xdr:row>
      <xdr:rowOff>99060</xdr:rowOff>
    </xdr:from>
    <xdr:to>
      <xdr:col>4</xdr:col>
      <xdr:colOff>517718</xdr:colOff>
      <xdr:row>14</xdr:row>
      <xdr:rowOff>57151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D1AB4011-D37B-4115-8B90-7309FD647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12580620"/>
          <a:ext cx="3601913" cy="2472690"/>
        </a:xfrm>
        <a:prstGeom prst="rect">
          <a:avLst/>
        </a:prstGeom>
      </xdr:spPr>
    </xdr:pic>
    <xdr:clientData/>
  </xdr:twoCellAnchor>
  <xdr:oneCellAnchor>
    <xdr:from>
      <xdr:col>0</xdr:col>
      <xdr:colOff>60960</xdr:colOff>
      <xdr:row>187</xdr:row>
      <xdr:rowOff>87630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CuadroTexto 35">
              <a:extLst>
                <a:ext uri="{FF2B5EF4-FFF2-40B4-BE49-F238E27FC236}">
                  <a16:creationId xmlns:a16="http://schemas.microsoft.com/office/drawing/2014/main" id="{B9BB715D-6686-416E-B1D2-54CCE726266D}"/>
                </a:ext>
              </a:extLst>
            </xdr:cNvPr>
            <xdr:cNvSpPr txBox="1"/>
          </xdr:nvSpPr>
          <xdr:spPr>
            <a:xfrm>
              <a:off x="60960" y="4752213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6" name="CuadroTexto 35">
              <a:extLst>
                <a:ext uri="{FF2B5EF4-FFF2-40B4-BE49-F238E27FC236}">
                  <a16:creationId xmlns:a16="http://schemas.microsoft.com/office/drawing/2014/main" id="{B9BB715D-6686-416E-B1D2-54CCE726266D}"/>
                </a:ext>
              </a:extLst>
            </xdr:cNvPr>
            <xdr:cNvSpPr txBox="1"/>
          </xdr:nvSpPr>
          <xdr:spPr>
            <a:xfrm>
              <a:off x="60960" y="4752213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190500</xdr:colOff>
      <xdr:row>191</xdr:row>
      <xdr:rowOff>3810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D824914D-F1E5-4E33-BCFC-CC01430AA404}"/>
                </a:ext>
              </a:extLst>
            </xdr:cNvPr>
            <xdr:cNvSpPr txBox="1"/>
          </xdr:nvSpPr>
          <xdr:spPr>
            <a:xfrm>
              <a:off x="190500" y="4816983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D824914D-F1E5-4E33-BCFC-CC01430AA404}"/>
                </a:ext>
              </a:extLst>
            </xdr:cNvPr>
            <xdr:cNvSpPr txBox="1"/>
          </xdr:nvSpPr>
          <xdr:spPr>
            <a:xfrm>
              <a:off x="190500" y="4816983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twoCellAnchor editAs="oneCell">
    <xdr:from>
      <xdr:col>0</xdr:col>
      <xdr:colOff>0</xdr:colOff>
      <xdr:row>167</xdr:row>
      <xdr:rowOff>129540</xdr:rowOff>
    </xdr:from>
    <xdr:to>
      <xdr:col>7</xdr:col>
      <xdr:colOff>56488</xdr:colOff>
      <xdr:row>176</xdr:row>
      <xdr:rowOff>95250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701E4A74-452A-42FA-8ABD-48CFC2AB6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656760"/>
          <a:ext cx="5527648" cy="2023110"/>
        </a:xfrm>
        <a:prstGeom prst="rect">
          <a:avLst/>
        </a:prstGeom>
      </xdr:spPr>
    </xdr:pic>
    <xdr:clientData/>
  </xdr:twoCellAnchor>
  <xdr:oneCellAnchor>
    <xdr:from>
      <xdr:col>0</xdr:col>
      <xdr:colOff>76200</xdr:colOff>
      <xdr:row>195</xdr:row>
      <xdr:rowOff>148590</xdr:rowOff>
    </xdr:from>
    <xdr:ext cx="831125" cy="2511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6BFC85C2-9A90-4C3C-A4A4-0A58F9745FAB}"/>
                </a:ext>
              </a:extLst>
            </xdr:cNvPr>
            <xdr:cNvSpPr txBox="1"/>
          </xdr:nvSpPr>
          <xdr:spPr>
            <a:xfrm>
              <a:off x="76200" y="49046130"/>
              <a:ext cx="831125" cy="251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AR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𝜌</m:t>
                  </m:r>
                  <m:r>
                    <a:rPr lang="es-A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A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s-A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(1−</m:t>
                      </m:r>
                      <m:f>
                        <m:fPr>
                          <m:type m:val="lin"/>
                          <m:ctrlPr>
                            <a:rPr lang="es-A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A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0,22</m:t>
                          </m:r>
                        </m:num>
                        <m:den>
                          <m:r>
                            <a:rPr lang="es-A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𝜆</m:t>
                          </m:r>
                        </m:den>
                      </m:f>
                    </m:num>
                    <m:den>
                      <m:r>
                        <a:rPr lang="es-A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𝜆</m:t>
                      </m:r>
                    </m:den>
                  </m:f>
                </m:oMath>
              </a14:m>
              <a:r>
                <a:rPr lang="es-AR" sz="1100"/>
                <a:t>=</a:t>
              </a:r>
            </a:p>
          </xdr:txBody>
        </xdr:sp>
      </mc:Choice>
      <mc:Fallback xmlns=""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6BFC85C2-9A90-4C3C-A4A4-0A58F9745FAB}"/>
                </a:ext>
              </a:extLst>
            </xdr:cNvPr>
            <xdr:cNvSpPr txBox="1"/>
          </xdr:nvSpPr>
          <xdr:spPr>
            <a:xfrm>
              <a:off x="76200" y="49046130"/>
              <a:ext cx="831125" cy="251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=((1−0,22∕𝜆)/𝜆</a:t>
              </a:r>
              <a:r>
                <a:rPr lang="es-AR" sz="1100"/>
                <a:t>=</a:t>
              </a:r>
            </a:p>
          </xdr:txBody>
        </xdr:sp>
      </mc:Fallback>
    </mc:AlternateContent>
    <xdr:clientData/>
  </xdr:oneCellAnchor>
  <xdr:oneCellAnchor>
    <xdr:from>
      <xdr:col>0</xdr:col>
      <xdr:colOff>60960</xdr:colOff>
      <xdr:row>198</xdr:row>
      <xdr:rowOff>19050</xdr:rowOff>
    </xdr:from>
    <xdr:ext cx="7094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CuadroTexto 39">
              <a:extLst>
                <a:ext uri="{FF2B5EF4-FFF2-40B4-BE49-F238E27FC236}">
                  <a16:creationId xmlns:a16="http://schemas.microsoft.com/office/drawing/2014/main" id="{3015919C-F375-45B5-A544-89675506D7DE}"/>
                </a:ext>
              </a:extLst>
            </xdr:cNvPr>
            <xdr:cNvSpPr txBox="1"/>
          </xdr:nvSpPr>
          <xdr:spPr>
            <a:xfrm>
              <a:off x="60960" y="49465230"/>
              <a:ext cx="7094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𝜌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𝑏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0" name="CuadroTexto 39">
              <a:extLst>
                <a:ext uri="{FF2B5EF4-FFF2-40B4-BE49-F238E27FC236}">
                  <a16:creationId xmlns:a16="http://schemas.microsoft.com/office/drawing/2014/main" id="{3015919C-F375-45B5-A544-89675506D7DE}"/>
                </a:ext>
              </a:extLst>
            </xdr:cNvPr>
            <xdr:cNvSpPr txBox="1"/>
          </xdr:nvSpPr>
          <xdr:spPr>
            <a:xfrm>
              <a:off x="60960" y="49465230"/>
              <a:ext cx="7094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𝑏_𝑒=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𝜌.𝑏=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129540</xdr:colOff>
      <xdr:row>139</xdr:row>
      <xdr:rowOff>95250</xdr:rowOff>
    </xdr:from>
    <xdr:ext cx="1227067" cy="1867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F573BF55-3DE5-4A2D-906B-489970F91491}"/>
                </a:ext>
              </a:extLst>
            </xdr:cNvPr>
            <xdr:cNvSpPr txBox="1"/>
          </xdr:nvSpPr>
          <xdr:spPr>
            <a:xfrm>
              <a:off x="129540" y="38147625"/>
              <a:ext cx="1227067" cy="18678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s-AR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𝑴</m:t>
                            </m:r>
                          </m:e>
                          <m:sub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𝒅</m:t>
                            </m:r>
                          </m:sub>
                        </m:sSub>
                      </m:e>
                      <m:sub>
                        <m:r>
                          <a:rPr lang="es-AR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sub>
                    </m:sSub>
                    <m:r>
                      <a:rPr lang="es-AR" sz="11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𝟏𝟑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𝟗𝟔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𝒌𝑵𝒎</m:t>
                    </m:r>
                  </m:oMath>
                </m:oMathPara>
              </a14:m>
              <a:endParaRPr lang="es-AR" sz="1100" b="1"/>
            </a:p>
          </xdr:txBody>
        </xdr:sp>
      </mc:Choice>
      <mc:Fallback xmlns=""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F573BF55-3DE5-4A2D-906B-489970F91491}"/>
                </a:ext>
              </a:extLst>
            </xdr:cNvPr>
            <xdr:cNvSpPr txBox="1"/>
          </xdr:nvSpPr>
          <xdr:spPr>
            <a:xfrm>
              <a:off x="129540" y="38147625"/>
              <a:ext cx="1227067" cy="18678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1" i="0">
                  <a:latin typeface="Cambria Math" panose="02040503050406030204" pitchFamily="18" charset="0"/>
                </a:rPr>
                <a:t>〖𝑴_𝒅〗_𝒙=𝟏𝟑,𝟗𝟔 𝒌𝑵𝒎</a:t>
              </a:r>
              <a:endParaRPr lang="es-AR" sz="1100" b="1"/>
            </a:p>
          </xdr:txBody>
        </xdr:sp>
      </mc:Fallback>
    </mc:AlternateContent>
    <xdr:clientData/>
  </xdr:oneCellAnchor>
  <xdr:oneCellAnchor>
    <xdr:from>
      <xdr:col>0</xdr:col>
      <xdr:colOff>93345</xdr:colOff>
      <xdr:row>154</xdr:row>
      <xdr:rowOff>169545</xdr:rowOff>
    </xdr:from>
    <xdr:ext cx="1143390" cy="1867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5221D21D-6991-489D-AC1C-2BFDD088BF46}"/>
                </a:ext>
              </a:extLst>
            </xdr:cNvPr>
            <xdr:cNvSpPr txBox="1"/>
          </xdr:nvSpPr>
          <xdr:spPr>
            <a:xfrm>
              <a:off x="93345" y="40955595"/>
              <a:ext cx="1143390" cy="18678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s-AR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𝑽</m:t>
                            </m:r>
                          </m:e>
                          <m:sub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𝒅</m:t>
                            </m:r>
                          </m:sub>
                        </m:sSub>
                      </m:e>
                      <m:sub>
                        <m:r>
                          <a:rPr lang="es-AR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sub>
                    </m:sSub>
                    <m:r>
                      <a:rPr lang="es-AR" sz="11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𝟏𝟏𝟎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𝟒𝟔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𝒌𝑵</m:t>
                    </m:r>
                  </m:oMath>
                </m:oMathPara>
              </a14:m>
              <a:endParaRPr lang="es-AR" sz="1100" b="1"/>
            </a:p>
          </xdr:txBody>
        </xdr:sp>
      </mc:Choice>
      <mc:Fallback xmlns="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5221D21D-6991-489D-AC1C-2BFDD088BF46}"/>
                </a:ext>
              </a:extLst>
            </xdr:cNvPr>
            <xdr:cNvSpPr txBox="1"/>
          </xdr:nvSpPr>
          <xdr:spPr>
            <a:xfrm>
              <a:off x="93345" y="40955595"/>
              <a:ext cx="1143390" cy="18678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1" i="0">
                  <a:latin typeface="Cambria Math" panose="02040503050406030204" pitchFamily="18" charset="0"/>
                </a:rPr>
                <a:t>〖𝑽_𝒅〗_𝒙=𝟏𝟏𝟎,𝟒𝟔 𝒌𝑵</a:t>
              </a:r>
              <a:endParaRPr lang="es-AR" sz="1100" b="1"/>
            </a:p>
          </xdr:txBody>
        </xdr:sp>
      </mc:Fallback>
    </mc:AlternateContent>
    <xdr:clientData/>
  </xdr:oneCellAnchor>
  <xdr:oneCellAnchor>
    <xdr:from>
      <xdr:col>0</xdr:col>
      <xdr:colOff>60960</xdr:colOff>
      <xdr:row>213</xdr:row>
      <xdr:rowOff>106680</xdr:rowOff>
    </xdr:from>
    <xdr:ext cx="919033" cy="3012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F5FC0938-C6DA-49F4-8ECD-32A568E5B77D}"/>
                </a:ext>
              </a:extLst>
            </xdr:cNvPr>
            <xdr:cNvSpPr txBox="1"/>
          </xdr:nvSpPr>
          <xdr:spPr>
            <a:xfrm>
              <a:off x="60960" y="52707540"/>
              <a:ext cx="919033" cy="3012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𝜓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skw"/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F5FC0938-C6DA-49F4-8ECD-32A568E5B77D}"/>
                </a:ext>
              </a:extLst>
            </xdr:cNvPr>
            <xdr:cNvSpPr txBox="1"/>
          </xdr:nvSpPr>
          <xdr:spPr>
            <a:xfrm>
              <a:off x="60960" y="52707540"/>
              <a:ext cx="919033" cy="3012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𝜓=|𝑓1⁄𝑓2|=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30480</xdr:colOff>
      <xdr:row>216</xdr:row>
      <xdr:rowOff>0</xdr:rowOff>
    </xdr:from>
    <xdr:ext cx="200734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617BF451-E0EA-4306-9B2F-9325BD520FD3}"/>
                </a:ext>
              </a:extLst>
            </xdr:cNvPr>
            <xdr:cNvSpPr txBox="1"/>
          </xdr:nvSpPr>
          <xdr:spPr>
            <a:xfrm>
              <a:off x="30480" y="53149500"/>
              <a:ext cx="20073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=4+2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𝜓</m:t>
                            </m:r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+2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𝜓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617BF451-E0EA-4306-9B2F-9325BD520FD3}"/>
                </a:ext>
              </a:extLst>
            </xdr:cNvPr>
            <xdr:cNvSpPr txBox="1"/>
          </xdr:nvSpPr>
          <xdr:spPr>
            <a:xfrm>
              <a:off x="30480" y="53149500"/>
              <a:ext cx="20073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𝑘=4+2(1+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𝜓)^3+2(1+𝜓)=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218</xdr:row>
      <xdr:rowOff>76200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CuadroTexto 44">
              <a:extLst>
                <a:ext uri="{FF2B5EF4-FFF2-40B4-BE49-F238E27FC236}">
                  <a16:creationId xmlns:a16="http://schemas.microsoft.com/office/drawing/2014/main" id="{758FDF95-6E2F-4951-845B-F6EDB09974DB}"/>
                </a:ext>
              </a:extLst>
            </xdr:cNvPr>
            <xdr:cNvSpPr txBox="1"/>
          </xdr:nvSpPr>
          <xdr:spPr>
            <a:xfrm>
              <a:off x="83820" y="5359146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5" name="CuadroTexto 44">
              <a:extLst>
                <a:ext uri="{FF2B5EF4-FFF2-40B4-BE49-F238E27FC236}">
                  <a16:creationId xmlns:a16="http://schemas.microsoft.com/office/drawing/2014/main" id="{758FDF95-6E2F-4951-845B-F6EDB09974DB}"/>
                </a:ext>
              </a:extLst>
            </xdr:cNvPr>
            <xdr:cNvSpPr txBox="1"/>
          </xdr:nvSpPr>
          <xdr:spPr>
            <a:xfrm>
              <a:off x="83820" y="5359146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198120</xdr:colOff>
      <xdr:row>221</xdr:row>
      <xdr:rowOff>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CuadroTexto 45">
              <a:extLst>
                <a:ext uri="{FF2B5EF4-FFF2-40B4-BE49-F238E27FC236}">
                  <a16:creationId xmlns:a16="http://schemas.microsoft.com/office/drawing/2014/main" id="{B6ECDBBA-F788-49B7-A8C3-6988EEFF22F4}"/>
                </a:ext>
              </a:extLst>
            </xdr:cNvPr>
            <xdr:cNvSpPr txBox="1"/>
          </xdr:nvSpPr>
          <xdr:spPr>
            <a:xfrm>
              <a:off x="198120" y="5406390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6" name="CuadroTexto 45">
              <a:extLst>
                <a:ext uri="{FF2B5EF4-FFF2-40B4-BE49-F238E27FC236}">
                  <a16:creationId xmlns:a16="http://schemas.microsoft.com/office/drawing/2014/main" id="{B6ECDBBA-F788-49B7-A8C3-6988EEFF22F4}"/>
                </a:ext>
              </a:extLst>
            </xdr:cNvPr>
            <xdr:cNvSpPr txBox="1"/>
          </xdr:nvSpPr>
          <xdr:spPr>
            <a:xfrm>
              <a:off x="198120" y="5406390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</xdr:colOff>
      <xdr:row>228</xdr:row>
      <xdr:rowOff>11430</xdr:rowOff>
    </xdr:from>
    <xdr:ext cx="124854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CuadroTexto 46">
              <a:extLst>
                <a:ext uri="{FF2B5EF4-FFF2-40B4-BE49-F238E27FC236}">
                  <a16:creationId xmlns:a16="http://schemas.microsoft.com/office/drawing/2014/main" id="{044C6116-190B-4351-BBDE-A1712C9C026E}"/>
                </a:ext>
              </a:extLst>
            </xdr:cNvPr>
            <xdr:cNvSpPr txBox="1"/>
          </xdr:nvSpPr>
          <xdr:spPr>
            <a:xfrm>
              <a:off x="15240" y="55370730"/>
              <a:ext cx="12485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𝐹𝑦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,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7" name="CuadroTexto 46">
              <a:extLst>
                <a:ext uri="{FF2B5EF4-FFF2-40B4-BE49-F238E27FC236}">
                  <a16:creationId xmlns:a16="http://schemas.microsoft.com/office/drawing/2014/main" id="{044C6116-190B-4351-BBDE-A1712C9C026E}"/>
                </a:ext>
              </a:extLst>
            </xdr:cNvPr>
            <xdr:cNvSpPr txBox="1"/>
          </xdr:nvSpPr>
          <xdr:spPr>
            <a:xfrm>
              <a:off x="15240" y="55370730"/>
              <a:ext cx="12485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𝑀_𝑛=𝑆_𝑒.𝐹𝑦,10^(−3)=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22860</xdr:colOff>
      <xdr:row>230</xdr:row>
      <xdr:rowOff>3810</xdr:rowOff>
    </xdr:from>
    <xdr:ext cx="9521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CuadroTexto 47">
              <a:extLst>
                <a:ext uri="{FF2B5EF4-FFF2-40B4-BE49-F238E27FC236}">
                  <a16:creationId xmlns:a16="http://schemas.microsoft.com/office/drawing/2014/main" id="{B38A053C-626E-43CF-A7A4-C993D4408E5E}"/>
                </a:ext>
              </a:extLst>
            </xdr:cNvPr>
            <xdr:cNvSpPr txBox="1"/>
          </xdr:nvSpPr>
          <xdr:spPr>
            <a:xfrm>
              <a:off x="22860" y="55728870"/>
              <a:ext cx="95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8" name="CuadroTexto 47">
              <a:extLst>
                <a:ext uri="{FF2B5EF4-FFF2-40B4-BE49-F238E27FC236}">
                  <a16:creationId xmlns:a16="http://schemas.microsoft.com/office/drawing/2014/main" id="{B38A053C-626E-43CF-A7A4-C993D4408E5E}"/>
                </a:ext>
              </a:extLst>
            </xdr:cNvPr>
            <xdr:cNvSpPr txBox="1"/>
          </xdr:nvSpPr>
          <xdr:spPr>
            <a:xfrm>
              <a:off x="22860" y="55728870"/>
              <a:ext cx="95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𝑀_𝑑=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𝑏.𝑀_𝑛=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723900</xdr:colOff>
      <xdr:row>230</xdr:row>
      <xdr:rowOff>11430</xdr:rowOff>
    </xdr:from>
    <xdr:ext cx="89986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CuadroTexto 48">
              <a:extLst>
                <a:ext uri="{FF2B5EF4-FFF2-40B4-BE49-F238E27FC236}">
                  <a16:creationId xmlns:a16="http://schemas.microsoft.com/office/drawing/2014/main" id="{8B3CB77D-FA29-40FB-AAB6-E21BC4C5B8AF}"/>
                </a:ext>
              </a:extLst>
            </xdr:cNvPr>
            <xdr:cNvSpPr txBox="1"/>
          </xdr:nvSpPr>
          <xdr:spPr>
            <a:xfrm>
              <a:off x="2308860" y="55736490"/>
              <a:ext cx="899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𝑐𝑜𝑛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=0,95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9" name="CuadroTexto 48">
              <a:extLst>
                <a:ext uri="{FF2B5EF4-FFF2-40B4-BE49-F238E27FC236}">
                  <a16:creationId xmlns:a16="http://schemas.microsoft.com/office/drawing/2014/main" id="{8B3CB77D-FA29-40FB-AAB6-E21BC4C5B8AF}"/>
                </a:ext>
              </a:extLst>
            </xdr:cNvPr>
            <xdr:cNvSpPr txBox="1"/>
          </xdr:nvSpPr>
          <xdr:spPr>
            <a:xfrm>
              <a:off x="2308860" y="55736490"/>
              <a:ext cx="899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〖𝑐𝑜𝑛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𝜙〗_</a:t>
              </a:r>
              <a:r>
                <a:rPr lang="es-AR" sz="1100" b="0" i="0">
                  <a:latin typeface="Cambria Math" panose="02040503050406030204" pitchFamily="18" charset="0"/>
                </a:rPr>
                <a:t>𝑏=0,95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98164</xdr:colOff>
      <xdr:row>232</xdr:row>
      <xdr:rowOff>174924</xdr:rowOff>
    </xdr:from>
    <xdr:ext cx="1144865" cy="2079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CuadroTexto 49">
              <a:extLst>
                <a:ext uri="{FF2B5EF4-FFF2-40B4-BE49-F238E27FC236}">
                  <a16:creationId xmlns:a16="http://schemas.microsoft.com/office/drawing/2014/main" id="{2141050D-F6F5-4338-AC8F-C964D0559F00}"/>
                </a:ext>
              </a:extLst>
            </xdr:cNvPr>
            <xdr:cNvSpPr txBox="1"/>
          </xdr:nvSpPr>
          <xdr:spPr>
            <a:xfrm>
              <a:off x="98164" y="55791399"/>
              <a:ext cx="1144865" cy="20794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s-AR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𝑴</m:t>
                            </m:r>
                          </m:e>
                          <m:sub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𝒅</m:t>
                            </m:r>
                          </m:sub>
                        </m:sSub>
                      </m:e>
                      <m:sub>
                        <m:r>
                          <a:rPr lang="es-AR" sz="1100" b="1" i="1">
                            <a:latin typeface="Cambria Math" panose="02040503050406030204" pitchFamily="18" charset="0"/>
                          </a:rPr>
                          <m:t>𝒚</m:t>
                        </m:r>
                      </m:sub>
                    </m:sSub>
                    <m:r>
                      <a:rPr lang="es-AR" sz="11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𝟕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𝟔𝟑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𝒌𝑵𝒎</m:t>
                    </m:r>
                  </m:oMath>
                </m:oMathPara>
              </a14:m>
              <a:endParaRPr lang="es-AR" sz="1100" b="1"/>
            </a:p>
          </xdr:txBody>
        </xdr:sp>
      </mc:Choice>
      <mc:Fallback xmlns="">
        <xdr:sp macro="" textlink="">
          <xdr:nvSpPr>
            <xdr:cNvPr id="50" name="CuadroTexto 49">
              <a:extLst>
                <a:ext uri="{FF2B5EF4-FFF2-40B4-BE49-F238E27FC236}">
                  <a16:creationId xmlns:a16="http://schemas.microsoft.com/office/drawing/2014/main" id="{2141050D-F6F5-4338-AC8F-C964D0559F00}"/>
                </a:ext>
              </a:extLst>
            </xdr:cNvPr>
            <xdr:cNvSpPr txBox="1"/>
          </xdr:nvSpPr>
          <xdr:spPr>
            <a:xfrm>
              <a:off x="98164" y="55791399"/>
              <a:ext cx="1144865" cy="20794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1" i="0">
                  <a:latin typeface="Cambria Math" panose="02040503050406030204" pitchFamily="18" charset="0"/>
                </a:rPr>
                <a:t>〖𝑴_𝒅〗_𝒚=𝟕,𝟔𝟑 𝒌𝑵𝒎</a:t>
              </a:r>
              <a:endParaRPr lang="es-AR" sz="1100" b="1"/>
            </a:p>
          </xdr:txBody>
        </xdr:sp>
      </mc:Fallback>
    </mc:AlternateContent>
    <xdr:clientData/>
  </xdr:oneCellAnchor>
  <xdr:oneCellAnchor>
    <xdr:from>
      <xdr:col>0</xdr:col>
      <xdr:colOff>129540</xdr:colOff>
      <xdr:row>75</xdr:row>
      <xdr:rowOff>45720</xdr:rowOff>
    </xdr:from>
    <xdr:ext cx="12400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CuadroTexto 52">
              <a:extLst>
                <a:ext uri="{FF2B5EF4-FFF2-40B4-BE49-F238E27FC236}">
                  <a16:creationId xmlns:a16="http://schemas.microsoft.com/office/drawing/2014/main" id="{517D564F-9F9F-4039-9540-1A3489CBACBE}"/>
                </a:ext>
              </a:extLst>
            </xdr:cNvPr>
            <xdr:cNvSpPr txBox="1"/>
          </xdr:nvSpPr>
          <xdr:spPr>
            <a:xfrm>
              <a:off x="129540" y="25603200"/>
              <a:ext cx="12400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𝑀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í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𝑛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3" name="CuadroTexto 52">
              <a:extLst>
                <a:ext uri="{FF2B5EF4-FFF2-40B4-BE49-F238E27FC236}">
                  <a16:creationId xmlns:a16="http://schemas.microsoft.com/office/drawing/2014/main" id="{517D564F-9F9F-4039-9540-1A3489CBACBE}"/>
                </a:ext>
              </a:extLst>
            </xdr:cNvPr>
            <xdr:cNvSpPr txBox="1"/>
          </xdr:nvSpPr>
          <xdr:spPr>
            <a:xfrm>
              <a:off x="129540" y="25603200"/>
              <a:ext cx="12400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𝐼_𝑎=𝑀í𝑛(𝐼_𝑎1,𝐼_𝑎2 )=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79</xdr:row>
      <xdr:rowOff>0</xdr:rowOff>
    </xdr:from>
    <xdr:ext cx="51424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CuadroTexto 53">
              <a:extLst>
                <a:ext uri="{FF2B5EF4-FFF2-40B4-BE49-F238E27FC236}">
                  <a16:creationId xmlns:a16="http://schemas.microsoft.com/office/drawing/2014/main" id="{4C7884C2-1FA1-4ECF-9A48-087ADB500220}"/>
                </a:ext>
              </a:extLst>
            </xdr:cNvPr>
            <xdr:cNvSpPr txBox="1"/>
          </xdr:nvSpPr>
          <xdr:spPr>
            <a:xfrm>
              <a:off x="3962400" y="26311860"/>
              <a:ext cx="5142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⇒   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𝑛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4" name="CuadroTexto 53">
              <a:extLst>
                <a:ext uri="{FF2B5EF4-FFF2-40B4-BE49-F238E27FC236}">
                  <a16:creationId xmlns:a16="http://schemas.microsoft.com/office/drawing/2014/main" id="{4C7884C2-1FA1-4ECF-9A48-087ADB500220}"/>
                </a:ext>
              </a:extLst>
            </xdr:cNvPr>
            <xdr:cNvSpPr txBox="1"/>
          </xdr:nvSpPr>
          <xdr:spPr>
            <a:xfrm>
              <a:off x="3962400" y="26311860"/>
              <a:ext cx="5142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⇒   𝑛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76200</xdr:colOff>
      <xdr:row>247</xdr:row>
      <xdr:rowOff>224790</xdr:rowOff>
    </xdr:from>
    <xdr:ext cx="30745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CuadroTexto 54">
              <a:extLst>
                <a:ext uri="{FF2B5EF4-FFF2-40B4-BE49-F238E27FC236}">
                  <a16:creationId xmlns:a16="http://schemas.microsoft.com/office/drawing/2014/main" id="{00B288E8-263E-4E7D-B6EE-FE0C31EB7B5A}"/>
                </a:ext>
              </a:extLst>
            </xdr:cNvPr>
            <xdr:cNvSpPr txBox="1"/>
          </xdr:nvSpPr>
          <xdr:spPr>
            <a:xfrm>
              <a:off x="76200" y="59066430"/>
              <a:ext cx="3074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5" name="CuadroTexto 54">
              <a:extLst>
                <a:ext uri="{FF2B5EF4-FFF2-40B4-BE49-F238E27FC236}">
                  <a16:creationId xmlns:a16="http://schemas.microsoft.com/office/drawing/2014/main" id="{00B288E8-263E-4E7D-B6EE-FE0C31EB7B5A}"/>
                </a:ext>
              </a:extLst>
            </xdr:cNvPr>
            <xdr:cNvSpPr txBox="1"/>
          </xdr:nvSpPr>
          <xdr:spPr>
            <a:xfrm>
              <a:off x="76200" y="59066430"/>
              <a:ext cx="3074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𝑞_𝑠=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60960</xdr:colOff>
      <xdr:row>248</xdr:row>
      <xdr:rowOff>179070</xdr:rowOff>
    </xdr:from>
    <xdr:ext cx="3145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CuadroTexto 55">
              <a:extLst>
                <a:ext uri="{FF2B5EF4-FFF2-40B4-BE49-F238E27FC236}">
                  <a16:creationId xmlns:a16="http://schemas.microsoft.com/office/drawing/2014/main" id="{75116295-B988-4CFB-8BD0-CEE98A4C730D}"/>
                </a:ext>
              </a:extLst>
            </xdr:cNvPr>
            <xdr:cNvSpPr txBox="1"/>
          </xdr:nvSpPr>
          <xdr:spPr>
            <a:xfrm>
              <a:off x="60960" y="59249310"/>
              <a:ext cx="3145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6" name="CuadroTexto 55">
              <a:extLst>
                <a:ext uri="{FF2B5EF4-FFF2-40B4-BE49-F238E27FC236}">
                  <a16:creationId xmlns:a16="http://schemas.microsoft.com/office/drawing/2014/main" id="{75116295-B988-4CFB-8BD0-CEE98A4C730D}"/>
                </a:ext>
              </a:extLst>
            </xdr:cNvPr>
            <xdr:cNvSpPr txBox="1"/>
          </xdr:nvSpPr>
          <xdr:spPr>
            <a:xfrm>
              <a:off x="60960" y="59249310"/>
              <a:ext cx="3145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𝑞_𝐿=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76200</xdr:colOff>
      <xdr:row>250</xdr:row>
      <xdr:rowOff>80010</xdr:rowOff>
    </xdr:from>
    <xdr:ext cx="866071" cy="3169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CuadroTexto 56">
              <a:extLst>
                <a:ext uri="{FF2B5EF4-FFF2-40B4-BE49-F238E27FC236}">
                  <a16:creationId xmlns:a16="http://schemas.microsoft.com/office/drawing/2014/main" id="{DCE4685E-B49C-41CE-962B-8CF3CBC22EB2}"/>
                </a:ext>
              </a:extLst>
            </xdr:cNvPr>
            <xdr:cNvSpPr txBox="1"/>
          </xdr:nvSpPr>
          <xdr:spPr>
            <a:xfrm>
              <a:off x="76200" y="59516010"/>
              <a:ext cx="866071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á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200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7" name="CuadroTexto 56">
              <a:extLst>
                <a:ext uri="{FF2B5EF4-FFF2-40B4-BE49-F238E27FC236}">
                  <a16:creationId xmlns:a16="http://schemas.microsoft.com/office/drawing/2014/main" id="{DCE4685E-B49C-41CE-962B-8CF3CBC22EB2}"/>
                </a:ext>
              </a:extLst>
            </xdr:cNvPr>
            <xdr:cNvSpPr txBox="1"/>
          </xdr:nvSpPr>
          <xdr:spPr>
            <a:xfrm>
              <a:off x="76200" y="59516010"/>
              <a:ext cx="866071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𝑓_𝑚á𝑥=𝐿/200=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45720</xdr:colOff>
      <xdr:row>252</xdr:row>
      <xdr:rowOff>106680</xdr:rowOff>
    </xdr:from>
    <xdr:ext cx="922368" cy="3169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CuadroTexto 57">
              <a:extLst>
                <a:ext uri="{FF2B5EF4-FFF2-40B4-BE49-F238E27FC236}">
                  <a16:creationId xmlns:a16="http://schemas.microsoft.com/office/drawing/2014/main" id="{C7CC7807-3894-49B5-8771-4B593E97B8C1}"/>
                </a:ext>
              </a:extLst>
            </xdr:cNvPr>
            <xdr:cNvSpPr txBox="1"/>
          </xdr:nvSpPr>
          <xdr:spPr>
            <a:xfrm>
              <a:off x="45720" y="59908440"/>
              <a:ext cx="922368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á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𝑥𝐿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240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8" name="CuadroTexto 57">
              <a:extLst>
                <a:ext uri="{FF2B5EF4-FFF2-40B4-BE49-F238E27FC236}">
                  <a16:creationId xmlns:a16="http://schemas.microsoft.com/office/drawing/2014/main" id="{C7CC7807-3894-49B5-8771-4B593E97B8C1}"/>
                </a:ext>
              </a:extLst>
            </xdr:cNvPr>
            <xdr:cNvSpPr txBox="1"/>
          </xdr:nvSpPr>
          <xdr:spPr>
            <a:xfrm>
              <a:off x="45720" y="59908440"/>
              <a:ext cx="922368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𝑓_𝑚á𝑥𝐿=𝐿/240=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121920</xdr:colOff>
      <xdr:row>256</xdr:row>
      <xdr:rowOff>118110</xdr:rowOff>
    </xdr:from>
    <xdr:ext cx="982192" cy="3354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CuadroTexto 58">
              <a:extLst>
                <a:ext uri="{FF2B5EF4-FFF2-40B4-BE49-F238E27FC236}">
                  <a16:creationId xmlns:a16="http://schemas.microsoft.com/office/drawing/2014/main" id="{4ECF0DC3-4D6A-49F9-A8D0-BF3827A7D9DF}"/>
                </a:ext>
              </a:extLst>
            </xdr:cNvPr>
            <xdr:cNvSpPr txBox="1"/>
          </xdr:nvSpPr>
          <xdr:spPr>
            <a:xfrm>
              <a:off x="121920" y="60651390"/>
              <a:ext cx="982192" cy="3354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AR" sz="1400" b="0" i="1">
                      <a:latin typeface="Cambria Math" panose="02040503050406030204" pitchFamily="18" charset="0"/>
                    </a:rPr>
                    <m:t>𝑓</m:t>
                  </m:r>
                  <m:r>
                    <a:rPr lang="es-AR" sz="14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AR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AR" sz="1400" b="0" i="1">
                          <a:latin typeface="Cambria Math" panose="02040503050406030204" pitchFamily="18" charset="0"/>
                        </a:rPr>
                        <m:t>5</m:t>
                      </m:r>
                    </m:num>
                    <m:den>
                      <m:r>
                        <a:rPr lang="es-AR" sz="1400" b="0" i="1">
                          <a:latin typeface="Cambria Math" panose="02040503050406030204" pitchFamily="18" charset="0"/>
                        </a:rPr>
                        <m:t>384</m:t>
                      </m:r>
                    </m:den>
                  </m:f>
                  <m:f>
                    <m:fPr>
                      <m:ctrlPr>
                        <a:rPr lang="es-AR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s-AR" sz="1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𝑞</m:t>
                          </m:r>
                        </m:e>
                        <m:sub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𝑠</m:t>
                          </m:r>
                        </m:sub>
                      </m:sSub>
                      <m:r>
                        <a:rPr lang="es-AR" sz="1400" b="0" i="1">
                          <a:latin typeface="Cambria Math" panose="02040503050406030204" pitchFamily="18" charset="0"/>
                        </a:rPr>
                        <m:t>.</m:t>
                      </m:r>
                      <m:sSup>
                        <m:sSupPr>
                          <m:ctrlPr>
                            <a:rPr lang="es-AR" sz="14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𝐿</m:t>
                          </m:r>
                        </m:e>
                        <m:sup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4</m:t>
                          </m:r>
                        </m:sup>
                      </m:sSup>
                    </m:num>
                    <m:den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𝐸</m:t>
                      </m:r>
                      <m:r>
                        <a:rPr lang="es-AR" sz="1400" b="0" i="1">
                          <a:latin typeface="Cambria Math" panose="02040503050406030204" pitchFamily="18" charset="0"/>
                        </a:rPr>
                        <m:t>.</m:t>
                      </m:r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𝐼</m:t>
                      </m:r>
                    </m:den>
                  </m:f>
                </m:oMath>
              </a14:m>
              <a:r>
                <a:rPr lang="es-AR" sz="1400"/>
                <a:t>=</a:t>
              </a:r>
              <a:endParaRPr lang="es-AR" sz="1100"/>
            </a:p>
          </xdr:txBody>
        </xdr:sp>
      </mc:Choice>
      <mc:Fallback xmlns="">
        <xdr:sp macro="" textlink="">
          <xdr:nvSpPr>
            <xdr:cNvPr id="59" name="CuadroTexto 58">
              <a:extLst>
                <a:ext uri="{FF2B5EF4-FFF2-40B4-BE49-F238E27FC236}">
                  <a16:creationId xmlns:a16="http://schemas.microsoft.com/office/drawing/2014/main" id="{4ECF0DC3-4D6A-49F9-A8D0-BF3827A7D9DF}"/>
                </a:ext>
              </a:extLst>
            </xdr:cNvPr>
            <xdr:cNvSpPr txBox="1"/>
          </xdr:nvSpPr>
          <xdr:spPr>
            <a:xfrm>
              <a:off x="121920" y="60651390"/>
              <a:ext cx="982192" cy="3354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400" b="0" i="0">
                  <a:latin typeface="Cambria Math" panose="02040503050406030204" pitchFamily="18" charset="0"/>
                </a:rPr>
                <a:t>𝑓=5/384  (𝑞_𝑠.𝐿^4)/(𝐸.𝐼)</a:t>
              </a:r>
              <a:r>
                <a:rPr lang="es-AR" sz="1400"/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68580</xdr:colOff>
      <xdr:row>258</xdr:row>
      <xdr:rowOff>114300</xdr:rowOff>
    </xdr:from>
    <xdr:ext cx="1045479" cy="3354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CuadroTexto 59">
              <a:extLst>
                <a:ext uri="{FF2B5EF4-FFF2-40B4-BE49-F238E27FC236}">
                  <a16:creationId xmlns:a16="http://schemas.microsoft.com/office/drawing/2014/main" id="{DAAE638D-1349-4110-9E82-B3A4740E4DDD}"/>
                </a:ext>
              </a:extLst>
            </xdr:cNvPr>
            <xdr:cNvSpPr txBox="1"/>
          </xdr:nvSpPr>
          <xdr:spPr>
            <a:xfrm>
              <a:off x="68580" y="61028580"/>
              <a:ext cx="1045479" cy="3354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AR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𝑓</m:t>
                      </m:r>
                    </m:e>
                    <m:sub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𝐿</m:t>
                      </m:r>
                    </m:sub>
                  </m:sSub>
                  <m:r>
                    <a:rPr lang="es-AR" sz="14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AR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AR" sz="1400" b="0" i="1">
                          <a:latin typeface="Cambria Math" panose="02040503050406030204" pitchFamily="18" charset="0"/>
                        </a:rPr>
                        <m:t>5</m:t>
                      </m:r>
                    </m:num>
                    <m:den>
                      <m:r>
                        <a:rPr lang="es-AR" sz="1400" b="0" i="1">
                          <a:latin typeface="Cambria Math" panose="02040503050406030204" pitchFamily="18" charset="0"/>
                        </a:rPr>
                        <m:t>384</m:t>
                      </m:r>
                    </m:den>
                  </m:f>
                  <m:f>
                    <m:fPr>
                      <m:ctrlPr>
                        <a:rPr lang="es-AR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s-AR" sz="1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𝑞</m:t>
                          </m:r>
                        </m:e>
                        <m:sub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𝐿</m:t>
                          </m:r>
                        </m:sub>
                      </m:sSub>
                      <m:r>
                        <a:rPr lang="es-AR" sz="1400" b="0" i="1">
                          <a:latin typeface="Cambria Math" panose="02040503050406030204" pitchFamily="18" charset="0"/>
                        </a:rPr>
                        <m:t>.</m:t>
                      </m:r>
                      <m:sSup>
                        <m:sSupPr>
                          <m:ctrlPr>
                            <a:rPr lang="es-AR" sz="14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𝐿</m:t>
                          </m:r>
                        </m:e>
                        <m:sup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4</m:t>
                          </m:r>
                        </m:sup>
                      </m:sSup>
                    </m:num>
                    <m:den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𝐸</m:t>
                      </m:r>
                      <m:r>
                        <a:rPr lang="es-AR" sz="1400" b="0" i="1">
                          <a:latin typeface="Cambria Math" panose="02040503050406030204" pitchFamily="18" charset="0"/>
                        </a:rPr>
                        <m:t>.</m:t>
                      </m:r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𝐼</m:t>
                      </m:r>
                    </m:den>
                  </m:f>
                </m:oMath>
              </a14:m>
              <a:r>
                <a:rPr lang="es-AR" sz="1400"/>
                <a:t>=</a:t>
              </a:r>
              <a:endParaRPr lang="es-AR" sz="1100"/>
            </a:p>
          </xdr:txBody>
        </xdr:sp>
      </mc:Choice>
      <mc:Fallback xmlns="">
        <xdr:sp macro="" textlink="">
          <xdr:nvSpPr>
            <xdr:cNvPr id="60" name="CuadroTexto 59">
              <a:extLst>
                <a:ext uri="{FF2B5EF4-FFF2-40B4-BE49-F238E27FC236}">
                  <a16:creationId xmlns:a16="http://schemas.microsoft.com/office/drawing/2014/main" id="{DAAE638D-1349-4110-9E82-B3A4740E4DDD}"/>
                </a:ext>
              </a:extLst>
            </xdr:cNvPr>
            <xdr:cNvSpPr txBox="1"/>
          </xdr:nvSpPr>
          <xdr:spPr>
            <a:xfrm>
              <a:off x="68580" y="61028580"/>
              <a:ext cx="1045479" cy="3354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400" b="0" i="0">
                  <a:latin typeface="Cambria Math" panose="02040503050406030204" pitchFamily="18" charset="0"/>
                </a:rPr>
                <a:t>𝑓_𝐿=5/384  (𝑞_𝐿.𝐿^4)/(𝐸.𝐼)</a:t>
              </a:r>
              <a:r>
                <a:rPr lang="es-AR" sz="1400"/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161</xdr:row>
      <xdr:rowOff>87630</xdr:rowOff>
    </xdr:from>
    <xdr:ext cx="1610569" cy="392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CuadroTexto 61">
              <a:extLst>
                <a:ext uri="{FF2B5EF4-FFF2-40B4-BE49-F238E27FC236}">
                  <a16:creationId xmlns:a16="http://schemas.microsoft.com/office/drawing/2014/main" id="{F9CD7E4E-F32F-453B-8EFD-E3FC5FB692BA}"/>
                </a:ext>
              </a:extLst>
            </xdr:cNvPr>
            <xdr:cNvSpPr txBox="1"/>
          </xdr:nvSpPr>
          <xdr:spPr>
            <a:xfrm>
              <a:off x="83820" y="41456610"/>
              <a:ext cx="1610569" cy="392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AR" sz="14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d>
                        <m:dPr>
                          <m:ctrlPr>
                            <a:rPr lang="es-AR" sz="140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s-AR" sz="140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es-AR" sz="14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b="0" i="1">
                                      <a:latin typeface="Cambria Math" panose="02040503050406030204" pitchFamily="18" charset="0"/>
                                    </a:rPr>
                                    <m:t>𝑀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latin typeface="Cambria Math" panose="02040503050406030204" pitchFamily="18" charset="0"/>
                                    </a:rPr>
                                    <m:t>𝑢</m:t>
                                  </m:r>
                                </m:sub>
                              </m:sSub>
                            </m:num>
                            <m:den>
                              <m:sSub>
                                <m:sSubPr>
                                  <m:ctrlPr>
                                    <a:rPr lang="es-AR" sz="14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𝜙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latin typeface="Cambria Math" panose="02040503050406030204" pitchFamily="18" charset="0"/>
                                    </a:rPr>
                                    <m:t>𝑏</m:t>
                                  </m:r>
                                </m:sub>
                              </m:sSub>
                              <m:sSub>
                                <m:sSubPr>
                                  <m:ctrlPr>
                                    <a:rPr lang="es-AR" sz="14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b="0" i="1">
                                      <a:latin typeface="Cambria Math" panose="02040503050406030204" pitchFamily="18" charset="0"/>
                                    </a:rPr>
                                    <m:t>𝑀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latin typeface="Cambria Math" panose="02040503050406030204" pitchFamily="18" charset="0"/>
                                    </a:rPr>
                                    <m:t>𝑛𝑥𝑜</m:t>
                                  </m:r>
                                </m:sub>
                              </m:sSub>
                            </m:den>
                          </m:f>
                        </m:e>
                      </m:d>
                    </m:e>
                    <m:sup>
                      <m:r>
                        <a:rPr lang="es-AR" sz="14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s-AR" sz="1400" b="0" i="1">
                      <a:latin typeface="Cambria Math" panose="02040503050406030204" pitchFamily="18" charset="0"/>
                    </a:rPr>
                    <m:t>+</m:t>
                  </m:r>
                  <m:sSup>
                    <m:sSupPr>
                      <m:ctrlPr>
                        <a:rPr lang="es-AR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d>
                        <m:dPr>
                          <m:ctrlPr>
                            <a:rPr lang="es-AR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s-AR" sz="14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es-AR" sz="14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𝑉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𝑢</m:t>
                                  </m:r>
                                </m:sub>
                              </m:sSub>
                            </m:num>
                            <m:den>
                              <m:sSub>
                                <m:sSubPr>
                                  <m:ctrlPr>
                                    <a:rPr lang="es-AR" sz="14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𝜙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𝑣</m:t>
                                  </m:r>
                                </m:sub>
                              </m:sSub>
                              <m:sSub>
                                <m:sSubPr>
                                  <m:ctrlPr>
                                    <a:rPr lang="es-AR" sz="14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𝑉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𝑛</m:t>
                                  </m:r>
                                </m:sub>
                              </m:sSub>
                            </m:den>
                          </m:f>
                        </m:e>
                      </m:d>
                    </m:e>
                    <m:sup>
                      <m:r>
                        <a:rPr lang="es-A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es-AR" sz="1400"/>
                <a:t>=</a:t>
              </a:r>
            </a:p>
          </xdr:txBody>
        </xdr:sp>
      </mc:Choice>
      <mc:Fallback xmlns="">
        <xdr:sp macro="" textlink="">
          <xdr:nvSpPr>
            <xdr:cNvPr id="62" name="CuadroTexto 61">
              <a:extLst>
                <a:ext uri="{FF2B5EF4-FFF2-40B4-BE49-F238E27FC236}">
                  <a16:creationId xmlns:a16="http://schemas.microsoft.com/office/drawing/2014/main" id="{F9CD7E4E-F32F-453B-8EFD-E3FC5FB692BA}"/>
                </a:ext>
              </a:extLst>
            </xdr:cNvPr>
            <xdr:cNvSpPr txBox="1"/>
          </xdr:nvSpPr>
          <xdr:spPr>
            <a:xfrm>
              <a:off x="83820" y="41456610"/>
              <a:ext cx="1610569" cy="392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400" i="0">
                  <a:latin typeface="Cambria Math" panose="02040503050406030204" pitchFamily="18" charset="0"/>
                </a:rPr>
                <a:t>(</a:t>
              </a:r>
              <a:r>
                <a:rPr lang="es-AR" sz="1400" b="0" i="0">
                  <a:latin typeface="Cambria Math" panose="02040503050406030204" pitchFamily="18" charset="0"/>
                </a:rPr>
                <a:t>𝑀_𝑢/(</a:t>
              </a:r>
              <a:r>
                <a:rPr lang="es-AR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400" b="0" i="0">
                  <a:latin typeface="Cambria Math" panose="02040503050406030204" pitchFamily="18" charset="0"/>
                </a:rPr>
                <a:t>𝑏 𝑀_𝑛𝑥𝑜 ))^2+</a:t>
              </a:r>
              <a:r>
                <a:rPr lang="es-A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A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𝑉_𝑢/(</a:t>
              </a:r>
              <a:r>
                <a:rPr lang="es-A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𝜙_</a:t>
              </a:r>
              <a:r>
                <a:rPr lang="es-A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 𝑉_𝑛 ))^2</a:t>
              </a:r>
              <a:r>
                <a:rPr lang="es-AR" sz="1400"/>
                <a:t>=</a:t>
              </a:r>
            </a:p>
          </xdr:txBody>
        </xdr:sp>
      </mc:Fallback>
    </mc:AlternateContent>
    <xdr:clientData/>
  </xdr:oneCellAnchor>
  <xdr:oneCellAnchor>
    <xdr:from>
      <xdr:col>0</xdr:col>
      <xdr:colOff>121920</xdr:colOff>
      <xdr:row>238</xdr:row>
      <xdr:rowOff>99060</xdr:rowOff>
    </xdr:from>
    <xdr:ext cx="3508973" cy="3731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CuadroTexto 62">
              <a:extLst>
                <a:ext uri="{FF2B5EF4-FFF2-40B4-BE49-F238E27FC236}">
                  <a16:creationId xmlns:a16="http://schemas.microsoft.com/office/drawing/2014/main" id="{ECB3E637-31A6-495E-AC1A-6B92739D3EEB}"/>
                </a:ext>
              </a:extLst>
            </xdr:cNvPr>
            <xdr:cNvSpPr txBox="1"/>
          </xdr:nvSpPr>
          <xdr:spPr>
            <a:xfrm>
              <a:off x="121920" y="57393840"/>
              <a:ext cx="3508973" cy="3731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𝜙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    +    </m:t>
                    </m:r>
                    <m:f>
                      <m:fPr>
                        <m:ctrlP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𝜙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sSub>
                          <m:sSub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𝑛𝑥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+    </m:t>
                    </m:r>
                    <m:f>
                      <m:fPr>
                        <m:ctrlP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𝜙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sSub>
                          <m:sSub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𝑛𝑦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               ≤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                      1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3" name="CuadroTexto 62">
              <a:extLst>
                <a:ext uri="{FF2B5EF4-FFF2-40B4-BE49-F238E27FC236}">
                  <a16:creationId xmlns:a16="http://schemas.microsoft.com/office/drawing/2014/main" id="{ECB3E637-31A6-495E-AC1A-6B92739D3EEB}"/>
                </a:ext>
              </a:extLst>
            </xdr:cNvPr>
            <xdr:cNvSpPr txBox="1"/>
          </xdr:nvSpPr>
          <xdr:spPr>
            <a:xfrm>
              <a:off x="121920" y="57393840"/>
              <a:ext cx="3508973" cy="3731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𝑃_𝑢/(</a:t>
              </a:r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𝑐.𝑃_𝑛 )     +    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𝑀_𝑢𝑥/(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𝜙_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𝑏.𝑀_𝑛𝑥 )   +    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𝑀_𝑢𝑦/(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𝜙_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𝑏.𝑀_𝑛𝑦 )                  ≤</a:t>
              </a:r>
              <a:r>
                <a:rPr lang="es-AR" sz="1100" b="0" i="0">
                  <a:latin typeface="Cambria Math" panose="02040503050406030204" pitchFamily="18" charset="0"/>
                </a:rPr>
                <a:t>                       1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123825</xdr:colOff>
      <xdr:row>132</xdr:row>
      <xdr:rowOff>0</xdr:rowOff>
    </xdr:from>
    <xdr:ext cx="612091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CuadroTexto 65">
              <a:extLst>
                <a:ext uri="{FF2B5EF4-FFF2-40B4-BE49-F238E27FC236}">
                  <a16:creationId xmlns:a16="http://schemas.microsoft.com/office/drawing/2014/main" id="{404EFEB8-BFA1-41CC-801D-25550EC6D5EE}"/>
                </a:ext>
              </a:extLst>
            </xdr:cNvPr>
            <xdr:cNvSpPr txBox="1"/>
          </xdr:nvSpPr>
          <xdr:spPr>
            <a:xfrm>
              <a:off x="123825" y="36995100"/>
              <a:ext cx="612091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6" name="CuadroTexto 65">
              <a:extLst>
                <a:ext uri="{FF2B5EF4-FFF2-40B4-BE49-F238E27FC236}">
                  <a16:creationId xmlns:a16="http://schemas.microsoft.com/office/drawing/2014/main" id="{404EFEB8-BFA1-41CC-801D-25550EC6D5EE}"/>
                </a:ext>
              </a:extLst>
            </xdr:cNvPr>
            <xdr:cNvSpPr txBox="1"/>
          </xdr:nvSpPr>
          <xdr:spPr>
            <a:xfrm>
              <a:off x="123825" y="36995100"/>
              <a:ext cx="612091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𝐹_𝑐=𝐹_𝑦=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53340</xdr:colOff>
      <xdr:row>148</xdr:row>
      <xdr:rowOff>7620</xdr:rowOff>
    </xdr:from>
    <xdr:ext cx="922625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CuadroTexto 66">
              <a:extLst>
                <a:ext uri="{FF2B5EF4-FFF2-40B4-BE49-F238E27FC236}">
                  <a16:creationId xmlns:a16="http://schemas.microsoft.com/office/drawing/2014/main" id="{CBC98538-4FAB-42A9-984F-D9DE05589B26}"/>
                </a:ext>
              </a:extLst>
            </xdr:cNvPr>
            <xdr:cNvSpPr txBox="1"/>
          </xdr:nvSpPr>
          <xdr:spPr>
            <a:xfrm>
              <a:off x="53340" y="39707820"/>
              <a:ext cx="922625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𝐹𝑣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=0,60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7" name="CuadroTexto 66">
              <a:extLst>
                <a:ext uri="{FF2B5EF4-FFF2-40B4-BE49-F238E27FC236}">
                  <a16:creationId xmlns:a16="http://schemas.microsoft.com/office/drawing/2014/main" id="{CBC98538-4FAB-42A9-984F-D9DE05589B26}"/>
                </a:ext>
              </a:extLst>
            </xdr:cNvPr>
            <xdr:cNvSpPr txBox="1"/>
          </xdr:nvSpPr>
          <xdr:spPr>
            <a:xfrm>
              <a:off x="53340" y="39707820"/>
              <a:ext cx="922625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𝐹𝑣=0,60𝐹_𝑦=</a:t>
              </a:r>
              <a:endParaRPr lang="es-AR" sz="1100"/>
            </a:p>
          </xdr:txBody>
        </xdr:sp>
      </mc:Fallback>
    </mc:AlternateContent>
    <xdr:clientData/>
  </xdr:oneCellAnchor>
  <xdr:twoCellAnchor editAs="oneCell">
    <xdr:from>
      <xdr:col>4</xdr:col>
      <xdr:colOff>563880</xdr:colOff>
      <xdr:row>4</xdr:row>
      <xdr:rowOff>76200</xdr:rowOff>
    </xdr:from>
    <xdr:to>
      <xdr:col>6</xdr:col>
      <xdr:colOff>436553</xdr:colOff>
      <xdr:row>13</xdr:row>
      <xdr:rowOff>97155</xdr:rowOff>
    </xdr:to>
    <xdr:pic>
      <xdr:nvPicPr>
        <xdr:cNvPr id="68" name="Imagen 67">
          <a:extLst>
            <a:ext uri="{FF2B5EF4-FFF2-40B4-BE49-F238E27FC236}">
              <a16:creationId xmlns:a16="http://schemas.microsoft.com/office/drawing/2014/main" id="{FABFCF1A-F80F-48BF-A0F9-EE9859B65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12786360"/>
          <a:ext cx="1457633" cy="20878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89</xdr:row>
      <xdr:rowOff>72390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1A81D8A-E4F6-42D6-A7C1-6C6E6BF88F54}"/>
                </a:ext>
              </a:extLst>
            </xdr:cNvPr>
            <xdr:cNvSpPr txBox="1"/>
          </xdr:nvSpPr>
          <xdr:spPr>
            <a:xfrm>
              <a:off x="76200" y="1788795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1A81D8A-E4F6-42D6-A7C1-6C6E6BF88F54}"/>
                </a:ext>
              </a:extLst>
            </xdr:cNvPr>
            <xdr:cNvSpPr txBox="1"/>
          </xdr:nvSpPr>
          <xdr:spPr>
            <a:xfrm>
              <a:off x="76200" y="1788795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91440</xdr:colOff>
      <xdr:row>91</xdr:row>
      <xdr:rowOff>156210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DC39E1E0-869E-4BB3-839C-1D692D8F5C9B}"/>
                </a:ext>
              </a:extLst>
            </xdr:cNvPr>
            <xdr:cNvSpPr txBox="1"/>
          </xdr:nvSpPr>
          <xdr:spPr>
            <a:xfrm>
              <a:off x="91440" y="1833753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DC39E1E0-869E-4BB3-839C-1D692D8F5C9B}"/>
                </a:ext>
              </a:extLst>
            </xdr:cNvPr>
            <xdr:cNvSpPr txBox="1"/>
          </xdr:nvSpPr>
          <xdr:spPr>
            <a:xfrm>
              <a:off x="91440" y="1833753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99060</xdr:colOff>
      <xdr:row>101</xdr:row>
      <xdr:rowOff>19050</xdr:rowOff>
    </xdr:from>
    <xdr:ext cx="990784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2FCBE86F-71C9-461D-B3B8-D8D731D9593F}"/>
                </a:ext>
              </a:extLst>
            </xdr:cNvPr>
            <xdr:cNvSpPr txBox="1"/>
          </xdr:nvSpPr>
          <xdr:spPr>
            <a:xfrm>
              <a:off x="99060" y="20029170"/>
              <a:ext cx="99078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=1,28.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2FCBE86F-71C9-461D-B3B8-D8D731D9593F}"/>
                </a:ext>
              </a:extLst>
            </xdr:cNvPr>
            <xdr:cNvSpPr txBox="1"/>
          </xdr:nvSpPr>
          <xdr:spPr>
            <a:xfrm>
              <a:off x="99060" y="20029170"/>
              <a:ext cx="99078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𝑆=1,28.√(𝐸/𝑓)=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105</xdr:row>
      <xdr:rowOff>102870</xdr:rowOff>
    </xdr:from>
    <xdr:ext cx="732508" cy="3372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D0385695-ECF7-402A-A410-EAC1347FD5FE}"/>
                </a:ext>
              </a:extLst>
            </xdr:cNvPr>
            <xdr:cNvSpPr txBox="1"/>
          </xdr:nvSpPr>
          <xdr:spPr>
            <a:xfrm>
              <a:off x="83820" y="20844510"/>
              <a:ext cx="732508" cy="337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𝐼𝑠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³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D0385695-ECF7-402A-A410-EAC1347FD5FE}"/>
                </a:ext>
              </a:extLst>
            </xdr:cNvPr>
            <xdr:cNvSpPr txBox="1"/>
          </xdr:nvSpPr>
          <xdr:spPr>
            <a:xfrm>
              <a:off x="83820" y="20844510"/>
              <a:ext cx="732508" cy="337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𝐼𝑠=(𝑡.𝑑³)/12=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45720</xdr:colOff>
      <xdr:row>108</xdr:row>
      <xdr:rowOff>80010</xdr:rowOff>
    </xdr:from>
    <xdr:ext cx="1976503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ADAAA349-C8D5-431C-A5B5-D22D453D04DB}"/>
                </a:ext>
              </a:extLst>
            </xdr:cNvPr>
            <xdr:cNvSpPr txBox="1"/>
          </xdr:nvSpPr>
          <xdr:spPr>
            <a:xfrm>
              <a:off x="45720" y="21393150"/>
              <a:ext cx="1976503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𝐼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=399.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/</m:t>
                                </m:r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den>
                            </m:f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−0,328</m:t>
                            </m:r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ADAAA349-C8D5-431C-A5B5-D22D453D04DB}"/>
                </a:ext>
              </a:extLst>
            </xdr:cNvPr>
            <xdr:cNvSpPr txBox="1"/>
          </xdr:nvSpPr>
          <xdr:spPr>
            <a:xfrm>
              <a:off x="45720" y="21393150"/>
              <a:ext cx="1976503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𝐼𝐼_𝑎1=399.𝑡^4 ((𝑏/𝑡)/𝑆−0,328)^3=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60960</xdr:colOff>
      <xdr:row>111</xdr:row>
      <xdr:rowOff>95250</xdr:rowOff>
    </xdr:from>
    <xdr:ext cx="1561005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2DBABBC6-FF5B-459F-AD71-21F331F0A342}"/>
                </a:ext>
              </a:extLst>
            </xdr:cNvPr>
            <xdr:cNvSpPr txBox="1"/>
          </xdr:nvSpPr>
          <xdr:spPr>
            <a:xfrm>
              <a:off x="60960" y="21979890"/>
              <a:ext cx="156100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115</m:t>
                        </m:r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/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den>
                        </m:f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+5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2DBABBC6-FF5B-459F-AD71-21F331F0A342}"/>
                </a:ext>
              </a:extLst>
            </xdr:cNvPr>
            <xdr:cNvSpPr txBox="1"/>
          </xdr:nvSpPr>
          <xdr:spPr>
            <a:xfrm>
              <a:off x="60960" y="21979890"/>
              <a:ext cx="156100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𝐼_𝑎2=𝑡^4 (115 (𝑏/𝑡)/𝑆+5)=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106680</xdr:colOff>
      <xdr:row>115</xdr:row>
      <xdr:rowOff>102870</xdr:rowOff>
    </xdr:from>
    <xdr:ext cx="632545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92651AE-6D43-4C43-BB9C-0436224F0B14}"/>
                </a:ext>
              </a:extLst>
            </xdr:cNvPr>
            <xdr:cNvSpPr txBox="1"/>
          </xdr:nvSpPr>
          <xdr:spPr>
            <a:xfrm>
              <a:off x="106680" y="22764750"/>
              <a:ext cx="63254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𝐼𝑠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𝐼𝑎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92651AE-6D43-4C43-BB9C-0436224F0B14}"/>
                </a:ext>
              </a:extLst>
            </xdr:cNvPr>
            <xdr:cNvSpPr txBox="1"/>
          </xdr:nvSpPr>
          <xdr:spPr>
            <a:xfrm>
              <a:off x="106680" y="22764750"/>
              <a:ext cx="63254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𝑅_𝐼=</a:t>
              </a:r>
              <a:r>
                <a:rPr lang="es-AR" sz="1100" b="0" i="0">
                  <a:latin typeface="Cambria Math" panose="02040503050406030204" pitchFamily="18" charset="0"/>
                </a:rPr>
                <a:t>𝐼𝑠/𝐼𝑎=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118</xdr:row>
      <xdr:rowOff>72390</xdr:rowOff>
    </xdr:from>
    <xdr:ext cx="1160446" cy="321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3EB13829-E591-4D0E-9DCF-CFAA8EEF1077}"/>
                </a:ext>
              </a:extLst>
            </xdr:cNvPr>
            <xdr:cNvSpPr txBox="1"/>
          </xdr:nvSpPr>
          <xdr:spPr>
            <a:xfrm>
              <a:off x="83820" y="23282910"/>
              <a:ext cx="1160446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=0,528−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3EB13829-E591-4D0E-9DCF-CFAA8EEF1077}"/>
                </a:ext>
              </a:extLst>
            </xdr:cNvPr>
            <xdr:cNvSpPr txBox="1"/>
          </xdr:nvSpPr>
          <xdr:spPr>
            <a:xfrm>
              <a:off x="83820" y="23282910"/>
              <a:ext cx="1160446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𝑛=0,528−(𝑏/𝑡)/4𝑆=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152400</xdr:colOff>
      <xdr:row>123</xdr:row>
      <xdr:rowOff>110490</xdr:rowOff>
    </xdr:from>
    <xdr:ext cx="1933734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5A692A5E-BE17-49DF-91FB-95284E906555}"/>
                </a:ext>
              </a:extLst>
            </xdr:cNvPr>
            <xdr:cNvSpPr txBox="1"/>
          </xdr:nvSpPr>
          <xdr:spPr>
            <a:xfrm>
              <a:off x="152400" y="24235410"/>
              <a:ext cx="193373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4,82−</m:t>
                        </m:r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den>
                        </m:f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sub>
                        </m:sSub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+0,43=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5A692A5E-BE17-49DF-91FB-95284E906555}"/>
                </a:ext>
              </a:extLst>
            </xdr:cNvPr>
            <xdr:cNvSpPr txBox="1"/>
          </xdr:nvSpPr>
          <xdr:spPr>
            <a:xfrm>
              <a:off x="152400" y="24235410"/>
              <a:ext cx="193373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𝑘=(4,82−5𝐷/𝑏).〖𝑅_𝐼〗^𝑛+0,43=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91440</xdr:colOff>
      <xdr:row>126</xdr:row>
      <xdr:rowOff>80010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39C141E0-B57C-4AFB-8B43-9180691BC1CE}"/>
                </a:ext>
              </a:extLst>
            </xdr:cNvPr>
            <xdr:cNvSpPr txBox="1"/>
          </xdr:nvSpPr>
          <xdr:spPr>
            <a:xfrm>
              <a:off x="91440" y="2475357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39C141E0-B57C-4AFB-8B43-9180691BC1CE}"/>
                </a:ext>
              </a:extLst>
            </xdr:cNvPr>
            <xdr:cNvSpPr txBox="1"/>
          </xdr:nvSpPr>
          <xdr:spPr>
            <a:xfrm>
              <a:off x="91440" y="2475357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144780</xdr:colOff>
      <xdr:row>129</xdr:row>
      <xdr:rowOff>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B88B57C4-719E-4BF2-B62A-1832B34C5373}"/>
                </a:ext>
              </a:extLst>
            </xdr:cNvPr>
            <xdr:cNvSpPr txBox="1"/>
          </xdr:nvSpPr>
          <xdr:spPr>
            <a:xfrm>
              <a:off x="144780" y="2522220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B88B57C4-719E-4BF2-B62A-1832B34C5373}"/>
                </a:ext>
              </a:extLst>
            </xdr:cNvPr>
            <xdr:cNvSpPr txBox="1"/>
          </xdr:nvSpPr>
          <xdr:spPr>
            <a:xfrm>
              <a:off x="144780" y="2522220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320040</xdr:colOff>
      <xdr:row>141</xdr:row>
      <xdr:rowOff>19050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B337ADB3-C4CD-4AEA-B5EC-FE5F49FDC1F3}"/>
                </a:ext>
              </a:extLst>
            </xdr:cNvPr>
            <xdr:cNvSpPr txBox="1"/>
          </xdr:nvSpPr>
          <xdr:spPr>
            <a:xfrm>
              <a:off x="320040" y="2743581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B337ADB3-C4CD-4AEA-B5EC-FE5F49FDC1F3}"/>
                </a:ext>
              </a:extLst>
            </xdr:cNvPr>
            <xdr:cNvSpPr txBox="1"/>
          </xdr:nvSpPr>
          <xdr:spPr>
            <a:xfrm>
              <a:off x="320040" y="2743581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152400</xdr:colOff>
      <xdr:row>116</xdr:row>
      <xdr:rowOff>19050</xdr:rowOff>
    </xdr:from>
    <xdr:ext cx="57150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D914B611-1476-4115-8134-9B109FA9B9D0}"/>
                </a:ext>
              </a:extLst>
            </xdr:cNvPr>
            <xdr:cNvSpPr txBox="1"/>
          </xdr:nvSpPr>
          <xdr:spPr>
            <a:xfrm>
              <a:off x="3322320" y="22863810"/>
              <a:ext cx="5715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⟹</m:t>
                        </m:r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 </m:t>
                        </m:r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D914B611-1476-4115-8134-9B109FA9B9D0}"/>
                </a:ext>
              </a:extLst>
            </xdr:cNvPr>
            <xdr:cNvSpPr txBox="1"/>
          </xdr:nvSpPr>
          <xdr:spPr>
            <a:xfrm>
              <a:off x="3322320" y="22863810"/>
              <a:ext cx="5715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⟹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𝑅〗_𝐼  =</a:t>
              </a:r>
              <a:endParaRPr lang="es-AR" sz="1100"/>
            </a:p>
          </xdr:txBody>
        </xdr:sp>
      </mc:Fallback>
    </mc:AlternateContent>
    <xdr:clientData/>
  </xdr:oneCellAnchor>
  <xdr:twoCellAnchor editAs="oneCell">
    <xdr:from>
      <xdr:col>0</xdr:col>
      <xdr:colOff>83820</xdr:colOff>
      <xdr:row>13</xdr:row>
      <xdr:rowOff>99060</xdr:rowOff>
    </xdr:from>
    <xdr:to>
      <xdr:col>4</xdr:col>
      <xdr:colOff>512003</xdr:colOff>
      <xdr:row>24</xdr:row>
      <xdr:rowOff>53340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C330C59E-37AB-40D5-B07E-368ED62E85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2674620"/>
          <a:ext cx="3598103" cy="2468880"/>
        </a:xfrm>
        <a:prstGeom prst="rect">
          <a:avLst/>
        </a:prstGeom>
      </xdr:spPr>
    </xdr:pic>
    <xdr:clientData/>
  </xdr:twoCellAnchor>
  <xdr:oneCellAnchor>
    <xdr:from>
      <xdr:col>0</xdr:col>
      <xdr:colOff>60960</xdr:colOff>
      <xdr:row>181</xdr:row>
      <xdr:rowOff>106680</xdr:rowOff>
    </xdr:from>
    <xdr:ext cx="919033" cy="3012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DDFB558F-EE27-4F86-B7B5-4CDBCEBD6C65}"/>
                </a:ext>
              </a:extLst>
            </xdr:cNvPr>
            <xdr:cNvSpPr txBox="1"/>
          </xdr:nvSpPr>
          <xdr:spPr>
            <a:xfrm>
              <a:off x="60960" y="35090100"/>
              <a:ext cx="919033" cy="3012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𝜓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skw"/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DDFB558F-EE27-4F86-B7B5-4CDBCEBD6C65}"/>
                </a:ext>
              </a:extLst>
            </xdr:cNvPr>
            <xdr:cNvSpPr txBox="1"/>
          </xdr:nvSpPr>
          <xdr:spPr>
            <a:xfrm>
              <a:off x="60960" y="35090100"/>
              <a:ext cx="919033" cy="3012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𝜓=|𝑓1⁄𝑓2|=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38100</xdr:colOff>
      <xdr:row>185</xdr:row>
      <xdr:rowOff>45720</xdr:rowOff>
    </xdr:from>
    <xdr:ext cx="200734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7313A2A4-41BE-4B8B-B2BA-860C607BC281}"/>
                </a:ext>
              </a:extLst>
            </xdr:cNvPr>
            <xdr:cNvSpPr txBox="1"/>
          </xdr:nvSpPr>
          <xdr:spPr>
            <a:xfrm>
              <a:off x="38100" y="35760660"/>
              <a:ext cx="20073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=4+2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𝜓</m:t>
                            </m:r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+2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𝜓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7313A2A4-41BE-4B8B-B2BA-860C607BC281}"/>
                </a:ext>
              </a:extLst>
            </xdr:cNvPr>
            <xdr:cNvSpPr txBox="1"/>
          </xdr:nvSpPr>
          <xdr:spPr>
            <a:xfrm>
              <a:off x="38100" y="35760660"/>
              <a:ext cx="20073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𝑘=4+2(1+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𝜓)^3+2(1+𝜓)=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187</xdr:row>
      <xdr:rowOff>76200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DEA59440-EF11-47F5-9F99-E475C69FEEA3}"/>
                </a:ext>
              </a:extLst>
            </xdr:cNvPr>
            <xdr:cNvSpPr txBox="1"/>
          </xdr:nvSpPr>
          <xdr:spPr>
            <a:xfrm>
              <a:off x="83820" y="3615690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DEA59440-EF11-47F5-9F99-E475C69FEEA3}"/>
                </a:ext>
              </a:extLst>
            </xdr:cNvPr>
            <xdr:cNvSpPr txBox="1"/>
          </xdr:nvSpPr>
          <xdr:spPr>
            <a:xfrm>
              <a:off x="83820" y="3615690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198120</xdr:colOff>
      <xdr:row>190</xdr:row>
      <xdr:rowOff>175260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1D7BC7EB-66C0-4C83-ABB6-230C2D1693B1}"/>
                </a:ext>
              </a:extLst>
            </xdr:cNvPr>
            <xdr:cNvSpPr txBox="1"/>
          </xdr:nvSpPr>
          <xdr:spPr>
            <a:xfrm>
              <a:off x="198120" y="3680460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1D7BC7EB-66C0-4C83-ABB6-230C2D1693B1}"/>
                </a:ext>
              </a:extLst>
            </xdr:cNvPr>
            <xdr:cNvSpPr txBox="1"/>
          </xdr:nvSpPr>
          <xdr:spPr>
            <a:xfrm>
              <a:off x="198120" y="3680460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</xdr:colOff>
      <xdr:row>200</xdr:row>
      <xdr:rowOff>11430</xdr:rowOff>
    </xdr:from>
    <xdr:ext cx="124854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7C5EA366-7375-4C75-9146-2502B38310F1}"/>
                </a:ext>
              </a:extLst>
            </xdr:cNvPr>
            <xdr:cNvSpPr txBox="1"/>
          </xdr:nvSpPr>
          <xdr:spPr>
            <a:xfrm>
              <a:off x="15240" y="38484810"/>
              <a:ext cx="12485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𝐹𝑦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,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7C5EA366-7375-4C75-9146-2502B38310F1}"/>
                </a:ext>
              </a:extLst>
            </xdr:cNvPr>
            <xdr:cNvSpPr txBox="1"/>
          </xdr:nvSpPr>
          <xdr:spPr>
            <a:xfrm>
              <a:off x="15240" y="38484810"/>
              <a:ext cx="12485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𝑀_𝑛=𝑆_𝑒.𝐹𝑦,10^(−3)=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22860</xdr:colOff>
      <xdr:row>202</xdr:row>
      <xdr:rowOff>3810</xdr:rowOff>
    </xdr:from>
    <xdr:ext cx="9521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FA12048E-705E-4B99-B02A-BF96C8D19572}"/>
                </a:ext>
              </a:extLst>
            </xdr:cNvPr>
            <xdr:cNvSpPr txBox="1"/>
          </xdr:nvSpPr>
          <xdr:spPr>
            <a:xfrm>
              <a:off x="22860" y="38842950"/>
              <a:ext cx="95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FA12048E-705E-4B99-B02A-BF96C8D19572}"/>
                </a:ext>
              </a:extLst>
            </xdr:cNvPr>
            <xdr:cNvSpPr txBox="1"/>
          </xdr:nvSpPr>
          <xdr:spPr>
            <a:xfrm>
              <a:off x="22860" y="38842950"/>
              <a:ext cx="95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𝑀_𝑑=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𝑏.𝑀_𝑛=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723900</xdr:colOff>
      <xdr:row>202</xdr:row>
      <xdr:rowOff>11430</xdr:rowOff>
    </xdr:from>
    <xdr:ext cx="89986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D3E2AD5B-7844-4C61-BF99-878565E11D3C}"/>
                </a:ext>
              </a:extLst>
            </xdr:cNvPr>
            <xdr:cNvSpPr txBox="1"/>
          </xdr:nvSpPr>
          <xdr:spPr>
            <a:xfrm>
              <a:off x="2308860" y="38850570"/>
              <a:ext cx="899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𝑐𝑜𝑛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=0,95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D3E2AD5B-7844-4C61-BF99-878565E11D3C}"/>
                </a:ext>
              </a:extLst>
            </xdr:cNvPr>
            <xdr:cNvSpPr txBox="1"/>
          </xdr:nvSpPr>
          <xdr:spPr>
            <a:xfrm>
              <a:off x="2308860" y="38850570"/>
              <a:ext cx="899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〖𝑐𝑜𝑛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𝜙〗_</a:t>
              </a:r>
              <a:r>
                <a:rPr lang="es-AR" sz="1100" b="0" i="0">
                  <a:latin typeface="Cambria Math" panose="02040503050406030204" pitchFamily="18" charset="0"/>
                </a:rPr>
                <a:t>𝑏=0,95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94354</xdr:colOff>
      <xdr:row>204</xdr:row>
      <xdr:rowOff>171114</xdr:rowOff>
    </xdr:from>
    <xdr:ext cx="1144865" cy="2079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D9E5896E-065D-41F1-A40B-5B68CD05F26A}"/>
                </a:ext>
              </a:extLst>
            </xdr:cNvPr>
            <xdr:cNvSpPr txBox="1"/>
          </xdr:nvSpPr>
          <xdr:spPr>
            <a:xfrm>
              <a:off x="94354" y="39376014"/>
              <a:ext cx="1144865" cy="20794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s-AR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𝑴</m:t>
                            </m:r>
                          </m:e>
                          <m:sub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𝒅</m:t>
                            </m:r>
                          </m:sub>
                        </m:sSub>
                      </m:e>
                      <m:sub>
                        <m:r>
                          <a:rPr lang="es-AR" sz="1100" b="1" i="1">
                            <a:latin typeface="Cambria Math" panose="02040503050406030204" pitchFamily="18" charset="0"/>
                          </a:rPr>
                          <m:t>𝒚</m:t>
                        </m:r>
                      </m:sub>
                    </m:sSub>
                    <m:r>
                      <a:rPr lang="es-AR" sz="11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𝟏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𝟎𝟒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𝒌𝑵𝒎</m:t>
                    </m:r>
                  </m:oMath>
                </m:oMathPara>
              </a14:m>
              <a:endParaRPr lang="es-AR" sz="1100" b="1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D9E5896E-065D-41F1-A40B-5B68CD05F26A}"/>
                </a:ext>
              </a:extLst>
            </xdr:cNvPr>
            <xdr:cNvSpPr txBox="1"/>
          </xdr:nvSpPr>
          <xdr:spPr>
            <a:xfrm>
              <a:off x="94354" y="39376014"/>
              <a:ext cx="1144865" cy="20794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1" i="0">
                  <a:latin typeface="Cambria Math" panose="02040503050406030204" pitchFamily="18" charset="0"/>
                </a:rPr>
                <a:t>〖𝑴_𝒅〗_𝒚=𝟏,𝟎𝟒 𝒌𝑵𝒎</a:t>
              </a:r>
              <a:endParaRPr lang="es-AR" sz="1100" b="1"/>
            </a:p>
          </xdr:txBody>
        </xdr:sp>
      </mc:Fallback>
    </mc:AlternateContent>
    <xdr:clientData/>
  </xdr:oneCellAnchor>
  <xdr:oneCellAnchor>
    <xdr:from>
      <xdr:col>0</xdr:col>
      <xdr:colOff>160020</xdr:colOff>
      <xdr:row>52</xdr:row>
      <xdr:rowOff>125730</xdr:rowOff>
    </xdr:from>
    <xdr:ext cx="647998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8EA7091C-71C8-42B5-A518-C24CF7141663}"/>
                </a:ext>
              </a:extLst>
            </xdr:cNvPr>
            <xdr:cNvSpPr txBox="1"/>
          </xdr:nvSpPr>
          <xdr:spPr>
            <a:xfrm>
              <a:off x="160020" y="10443210"/>
              <a:ext cx="647998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8EA7091C-71C8-42B5-A518-C24CF7141663}"/>
                </a:ext>
              </a:extLst>
            </xdr:cNvPr>
            <xdr:cNvSpPr txBox="1"/>
          </xdr:nvSpPr>
          <xdr:spPr>
            <a:xfrm>
              <a:off x="160020" y="10443210"/>
              <a:ext cx="647998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=(𝑘.𝐿)/𝑟=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45720</xdr:colOff>
      <xdr:row>79</xdr:row>
      <xdr:rowOff>179070</xdr:rowOff>
    </xdr:from>
    <xdr:ext cx="788870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B68B7E10-67D4-4B96-B81A-464164875435}"/>
                </a:ext>
              </a:extLst>
            </xdr:cNvPr>
            <xdr:cNvSpPr txBox="1"/>
          </xdr:nvSpPr>
          <xdr:spPr>
            <a:xfrm>
              <a:off x="45720" y="16120110"/>
              <a:ext cx="78887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𝐹𝑦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sub>
                            </m:sSub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B68B7E10-67D4-4B96-B81A-464164875435}"/>
                </a:ext>
              </a:extLst>
            </xdr:cNvPr>
            <xdr:cNvSpPr txBox="1"/>
          </xdr:nvSpPr>
          <xdr:spPr>
            <a:xfrm>
              <a:off x="45720" y="16120110"/>
              <a:ext cx="78887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𝑐=√(𝐹𝑦/𝐹_𝑒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83</xdr:row>
      <xdr:rowOff>0</xdr:rowOff>
    </xdr:from>
    <xdr:ext cx="1227837" cy="2119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AC43A2B3-EDA5-47EE-B6EE-C71DDC90F9C4}"/>
                </a:ext>
              </a:extLst>
            </xdr:cNvPr>
            <xdr:cNvSpPr txBox="1"/>
          </xdr:nvSpPr>
          <xdr:spPr>
            <a:xfrm>
              <a:off x="83820" y="16672560"/>
              <a:ext cx="1227837" cy="2119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0,658</m:t>
                        </m:r>
                      </m:e>
                      <m:sup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𝜆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</m:sub>
                            </m:sSub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𝐹𝑦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AC43A2B3-EDA5-47EE-B6EE-C71DDC90F9C4}"/>
                </a:ext>
              </a:extLst>
            </xdr:cNvPr>
            <xdr:cNvSpPr txBox="1"/>
          </xdr:nvSpPr>
          <xdr:spPr>
            <a:xfrm>
              <a:off x="83820" y="16672560"/>
              <a:ext cx="1227837" cy="2119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𝐹_𝑛=〖0,658〗^(〖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𝑐〗^2 ).𝐹𝑦=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144780</xdr:colOff>
      <xdr:row>137</xdr:row>
      <xdr:rowOff>83820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6CB84804-693A-40CD-B435-E283D9377851}"/>
                </a:ext>
              </a:extLst>
            </xdr:cNvPr>
            <xdr:cNvSpPr txBox="1"/>
          </xdr:nvSpPr>
          <xdr:spPr>
            <a:xfrm>
              <a:off x="144780" y="2676906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6CB84804-693A-40CD-B435-E283D9377851}"/>
                </a:ext>
              </a:extLst>
            </xdr:cNvPr>
            <xdr:cNvSpPr txBox="1"/>
          </xdr:nvSpPr>
          <xdr:spPr>
            <a:xfrm>
              <a:off x="144780" y="2676906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45720</xdr:colOff>
      <xdr:row>146</xdr:row>
      <xdr:rowOff>7620</xdr:rowOff>
    </xdr:from>
    <xdr:ext cx="831125" cy="2511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B0441F32-0A75-42D6-83DD-17CA34A8E8C3}"/>
                </a:ext>
              </a:extLst>
            </xdr:cNvPr>
            <xdr:cNvSpPr txBox="1"/>
          </xdr:nvSpPr>
          <xdr:spPr>
            <a:xfrm>
              <a:off x="45720" y="28338780"/>
              <a:ext cx="831125" cy="251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AR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𝜌</m:t>
                  </m:r>
                  <m:r>
                    <a:rPr lang="es-A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A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s-A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(1−</m:t>
                      </m:r>
                      <m:f>
                        <m:fPr>
                          <m:type m:val="lin"/>
                          <m:ctrlPr>
                            <a:rPr lang="es-A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A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0,22</m:t>
                          </m:r>
                        </m:num>
                        <m:den>
                          <m:r>
                            <a:rPr lang="es-A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𝜆</m:t>
                          </m:r>
                        </m:den>
                      </m:f>
                    </m:num>
                    <m:den>
                      <m:r>
                        <a:rPr lang="es-A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𝜆</m:t>
                      </m:r>
                    </m:den>
                  </m:f>
                </m:oMath>
              </a14:m>
              <a:r>
                <a:rPr lang="es-AR" sz="1100"/>
                <a:t>=</a:t>
              </a:r>
            </a:p>
          </xdr:txBody>
        </xdr:sp>
      </mc:Choice>
      <mc:Fallback xmlns="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B0441F32-0A75-42D6-83DD-17CA34A8E8C3}"/>
                </a:ext>
              </a:extLst>
            </xdr:cNvPr>
            <xdr:cNvSpPr txBox="1"/>
          </xdr:nvSpPr>
          <xdr:spPr>
            <a:xfrm>
              <a:off x="45720" y="28338780"/>
              <a:ext cx="831125" cy="251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=((1−0,22∕𝜆)/𝜆</a:t>
              </a:r>
              <a:r>
                <a:rPr lang="es-AR" sz="1100"/>
                <a:t>=</a:t>
              </a:r>
            </a:p>
          </xdr:txBody>
        </xdr:sp>
      </mc:Fallback>
    </mc:AlternateContent>
    <xdr:clientData/>
  </xdr:oneCellAnchor>
  <xdr:oneCellAnchor>
    <xdr:from>
      <xdr:col>0</xdr:col>
      <xdr:colOff>38100</xdr:colOff>
      <xdr:row>148</xdr:row>
      <xdr:rowOff>15240</xdr:rowOff>
    </xdr:from>
    <xdr:ext cx="7094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F9768517-9CED-4E89-B4DB-BEB9B5E2B68B}"/>
                </a:ext>
              </a:extLst>
            </xdr:cNvPr>
            <xdr:cNvSpPr txBox="1"/>
          </xdr:nvSpPr>
          <xdr:spPr>
            <a:xfrm>
              <a:off x="38100" y="28712160"/>
              <a:ext cx="7094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𝜌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𝑏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F9768517-9CED-4E89-B4DB-BEB9B5E2B68B}"/>
                </a:ext>
              </a:extLst>
            </xdr:cNvPr>
            <xdr:cNvSpPr txBox="1"/>
          </xdr:nvSpPr>
          <xdr:spPr>
            <a:xfrm>
              <a:off x="38100" y="28712160"/>
              <a:ext cx="7094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𝑏_𝑒=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𝜌.𝑏=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152400</xdr:colOff>
      <xdr:row>63</xdr:row>
      <xdr:rowOff>140970</xdr:rowOff>
    </xdr:from>
    <xdr:ext cx="778675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37CAA2B8-6F93-49A7-82D7-A479BBA4B435}"/>
                </a:ext>
              </a:extLst>
            </xdr:cNvPr>
            <xdr:cNvSpPr txBox="1"/>
          </xdr:nvSpPr>
          <xdr:spPr>
            <a:xfrm>
              <a:off x="152400" y="12546330"/>
              <a:ext cx="778675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37CAA2B8-6F93-49A7-82D7-A479BBA4B435}"/>
                </a:ext>
              </a:extLst>
            </xdr:cNvPr>
            <xdr:cNvSpPr txBox="1"/>
          </xdr:nvSpPr>
          <xdr:spPr>
            <a:xfrm>
              <a:off x="152400" y="12546330"/>
              <a:ext cx="778675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0𝑦=(𝑘.𝐿)/𝑟=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167640</xdr:colOff>
      <xdr:row>55</xdr:row>
      <xdr:rowOff>110490</xdr:rowOff>
    </xdr:from>
    <xdr:ext cx="1242060" cy="369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B461B870-896D-4AC9-AF70-4AAC025D4B5A}"/>
                </a:ext>
              </a:extLst>
            </xdr:cNvPr>
            <xdr:cNvSpPr txBox="1"/>
          </xdr:nvSpPr>
          <xdr:spPr>
            <a:xfrm>
              <a:off x="167640" y="10991850"/>
              <a:ext cx="1242060" cy="369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AR" sz="12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200" b="0" i="1">
                          <a:latin typeface="Cambria Math" panose="02040503050406030204" pitchFamily="18" charset="0"/>
                        </a:rPr>
                        <m:t>𝐹</m:t>
                      </m:r>
                    </m:e>
                    <m:sub>
                      <m:r>
                        <a:rPr lang="es-AR" sz="1200" b="0" i="1">
                          <a:latin typeface="Cambria Math" panose="02040503050406030204" pitchFamily="18" charset="0"/>
                        </a:rPr>
                        <m:t>𝑒𝑥</m:t>
                      </m:r>
                    </m:sub>
                  </m:sSub>
                  <m:r>
                    <a:rPr lang="es-AR" sz="12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AR" sz="12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s-A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A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𝜋</m:t>
                          </m:r>
                        </m:e>
                        <m:sup>
                          <m:r>
                            <a:rPr lang="es-A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s-A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.</m:t>
                      </m:r>
                      <m:r>
                        <a:rPr lang="es-A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𝐸</m:t>
                      </m:r>
                    </m:num>
                    <m:den>
                      <m:sSub>
                        <m:sSubPr>
                          <m:ctrlPr>
                            <a:rPr lang="es-AR" sz="12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AR" sz="12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f>
                            <m:fPr>
                              <m:type m:val="lin"/>
                              <m:ctrlPr>
                                <a:rPr lang="es-AR" sz="12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s-AR" sz="1200" b="0" i="1">
                                  <a:latin typeface="Cambria Math" panose="02040503050406030204" pitchFamily="18" charset="0"/>
                                </a:rPr>
                                <m:t>𝑘</m:t>
                              </m:r>
                              <m:r>
                                <a:rPr lang="es-AR" sz="1200" b="0" i="1">
                                  <a:latin typeface="Cambria Math" panose="02040503050406030204" pitchFamily="18" charset="0"/>
                                </a:rPr>
                                <m:t>.</m:t>
                              </m:r>
                              <m:r>
                                <a:rPr lang="es-AR" sz="1200" b="0" i="1">
                                  <a:latin typeface="Cambria Math" panose="02040503050406030204" pitchFamily="18" charset="0"/>
                                </a:rPr>
                                <m:t>𝐿𝑥</m:t>
                              </m:r>
                            </m:num>
                            <m:den>
                              <m:r>
                                <a:rPr lang="es-AR" sz="1200" b="0" i="1">
                                  <a:latin typeface="Cambria Math" panose="02040503050406030204" pitchFamily="18" charset="0"/>
                                </a:rPr>
                                <m:t>𝑟𝑥</m:t>
                              </m:r>
                            </m:den>
                          </m:f>
                          <m:r>
                            <a:rPr lang="es-AR" sz="12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  <m:sub>
                          <m:r>
                            <a:rPr lang="es-AR" sz="12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es-AR" sz="1200" b="0" i="1">
                          <a:latin typeface="Cambria Math" panose="02040503050406030204" pitchFamily="18" charset="0"/>
                        </a:rPr>
                        <m:t>²</m:t>
                      </m:r>
                    </m:den>
                  </m:f>
                </m:oMath>
              </a14:m>
              <a:r>
                <a:rPr lang="es-AR" sz="1200"/>
                <a:t> =</a:t>
              </a:r>
              <a:endParaRPr lang="es-AR" sz="1050"/>
            </a:p>
          </xdr:txBody>
        </xdr:sp>
      </mc:Choice>
      <mc:Fallback xmlns="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B461B870-896D-4AC9-AF70-4AAC025D4B5A}"/>
                </a:ext>
              </a:extLst>
            </xdr:cNvPr>
            <xdr:cNvSpPr txBox="1"/>
          </xdr:nvSpPr>
          <xdr:spPr>
            <a:xfrm>
              <a:off x="167640" y="10991850"/>
              <a:ext cx="1242060" cy="369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AR" sz="1200" b="0" i="0">
                  <a:latin typeface="Cambria Math" panose="02040503050406030204" pitchFamily="18" charset="0"/>
                </a:rPr>
                <a:t>𝐹_𝑒𝑥=(</a:t>
              </a:r>
              <a:r>
                <a:rPr lang="es-A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𝜋^2.𝐸)/(〖</a:t>
              </a:r>
              <a:r>
                <a:rPr lang="es-AR" sz="1200" b="0" i="0">
                  <a:latin typeface="Cambria Math" panose="02040503050406030204" pitchFamily="18" charset="0"/>
                </a:rPr>
                <a:t>(〖𝑘.𝐿𝑥〗∕𝑟𝑥)〗_0 ²)</a:t>
              </a:r>
              <a:r>
                <a:rPr lang="es-AR" sz="1200"/>
                <a:t> =</a:t>
              </a:r>
              <a:endParaRPr lang="es-AR" sz="1050"/>
            </a:p>
          </xdr:txBody>
        </xdr:sp>
      </mc:Fallback>
    </mc:AlternateContent>
    <xdr:clientData/>
  </xdr:oneCellAnchor>
  <xdr:oneCellAnchor>
    <xdr:from>
      <xdr:col>0</xdr:col>
      <xdr:colOff>121920</xdr:colOff>
      <xdr:row>66</xdr:row>
      <xdr:rowOff>95250</xdr:rowOff>
    </xdr:from>
    <xdr:ext cx="1397947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826B3A46-86DD-4A23-BE34-7AA255361E2A}"/>
                </a:ext>
              </a:extLst>
            </xdr:cNvPr>
            <xdr:cNvSpPr txBox="1"/>
          </xdr:nvSpPr>
          <xdr:spPr>
            <a:xfrm>
              <a:off x="121920" y="13628370"/>
              <a:ext cx="139794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𝜆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+(</m:t>
                        </m:r>
                        <m:f>
                          <m:fPr>
                            <m:type m:val="lin"/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den>
                        </m:f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)²</m:t>
                        </m:r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826B3A46-86DD-4A23-BE34-7AA255361E2A}"/>
                </a:ext>
              </a:extLst>
            </xdr:cNvPr>
            <xdr:cNvSpPr txBox="1"/>
          </xdr:nvSpPr>
          <xdr:spPr>
            <a:xfrm>
              <a:off x="121920" y="13628370"/>
              <a:ext cx="139794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𝑚=√(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0^2+(𝑎∕𝑟_1 )²)=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144780</xdr:colOff>
      <xdr:row>76</xdr:row>
      <xdr:rowOff>0</xdr:rowOff>
    </xdr:from>
    <xdr:ext cx="1277209" cy="1947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38CE679F-08D6-4163-AF65-5F43F420DC22}"/>
                </a:ext>
              </a:extLst>
            </xdr:cNvPr>
            <xdr:cNvSpPr txBox="1"/>
          </xdr:nvSpPr>
          <xdr:spPr>
            <a:xfrm>
              <a:off x="144780" y="15358110"/>
              <a:ext cx="1277209" cy="194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𝑀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í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𝑛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𝑒𝑥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𝑒𝑦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38CE679F-08D6-4163-AF65-5F43F420DC22}"/>
                </a:ext>
              </a:extLst>
            </xdr:cNvPr>
            <xdr:cNvSpPr txBox="1"/>
          </xdr:nvSpPr>
          <xdr:spPr>
            <a:xfrm>
              <a:off x="144780" y="15358110"/>
              <a:ext cx="1277209" cy="194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𝐹_𝑒=𝑀í𝑛(𝐹_𝑒𝑥,𝐹_𝑒𝑦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502920</xdr:colOff>
      <xdr:row>119</xdr:row>
      <xdr:rowOff>30480</xdr:rowOff>
    </xdr:from>
    <xdr:ext cx="51424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7D6818BD-F313-4C92-9F63-CC17DF34B92E}"/>
                </a:ext>
              </a:extLst>
            </xdr:cNvPr>
            <xdr:cNvSpPr txBox="1"/>
          </xdr:nvSpPr>
          <xdr:spPr>
            <a:xfrm>
              <a:off x="3672840" y="23423880"/>
              <a:ext cx="5142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⇒   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𝑛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7D6818BD-F313-4C92-9F63-CC17DF34B92E}"/>
                </a:ext>
              </a:extLst>
            </xdr:cNvPr>
            <xdr:cNvSpPr txBox="1"/>
          </xdr:nvSpPr>
          <xdr:spPr>
            <a:xfrm>
              <a:off x="3672840" y="23423880"/>
              <a:ext cx="5142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⇒   𝑛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53340</xdr:colOff>
      <xdr:row>151</xdr:row>
      <xdr:rowOff>26670</xdr:rowOff>
    </xdr:from>
    <xdr:ext cx="1401025" cy="1833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2BABFD85-0781-46EB-8C66-37E79E9D3C8D}"/>
                </a:ext>
              </a:extLst>
            </xdr:cNvPr>
            <xdr:cNvSpPr txBox="1"/>
          </xdr:nvSpPr>
          <xdr:spPr>
            <a:xfrm>
              <a:off x="53340" y="29317950"/>
              <a:ext cx="1401025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2BABFD85-0781-46EB-8C66-37E79E9D3C8D}"/>
                </a:ext>
              </a:extLst>
            </xdr:cNvPr>
            <xdr:cNvSpPr txBox="1"/>
          </xdr:nvSpPr>
          <xdr:spPr>
            <a:xfrm>
              <a:off x="53340" y="29317950"/>
              <a:ext cx="1401025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𝐴_𝑒=𝐴_𝑔−(𝑏−𝑏_𝑒 )𝑡=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68580</xdr:colOff>
      <xdr:row>155</xdr:row>
      <xdr:rowOff>72390</xdr:rowOff>
    </xdr:from>
    <xdr:ext cx="1400383" cy="1749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CuadroTexto 39">
              <a:extLst>
                <a:ext uri="{FF2B5EF4-FFF2-40B4-BE49-F238E27FC236}">
                  <a16:creationId xmlns:a16="http://schemas.microsoft.com/office/drawing/2014/main" id="{D53072AE-653A-43DC-A531-8D49B66864D3}"/>
                </a:ext>
              </a:extLst>
            </xdr:cNvPr>
            <xdr:cNvSpPr txBox="1"/>
          </xdr:nvSpPr>
          <xdr:spPr>
            <a:xfrm>
              <a:off x="68580" y="30186630"/>
              <a:ext cx="1400383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0" name="CuadroTexto 39">
              <a:extLst>
                <a:ext uri="{FF2B5EF4-FFF2-40B4-BE49-F238E27FC236}">
                  <a16:creationId xmlns:a16="http://schemas.microsoft.com/office/drawing/2014/main" id="{D53072AE-653A-43DC-A531-8D49B66864D3}"/>
                </a:ext>
              </a:extLst>
            </xdr:cNvPr>
            <xdr:cNvSpPr txBox="1"/>
          </xdr:nvSpPr>
          <xdr:spPr>
            <a:xfrm>
              <a:off x="68580" y="30186630"/>
              <a:ext cx="1400383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𝑃_𝑑=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𝑐.𝐴_𝑒.𝐹_𝑛.10^(−1)=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60960</xdr:colOff>
      <xdr:row>154</xdr:row>
      <xdr:rowOff>57150</xdr:rowOff>
    </xdr:from>
    <xdr:ext cx="6308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E7EB46C7-BD0A-43DA-AFF6-C7E789DEC1FF}"/>
                </a:ext>
              </a:extLst>
            </xdr:cNvPr>
            <xdr:cNvSpPr txBox="1"/>
          </xdr:nvSpPr>
          <xdr:spPr>
            <a:xfrm>
              <a:off x="60960" y="29942790"/>
              <a:ext cx="6308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=0,85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E7EB46C7-BD0A-43DA-AFF6-C7E789DEC1FF}"/>
                </a:ext>
              </a:extLst>
            </xdr:cNvPr>
            <xdr:cNvSpPr txBox="1"/>
          </xdr:nvSpPr>
          <xdr:spPr>
            <a:xfrm>
              <a:off x="60960" y="29942790"/>
              <a:ext cx="6308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𝑐=0,85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76200</xdr:colOff>
      <xdr:row>114</xdr:row>
      <xdr:rowOff>38100</xdr:rowOff>
    </xdr:from>
    <xdr:ext cx="12400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92460C79-69B7-46FE-999D-182DAAC3D910}"/>
                </a:ext>
              </a:extLst>
            </xdr:cNvPr>
            <xdr:cNvSpPr txBox="1"/>
          </xdr:nvSpPr>
          <xdr:spPr>
            <a:xfrm>
              <a:off x="76200" y="22494240"/>
              <a:ext cx="12400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𝑀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í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𝑛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92460C79-69B7-46FE-999D-182DAAC3D910}"/>
                </a:ext>
              </a:extLst>
            </xdr:cNvPr>
            <xdr:cNvSpPr txBox="1"/>
          </xdr:nvSpPr>
          <xdr:spPr>
            <a:xfrm>
              <a:off x="76200" y="22494240"/>
              <a:ext cx="12400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𝐼_𝑎=𝑀í𝑛(𝐼_𝑎1,𝐼_𝑎2 )=</a:t>
              </a:r>
              <a:endParaRPr lang="es-AR" sz="1100"/>
            </a:p>
          </xdr:txBody>
        </xdr:sp>
      </mc:Fallback>
    </mc:AlternateContent>
    <xdr:clientData/>
  </xdr:oneCellAnchor>
  <xdr:twoCellAnchor editAs="oneCell">
    <xdr:from>
      <xdr:col>4</xdr:col>
      <xdr:colOff>762000</xdr:colOff>
      <xdr:row>14</xdr:row>
      <xdr:rowOff>60960</xdr:rowOff>
    </xdr:from>
    <xdr:to>
      <xdr:col>6</xdr:col>
      <xdr:colOff>627053</xdr:colOff>
      <xdr:row>23</xdr:row>
      <xdr:rowOff>91440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3AF5DEE0-96A1-F105-4523-D9B1C41EB0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1920" y="2865120"/>
          <a:ext cx="1457633" cy="2087880"/>
        </a:xfrm>
        <a:prstGeom prst="rect">
          <a:avLst/>
        </a:prstGeom>
      </xdr:spPr>
    </xdr:pic>
    <xdr:clientData/>
  </xdr:twoCellAnchor>
  <xdr:oneCellAnchor>
    <xdr:from>
      <xdr:col>0</xdr:col>
      <xdr:colOff>106680</xdr:colOff>
      <xdr:row>69</xdr:row>
      <xdr:rowOff>110490</xdr:rowOff>
    </xdr:from>
    <xdr:ext cx="273473" cy="3184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4F074635-7C02-D52B-D766-6116E62121C5}"/>
                </a:ext>
              </a:extLst>
            </xdr:cNvPr>
            <xdr:cNvSpPr txBox="1"/>
          </xdr:nvSpPr>
          <xdr:spPr>
            <a:xfrm>
              <a:off x="106680" y="13658850"/>
              <a:ext cx="273473" cy="3184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num>
                      <m:den>
                        <m:sSub>
                          <m:sSub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4F074635-7C02-D52B-D766-6116E62121C5}"/>
                </a:ext>
              </a:extLst>
            </xdr:cNvPr>
            <xdr:cNvSpPr txBox="1"/>
          </xdr:nvSpPr>
          <xdr:spPr>
            <a:xfrm>
              <a:off x="106680" y="13658850"/>
              <a:ext cx="273473" cy="3184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𝑎/𝑟_𝑖 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137160</xdr:colOff>
      <xdr:row>69</xdr:row>
      <xdr:rowOff>72390</xdr:rowOff>
    </xdr:from>
    <xdr:ext cx="454996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8DDED7BC-B1DC-F0D2-2DFB-DB3C1EC0E500}"/>
                </a:ext>
              </a:extLst>
            </xdr:cNvPr>
            <xdr:cNvSpPr txBox="1"/>
          </xdr:nvSpPr>
          <xdr:spPr>
            <a:xfrm>
              <a:off x="1722120" y="13620750"/>
              <a:ext cx="454996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8DDED7BC-B1DC-F0D2-2DFB-DB3C1EC0E500}"/>
                </a:ext>
              </a:extLst>
            </xdr:cNvPr>
            <xdr:cNvSpPr txBox="1"/>
          </xdr:nvSpPr>
          <xdr:spPr>
            <a:xfrm>
              <a:off x="1722120" y="13620750"/>
              <a:ext cx="454996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1/2 </a:t>
              </a:r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𝑚=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91440</xdr:colOff>
      <xdr:row>72</xdr:row>
      <xdr:rowOff>99060</xdr:rowOff>
    </xdr:from>
    <xdr:ext cx="1242060" cy="369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CuadroTexto 46">
              <a:extLst>
                <a:ext uri="{FF2B5EF4-FFF2-40B4-BE49-F238E27FC236}">
                  <a16:creationId xmlns:a16="http://schemas.microsoft.com/office/drawing/2014/main" id="{291C9E06-017B-4E98-A7D5-414AEEDA7356}"/>
                </a:ext>
              </a:extLst>
            </xdr:cNvPr>
            <xdr:cNvSpPr txBox="1"/>
          </xdr:nvSpPr>
          <xdr:spPr>
            <a:xfrm>
              <a:off x="91440" y="14211300"/>
              <a:ext cx="1242060" cy="369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AR" sz="12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200" b="0" i="1">
                          <a:latin typeface="Cambria Math" panose="02040503050406030204" pitchFamily="18" charset="0"/>
                        </a:rPr>
                        <m:t>𝐹</m:t>
                      </m:r>
                    </m:e>
                    <m:sub>
                      <m:r>
                        <a:rPr lang="es-AR" sz="1200" b="0" i="1">
                          <a:latin typeface="Cambria Math" panose="02040503050406030204" pitchFamily="18" charset="0"/>
                        </a:rPr>
                        <m:t>𝑒𝑦</m:t>
                      </m:r>
                    </m:sub>
                  </m:sSub>
                  <m:r>
                    <a:rPr lang="es-AR" sz="12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AR" sz="12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s-A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A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𝜋</m:t>
                          </m:r>
                        </m:e>
                        <m:sup>
                          <m:r>
                            <a:rPr lang="es-A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s-A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.</m:t>
                      </m:r>
                      <m:r>
                        <a:rPr lang="es-A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𝐸</m:t>
                      </m:r>
                    </m:num>
                    <m:den>
                      <m:sSub>
                        <m:sSubPr>
                          <m:ctrlPr>
                            <a:rPr lang="es-AR" sz="12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AR" sz="12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f>
                            <m:fPr>
                              <m:type m:val="lin"/>
                              <m:ctrlPr>
                                <a:rPr lang="es-AR" sz="12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s-AR" sz="1200" b="0" i="1">
                                  <a:latin typeface="Cambria Math" panose="02040503050406030204" pitchFamily="18" charset="0"/>
                                </a:rPr>
                                <m:t>𝑘</m:t>
                              </m:r>
                              <m:r>
                                <a:rPr lang="es-AR" sz="1200" b="0" i="1">
                                  <a:latin typeface="Cambria Math" panose="02040503050406030204" pitchFamily="18" charset="0"/>
                                </a:rPr>
                                <m:t>.</m:t>
                              </m:r>
                              <m:r>
                                <a:rPr lang="es-AR" sz="1200" b="0" i="1">
                                  <a:latin typeface="Cambria Math" panose="02040503050406030204" pitchFamily="18" charset="0"/>
                                </a:rPr>
                                <m:t>𝐿𝑦</m:t>
                              </m:r>
                            </m:num>
                            <m:den>
                              <m:r>
                                <a:rPr lang="es-AR" sz="1200" b="0" i="1">
                                  <a:latin typeface="Cambria Math" panose="02040503050406030204" pitchFamily="18" charset="0"/>
                                </a:rPr>
                                <m:t>𝑟𝑦</m:t>
                              </m:r>
                            </m:den>
                          </m:f>
                          <m:r>
                            <a:rPr lang="es-AR" sz="12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  <m:sub>
                          <m:r>
                            <a:rPr lang="es-AR" sz="1200" b="0" i="1">
                              <a:latin typeface="Cambria Math" panose="02040503050406030204" pitchFamily="18" charset="0"/>
                            </a:rPr>
                            <m:t>𝑚</m:t>
                          </m:r>
                        </m:sub>
                      </m:sSub>
                      <m:r>
                        <a:rPr lang="es-AR" sz="1200" b="0" i="1">
                          <a:latin typeface="Cambria Math" panose="02040503050406030204" pitchFamily="18" charset="0"/>
                        </a:rPr>
                        <m:t>²</m:t>
                      </m:r>
                    </m:den>
                  </m:f>
                </m:oMath>
              </a14:m>
              <a:r>
                <a:rPr lang="es-AR" sz="1200"/>
                <a:t> =</a:t>
              </a:r>
              <a:endParaRPr lang="es-AR" sz="1050"/>
            </a:p>
          </xdr:txBody>
        </xdr:sp>
      </mc:Choice>
      <mc:Fallback xmlns="">
        <xdr:sp macro="" textlink="">
          <xdr:nvSpPr>
            <xdr:cNvPr id="47" name="CuadroTexto 46">
              <a:extLst>
                <a:ext uri="{FF2B5EF4-FFF2-40B4-BE49-F238E27FC236}">
                  <a16:creationId xmlns:a16="http://schemas.microsoft.com/office/drawing/2014/main" id="{291C9E06-017B-4E98-A7D5-414AEEDA7356}"/>
                </a:ext>
              </a:extLst>
            </xdr:cNvPr>
            <xdr:cNvSpPr txBox="1"/>
          </xdr:nvSpPr>
          <xdr:spPr>
            <a:xfrm>
              <a:off x="91440" y="14211300"/>
              <a:ext cx="1242060" cy="369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AR" sz="1200" b="0" i="0">
                  <a:latin typeface="Cambria Math" panose="02040503050406030204" pitchFamily="18" charset="0"/>
                </a:rPr>
                <a:t>𝐹_𝑒𝑦=(</a:t>
              </a:r>
              <a:r>
                <a:rPr lang="es-A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𝜋^2.𝐸)/(〖</a:t>
              </a:r>
              <a:r>
                <a:rPr lang="es-AR" sz="1200" b="0" i="0">
                  <a:latin typeface="Cambria Math" panose="02040503050406030204" pitchFamily="18" charset="0"/>
                </a:rPr>
                <a:t>(〖𝑘.𝐿𝑦〗∕𝑟𝑦)〗_𝑚 ²)</a:t>
              </a:r>
              <a:r>
                <a:rPr lang="es-AR" sz="1200"/>
                <a:t> =</a:t>
              </a:r>
              <a:endParaRPr lang="es-AR" sz="105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91</xdr:row>
      <xdr:rowOff>72390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39099747-83C2-4B6D-AE1B-967EC2133710}"/>
                </a:ext>
              </a:extLst>
            </xdr:cNvPr>
            <xdr:cNvSpPr txBox="1"/>
          </xdr:nvSpPr>
          <xdr:spPr>
            <a:xfrm>
              <a:off x="76200" y="2119503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39099747-83C2-4B6D-AE1B-967EC2133710}"/>
                </a:ext>
              </a:extLst>
            </xdr:cNvPr>
            <xdr:cNvSpPr txBox="1"/>
          </xdr:nvSpPr>
          <xdr:spPr>
            <a:xfrm>
              <a:off x="76200" y="2119503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91440</xdr:colOff>
      <xdr:row>93</xdr:row>
      <xdr:rowOff>156210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1B28C22-1209-4588-94C3-5FE434DE71E5}"/>
                </a:ext>
              </a:extLst>
            </xdr:cNvPr>
            <xdr:cNvSpPr txBox="1"/>
          </xdr:nvSpPr>
          <xdr:spPr>
            <a:xfrm>
              <a:off x="91440" y="2164461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1B28C22-1209-4588-94C3-5FE434DE71E5}"/>
                </a:ext>
              </a:extLst>
            </xdr:cNvPr>
            <xdr:cNvSpPr txBox="1"/>
          </xdr:nvSpPr>
          <xdr:spPr>
            <a:xfrm>
              <a:off x="91440" y="2164461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99060</xdr:colOff>
      <xdr:row>103</xdr:row>
      <xdr:rowOff>19050</xdr:rowOff>
    </xdr:from>
    <xdr:ext cx="990784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32EEE89-E20D-472B-BCDE-81F4657C5708}"/>
                </a:ext>
              </a:extLst>
            </xdr:cNvPr>
            <xdr:cNvSpPr txBox="1"/>
          </xdr:nvSpPr>
          <xdr:spPr>
            <a:xfrm>
              <a:off x="99060" y="15548610"/>
              <a:ext cx="99078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=1,28.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32EEE89-E20D-472B-BCDE-81F4657C5708}"/>
                </a:ext>
              </a:extLst>
            </xdr:cNvPr>
            <xdr:cNvSpPr txBox="1"/>
          </xdr:nvSpPr>
          <xdr:spPr>
            <a:xfrm>
              <a:off x="99060" y="15548610"/>
              <a:ext cx="99078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𝑆=1,28.√(𝐸/𝑓)=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107</xdr:row>
      <xdr:rowOff>102870</xdr:rowOff>
    </xdr:from>
    <xdr:ext cx="732508" cy="3372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D691DADB-089B-44E3-A2E7-0212E9F193D0}"/>
                </a:ext>
              </a:extLst>
            </xdr:cNvPr>
            <xdr:cNvSpPr txBox="1"/>
          </xdr:nvSpPr>
          <xdr:spPr>
            <a:xfrm>
              <a:off x="83820" y="24151590"/>
              <a:ext cx="732508" cy="337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𝐼𝑠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³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D691DADB-089B-44E3-A2E7-0212E9F193D0}"/>
                </a:ext>
              </a:extLst>
            </xdr:cNvPr>
            <xdr:cNvSpPr txBox="1"/>
          </xdr:nvSpPr>
          <xdr:spPr>
            <a:xfrm>
              <a:off x="83820" y="24151590"/>
              <a:ext cx="732508" cy="337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𝐼𝑠=(𝑡.𝑑³)/12=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45720</xdr:colOff>
      <xdr:row>110</xdr:row>
      <xdr:rowOff>80010</xdr:rowOff>
    </xdr:from>
    <xdr:ext cx="1976503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84571766-6D83-4213-8B50-5AE866571989}"/>
                </a:ext>
              </a:extLst>
            </xdr:cNvPr>
            <xdr:cNvSpPr txBox="1"/>
          </xdr:nvSpPr>
          <xdr:spPr>
            <a:xfrm>
              <a:off x="45720" y="20996910"/>
              <a:ext cx="1976503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𝐼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=399.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/</m:t>
                                </m:r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den>
                            </m:f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−0,328</m:t>
                            </m:r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84571766-6D83-4213-8B50-5AE866571989}"/>
                </a:ext>
              </a:extLst>
            </xdr:cNvPr>
            <xdr:cNvSpPr txBox="1"/>
          </xdr:nvSpPr>
          <xdr:spPr>
            <a:xfrm>
              <a:off x="45720" y="20996910"/>
              <a:ext cx="1976503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𝐼𝐼_𝑎1=399.𝑡^4 ((𝑏/𝑡)/𝑆−0,328)^3=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60960</xdr:colOff>
      <xdr:row>113</xdr:row>
      <xdr:rowOff>95250</xdr:rowOff>
    </xdr:from>
    <xdr:ext cx="1561005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67DB1010-2FCC-4DE7-B474-5815D98AE4BC}"/>
                </a:ext>
              </a:extLst>
            </xdr:cNvPr>
            <xdr:cNvSpPr txBox="1"/>
          </xdr:nvSpPr>
          <xdr:spPr>
            <a:xfrm>
              <a:off x="60960" y="21583650"/>
              <a:ext cx="156100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115</m:t>
                        </m:r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/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den>
                        </m:f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+5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67DB1010-2FCC-4DE7-B474-5815D98AE4BC}"/>
                </a:ext>
              </a:extLst>
            </xdr:cNvPr>
            <xdr:cNvSpPr txBox="1"/>
          </xdr:nvSpPr>
          <xdr:spPr>
            <a:xfrm>
              <a:off x="60960" y="21583650"/>
              <a:ext cx="156100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𝐼_𝑎2=𝑡^4 (115 (𝑏/𝑡)/𝑆+5)=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106680</xdr:colOff>
      <xdr:row>117</xdr:row>
      <xdr:rowOff>102870</xdr:rowOff>
    </xdr:from>
    <xdr:ext cx="632545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DB78739E-29C4-4F4B-8454-007386B9F783}"/>
                </a:ext>
              </a:extLst>
            </xdr:cNvPr>
            <xdr:cNvSpPr txBox="1"/>
          </xdr:nvSpPr>
          <xdr:spPr>
            <a:xfrm>
              <a:off x="106680" y="26254710"/>
              <a:ext cx="63254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𝐼𝑠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𝐼𝑎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DB78739E-29C4-4F4B-8454-007386B9F783}"/>
                </a:ext>
              </a:extLst>
            </xdr:cNvPr>
            <xdr:cNvSpPr txBox="1"/>
          </xdr:nvSpPr>
          <xdr:spPr>
            <a:xfrm>
              <a:off x="106680" y="26254710"/>
              <a:ext cx="63254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𝑅_𝐼=</a:t>
              </a:r>
              <a:r>
                <a:rPr lang="es-AR" sz="1100" b="0" i="0">
                  <a:latin typeface="Cambria Math" panose="02040503050406030204" pitchFamily="18" charset="0"/>
                </a:rPr>
                <a:t>𝐼𝑠/𝐼𝑎=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120</xdr:row>
      <xdr:rowOff>72390</xdr:rowOff>
    </xdr:from>
    <xdr:ext cx="1160446" cy="321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ED7B3BDE-4C8A-4DEC-9CFA-6D14B699D287}"/>
                </a:ext>
              </a:extLst>
            </xdr:cNvPr>
            <xdr:cNvSpPr txBox="1"/>
          </xdr:nvSpPr>
          <xdr:spPr>
            <a:xfrm>
              <a:off x="83820" y="22886670"/>
              <a:ext cx="1160446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=0,528−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ED7B3BDE-4C8A-4DEC-9CFA-6D14B699D287}"/>
                </a:ext>
              </a:extLst>
            </xdr:cNvPr>
            <xdr:cNvSpPr txBox="1"/>
          </xdr:nvSpPr>
          <xdr:spPr>
            <a:xfrm>
              <a:off x="83820" y="22886670"/>
              <a:ext cx="1160446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𝑛=0,528−(𝑏/𝑡)/4𝑆=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152400</xdr:colOff>
      <xdr:row>125</xdr:row>
      <xdr:rowOff>110490</xdr:rowOff>
    </xdr:from>
    <xdr:ext cx="1933734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5BF5BB11-5A2A-4608-9C38-6A335D94182E}"/>
                </a:ext>
              </a:extLst>
            </xdr:cNvPr>
            <xdr:cNvSpPr txBox="1"/>
          </xdr:nvSpPr>
          <xdr:spPr>
            <a:xfrm>
              <a:off x="152400" y="28091130"/>
              <a:ext cx="193373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4,82−</m:t>
                        </m:r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den>
                        </m:f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sub>
                        </m:sSub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+0,43=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5BF5BB11-5A2A-4608-9C38-6A335D94182E}"/>
                </a:ext>
              </a:extLst>
            </xdr:cNvPr>
            <xdr:cNvSpPr txBox="1"/>
          </xdr:nvSpPr>
          <xdr:spPr>
            <a:xfrm>
              <a:off x="152400" y="28091130"/>
              <a:ext cx="193373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𝑘=(4,82−5𝐷/𝑏).〖𝑅_𝐼〗^𝑛+0,43=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91440</xdr:colOff>
      <xdr:row>128</xdr:row>
      <xdr:rowOff>80010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46CA33B8-5527-4706-AF75-1472F6FBC116}"/>
                </a:ext>
              </a:extLst>
            </xdr:cNvPr>
            <xdr:cNvSpPr txBox="1"/>
          </xdr:nvSpPr>
          <xdr:spPr>
            <a:xfrm>
              <a:off x="91440" y="2860929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46CA33B8-5527-4706-AF75-1472F6FBC116}"/>
                </a:ext>
              </a:extLst>
            </xdr:cNvPr>
            <xdr:cNvSpPr txBox="1"/>
          </xdr:nvSpPr>
          <xdr:spPr>
            <a:xfrm>
              <a:off x="91440" y="2860929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144780</xdr:colOff>
      <xdr:row>131</xdr:row>
      <xdr:rowOff>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0499AFB3-BA3D-4D6D-B676-18C6B8E3A3D6}"/>
                </a:ext>
              </a:extLst>
            </xdr:cNvPr>
            <xdr:cNvSpPr txBox="1"/>
          </xdr:nvSpPr>
          <xdr:spPr>
            <a:xfrm>
              <a:off x="144780" y="2498979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0499AFB3-BA3D-4D6D-B676-18C6B8E3A3D6}"/>
                </a:ext>
              </a:extLst>
            </xdr:cNvPr>
            <xdr:cNvSpPr txBox="1"/>
          </xdr:nvSpPr>
          <xdr:spPr>
            <a:xfrm>
              <a:off x="144780" y="2498979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320040</xdr:colOff>
      <xdr:row>143</xdr:row>
      <xdr:rowOff>19050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F275576B-009D-4CC5-8201-6764F66CFA06}"/>
                </a:ext>
              </a:extLst>
            </xdr:cNvPr>
            <xdr:cNvSpPr txBox="1"/>
          </xdr:nvSpPr>
          <xdr:spPr>
            <a:xfrm>
              <a:off x="320040" y="3275457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F275576B-009D-4CC5-8201-6764F66CFA06}"/>
                </a:ext>
              </a:extLst>
            </xdr:cNvPr>
            <xdr:cNvSpPr txBox="1"/>
          </xdr:nvSpPr>
          <xdr:spPr>
            <a:xfrm>
              <a:off x="320040" y="3275457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152400</xdr:colOff>
      <xdr:row>118</xdr:row>
      <xdr:rowOff>19050</xdr:rowOff>
    </xdr:from>
    <xdr:ext cx="57150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490E9630-2481-4E0A-B199-0D1FE8F3680D}"/>
                </a:ext>
              </a:extLst>
            </xdr:cNvPr>
            <xdr:cNvSpPr txBox="1"/>
          </xdr:nvSpPr>
          <xdr:spPr>
            <a:xfrm>
              <a:off x="3322320" y="26353770"/>
              <a:ext cx="5715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⟹</m:t>
                        </m:r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 </m:t>
                        </m:r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490E9630-2481-4E0A-B199-0D1FE8F3680D}"/>
                </a:ext>
              </a:extLst>
            </xdr:cNvPr>
            <xdr:cNvSpPr txBox="1"/>
          </xdr:nvSpPr>
          <xdr:spPr>
            <a:xfrm>
              <a:off x="3322320" y="26353770"/>
              <a:ext cx="5715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⟹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𝑅〗_𝐼  =</a:t>
              </a:r>
              <a:endParaRPr lang="es-AR" sz="1100"/>
            </a:p>
          </xdr:txBody>
        </xdr:sp>
      </mc:Fallback>
    </mc:AlternateContent>
    <xdr:clientData/>
  </xdr:oneCellAnchor>
  <xdr:twoCellAnchor editAs="oneCell">
    <xdr:from>
      <xdr:col>0</xdr:col>
      <xdr:colOff>83820</xdr:colOff>
      <xdr:row>13</xdr:row>
      <xdr:rowOff>99060</xdr:rowOff>
    </xdr:from>
    <xdr:to>
      <xdr:col>4</xdr:col>
      <xdr:colOff>512003</xdr:colOff>
      <xdr:row>24</xdr:row>
      <xdr:rowOff>53340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AADB94D1-9BFB-41B8-952D-82CD9B772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13144500"/>
          <a:ext cx="3598103" cy="2468880"/>
        </a:xfrm>
        <a:prstGeom prst="rect">
          <a:avLst/>
        </a:prstGeom>
      </xdr:spPr>
    </xdr:pic>
    <xdr:clientData/>
  </xdr:twoCellAnchor>
  <xdr:oneCellAnchor>
    <xdr:from>
      <xdr:col>0</xdr:col>
      <xdr:colOff>60960</xdr:colOff>
      <xdr:row>183</xdr:row>
      <xdr:rowOff>106680</xdr:rowOff>
    </xdr:from>
    <xdr:ext cx="919033" cy="3012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41D05946-68A6-44D7-A524-6CF12D853EC8}"/>
                </a:ext>
              </a:extLst>
            </xdr:cNvPr>
            <xdr:cNvSpPr txBox="1"/>
          </xdr:nvSpPr>
          <xdr:spPr>
            <a:xfrm>
              <a:off x="60960" y="52517040"/>
              <a:ext cx="919033" cy="3012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𝜓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skw"/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41D05946-68A6-44D7-A524-6CF12D853EC8}"/>
                </a:ext>
              </a:extLst>
            </xdr:cNvPr>
            <xdr:cNvSpPr txBox="1"/>
          </xdr:nvSpPr>
          <xdr:spPr>
            <a:xfrm>
              <a:off x="60960" y="52517040"/>
              <a:ext cx="919033" cy="3012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𝜓=|𝑓1⁄𝑓2|=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38100</xdr:colOff>
      <xdr:row>187</xdr:row>
      <xdr:rowOff>45720</xdr:rowOff>
    </xdr:from>
    <xdr:ext cx="200734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846493CC-E2B0-4DE5-92E0-E04689D0D082}"/>
                </a:ext>
              </a:extLst>
            </xdr:cNvPr>
            <xdr:cNvSpPr txBox="1"/>
          </xdr:nvSpPr>
          <xdr:spPr>
            <a:xfrm>
              <a:off x="38100" y="53187600"/>
              <a:ext cx="20073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=4+2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𝜓</m:t>
                            </m:r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+2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𝜓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846493CC-E2B0-4DE5-92E0-E04689D0D082}"/>
                </a:ext>
              </a:extLst>
            </xdr:cNvPr>
            <xdr:cNvSpPr txBox="1"/>
          </xdr:nvSpPr>
          <xdr:spPr>
            <a:xfrm>
              <a:off x="38100" y="53187600"/>
              <a:ext cx="20073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𝑘=4+2(1+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𝜓)^3+2(1+𝜓)=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189</xdr:row>
      <xdr:rowOff>76200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CuadroTexto 44">
              <a:extLst>
                <a:ext uri="{FF2B5EF4-FFF2-40B4-BE49-F238E27FC236}">
                  <a16:creationId xmlns:a16="http://schemas.microsoft.com/office/drawing/2014/main" id="{87596A86-CC77-46A6-9F8F-921F62820F38}"/>
                </a:ext>
              </a:extLst>
            </xdr:cNvPr>
            <xdr:cNvSpPr txBox="1"/>
          </xdr:nvSpPr>
          <xdr:spPr>
            <a:xfrm>
              <a:off x="83820" y="5358384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5" name="CuadroTexto 44">
              <a:extLst>
                <a:ext uri="{FF2B5EF4-FFF2-40B4-BE49-F238E27FC236}">
                  <a16:creationId xmlns:a16="http://schemas.microsoft.com/office/drawing/2014/main" id="{87596A86-CC77-46A6-9F8F-921F62820F38}"/>
                </a:ext>
              </a:extLst>
            </xdr:cNvPr>
            <xdr:cNvSpPr txBox="1"/>
          </xdr:nvSpPr>
          <xdr:spPr>
            <a:xfrm>
              <a:off x="83820" y="5358384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198120</xdr:colOff>
      <xdr:row>192</xdr:row>
      <xdr:rowOff>175260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CuadroTexto 45">
              <a:extLst>
                <a:ext uri="{FF2B5EF4-FFF2-40B4-BE49-F238E27FC236}">
                  <a16:creationId xmlns:a16="http://schemas.microsoft.com/office/drawing/2014/main" id="{26A9A9F1-3E73-45E0-9917-4C778399B897}"/>
                </a:ext>
              </a:extLst>
            </xdr:cNvPr>
            <xdr:cNvSpPr txBox="1"/>
          </xdr:nvSpPr>
          <xdr:spPr>
            <a:xfrm>
              <a:off x="198120" y="5423154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6" name="CuadroTexto 45">
              <a:extLst>
                <a:ext uri="{FF2B5EF4-FFF2-40B4-BE49-F238E27FC236}">
                  <a16:creationId xmlns:a16="http://schemas.microsoft.com/office/drawing/2014/main" id="{26A9A9F1-3E73-45E0-9917-4C778399B897}"/>
                </a:ext>
              </a:extLst>
            </xdr:cNvPr>
            <xdr:cNvSpPr txBox="1"/>
          </xdr:nvSpPr>
          <xdr:spPr>
            <a:xfrm>
              <a:off x="198120" y="5423154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</xdr:colOff>
      <xdr:row>202</xdr:row>
      <xdr:rowOff>11430</xdr:rowOff>
    </xdr:from>
    <xdr:ext cx="124854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CuadroTexto 46">
              <a:extLst>
                <a:ext uri="{FF2B5EF4-FFF2-40B4-BE49-F238E27FC236}">
                  <a16:creationId xmlns:a16="http://schemas.microsoft.com/office/drawing/2014/main" id="{5C0539C0-E97A-4F09-B6A9-ECBB4F07C491}"/>
                </a:ext>
              </a:extLst>
            </xdr:cNvPr>
            <xdr:cNvSpPr txBox="1"/>
          </xdr:nvSpPr>
          <xdr:spPr>
            <a:xfrm>
              <a:off x="15240" y="55911750"/>
              <a:ext cx="12485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𝐹𝑦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,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7" name="CuadroTexto 46">
              <a:extLst>
                <a:ext uri="{FF2B5EF4-FFF2-40B4-BE49-F238E27FC236}">
                  <a16:creationId xmlns:a16="http://schemas.microsoft.com/office/drawing/2014/main" id="{5C0539C0-E97A-4F09-B6A9-ECBB4F07C491}"/>
                </a:ext>
              </a:extLst>
            </xdr:cNvPr>
            <xdr:cNvSpPr txBox="1"/>
          </xdr:nvSpPr>
          <xdr:spPr>
            <a:xfrm>
              <a:off x="15240" y="55911750"/>
              <a:ext cx="12485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𝑀_𝑛=𝑆_𝑒.𝐹𝑦,10^(−3)=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22860</xdr:colOff>
      <xdr:row>204</xdr:row>
      <xdr:rowOff>3810</xdr:rowOff>
    </xdr:from>
    <xdr:ext cx="9521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CuadroTexto 47">
              <a:extLst>
                <a:ext uri="{FF2B5EF4-FFF2-40B4-BE49-F238E27FC236}">
                  <a16:creationId xmlns:a16="http://schemas.microsoft.com/office/drawing/2014/main" id="{255FC61B-1878-47E6-9CED-076A980C86FB}"/>
                </a:ext>
              </a:extLst>
            </xdr:cNvPr>
            <xdr:cNvSpPr txBox="1"/>
          </xdr:nvSpPr>
          <xdr:spPr>
            <a:xfrm>
              <a:off x="22860" y="56269890"/>
              <a:ext cx="95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8" name="CuadroTexto 47">
              <a:extLst>
                <a:ext uri="{FF2B5EF4-FFF2-40B4-BE49-F238E27FC236}">
                  <a16:creationId xmlns:a16="http://schemas.microsoft.com/office/drawing/2014/main" id="{255FC61B-1878-47E6-9CED-076A980C86FB}"/>
                </a:ext>
              </a:extLst>
            </xdr:cNvPr>
            <xdr:cNvSpPr txBox="1"/>
          </xdr:nvSpPr>
          <xdr:spPr>
            <a:xfrm>
              <a:off x="22860" y="56269890"/>
              <a:ext cx="95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𝑀_𝑑=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𝑏.𝑀_𝑛=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723900</xdr:colOff>
      <xdr:row>204</xdr:row>
      <xdr:rowOff>11430</xdr:rowOff>
    </xdr:from>
    <xdr:ext cx="89986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CuadroTexto 48">
              <a:extLst>
                <a:ext uri="{FF2B5EF4-FFF2-40B4-BE49-F238E27FC236}">
                  <a16:creationId xmlns:a16="http://schemas.microsoft.com/office/drawing/2014/main" id="{860D6CE0-5B61-45A2-A8D6-6AD47992C23E}"/>
                </a:ext>
              </a:extLst>
            </xdr:cNvPr>
            <xdr:cNvSpPr txBox="1"/>
          </xdr:nvSpPr>
          <xdr:spPr>
            <a:xfrm>
              <a:off x="2308860" y="56277510"/>
              <a:ext cx="899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𝑐𝑜𝑛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=0,95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9" name="CuadroTexto 48">
              <a:extLst>
                <a:ext uri="{FF2B5EF4-FFF2-40B4-BE49-F238E27FC236}">
                  <a16:creationId xmlns:a16="http://schemas.microsoft.com/office/drawing/2014/main" id="{860D6CE0-5B61-45A2-A8D6-6AD47992C23E}"/>
                </a:ext>
              </a:extLst>
            </xdr:cNvPr>
            <xdr:cNvSpPr txBox="1"/>
          </xdr:nvSpPr>
          <xdr:spPr>
            <a:xfrm>
              <a:off x="2308860" y="56277510"/>
              <a:ext cx="899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〖𝑐𝑜𝑛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𝜙〗_</a:t>
              </a:r>
              <a:r>
                <a:rPr lang="es-AR" sz="1100" b="0" i="0">
                  <a:latin typeface="Cambria Math" panose="02040503050406030204" pitchFamily="18" charset="0"/>
                </a:rPr>
                <a:t>𝑏=0,95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94354</xdr:colOff>
      <xdr:row>206</xdr:row>
      <xdr:rowOff>171114</xdr:rowOff>
    </xdr:from>
    <xdr:ext cx="1144865" cy="2079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CuadroTexto 49">
              <a:extLst>
                <a:ext uri="{FF2B5EF4-FFF2-40B4-BE49-F238E27FC236}">
                  <a16:creationId xmlns:a16="http://schemas.microsoft.com/office/drawing/2014/main" id="{0DADDADC-EC5C-45FD-89A0-92530A74BE97}"/>
                </a:ext>
              </a:extLst>
            </xdr:cNvPr>
            <xdr:cNvSpPr txBox="1"/>
          </xdr:nvSpPr>
          <xdr:spPr>
            <a:xfrm>
              <a:off x="94354" y="56802954"/>
              <a:ext cx="1144865" cy="20794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s-AR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𝑴</m:t>
                            </m:r>
                          </m:e>
                          <m:sub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𝒅</m:t>
                            </m:r>
                          </m:sub>
                        </m:sSub>
                      </m:e>
                      <m:sub>
                        <m:r>
                          <a:rPr lang="es-AR" sz="1100" b="1" i="1">
                            <a:latin typeface="Cambria Math" panose="02040503050406030204" pitchFamily="18" charset="0"/>
                          </a:rPr>
                          <m:t>𝒚</m:t>
                        </m:r>
                      </m:sub>
                    </m:sSub>
                    <m:r>
                      <a:rPr lang="es-AR" sz="11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𝟏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𝟎𝟒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𝒌𝑵𝒎</m:t>
                    </m:r>
                  </m:oMath>
                </m:oMathPara>
              </a14:m>
              <a:endParaRPr lang="es-AR" sz="1100" b="1"/>
            </a:p>
          </xdr:txBody>
        </xdr:sp>
      </mc:Choice>
      <mc:Fallback xmlns="">
        <xdr:sp macro="" textlink="">
          <xdr:nvSpPr>
            <xdr:cNvPr id="50" name="CuadroTexto 49">
              <a:extLst>
                <a:ext uri="{FF2B5EF4-FFF2-40B4-BE49-F238E27FC236}">
                  <a16:creationId xmlns:a16="http://schemas.microsoft.com/office/drawing/2014/main" id="{0DADDADC-EC5C-45FD-89A0-92530A74BE97}"/>
                </a:ext>
              </a:extLst>
            </xdr:cNvPr>
            <xdr:cNvSpPr txBox="1"/>
          </xdr:nvSpPr>
          <xdr:spPr>
            <a:xfrm>
              <a:off x="94354" y="56802954"/>
              <a:ext cx="1144865" cy="20794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1" i="0">
                  <a:latin typeface="Cambria Math" panose="02040503050406030204" pitchFamily="18" charset="0"/>
                </a:rPr>
                <a:t>〖𝑴_𝒅〗_𝒚=𝟏,𝟎𝟒 𝒌𝑵𝒎</a:t>
              </a:r>
              <a:endParaRPr lang="es-AR" sz="1100" b="1"/>
            </a:p>
          </xdr:txBody>
        </xdr:sp>
      </mc:Fallback>
    </mc:AlternateContent>
    <xdr:clientData/>
  </xdr:oneCellAnchor>
  <xdr:oneCellAnchor>
    <xdr:from>
      <xdr:col>0</xdr:col>
      <xdr:colOff>160020</xdr:colOff>
      <xdr:row>51</xdr:row>
      <xdr:rowOff>125730</xdr:rowOff>
    </xdr:from>
    <xdr:ext cx="647998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CuadroTexto 50">
              <a:extLst>
                <a:ext uri="{FF2B5EF4-FFF2-40B4-BE49-F238E27FC236}">
                  <a16:creationId xmlns:a16="http://schemas.microsoft.com/office/drawing/2014/main" id="{1DA519C6-BEA0-4F58-97F9-C07CC491DD11}"/>
                </a:ext>
              </a:extLst>
            </xdr:cNvPr>
            <xdr:cNvSpPr txBox="1"/>
          </xdr:nvSpPr>
          <xdr:spPr>
            <a:xfrm>
              <a:off x="160020" y="10245090"/>
              <a:ext cx="647998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1" name="CuadroTexto 50">
              <a:extLst>
                <a:ext uri="{FF2B5EF4-FFF2-40B4-BE49-F238E27FC236}">
                  <a16:creationId xmlns:a16="http://schemas.microsoft.com/office/drawing/2014/main" id="{1DA519C6-BEA0-4F58-97F9-C07CC491DD11}"/>
                </a:ext>
              </a:extLst>
            </xdr:cNvPr>
            <xdr:cNvSpPr txBox="1"/>
          </xdr:nvSpPr>
          <xdr:spPr>
            <a:xfrm>
              <a:off x="160020" y="10245090"/>
              <a:ext cx="647998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=(𝑘.𝐿)/𝑟=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45720</xdr:colOff>
      <xdr:row>81</xdr:row>
      <xdr:rowOff>179070</xdr:rowOff>
    </xdr:from>
    <xdr:ext cx="788870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06FFF48-E3AF-CAA2-78FA-A513EEF79EC6}"/>
                </a:ext>
              </a:extLst>
            </xdr:cNvPr>
            <xdr:cNvSpPr txBox="1"/>
          </xdr:nvSpPr>
          <xdr:spPr>
            <a:xfrm>
              <a:off x="45720" y="16866870"/>
              <a:ext cx="78887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𝐹𝑦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sub>
                            </m:sSub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06FFF48-E3AF-CAA2-78FA-A513EEF79EC6}"/>
                </a:ext>
              </a:extLst>
            </xdr:cNvPr>
            <xdr:cNvSpPr txBox="1"/>
          </xdr:nvSpPr>
          <xdr:spPr>
            <a:xfrm>
              <a:off x="45720" y="16866870"/>
              <a:ext cx="78887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𝑐=√(𝐹𝑦/𝐹_𝑒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85</xdr:row>
      <xdr:rowOff>0</xdr:rowOff>
    </xdr:from>
    <xdr:ext cx="1227837" cy="2119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5C12529-73E7-D7CC-CDE9-7C27AC7C8B63}"/>
                </a:ext>
              </a:extLst>
            </xdr:cNvPr>
            <xdr:cNvSpPr txBox="1"/>
          </xdr:nvSpPr>
          <xdr:spPr>
            <a:xfrm>
              <a:off x="83820" y="16432530"/>
              <a:ext cx="1227837" cy="2119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0,658</m:t>
                        </m:r>
                      </m:e>
                      <m:sup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𝜆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</m:sub>
                            </m:sSub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𝐹𝑦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5C12529-73E7-D7CC-CDE9-7C27AC7C8B63}"/>
                </a:ext>
              </a:extLst>
            </xdr:cNvPr>
            <xdr:cNvSpPr txBox="1"/>
          </xdr:nvSpPr>
          <xdr:spPr>
            <a:xfrm>
              <a:off x="83820" y="16432530"/>
              <a:ext cx="1227837" cy="2119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𝐹_𝑛=〖0,658〗^(〖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𝑐〗^2 ).𝐹𝑦=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144780</xdr:colOff>
      <xdr:row>139</xdr:row>
      <xdr:rowOff>83820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CuadroTexto 51">
              <a:extLst>
                <a:ext uri="{FF2B5EF4-FFF2-40B4-BE49-F238E27FC236}">
                  <a16:creationId xmlns:a16="http://schemas.microsoft.com/office/drawing/2014/main" id="{A9A814B1-AEDD-468A-A893-2C4301F1405C}"/>
                </a:ext>
              </a:extLst>
            </xdr:cNvPr>
            <xdr:cNvSpPr txBox="1"/>
          </xdr:nvSpPr>
          <xdr:spPr>
            <a:xfrm>
              <a:off x="144780" y="2320290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2" name="CuadroTexto 51">
              <a:extLst>
                <a:ext uri="{FF2B5EF4-FFF2-40B4-BE49-F238E27FC236}">
                  <a16:creationId xmlns:a16="http://schemas.microsoft.com/office/drawing/2014/main" id="{A9A814B1-AEDD-468A-A893-2C4301F1405C}"/>
                </a:ext>
              </a:extLst>
            </xdr:cNvPr>
            <xdr:cNvSpPr txBox="1"/>
          </xdr:nvSpPr>
          <xdr:spPr>
            <a:xfrm>
              <a:off x="144780" y="2320290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45720</xdr:colOff>
      <xdr:row>148</xdr:row>
      <xdr:rowOff>7620</xdr:rowOff>
    </xdr:from>
    <xdr:ext cx="831125" cy="2511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CuadroTexto 52">
              <a:extLst>
                <a:ext uri="{FF2B5EF4-FFF2-40B4-BE49-F238E27FC236}">
                  <a16:creationId xmlns:a16="http://schemas.microsoft.com/office/drawing/2014/main" id="{0364BBDD-AA7D-470E-B125-B38F3605E603}"/>
                </a:ext>
              </a:extLst>
            </xdr:cNvPr>
            <xdr:cNvSpPr txBox="1"/>
          </xdr:nvSpPr>
          <xdr:spPr>
            <a:xfrm>
              <a:off x="45720" y="27942540"/>
              <a:ext cx="831125" cy="251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AR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𝜌</m:t>
                  </m:r>
                  <m:r>
                    <a:rPr lang="es-A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A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s-A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(1−</m:t>
                      </m:r>
                      <m:f>
                        <m:fPr>
                          <m:type m:val="lin"/>
                          <m:ctrlPr>
                            <a:rPr lang="es-A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A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0,22</m:t>
                          </m:r>
                        </m:num>
                        <m:den>
                          <m:r>
                            <a:rPr lang="es-A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𝜆</m:t>
                          </m:r>
                        </m:den>
                      </m:f>
                    </m:num>
                    <m:den>
                      <m:r>
                        <a:rPr lang="es-A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𝜆</m:t>
                      </m:r>
                    </m:den>
                  </m:f>
                </m:oMath>
              </a14:m>
              <a:r>
                <a:rPr lang="es-AR" sz="1100"/>
                <a:t>=</a:t>
              </a:r>
            </a:p>
          </xdr:txBody>
        </xdr:sp>
      </mc:Choice>
      <mc:Fallback xmlns="">
        <xdr:sp macro="" textlink="">
          <xdr:nvSpPr>
            <xdr:cNvPr id="53" name="CuadroTexto 52">
              <a:extLst>
                <a:ext uri="{FF2B5EF4-FFF2-40B4-BE49-F238E27FC236}">
                  <a16:creationId xmlns:a16="http://schemas.microsoft.com/office/drawing/2014/main" id="{0364BBDD-AA7D-470E-B125-B38F3605E603}"/>
                </a:ext>
              </a:extLst>
            </xdr:cNvPr>
            <xdr:cNvSpPr txBox="1"/>
          </xdr:nvSpPr>
          <xdr:spPr>
            <a:xfrm>
              <a:off x="45720" y="27942540"/>
              <a:ext cx="831125" cy="251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=((1−0,22∕𝜆)/𝜆</a:t>
              </a:r>
              <a:r>
                <a:rPr lang="es-AR" sz="1100"/>
                <a:t>=</a:t>
              </a:r>
            </a:p>
          </xdr:txBody>
        </xdr:sp>
      </mc:Fallback>
    </mc:AlternateContent>
    <xdr:clientData/>
  </xdr:oneCellAnchor>
  <xdr:oneCellAnchor>
    <xdr:from>
      <xdr:col>0</xdr:col>
      <xdr:colOff>38100</xdr:colOff>
      <xdr:row>150</xdr:row>
      <xdr:rowOff>15240</xdr:rowOff>
    </xdr:from>
    <xdr:ext cx="7094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CuadroTexto 53">
              <a:extLst>
                <a:ext uri="{FF2B5EF4-FFF2-40B4-BE49-F238E27FC236}">
                  <a16:creationId xmlns:a16="http://schemas.microsoft.com/office/drawing/2014/main" id="{6D9EC063-F82E-4BF7-A5F0-0F78A1B2B8BE}"/>
                </a:ext>
              </a:extLst>
            </xdr:cNvPr>
            <xdr:cNvSpPr txBox="1"/>
          </xdr:nvSpPr>
          <xdr:spPr>
            <a:xfrm>
              <a:off x="38100" y="28315920"/>
              <a:ext cx="7094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𝜌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𝑏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4" name="CuadroTexto 53">
              <a:extLst>
                <a:ext uri="{FF2B5EF4-FFF2-40B4-BE49-F238E27FC236}">
                  <a16:creationId xmlns:a16="http://schemas.microsoft.com/office/drawing/2014/main" id="{6D9EC063-F82E-4BF7-A5F0-0F78A1B2B8BE}"/>
                </a:ext>
              </a:extLst>
            </xdr:cNvPr>
            <xdr:cNvSpPr txBox="1"/>
          </xdr:nvSpPr>
          <xdr:spPr>
            <a:xfrm>
              <a:off x="38100" y="28315920"/>
              <a:ext cx="7094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𝑏_𝑒=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𝜌.𝑏=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182880</xdr:colOff>
      <xdr:row>63</xdr:row>
      <xdr:rowOff>102870</xdr:rowOff>
    </xdr:from>
    <xdr:ext cx="1242060" cy="369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80E4C937-DB27-F1E4-8683-2412F2F5BD3E}"/>
                </a:ext>
              </a:extLst>
            </xdr:cNvPr>
            <xdr:cNvSpPr txBox="1"/>
          </xdr:nvSpPr>
          <xdr:spPr>
            <a:xfrm>
              <a:off x="182880" y="12340590"/>
              <a:ext cx="1242060" cy="369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AR" sz="12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𝜎</m:t>
                      </m:r>
                    </m:e>
                    <m:sub>
                      <m:r>
                        <a:rPr lang="es-AR" sz="1200" b="0" i="1">
                          <a:latin typeface="Cambria Math" panose="02040503050406030204" pitchFamily="18" charset="0"/>
                        </a:rPr>
                        <m:t>𝑒𝑥</m:t>
                      </m:r>
                    </m:sub>
                  </m:sSub>
                  <m:r>
                    <a:rPr lang="es-AR" sz="12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AR" sz="12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s-A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A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𝜋</m:t>
                          </m:r>
                        </m:e>
                        <m:sup>
                          <m:r>
                            <a:rPr lang="es-A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s-A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.</m:t>
                      </m:r>
                      <m:r>
                        <a:rPr lang="es-A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𝐸</m:t>
                      </m:r>
                    </m:num>
                    <m:den>
                      <m:sSub>
                        <m:sSubPr>
                          <m:ctrlPr>
                            <a:rPr lang="es-AR" sz="12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AR" sz="12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f>
                            <m:fPr>
                              <m:type m:val="lin"/>
                              <m:ctrlPr>
                                <a:rPr lang="es-AR" sz="12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s-AR" sz="1200" b="0" i="1">
                                  <a:latin typeface="Cambria Math" panose="02040503050406030204" pitchFamily="18" charset="0"/>
                                </a:rPr>
                                <m:t>𝑘</m:t>
                              </m:r>
                              <m:r>
                                <a:rPr lang="es-AR" sz="1200" b="0" i="1">
                                  <a:latin typeface="Cambria Math" panose="02040503050406030204" pitchFamily="18" charset="0"/>
                                </a:rPr>
                                <m:t>.</m:t>
                              </m:r>
                              <m:r>
                                <a:rPr lang="es-AR" sz="1200" b="0" i="1">
                                  <a:latin typeface="Cambria Math" panose="02040503050406030204" pitchFamily="18" charset="0"/>
                                </a:rPr>
                                <m:t>𝐿𝑥</m:t>
                              </m:r>
                            </m:num>
                            <m:den>
                              <m:r>
                                <a:rPr lang="es-AR" sz="1200" b="0" i="1">
                                  <a:latin typeface="Cambria Math" panose="02040503050406030204" pitchFamily="18" charset="0"/>
                                </a:rPr>
                                <m:t>𝑟𝑥</m:t>
                              </m:r>
                            </m:den>
                          </m:f>
                          <m:r>
                            <a:rPr lang="es-AR" sz="12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  <m:sub>
                          <m:r>
                            <a:rPr lang="es-AR" sz="12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es-AR" sz="1200" b="0" i="1">
                          <a:latin typeface="Cambria Math" panose="02040503050406030204" pitchFamily="18" charset="0"/>
                        </a:rPr>
                        <m:t>²</m:t>
                      </m:r>
                    </m:den>
                  </m:f>
                </m:oMath>
              </a14:m>
              <a:r>
                <a:rPr lang="es-AR" sz="1200"/>
                <a:t> =</a:t>
              </a:r>
              <a:endParaRPr lang="es-AR" sz="105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80E4C937-DB27-F1E4-8683-2412F2F5BD3E}"/>
                </a:ext>
              </a:extLst>
            </xdr:cNvPr>
            <xdr:cNvSpPr txBox="1"/>
          </xdr:nvSpPr>
          <xdr:spPr>
            <a:xfrm>
              <a:off x="182880" y="12340590"/>
              <a:ext cx="1242060" cy="369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AR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AR" sz="1200" b="0" i="0">
                  <a:latin typeface="Cambria Math" panose="02040503050406030204" pitchFamily="18" charset="0"/>
                </a:rPr>
                <a:t>𝑒𝑥=(</a:t>
              </a:r>
              <a:r>
                <a:rPr lang="es-A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𝜋^2.𝐸)/(〖</a:t>
              </a:r>
              <a:r>
                <a:rPr lang="es-AR" sz="1200" b="0" i="0">
                  <a:latin typeface="Cambria Math" panose="02040503050406030204" pitchFamily="18" charset="0"/>
                </a:rPr>
                <a:t>(〖𝑘.𝐿𝑥〗∕𝑟𝑥)〗_0 ²)</a:t>
              </a:r>
              <a:r>
                <a:rPr lang="es-AR" sz="1200"/>
                <a:t> =</a:t>
              </a:r>
              <a:endParaRPr lang="es-AR" sz="1050"/>
            </a:p>
          </xdr:txBody>
        </xdr:sp>
      </mc:Fallback>
    </mc:AlternateContent>
    <xdr:clientData/>
  </xdr:oneCellAnchor>
  <xdr:oneCellAnchor>
    <xdr:from>
      <xdr:col>0</xdr:col>
      <xdr:colOff>152400</xdr:colOff>
      <xdr:row>60</xdr:row>
      <xdr:rowOff>140970</xdr:rowOff>
    </xdr:from>
    <xdr:ext cx="647998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CuadroTexto 54">
              <a:extLst>
                <a:ext uri="{FF2B5EF4-FFF2-40B4-BE49-F238E27FC236}">
                  <a16:creationId xmlns:a16="http://schemas.microsoft.com/office/drawing/2014/main" id="{6813512F-262E-4A94-8B6C-691C06990356}"/>
                </a:ext>
              </a:extLst>
            </xdr:cNvPr>
            <xdr:cNvSpPr txBox="1"/>
          </xdr:nvSpPr>
          <xdr:spPr>
            <a:xfrm>
              <a:off x="152400" y="11799570"/>
              <a:ext cx="647998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5" name="CuadroTexto 54">
              <a:extLst>
                <a:ext uri="{FF2B5EF4-FFF2-40B4-BE49-F238E27FC236}">
                  <a16:creationId xmlns:a16="http://schemas.microsoft.com/office/drawing/2014/main" id="{6813512F-262E-4A94-8B6C-691C06990356}"/>
                </a:ext>
              </a:extLst>
            </xdr:cNvPr>
            <xdr:cNvSpPr txBox="1"/>
          </xdr:nvSpPr>
          <xdr:spPr>
            <a:xfrm>
              <a:off x="152400" y="11799570"/>
              <a:ext cx="647998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=(𝑘.𝐿)/𝑟=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167640</xdr:colOff>
      <xdr:row>54</xdr:row>
      <xdr:rowOff>110490</xdr:rowOff>
    </xdr:from>
    <xdr:ext cx="1242060" cy="369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CuadroTexto 55">
              <a:extLst>
                <a:ext uri="{FF2B5EF4-FFF2-40B4-BE49-F238E27FC236}">
                  <a16:creationId xmlns:a16="http://schemas.microsoft.com/office/drawing/2014/main" id="{B887693C-354E-41A0-95AE-8C4584005D6C}"/>
                </a:ext>
              </a:extLst>
            </xdr:cNvPr>
            <xdr:cNvSpPr txBox="1"/>
          </xdr:nvSpPr>
          <xdr:spPr>
            <a:xfrm>
              <a:off x="167640" y="10793730"/>
              <a:ext cx="1242060" cy="369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AR" sz="12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200" b="0" i="1">
                          <a:latin typeface="Cambria Math" panose="02040503050406030204" pitchFamily="18" charset="0"/>
                        </a:rPr>
                        <m:t>𝐹</m:t>
                      </m:r>
                    </m:e>
                    <m:sub>
                      <m:r>
                        <a:rPr lang="es-AR" sz="1200" b="0" i="1">
                          <a:latin typeface="Cambria Math" panose="02040503050406030204" pitchFamily="18" charset="0"/>
                        </a:rPr>
                        <m:t>𝑒𝑦</m:t>
                      </m:r>
                    </m:sub>
                  </m:sSub>
                  <m:r>
                    <a:rPr lang="es-AR" sz="12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AR" sz="12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s-A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A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𝜋</m:t>
                          </m:r>
                        </m:e>
                        <m:sup>
                          <m:r>
                            <a:rPr lang="es-A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s-A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.</m:t>
                      </m:r>
                      <m:r>
                        <a:rPr lang="es-A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𝐸</m:t>
                      </m:r>
                    </m:num>
                    <m:den>
                      <m:sSub>
                        <m:sSubPr>
                          <m:ctrlPr>
                            <a:rPr lang="es-AR" sz="12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AR" sz="12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f>
                            <m:fPr>
                              <m:type m:val="lin"/>
                              <m:ctrlPr>
                                <a:rPr lang="es-AR" sz="12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s-AR" sz="1200" b="0" i="1">
                                  <a:latin typeface="Cambria Math" panose="02040503050406030204" pitchFamily="18" charset="0"/>
                                </a:rPr>
                                <m:t>𝑘</m:t>
                              </m:r>
                              <m:r>
                                <a:rPr lang="es-AR" sz="1200" b="0" i="1">
                                  <a:latin typeface="Cambria Math" panose="02040503050406030204" pitchFamily="18" charset="0"/>
                                </a:rPr>
                                <m:t>.</m:t>
                              </m:r>
                              <m:r>
                                <a:rPr lang="es-AR" sz="1200" b="0" i="1">
                                  <a:latin typeface="Cambria Math" panose="02040503050406030204" pitchFamily="18" charset="0"/>
                                </a:rPr>
                                <m:t>𝐿𝑦</m:t>
                              </m:r>
                            </m:num>
                            <m:den>
                              <m:r>
                                <a:rPr lang="es-AR" sz="1200" b="0" i="1">
                                  <a:latin typeface="Cambria Math" panose="02040503050406030204" pitchFamily="18" charset="0"/>
                                </a:rPr>
                                <m:t>𝑟𝑦</m:t>
                              </m:r>
                            </m:den>
                          </m:f>
                          <m:r>
                            <a:rPr lang="es-AR" sz="12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  <m:sub>
                          <m:r>
                            <a:rPr lang="es-AR" sz="12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es-AR" sz="1200" b="0" i="1">
                          <a:latin typeface="Cambria Math" panose="02040503050406030204" pitchFamily="18" charset="0"/>
                        </a:rPr>
                        <m:t>²</m:t>
                      </m:r>
                    </m:den>
                  </m:f>
                </m:oMath>
              </a14:m>
              <a:r>
                <a:rPr lang="es-AR" sz="1200"/>
                <a:t> =</a:t>
              </a:r>
              <a:endParaRPr lang="es-AR" sz="1050"/>
            </a:p>
          </xdr:txBody>
        </xdr:sp>
      </mc:Choice>
      <mc:Fallback xmlns="">
        <xdr:sp macro="" textlink="">
          <xdr:nvSpPr>
            <xdr:cNvPr id="56" name="CuadroTexto 55">
              <a:extLst>
                <a:ext uri="{FF2B5EF4-FFF2-40B4-BE49-F238E27FC236}">
                  <a16:creationId xmlns:a16="http://schemas.microsoft.com/office/drawing/2014/main" id="{B887693C-354E-41A0-95AE-8C4584005D6C}"/>
                </a:ext>
              </a:extLst>
            </xdr:cNvPr>
            <xdr:cNvSpPr txBox="1"/>
          </xdr:nvSpPr>
          <xdr:spPr>
            <a:xfrm>
              <a:off x="167640" y="10793730"/>
              <a:ext cx="1242060" cy="369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AR" sz="1200" b="0" i="0">
                  <a:latin typeface="Cambria Math" panose="02040503050406030204" pitchFamily="18" charset="0"/>
                </a:rPr>
                <a:t>𝐹_𝑒𝑦=(</a:t>
              </a:r>
              <a:r>
                <a:rPr lang="es-A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𝜋^2.𝐸)/(〖</a:t>
              </a:r>
              <a:r>
                <a:rPr lang="es-AR" sz="1200" b="0" i="0">
                  <a:latin typeface="Cambria Math" panose="02040503050406030204" pitchFamily="18" charset="0"/>
                </a:rPr>
                <a:t>(〖𝑘.𝐿𝑦〗∕𝑟𝑦)〗_0 ²)</a:t>
              </a:r>
              <a:r>
                <a:rPr lang="es-AR" sz="1200"/>
                <a:t> =</a:t>
              </a:r>
              <a:endParaRPr lang="es-AR" sz="1050"/>
            </a:p>
          </xdr:txBody>
        </xdr:sp>
      </mc:Fallback>
    </mc:AlternateContent>
    <xdr:clientData/>
  </xdr:oneCellAnchor>
  <xdr:oneCellAnchor>
    <xdr:from>
      <xdr:col>0</xdr:col>
      <xdr:colOff>121920</xdr:colOff>
      <xdr:row>66</xdr:row>
      <xdr:rowOff>95250</xdr:rowOff>
    </xdr:from>
    <xdr:ext cx="1394549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CuadroTexto 57">
              <a:extLst>
                <a:ext uri="{FF2B5EF4-FFF2-40B4-BE49-F238E27FC236}">
                  <a16:creationId xmlns:a16="http://schemas.microsoft.com/office/drawing/2014/main" id="{90C795CA-BBD5-B27E-7CED-668DC2DA8A5E}"/>
                </a:ext>
              </a:extLst>
            </xdr:cNvPr>
            <xdr:cNvSpPr txBox="1"/>
          </xdr:nvSpPr>
          <xdr:spPr>
            <a:xfrm>
              <a:off x="121920" y="13064490"/>
              <a:ext cx="1394549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²</m:t>
                        </m:r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8" name="CuadroTexto 57">
              <a:extLst>
                <a:ext uri="{FF2B5EF4-FFF2-40B4-BE49-F238E27FC236}">
                  <a16:creationId xmlns:a16="http://schemas.microsoft.com/office/drawing/2014/main" id="{90C795CA-BBD5-B27E-7CED-668DC2DA8A5E}"/>
                </a:ext>
              </a:extLst>
            </xdr:cNvPr>
            <xdr:cNvSpPr txBox="1"/>
          </xdr:nvSpPr>
          <xdr:spPr>
            <a:xfrm>
              <a:off x="121920" y="13064490"/>
              <a:ext cx="1394549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𝑟_0=√(𝑟_𝑥^2+𝑟_𝑦^2+𝑥_0 ²)=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91440</xdr:colOff>
      <xdr:row>69</xdr:row>
      <xdr:rowOff>87630</xdr:rowOff>
    </xdr:from>
    <xdr:ext cx="1832618" cy="382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1B0FCE95-38EE-BBFC-7D8A-D475D54C1971}"/>
                </a:ext>
              </a:extLst>
            </xdr:cNvPr>
            <xdr:cNvSpPr txBox="1"/>
          </xdr:nvSpPr>
          <xdr:spPr>
            <a:xfrm>
              <a:off x="91440" y="13788390"/>
              <a:ext cx="1832618" cy="382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²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𝐺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𝐽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𝜋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𝐸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.</m:t>
                            </m:r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𝑤</m:t>
                                </m:r>
                              </m:sub>
                            </m:sSub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𝐿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1B0FCE95-38EE-BBFC-7D8A-D475D54C1971}"/>
                </a:ext>
              </a:extLst>
            </xdr:cNvPr>
            <xdr:cNvSpPr txBox="1"/>
          </xdr:nvSpPr>
          <xdr:spPr>
            <a:xfrm>
              <a:off x="91440" y="13788390"/>
              <a:ext cx="1832618" cy="382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AR" sz="1100" b="0" i="0">
                  <a:latin typeface="Cambria Math" panose="02040503050406030204" pitchFamily="18" charset="0"/>
                </a:rPr>
                <a:t>𝑡=1/(𝐴,𝑟_0 ²) [𝐺.𝐽+(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𝜋^2.𝐸.𝐶_𝑤)/(</a:t>
              </a:r>
              <a:r>
                <a:rPr lang="es-AR" sz="1100" b="0" i="0">
                  <a:latin typeface="Cambria Math" panose="02040503050406030204" pitchFamily="18" charset="0"/>
                </a:rPr>
                <a:t>(𝑘_𝑡.𝐿_𝑡))]=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91440</xdr:colOff>
      <xdr:row>72</xdr:row>
      <xdr:rowOff>140970</xdr:rowOff>
    </xdr:from>
    <xdr:ext cx="121289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CD8A0D57-C2E0-D2E8-31FD-212B6A79CC42}"/>
                </a:ext>
              </a:extLst>
            </xdr:cNvPr>
            <xdr:cNvSpPr txBox="1"/>
          </xdr:nvSpPr>
          <xdr:spPr>
            <a:xfrm>
              <a:off x="91440" y="14573250"/>
              <a:ext cx="121289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=1−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type m:val="lin"/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s-A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s-A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CD8A0D57-C2E0-D2E8-31FD-212B6A79CC42}"/>
                </a:ext>
              </a:extLst>
            </xdr:cNvPr>
            <xdr:cNvSpPr txBox="1"/>
          </xdr:nvSpPr>
          <xdr:spPr>
            <a:xfrm>
              <a:off x="91440" y="14573250"/>
              <a:ext cx="121289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=1−(𝑥_0∕𝑟_0 )^2=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106680</xdr:colOff>
      <xdr:row>74</xdr:row>
      <xdr:rowOff>102870</xdr:rowOff>
    </xdr:from>
    <xdr:ext cx="3043013" cy="3465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DDB9AC22-C62F-951B-9BCD-A89D98FC2570}"/>
                </a:ext>
              </a:extLst>
            </xdr:cNvPr>
            <xdr:cNvSpPr txBox="1"/>
          </xdr:nvSpPr>
          <xdr:spPr>
            <a:xfrm>
              <a:off x="106680" y="14900910"/>
              <a:ext cx="3043013" cy="346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𝑒𝑥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𝑒𝑥</m:t>
                                </m:r>
                              </m:sub>
                            </m:s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</m:e>
                        </m:d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ad>
                          <m:radPr>
                            <m:degHide m:val="on"/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s-A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s-A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s-A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𝜎</m:t>
                                        </m:r>
                                      </m:e>
                                      <m:sub>
                                        <m:r>
                                          <a:rPr lang="es-A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𝑒𝑥</m:t>
                                        </m:r>
                                      </m:sub>
                                    </m:sSub>
                                    <m:r>
                                      <a:rPr lang="es-A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</m:t>
                                    </m:r>
                                    <m:sSub>
                                      <m:sSubPr>
                                        <m:ctrlPr>
                                          <a:rPr lang="es-A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s-A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𝜎</m:t>
                                        </m:r>
                                      </m:e>
                                      <m:sub>
                                        <m:r>
                                          <a:rPr lang="es-A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−4</m:t>
                            </m:r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𝛽</m:t>
                            </m:r>
                            <m:sSub>
                              <m:sSub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𝑒𝑥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</m:e>
                        </m:rad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DDB9AC22-C62F-951B-9BCD-A89D98FC2570}"/>
                </a:ext>
              </a:extLst>
            </xdr:cNvPr>
            <xdr:cNvSpPr txBox="1"/>
          </xdr:nvSpPr>
          <xdr:spPr>
            <a:xfrm>
              <a:off x="106680" y="14900910"/>
              <a:ext cx="3043013" cy="346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𝐹_𝑒𝑥=1/2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 </a:t>
              </a:r>
              <a:r>
                <a:rPr lang="es-AR" sz="1100" b="0" i="0">
                  <a:latin typeface="Cambria Math" panose="02040503050406030204" pitchFamily="18" charset="0"/>
                </a:rPr>
                <a:t>[(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AR" sz="1100" b="0" i="0">
                  <a:latin typeface="Cambria Math" panose="02040503050406030204" pitchFamily="18" charset="0"/>
                </a:rPr>
                <a:t>𝑒𝑥+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AR" sz="1100" b="0" i="0">
                  <a:latin typeface="Cambria Math" panose="02040503050406030204" pitchFamily="18" charset="0"/>
                </a:rPr>
                <a:t>𝑡 )−√(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(𝜎_𝑒𝑥+𝜎_𝑡 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^2−4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𝛽𝜎_𝑒𝑥 𝜎_𝑡 )]</a:t>
              </a:r>
              <a:r>
                <a:rPr lang="es-AR" sz="1100" b="0" i="0">
                  <a:latin typeface="Cambria Math" panose="02040503050406030204" pitchFamily="18" charset="0"/>
                </a:rPr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144780</xdr:colOff>
      <xdr:row>77</xdr:row>
      <xdr:rowOff>163830</xdr:rowOff>
    </xdr:from>
    <xdr:ext cx="1277209" cy="1947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5001ABDC-B483-33A7-AB01-AB28A91BDB11}"/>
                </a:ext>
              </a:extLst>
            </xdr:cNvPr>
            <xdr:cNvSpPr txBox="1"/>
          </xdr:nvSpPr>
          <xdr:spPr>
            <a:xfrm>
              <a:off x="144780" y="15144750"/>
              <a:ext cx="1277209" cy="194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𝑀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í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𝑛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𝑒𝑥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𝑒𝑦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5001ABDC-B483-33A7-AB01-AB28A91BDB11}"/>
                </a:ext>
              </a:extLst>
            </xdr:cNvPr>
            <xdr:cNvSpPr txBox="1"/>
          </xdr:nvSpPr>
          <xdr:spPr>
            <a:xfrm>
              <a:off x="144780" y="15144750"/>
              <a:ext cx="1277209" cy="194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𝐹_𝑒=𝑀í𝑛(𝐹_𝑒𝑥,𝐹_𝑒𝑦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502920</xdr:colOff>
      <xdr:row>121</xdr:row>
      <xdr:rowOff>30480</xdr:rowOff>
    </xdr:from>
    <xdr:ext cx="51424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AEA12844-6E92-4B7D-8AA4-1E142E1CB71E}"/>
                </a:ext>
              </a:extLst>
            </xdr:cNvPr>
            <xdr:cNvSpPr txBox="1"/>
          </xdr:nvSpPr>
          <xdr:spPr>
            <a:xfrm>
              <a:off x="3672840" y="24719280"/>
              <a:ext cx="5142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⇒   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𝑛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AEA12844-6E92-4B7D-8AA4-1E142E1CB71E}"/>
                </a:ext>
              </a:extLst>
            </xdr:cNvPr>
            <xdr:cNvSpPr txBox="1"/>
          </xdr:nvSpPr>
          <xdr:spPr>
            <a:xfrm>
              <a:off x="3672840" y="24719280"/>
              <a:ext cx="5142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⇒   𝑛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53340</xdr:colOff>
      <xdr:row>153</xdr:row>
      <xdr:rowOff>26670</xdr:rowOff>
    </xdr:from>
    <xdr:ext cx="1401025" cy="1833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E71F8931-BF67-1221-4504-CDE974051700}"/>
                </a:ext>
              </a:extLst>
            </xdr:cNvPr>
            <xdr:cNvSpPr txBox="1"/>
          </xdr:nvSpPr>
          <xdr:spPr>
            <a:xfrm>
              <a:off x="53340" y="29104590"/>
              <a:ext cx="1401025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E71F8931-BF67-1221-4504-CDE974051700}"/>
                </a:ext>
              </a:extLst>
            </xdr:cNvPr>
            <xdr:cNvSpPr txBox="1"/>
          </xdr:nvSpPr>
          <xdr:spPr>
            <a:xfrm>
              <a:off x="53340" y="29104590"/>
              <a:ext cx="1401025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𝐴_𝑒=𝐴_𝑔−(𝑏−𝑏_𝑒 )𝑡=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68580</xdr:colOff>
      <xdr:row>157</xdr:row>
      <xdr:rowOff>72390</xdr:rowOff>
    </xdr:from>
    <xdr:ext cx="1400383" cy="1749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76046401-CB2F-F093-C278-3E36EC7B3EC9}"/>
                </a:ext>
              </a:extLst>
            </xdr:cNvPr>
            <xdr:cNvSpPr txBox="1"/>
          </xdr:nvSpPr>
          <xdr:spPr>
            <a:xfrm>
              <a:off x="68580" y="29973270"/>
              <a:ext cx="1400383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76046401-CB2F-F093-C278-3E36EC7B3EC9}"/>
                </a:ext>
              </a:extLst>
            </xdr:cNvPr>
            <xdr:cNvSpPr txBox="1"/>
          </xdr:nvSpPr>
          <xdr:spPr>
            <a:xfrm>
              <a:off x="68580" y="29973270"/>
              <a:ext cx="1400383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𝑃_𝑑=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𝑐.𝐴_𝑒.𝐹_𝑛.10^(−1)=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60960</xdr:colOff>
      <xdr:row>156</xdr:row>
      <xdr:rowOff>57150</xdr:rowOff>
    </xdr:from>
    <xdr:ext cx="6308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666D76EE-3510-8471-4E34-D3910D804F4B}"/>
                </a:ext>
              </a:extLst>
            </xdr:cNvPr>
            <xdr:cNvSpPr txBox="1"/>
          </xdr:nvSpPr>
          <xdr:spPr>
            <a:xfrm>
              <a:off x="60960" y="32335470"/>
              <a:ext cx="6308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=0,85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666D76EE-3510-8471-4E34-D3910D804F4B}"/>
                </a:ext>
              </a:extLst>
            </xdr:cNvPr>
            <xdr:cNvSpPr txBox="1"/>
          </xdr:nvSpPr>
          <xdr:spPr>
            <a:xfrm>
              <a:off x="60960" y="32335470"/>
              <a:ext cx="6308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𝑐=0,85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76200</xdr:colOff>
      <xdr:row>116</xdr:row>
      <xdr:rowOff>38100</xdr:rowOff>
    </xdr:from>
    <xdr:ext cx="12400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3218A2C8-9B76-4122-8459-3FFBEE7DF4A1}"/>
                </a:ext>
              </a:extLst>
            </xdr:cNvPr>
            <xdr:cNvSpPr txBox="1"/>
          </xdr:nvSpPr>
          <xdr:spPr>
            <a:xfrm>
              <a:off x="76200" y="22098000"/>
              <a:ext cx="12400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𝑀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í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𝑛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3218A2C8-9B76-4122-8459-3FFBEE7DF4A1}"/>
                </a:ext>
              </a:extLst>
            </xdr:cNvPr>
            <xdr:cNvSpPr txBox="1"/>
          </xdr:nvSpPr>
          <xdr:spPr>
            <a:xfrm>
              <a:off x="76200" y="22098000"/>
              <a:ext cx="12400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𝐼_𝑎=𝑀í𝑛(𝐼_𝑎1,𝐼_𝑎2 )=</a:t>
              </a:r>
              <a:endParaRPr lang="es-AR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46</xdr:row>
      <xdr:rowOff>72390</xdr:rowOff>
    </xdr:from>
    <xdr:ext cx="1741759" cy="36625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81613EB-B66D-4B72-88DD-F9A01E887ACD}"/>
                </a:ext>
              </a:extLst>
            </xdr:cNvPr>
            <xdr:cNvSpPr txBox="1"/>
          </xdr:nvSpPr>
          <xdr:spPr>
            <a:xfrm>
              <a:off x="76200" y="9340215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81613EB-B66D-4B72-88DD-F9A01E887ACD}"/>
                </a:ext>
              </a:extLst>
            </xdr:cNvPr>
            <xdr:cNvSpPr txBox="1"/>
          </xdr:nvSpPr>
          <xdr:spPr>
            <a:xfrm>
              <a:off x="76200" y="9340215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91440</xdr:colOff>
      <xdr:row>48</xdr:row>
      <xdr:rowOff>156210</xdr:rowOff>
    </xdr:from>
    <xdr:ext cx="764761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7AA12978-EAEC-43DB-BB92-AE78AA1DFAD9}"/>
                </a:ext>
              </a:extLst>
            </xdr:cNvPr>
            <xdr:cNvSpPr txBox="1"/>
          </xdr:nvSpPr>
          <xdr:spPr>
            <a:xfrm>
              <a:off x="95250" y="978789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7AA12978-EAEC-43DB-BB92-AE78AA1DFAD9}"/>
                </a:ext>
              </a:extLst>
            </xdr:cNvPr>
            <xdr:cNvSpPr txBox="1"/>
          </xdr:nvSpPr>
          <xdr:spPr>
            <a:xfrm>
              <a:off x="95250" y="978789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99060</xdr:colOff>
      <xdr:row>58</xdr:row>
      <xdr:rowOff>19050</xdr:rowOff>
    </xdr:from>
    <xdr:ext cx="990784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5820B7A2-688C-4A48-AC96-C2B908A58234}"/>
                </a:ext>
              </a:extLst>
            </xdr:cNvPr>
            <xdr:cNvSpPr txBox="1"/>
          </xdr:nvSpPr>
          <xdr:spPr>
            <a:xfrm>
              <a:off x="95250" y="11454765"/>
              <a:ext cx="99078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=1,28.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5820B7A2-688C-4A48-AC96-C2B908A58234}"/>
                </a:ext>
              </a:extLst>
            </xdr:cNvPr>
            <xdr:cNvSpPr txBox="1"/>
          </xdr:nvSpPr>
          <xdr:spPr>
            <a:xfrm>
              <a:off x="95250" y="11454765"/>
              <a:ext cx="99078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𝑆=1,28.√(𝐸/𝑓)=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62</xdr:row>
      <xdr:rowOff>102870</xdr:rowOff>
    </xdr:from>
    <xdr:ext cx="732508" cy="3372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A4067AE-6C86-4307-9D98-8A15F7CE1005}"/>
                </a:ext>
              </a:extLst>
            </xdr:cNvPr>
            <xdr:cNvSpPr txBox="1"/>
          </xdr:nvSpPr>
          <xdr:spPr>
            <a:xfrm>
              <a:off x="85725" y="12264390"/>
              <a:ext cx="732508" cy="337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𝐼𝑠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³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A4067AE-6C86-4307-9D98-8A15F7CE1005}"/>
                </a:ext>
              </a:extLst>
            </xdr:cNvPr>
            <xdr:cNvSpPr txBox="1"/>
          </xdr:nvSpPr>
          <xdr:spPr>
            <a:xfrm>
              <a:off x="85725" y="12264390"/>
              <a:ext cx="732508" cy="337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𝐼𝑠=(𝑡.𝑑³)/12=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45720</xdr:colOff>
      <xdr:row>65</xdr:row>
      <xdr:rowOff>0</xdr:rowOff>
    </xdr:from>
    <xdr:ext cx="1976503" cy="41383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550F9D36-F222-409A-AE1E-FF63A31F29E8}"/>
                </a:ext>
              </a:extLst>
            </xdr:cNvPr>
            <xdr:cNvSpPr txBox="1"/>
          </xdr:nvSpPr>
          <xdr:spPr>
            <a:xfrm>
              <a:off x="47625" y="12734925"/>
              <a:ext cx="1976503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=399.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/</m:t>
                                </m:r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den>
                            </m:f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−0,328</m:t>
                            </m:r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550F9D36-F222-409A-AE1E-FF63A31F29E8}"/>
                </a:ext>
              </a:extLst>
            </xdr:cNvPr>
            <xdr:cNvSpPr txBox="1"/>
          </xdr:nvSpPr>
          <xdr:spPr>
            <a:xfrm>
              <a:off x="47625" y="12734925"/>
              <a:ext cx="1976503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𝐼_𝑎1=399.𝑡^4 ((𝑏/𝑡)/𝑆−0,328)^3=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60960</xdr:colOff>
      <xdr:row>67</xdr:row>
      <xdr:rowOff>95250</xdr:rowOff>
    </xdr:from>
    <xdr:ext cx="1618969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88C44BD9-FB5F-4F0A-9CC7-F915D72FB552}"/>
                </a:ext>
              </a:extLst>
            </xdr:cNvPr>
            <xdr:cNvSpPr txBox="1"/>
          </xdr:nvSpPr>
          <xdr:spPr>
            <a:xfrm>
              <a:off x="57150" y="13216890"/>
              <a:ext cx="1618969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115</m:t>
                        </m:r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/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den>
                        </m:f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+5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88C44BD9-FB5F-4F0A-9CC7-F915D72FB552}"/>
                </a:ext>
              </a:extLst>
            </xdr:cNvPr>
            <xdr:cNvSpPr txBox="1"/>
          </xdr:nvSpPr>
          <xdr:spPr>
            <a:xfrm>
              <a:off x="57150" y="13216890"/>
              <a:ext cx="1618969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𝐼_𝑎2=𝑡^4 (115 (𝑏/𝑡)/𝑆+5)=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106680</xdr:colOff>
      <xdr:row>72</xdr:row>
      <xdr:rowOff>0</xdr:rowOff>
    </xdr:from>
    <xdr:ext cx="632545" cy="3168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65F8AB9-41A5-4F3B-B8CB-CEC496DB670A}"/>
                </a:ext>
              </a:extLst>
            </xdr:cNvPr>
            <xdr:cNvSpPr txBox="1"/>
          </xdr:nvSpPr>
          <xdr:spPr>
            <a:xfrm>
              <a:off x="104775" y="14087475"/>
              <a:ext cx="63254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𝐼𝑠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𝐼𝑎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65F8AB9-41A5-4F3B-B8CB-CEC496DB670A}"/>
                </a:ext>
              </a:extLst>
            </xdr:cNvPr>
            <xdr:cNvSpPr txBox="1"/>
          </xdr:nvSpPr>
          <xdr:spPr>
            <a:xfrm>
              <a:off x="104775" y="14087475"/>
              <a:ext cx="63254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𝑅_𝐼=</a:t>
              </a:r>
              <a:r>
                <a:rPr lang="es-AR" sz="1100" b="0" i="0">
                  <a:latin typeface="Cambria Math" panose="02040503050406030204" pitchFamily="18" charset="0"/>
                </a:rPr>
                <a:t>𝐼𝑠/𝐼𝑎=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99060</xdr:colOff>
      <xdr:row>74</xdr:row>
      <xdr:rowOff>0</xdr:rowOff>
    </xdr:from>
    <xdr:ext cx="1160446" cy="3215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CC0D358-34C1-40CC-A969-6980C499781D}"/>
                </a:ext>
              </a:extLst>
            </xdr:cNvPr>
            <xdr:cNvSpPr txBox="1"/>
          </xdr:nvSpPr>
          <xdr:spPr>
            <a:xfrm>
              <a:off x="95250" y="14449425"/>
              <a:ext cx="1160446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=0,528−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CC0D358-34C1-40CC-A969-6980C499781D}"/>
                </a:ext>
              </a:extLst>
            </xdr:cNvPr>
            <xdr:cNvSpPr txBox="1"/>
          </xdr:nvSpPr>
          <xdr:spPr>
            <a:xfrm>
              <a:off x="95250" y="14449425"/>
              <a:ext cx="1160446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𝑛=0,528−(𝑏/𝑡)/4𝑆=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152400</xdr:colOff>
      <xdr:row>77</xdr:row>
      <xdr:rowOff>110490</xdr:rowOff>
    </xdr:from>
    <xdr:ext cx="1933734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D5180F9E-CB5D-4889-8A28-F17DF2F402B5}"/>
                </a:ext>
              </a:extLst>
            </xdr:cNvPr>
            <xdr:cNvSpPr txBox="1"/>
          </xdr:nvSpPr>
          <xdr:spPr>
            <a:xfrm>
              <a:off x="152400" y="15102840"/>
              <a:ext cx="193373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4,82−</m:t>
                        </m:r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den>
                        </m:f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sub>
                        </m:sSub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+0,43=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D5180F9E-CB5D-4889-8A28-F17DF2F402B5}"/>
                </a:ext>
              </a:extLst>
            </xdr:cNvPr>
            <xdr:cNvSpPr txBox="1"/>
          </xdr:nvSpPr>
          <xdr:spPr>
            <a:xfrm>
              <a:off x="152400" y="15102840"/>
              <a:ext cx="193373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𝑘=(4,82−5𝐷/𝑏).〖𝑅_𝐼〗^𝑛+0,43=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91440</xdr:colOff>
      <xdr:row>80</xdr:row>
      <xdr:rowOff>80010</xdr:rowOff>
    </xdr:from>
    <xdr:ext cx="1741759" cy="36625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D6D4DB68-98B6-4808-9E90-9F6BF08C294D}"/>
                </a:ext>
              </a:extLst>
            </xdr:cNvPr>
            <xdr:cNvSpPr txBox="1"/>
          </xdr:nvSpPr>
          <xdr:spPr>
            <a:xfrm>
              <a:off x="95250" y="1561719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D6D4DB68-98B6-4808-9E90-9F6BF08C294D}"/>
                </a:ext>
              </a:extLst>
            </xdr:cNvPr>
            <xdr:cNvSpPr txBox="1"/>
          </xdr:nvSpPr>
          <xdr:spPr>
            <a:xfrm>
              <a:off x="95250" y="1561719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167640</xdr:colOff>
      <xdr:row>83</xdr:row>
      <xdr:rowOff>49530</xdr:rowOff>
    </xdr:from>
    <xdr:ext cx="764761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145A569C-DD6D-405A-A2A0-280C06E0ACF6}"/>
                </a:ext>
              </a:extLst>
            </xdr:cNvPr>
            <xdr:cNvSpPr txBox="1"/>
          </xdr:nvSpPr>
          <xdr:spPr>
            <a:xfrm>
              <a:off x="171450" y="1613154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145A569C-DD6D-405A-A2A0-280C06E0ACF6}"/>
                </a:ext>
              </a:extLst>
            </xdr:cNvPr>
            <xdr:cNvSpPr txBox="1"/>
          </xdr:nvSpPr>
          <xdr:spPr>
            <a:xfrm>
              <a:off x="171450" y="1613154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137160</xdr:colOff>
      <xdr:row>90</xdr:row>
      <xdr:rowOff>148590</xdr:rowOff>
    </xdr:from>
    <xdr:ext cx="1676741" cy="3012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B0FDF9C-C09A-49B0-B232-E36613DF09FF}"/>
                </a:ext>
              </a:extLst>
            </xdr:cNvPr>
            <xdr:cNvSpPr txBox="1"/>
          </xdr:nvSpPr>
          <xdr:spPr>
            <a:xfrm>
              <a:off x="133350" y="17493615"/>
              <a:ext cx="1676741" cy="3012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1=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2 ⇒ 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𝜓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skw"/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B0FDF9C-C09A-49B0-B232-E36613DF09FF}"/>
                </a:ext>
              </a:extLst>
            </xdr:cNvPr>
            <xdr:cNvSpPr txBox="1"/>
          </xdr:nvSpPr>
          <xdr:spPr>
            <a:xfrm>
              <a:off x="133350" y="17493615"/>
              <a:ext cx="1676741" cy="3012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𝑓1=𝑓2 ⇒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𝜓=|𝑓1⁄𝑓2|=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152400</xdr:colOff>
      <xdr:row>94</xdr:row>
      <xdr:rowOff>3810</xdr:rowOff>
    </xdr:from>
    <xdr:ext cx="2007344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1033BCB-FE54-40B7-B286-98D30A4F1317}"/>
                </a:ext>
              </a:extLst>
            </xdr:cNvPr>
            <xdr:cNvSpPr txBox="1"/>
          </xdr:nvSpPr>
          <xdr:spPr>
            <a:xfrm>
              <a:off x="152400" y="18074640"/>
              <a:ext cx="20073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=4+2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𝜓</m:t>
                            </m:r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+2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𝜓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1033BCB-FE54-40B7-B286-98D30A4F1317}"/>
                </a:ext>
              </a:extLst>
            </xdr:cNvPr>
            <xdr:cNvSpPr txBox="1"/>
          </xdr:nvSpPr>
          <xdr:spPr>
            <a:xfrm>
              <a:off x="152400" y="18074640"/>
              <a:ext cx="20073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𝑘=4+2(1+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𝜓)^3+2(1+𝜓)=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236220</xdr:colOff>
      <xdr:row>96</xdr:row>
      <xdr:rowOff>95250</xdr:rowOff>
    </xdr:from>
    <xdr:ext cx="813813" cy="3202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4A9F2EBA-3161-4FE8-8319-2E1225DCED43}"/>
                </a:ext>
              </a:extLst>
            </xdr:cNvPr>
            <xdr:cNvSpPr txBox="1"/>
          </xdr:nvSpPr>
          <xdr:spPr>
            <a:xfrm>
              <a:off x="238125" y="18522315"/>
              <a:ext cx="813813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1=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𝐹𝑦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4A9F2EBA-3161-4FE8-8319-2E1225DCED43}"/>
                </a:ext>
              </a:extLst>
            </xdr:cNvPr>
            <xdr:cNvSpPr txBox="1"/>
          </xdr:nvSpPr>
          <xdr:spPr>
            <a:xfrm>
              <a:off x="238125" y="18522315"/>
              <a:ext cx="813813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𝑓1=𝐹𝑦 ℎ/𝐻=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152400</xdr:colOff>
      <xdr:row>99</xdr:row>
      <xdr:rowOff>95250</xdr:rowOff>
    </xdr:from>
    <xdr:ext cx="1741759" cy="36625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0DEFCB32-9E35-4840-8007-3E1BF03C547F}"/>
                </a:ext>
              </a:extLst>
            </xdr:cNvPr>
            <xdr:cNvSpPr txBox="1"/>
          </xdr:nvSpPr>
          <xdr:spPr>
            <a:xfrm>
              <a:off x="152400" y="1906524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0DEFCB32-9E35-4840-8007-3E1BF03C547F}"/>
                </a:ext>
              </a:extLst>
            </xdr:cNvPr>
            <xdr:cNvSpPr txBox="1"/>
          </xdr:nvSpPr>
          <xdr:spPr>
            <a:xfrm>
              <a:off x="152400" y="1906524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320040</xdr:colOff>
      <xdr:row>102</xdr:row>
      <xdr:rowOff>19050</xdr:rowOff>
    </xdr:from>
    <xdr:ext cx="764761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5D182E51-AEB8-455E-969A-EC980BCA7CE0}"/>
                </a:ext>
              </a:extLst>
            </xdr:cNvPr>
            <xdr:cNvSpPr txBox="1"/>
          </xdr:nvSpPr>
          <xdr:spPr>
            <a:xfrm>
              <a:off x="323850" y="19531965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5D182E51-AEB8-455E-969A-EC980BCA7CE0}"/>
                </a:ext>
              </a:extLst>
            </xdr:cNvPr>
            <xdr:cNvSpPr txBox="1"/>
          </xdr:nvSpPr>
          <xdr:spPr>
            <a:xfrm>
              <a:off x="323850" y="19531965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</xdr:colOff>
      <xdr:row>115</xdr:row>
      <xdr:rowOff>11430</xdr:rowOff>
    </xdr:from>
    <xdr:ext cx="1248547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7A7B173C-2636-4C7F-BF7B-4134D87074C8}"/>
                </a:ext>
              </a:extLst>
            </xdr:cNvPr>
            <xdr:cNvSpPr txBox="1"/>
          </xdr:nvSpPr>
          <xdr:spPr>
            <a:xfrm>
              <a:off x="19050" y="21922740"/>
              <a:ext cx="12485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𝐹𝑦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,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7A7B173C-2636-4C7F-BF7B-4134D87074C8}"/>
                </a:ext>
              </a:extLst>
            </xdr:cNvPr>
            <xdr:cNvSpPr txBox="1"/>
          </xdr:nvSpPr>
          <xdr:spPr>
            <a:xfrm>
              <a:off x="19050" y="21922740"/>
              <a:ext cx="12485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𝑀_𝑛=𝑆_𝑒.𝐹𝑦,10^(−3)=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22860</xdr:colOff>
      <xdr:row>117</xdr:row>
      <xdr:rowOff>3810</xdr:rowOff>
    </xdr:from>
    <xdr:ext cx="95212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5F6E747F-919D-403F-AFAD-66069E99DD14}"/>
                </a:ext>
              </a:extLst>
            </xdr:cNvPr>
            <xdr:cNvSpPr txBox="1"/>
          </xdr:nvSpPr>
          <xdr:spPr>
            <a:xfrm>
              <a:off x="19050" y="22275165"/>
              <a:ext cx="95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5F6E747F-919D-403F-AFAD-66069E99DD14}"/>
                </a:ext>
              </a:extLst>
            </xdr:cNvPr>
            <xdr:cNvSpPr txBox="1"/>
          </xdr:nvSpPr>
          <xdr:spPr>
            <a:xfrm>
              <a:off x="19050" y="22275165"/>
              <a:ext cx="95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𝑀_𝑑=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𝑏.𝑀_𝑛=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723900</xdr:colOff>
      <xdr:row>117</xdr:row>
      <xdr:rowOff>11430</xdr:rowOff>
    </xdr:from>
    <xdr:ext cx="89986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9EAF085F-B6DA-47E8-9975-C337B1AB6461}"/>
                </a:ext>
              </a:extLst>
            </xdr:cNvPr>
            <xdr:cNvSpPr txBox="1"/>
          </xdr:nvSpPr>
          <xdr:spPr>
            <a:xfrm>
              <a:off x="2305050" y="22284690"/>
              <a:ext cx="899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𝑐𝑜𝑛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=0,95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9EAF085F-B6DA-47E8-9975-C337B1AB6461}"/>
                </a:ext>
              </a:extLst>
            </xdr:cNvPr>
            <xdr:cNvSpPr txBox="1"/>
          </xdr:nvSpPr>
          <xdr:spPr>
            <a:xfrm>
              <a:off x="2305050" y="22284690"/>
              <a:ext cx="899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〖𝑐𝑜𝑛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𝜙〗_</a:t>
              </a:r>
              <a:r>
                <a:rPr lang="es-AR" sz="1100" b="0" i="0">
                  <a:latin typeface="Cambria Math" panose="02040503050406030204" pitchFamily="18" charset="0"/>
                </a:rPr>
                <a:t>𝑏=0,95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106680</xdr:colOff>
      <xdr:row>123</xdr:row>
      <xdr:rowOff>110490</xdr:rowOff>
    </xdr:from>
    <xdr:ext cx="1364925" cy="3953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D31CC2C3-708F-44A1-8376-73FA24BA5142}"/>
                </a:ext>
              </a:extLst>
            </xdr:cNvPr>
            <xdr:cNvSpPr txBox="1"/>
          </xdr:nvSpPr>
          <xdr:spPr>
            <a:xfrm>
              <a:off x="104775" y="23465790"/>
              <a:ext cx="1364925" cy="3953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𝐶𝑏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𝑦𝑐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.(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)²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D31CC2C3-708F-44A1-8376-73FA24BA5142}"/>
                </a:ext>
              </a:extLst>
            </xdr:cNvPr>
            <xdr:cNvSpPr txBox="1"/>
          </xdr:nvSpPr>
          <xdr:spPr>
            <a:xfrm>
              <a:off x="104775" y="23465790"/>
              <a:ext cx="1364925" cy="3953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𝐹_𝑒=(𝐶𝑏.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𝜋^2.𝐸.𝑑.𝐼_𝑦𝑐)/(</a:t>
              </a:r>
              <a:r>
                <a:rPr lang="es-AR" sz="1100" b="0" i="0">
                  <a:latin typeface="Cambria Math" panose="02040503050406030204" pitchFamily="18" charset="0"/>
                </a:rPr>
                <a:t>𝑆_𝑓.(𝑘_𝑦.𝐿_𝑦)²)=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</xdr:colOff>
      <xdr:row>129</xdr:row>
      <xdr:rowOff>7620</xdr:rowOff>
    </xdr:from>
    <xdr:ext cx="1232902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8745695B-3424-4F79-B6B0-1884DF1A0A5B}"/>
                </a:ext>
              </a:extLst>
            </xdr:cNvPr>
            <xdr:cNvSpPr txBox="1"/>
          </xdr:nvSpPr>
          <xdr:spPr>
            <a:xfrm>
              <a:off x="19050" y="24450675"/>
              <a:ext cx="123290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𝐹𝑐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8745695B-3424-4F79-B6B0-1884DF1A0A5B}"/>
                </a:ext>
              </a:extLst>
            </xdr:cNvPr>
            <xdr:cNvSpPr txBox="1"/>
          </xdr:nvSpPr>
          <xdr:spPr>
            <a:xfrm>
              <a:off x="19050" y="24450675"/>
              <a:ext cx="123290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𝑀_𝑛=𝑆_𝑐.𝐹𝑐.10^(−3)=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7620</xdr:colOff>
      <xdr:row>131</xdr:row>
      <xdr:rowOff>16017</xdr:rowOff>
    </xdr:from>
    <xdr:ext cx="94422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9386FA0A-EDED-4812-B009-DB0E3A883255}"/>
                </a:ext>
              </a:extLst>
            </xdr:cNvPr>
            <xdr:cNvSpPr txBox="1"/>
          </xdr:nvSpPr>
          <xdr:spPr>
            <a:xfrm rot="10800000" flipV="1">
              <a:off x="9525" y="24822927"/>
              <a:ext cx="9442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9386FA0A-EDED-4812-B009-DB0E3A883255}"/>
                </a:ext>
              </a:extLst>
            </xdr:cNvPr>
            <xdr:cNvSpPr txBox="1"/>
          </xdr:nvSpPr>
          <xdr:spPr>
            <a:xfrm rot="10800000" flipV="1">
              <a:off x="9525" y="24822927"/>
              <a:ext cx="9442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𝑀_𝑑=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𝑏.𝑀_𝑛=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495300</xdr:colOff>
      <xdr:row>131</xdr:row>
      <xdr:rowOff>8397</xdr:rowOff>
    </xdr:from>
    <xdr:ext cx="120395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ACD41769-4F79-42D4-AD70-60319A7D7C87}"/>
                </a:ext>
              </a:extLst>
            </xdr:cNvPr>
            <xdr:cNvSpPr txBox="1"/>
          </xdr:nvSpPr>
          <xdr:spPr>
            <a:xfrm rot="10800000" flipV="1">
              <a:off x="2076450" y="24813402"/>
              <a:ext cx="12039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𝑐𝑜𝑛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=0,90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ACD41769-4F79-42D4-AD70-60319A7D7C87}"/>
                </a:ext>
              </a:extLst>
            </xdr:cNvPr>
            <xdr:cNvSpPr txBox="1"/>
          </xdr:nvSpPr>
          <xdr:spPr>
            <a:xfrm rot="10800000" flipV="1">
              <a:off x="2076450" y="24813402"/>
              <a:ext cx="12039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〖𝑐𝑜𝑛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𝜙〗_</a:t>
              </a:r>
              <a:r>
                <a:rPr lang="es-AR" sz="1100" b="0" i="0">
                  <a:latin typeface="Cambria Math" panose="02040503050406030204" pitchFamily="18" charset="0"/>
                </a:rPr>
                <a:t>𝑏=0,90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11430</xdr:colOff>
      <xdr:row>138</xdr:row>
      <xdr:rowOff>160020</xdr:rowOff>
    </xdr:from>
    <xdr:ext cx="678134" cy="20499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699E4691-2A8A-45C7-ADE4-935EC8ED47CB}"/>
                </a:ext>
              </a:extLst>
            </xdr:cNvPr>
            <xdr:cNvSpPr txBox="1"/>
          </xdr:nvSpPr>
          <xdr:spPr>
            <a:xfrm>
              <a:off x="1596390" y="26250900"/>
              <a:ext cx="678134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𝑘𝑣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𝐹𝑦</m:t>
                        </m:r>
                      </m:e>
                    </m:rad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699E4691-2A8A-45C7-ADE4-935EC8ED47CB}"/>
                </a:ext>
              </a:extLst>
            </xdr:cNvPr>
            <xdr:cNvSpPr txBox="1"/>
          </xdr:nvSpPr>
          <xdr:spPr>
            <a:xfrm>
              <a:off x="1596390" y="26250900"/>
              <a:ext cx="678134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√(</a:t>
              </a:r>
              <a:r>
                <a:rPr lang="es-AR" sz="1100" b="0" i="0">
                  <a:latin typeface="Cambria Math" panose="02040503050406030204" pitchFamily="18" charset="0"/>
                </a:rPr>
                <a:t>𝐸.𝑘𝑣/𝐹𝑦)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7</xdr:col>
      <xdr:colOff>457200</xdr:colOff>
      <xdr:row>138</xdr:row>
      <xdr:rowOff>152400</xdr:rowOff>
    </xdr:from>
    <xdr:ext cx="941348" cy="20499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0FEA7FAC-F6F7-4E04-85C3-B71A216F2208}"/>
                </a:ext>
              </a:extLst>
            </xdr:cNvPr>
            <xdr:cNvSpPr txBox="1"/>
          </xdr:nvSpPr>
          <xdr:spPr>
            <a:xfrm>
              <a:off x="5915025" y="26241375"/>
              <a:ext cx="941348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1,51</m:t>
                    </m:r>
                    <m:rad>
                      <m:radPr>
                        <m:degHide m:val="on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𝑘𝑣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𝐹𝑦</m:t>
                        </m:r>
                      </m:e>
                    </m:rad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0FEA7FAC-F6F7-4E04-85C3-B71A216F2208}"/>
                </a:ext>
              </a:extLst>
            </xdr:cNvPr>
            <xdr:cNvSpPr txBox="1"/>
          </xdr:nvSpPr>
          <xdr:spPr>
            <a:xfrm>
              <a:off x="5915025" y="26241375"/>
              <a:ext cx="941348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1,51</a:t>
              </a:r>
              <a:r>
                <a:rPr lang="es-AR" sz="1100" i="0">
                  <a:latin typeface="Cambria Math" panose="02040503050406030204" pitchFamily="18" charset="0"/>
                </a:rPr>
                <a:t>√(</a:t>
              </a:r>
              <a:r>
                <a:rPr lang="es-AR" sz="1100" b="0" i="0">
                  <a:latin typeface="Cambria Math" panose="02040503050406030204" pitchFamily="18" charset="0"/>
                </a:rPr>
                <a:t>𝐸.𝑘𝑣/𝐹𝑦)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7</xdr:col>
      <xdr:colOff>188595</xdr:colOff>
      <xdr:row>141</xdr:row>
      <xdr:rowOff>135255</xdr:rowOff>
    </xdr:from>
    <xdr:ext cx="1420004" cy="39171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28D126A2-8670-47AE-92F2-5C167ADD1038}"/>
                </a:ext>
              </a:extLst>
            </xdr:cNvPr>
            <xdr:cNvSpPr txBox="1"/>
          </xdr:nvSpPr>
          <xdr:spPr>
            <a:xfrm>
              <a:off x="5646420" y="26763345"/>
              <a:ext cx="1420004" cy="3917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𝐹𝑣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0,60</m:t>
                        </m:r>
                        <m:rad>
                          <m:radPr>
                            <m:degHide m:val="on"/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𝑘𝑣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𝐹𝑦</m:t>
                            </m:r>
                          </m:e>
                        </m:rad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h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28D126A2-8670-47AE-92F2-5C167ADD1038}"/>
                </a:ext>
              </a:extLst>
            </xdr:cNvPr>
            <xdr:cNvSpPr txBox="1"/>
          </xdr:nvSpPr>
          <xdr:spPr>
            <a:xfrm>
              <a:off x="5646420" y="26763345"/>
              <a:ext cx="1420004" cy="3917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𝐹𝑣=(0,60√(𝐸.𝑘𝑣.𝐹𝑦))/(ℎ/𝑡)=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38100</xdr:colOff>
      <xdr:row>146</xdr:row>
      <xdr:rowOff>3810</xdr:rowOff>
    </xdr:from>
    <xdr:ext cx="1298369" cy="17498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3021B5A0-FE61-45BC-B7C5-BA237D5FE233}"/>
                </a:ext>
              </a:extLst>
            </xdr:cNvPr>
            <xdr:cNvSpPr txBox="1"/>
          </xdr:nvSpPr>
          <xdr:spPr>
            <a:xfrm>
              <a:off x="38100" y="27542490"/>
              <a:ext cx="1298369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𝑉𝑛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𝐴𝑤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𝐹𝑦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3021B5A0-FE61-45BC-B7C5-BA237D5FE233}"/>
                </a:ext>
              </a:extLst>
            </xdr:cNvPr>
            <xdr:cNvSpPr txBox="1"/>
          </xdr:nvSpPr>
          <xdr:spPr>
            <a:xfrm>
              <a:off x="38100" y="27542490"/>
              <a:ext cx="1298369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𝑉𝑛=𝐴𝑤.𝐹𝑦.10^(−1)=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60960</xdr:colOff>
      <xdr:row>148</xdr:row>
      <xdr:rowOff>3810</xdr:rowOff>
    </xdr:from>
    <xdr:ext cx="91627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FD7472D8-668C-4E06-A04E-39DBCC2796FB}"/>
                </a:ext>
              </a:extLst>
            </xdr:cNvPr>
            <xdr:cNvSpPr txBox="1"/>
          </xdr:nvSpPr>
          <xdr:spPr>
            <a:xfrm>
              <a:off x="57150" y="27904440"/>
              <a:ext cx="9162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𝑉𝑑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𝑉𝑛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FD7472D8-668C-4E06-A04E-39DBCC2796FB}"/>
                </a:ext>
              </a:extLst>
            </xdr:cNvPr>
            <xdr:cNvSpPr txBox="1"/>
          </xdr:nvSpPr>
          <xdr:spPr>
            <a:xfrm>
              <a:off x="57150" y="27904440"/>
              <a:ext cx="9162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𝑉𝑑=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𝑣.𝑉𝑛=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731520</xdr:colOff>
      <xdr:row>148</xdr:row>
      <xdr:rowOff>22860</xdr:rowOff>
    </xdr:from>
    <xdr:ext cx="102869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428FAE10-A0AC-486B-8DA0-3D119AFDDED6}"/>
                </a:ext>
              </a:extLst>
            </xdr:cNvPr>
            <xdr:cNvSpPr txBox="1"/>
          </xdr:nvSpPr>
          <xdr:spPr>
            <a:xfrm rot="10800000" flipV="1">
              <a:off x="2314575" y="27917775"/>
              <a:ext cx="10286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𝑐𝑜𝑛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=0,95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428FAE10-A0AC-486B-8DA0-3D119AFDDED6}"/>
                </a:ext>
              </a:extLst>
            </xdr:cNvPr>
            <xdr:cNvSpPr txBox="1"/>
          </xdr:nvSpPr>
          <xdr:spPr>
            <a:xfrm rot="10800000" flipV="1">
              <a:off x="2314575" y="27917775"/>
              <a:ext cx="10286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〖𝑐𝑜𝑛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𝜙〗_</a:t>
              </a:r>
              <a:r>
                <a:rPr lang="es-AR" sz="1100" b="0" i="0">
                  <a:latin typeface="Cambria Math" panose="02040503050406030204" pitchFamily="18" charset="0"/>
                </a:rPr>
                <a:t>𝑣=0,95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152400</xdr:colOff>
      <xdr:row>72</xdr:row>
      <xdr:rowOff>19050</xdr:rowOff>
    </xdr:from>
    <xdr:ext cx="57150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7836B3F4-1697-42F8-AAF5-813FB60768A0}"/>
                </a:ext>
              </a:extLst>
            </xdr:cNvPr>
            <xdr:cNvSpPr txBox="1"/>
          </xdr:nvSpPr>
          <xdr:spPr>
            <a:xfrm>
              <a:off x="3314700" y="14102715"/>
              <a:ext cx="5715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⟹</m:t>
                        </m:r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 </m:t>
                        </m:r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7836B3F4-1697-42F8-AAF5-813FB60768A0}"/>
                </a:ext>
              </a:extLst>
            </xdr:cNvPr>
            <xdr:cNvSpPr txBox="1"/>
          </xdr:nvSpPr>
          <xdr:spPr>
            <a:xfrm>
              <a:off x="3314700" y="14102715"/>
              <a:ext cx="5715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⟹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𝑅〗_𝐼  =</a:t>
              </a:r>
              <a:endParaRPr lang="es-AR" sz="1100"/>
            </a:p>
          </xdr:txBody>
        </xdr:sp>
      </mc:Fallback>
    </mc:AlternateContent>
    <xdr:clientData/>
  </xdr:oneCellAnchor>
  <xdr:twoCellAnchor editAs="oneCell">
    <xdr:from>
      <xdr:col>0</xdr:col>
      <xdr:colOff>83820</xdr:colOff>
      <xdr:row>3</xdr:row>
      <xdr:rowOff>99060</xdr:rowOff>
    </xdr:from>
    <xdr:to>
      <xdr:col>4</xdr:col>
      <xdr:colOff>512003</xdr:colOff>
      <xdr:row>14</xdr:row>
      <xdr:rowOff>53340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C41960F3-5B81-433C-9ECC-3460C05AE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752475"/>
          <a:ext cx="3588578" cy="2472690"/>
        </a:xfrm>
        <a:prstGeom prst="rect">
          <a:avLst/>
        </a:prstGeom>
      </xdr:spPr>
    </xdr:pic>
    <xdr:clientData/>
  </xdr:twoCellAnchor>
  <xdr:oneCellAnchor>
    <xdr:from>
      <xdr:col>0</xdr:col>
      <xdr:colOff>60960</xdr:colOff>
      <xdr:row>186</xdr:row>
      <xdr:rowOff>87630</xdr:rowOff>
    </xdr:from>
    <xdr:ext cx="1741759" cy="36625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62940051-B677-410E-9C64-AB7183352C7A}"/>
                </a:ext>
              </a:extLst>
            </xdr:cNvPr>
            <xdr:cNvSpPr txBox="1"/>
          </xdr:nvSpPr>
          <xdr:spPr>
            <a:xfrm>
              <a:off x="57150" y="3550539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62940051-B677-410E-9C64-AB7183352C7A}"/>
                </a:ext>
              </a:extLst>
            </xdr:cNvPr>
            <xdr:cNvSpPr txBox="1"/>
          </xdr:nvSpPr>
          <xdr:spPr>
            <a:xfrm>
              <a:off x="57150" y="3550539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190500</xdr:colOff>
      <xdr:row>190</xdr:row>
      <xdr:rowOff>3810</xdr:rowOff>
    </xdr:from>
    <xdr:ext cx="764761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B8451136-5755-456F-A24D-7FEAD12C800E}"/>
                </a:ext>
              </a:extLst>
            </xdr:cNvPr>
            <xdr:cNvSpPr txBox="1"/>
          </xdr:nvSpPr>
          <xdr:spPr>
            <a:xfrm>
              <a:off x="190500" y="36143565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B8451136-5755-456F-A24D-7FEAD12C800E}"/>
                </a:ext>
              </a:extLst>
            </xdr:cNvPr>
            <xdr:cNvSpPr txBox="1"/>
          </xdr:nvSpPr>
          <xdr:spPr>
            <a:xfrm>
              <a:off x="190500" y="36143565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twoCellAnchor editAs="oneCell">
    <xdr:from>
      <xdr:col>0</xdr:col>
      <xdr:colOff>0</xdr:colOff>
      <xdr:row>162</xdr:row>
      <xdr:rowOff>129540</xdr:rowOff>
    </xdr:from>
    <xdr:to>
      <xdr:col>7</xdr:col>
      <xdr:colOff>60298</xdr:colOff>
      <xdr:row>171</xdr:row>
      <xdr:rowOff>91440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978AB850-7549-46AB-81D9-BEB74140DB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651450"/>
          <a:ext cx="5518123" cy="2015490"/>
        </a:xfrm>
        <a:prstGeom prst="rect">
          <a:avLst/>
        </a:prstGeom>
      </xdr:spPr>
    </xdr:pic>
    <xdr:clientData/>
  </xdr:twoCellAnchor>
  <xdr:oneCellAnchor>
    <xdr:from>
      <xdr:col>0</xdr:col>
      <xdr:colOff>76200</xdr:colOff>
      <xdr:row>194</xdr:row>
      <xdr:rowOff>148590</xdr:rowOff>
    </xdr:from>
    <xdr:ext cx="831125" cy="25115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CuadroTexto 35">
              <a:extLst>
                <a:ext uri="{FF2B5EF4-FFF2-40B4-BE49-F238E27FC236}">
                  <a16:creationId xmlns:a16="http://schemas.microsoft.com/office/drawing/2014/main" id="{63D1B156-BC33-436E-BAA9-2FBC9AAE3D86}"/>
                </a:ext>
              </a:extLst>
            </xdr:cNvPr>
            <xdr:cNvSpPr txBox="1"/>
          </xdr:nvSpPr>
          <xdr:spPr>
            <a:xfrm>
              <a:off x="76200" y="37010340"/>
              <a:ext cx="831125" cy="251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AR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𝜌</m:t>
                  </m:r>
                  <m:r>
                    <a:rPr lang="es-A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A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s-A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(1−</m:t>
                      </m:r>
                      <m:f>
                        <m:fPr>
                          <m:type m:val="lin"/>
                          <m:ctrlPr>
                            <a:rPr lang="es-A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A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0,22</m:t>
                          </m:r>
                        </m:num>
                        <m:den>
                          <m:r>
                            <a:rPr lang="es-A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𝜆</m:t>
                          </m:r>
                        </m:den>
                      </m:f>
                    </m:num>
                    <m:den>
                      <m:r>
                        <a:rPr lang="es-A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𝜆</m:t>
                      </m:r>
                    </m:den>
                  </m:f>
                </m:oMath>
              </a14:m>
              <a:r>
                <a:rPr lang="es-AR" sz="1100"/>
                <a:t>=</a:t>
              </a:r>
            </a:p>
          </xdr:txBody>
        </xdr:sp>
      </mc:Choice>
      <mc:Fallback>
        <xdr:sp macro="" textlink="">
          <xdr:nvSpPr>
            <xdr:cNvPr id="36" name="CuadroTexto 35">
              <a:extLst>
                <a:ext uri="{FF2B5EF4-FFF2-40B4-BE49-F238E27FC236}">
                  <a16:creationId xmlns:a16="http://schemas.microsoft.com/office/drawing/2014/main" id="{63D1B156-BC33-436E-BAA9-2FBC9AAE3D86}"/>
                </a:ext>
              </a:extLst>
            </xdr:cNvPr>
            <xdr:cNvSpPr txBox="1"/>
          </xdr:nvSpPr>
          <xdr:spPr>
            <a:xfrm>
              <a:off x="76200" y="37010340"/>
              <a:ext cx="831125" cy="251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=((1−0,22∕𝜆)/𝜆</a:t>
              </a:r>
              <a:r>
                <a:rPr lang="es-AR" sz="1100"/>
                <a:t>=</a:t>
              </a:r>
            </a:p>
          </xdr:txBody>
        </xdr:sp>
      </mc:Fallback>
    </mc:AlternateContent>
    <xdr:clientData/>
  </xdr:oneCellAnchor>
  <xdr:oneCellAnchor>
    <xdr:from>
      <xdr:col>0</xdr:col>
      <xdr:colOff>60960</xdr:colOff>
      <xdr:row>197</xdr:row>
      <xdr:rowOff>19050</xdr:rowOff>
    </xdr:from>
    <xdr:ext cx="70949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E4C9873C-8471-4474-BBA9-6091C0BA2DEF}"/>
                </a:ext>
              </a:extLst>
            </xdr:cNvPr>
            <xdr:cNvSpPr txBox="1"/>
          </xdr:nvSpPr>
          <xdr:spPr>
            <a:xfrm>
              <a:off x="57150" y="37419915"/>
              <a:ext cx="7094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𝜌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𝑏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E4C9873C-8471-4474-BBA9-6091C0BA2DEF}"/>
                </a:ext>
              </a:extLst>
            </xdr:cNvPr>
            <xdr:cNvSpPr txBox="1"/>
          </xdr:nvSpPr>
          <xdr:spPr>
            <a:xfrm>
              <a:off x="57150" y="37419915"/>
              <a:ext cx="7094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𝑏_𝑒=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𝜌.𝑏=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133350</xdr:colOff>
      <xdr:row>134</xdr:row>
      <xdr:rowOff>91440</xdr:rowOff>
    </xdr:from>
    <xdr:ext cx="1142685" cy="1867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5BF6A32B-7E0D-4A17-91EE-4AA890E9D09F}"/>
                </a:ext>
              </a:extLst>
            </xdr:cNvPr>
            <xdr:cNvSpPr txBox="1"/>
          </xdr:nvSpPr>
          <xdr:spPr>
            <a:xfrm>
              <a:off x="129540" y="25441275"/>
              <a:ext cx="1142685" cy="18678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s-AR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𝑴</m:t>
                            </m:r>
                          </m:e>
                          <m:sub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𝒅</m:t>
                            </m:r>
                          </m:sub>
                        </m:sSub>
                      </m:e>
                      <m:sub>
                        <m:r>
                          <a:rPr lang="es-AR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sub>
                    </m:sSub>
                    <m:r>
                      <a:rPr lang="es-AR" sz="11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𝟔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𝟐𝟔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𝒌𝑵𝒎</m:t>
                    </m:r>
                  </m:oMath>
                </m:oMathPara>
              </a14:m>
              <a:endParaRPr lang="es-AR" sz="1100" b="1"/>
            </a:p>
          </xdr:txBody>
        </xdr:sp>
      </mc:Choice>
      <mc:Fallback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5BF6A32B-7E0D-4A17-91EE-4AA890E9D09F}"/>
                </a:ext>
              </a:extLst>
            </xdr:cNvPr>
            <xdr:cNvSpPr txBox="1"/>
          </xdr:nvSpPr>
          <xdr:spPr>
            <a:xfrm>
              <a:off x="129540" y="25441275"/>
              <a:ext cx="1142685" cy="18678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1" i="0">
                  <a:latin typeface="Cambria Math" panose="02040503050406030204" pitchFamily="18" charset="0"/>
                </a:rPr>
                <a:t>〖𝑴_𝒅〗_𝒙=𝟔,𝟐𝟔 𝒌𝑵𝒎</a:t>
              </a:r>
              <a:endParaRPr lang="es-AR" sz="1100" b="1"/>
            </a:p>
          </xdr:txBody>
        </xdr:sp>
      </mc:Fallback>
    </mc:AlternateContent>
    <xdr:clientData/>
  </xdr:oneCellAnchor>
  <xdr:oneCellAnchor>
    <xdr:from>
      <xdr:col>0</xdr:col>
      <xdr:colOff>93345</xdr:colOff>
      <xdr:row>149</xdr:row>
      <xdr:rowOff>169545</xdr:rowOff>
    </xdr:from>
    <xdr:ext cx="1059008" cy="1867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30EA704C-875D-443E-A617-7E89BEB7F4FA}"/>
                </a:ext>
              </a:extLst>
            </xdr:cNvPr>
            <xdr:cNvSpPr txBox="1"/>
          </xdr:nvSpPr>
          <xdr:spPr>
            <a:xfrm>
              <a:off x="97155" y="28253055"/>
              <a:ext cx="1059008" cy="18678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s-AR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𝑽</m:t>
                            </m:r>
                          </m:e>
                          <m:sub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𝒅</m:t>
                            </m:r>
                          </m:sub>
                        </m:sSub>
                      </m:e>
                      <m:sub>
                        <m:r>
                          <a:rPr lang="es-AR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sub>
                    </m:sSub>
                    <m:r>
                      <a:rPr lang="es-AR" sz="11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𝟓𝟎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𝟐𝟑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𝒌𝑵</m:t>
                    </m:r>
                  </m:oMath>
                </m:oMathPara>
              </a14:m>
              <a:endParaRPr lang="es-AR" sz="1100" b="1"/>
            </a:p>
          </xdr:txBody>
        </xdr:sp>
      </mc:Choice>
      <mc:Fallback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30EA704C-875D-443E-A617-7E89BEB7F4FA}"/>
                </a:ext>
              </a:extLst>
            </xdr:cNvPr>
            <xdr:cNvSpPr txBox="1"/>
          </xdr:nvSpPr>
          <xdr:spPr>
            <a:xfrm>
              <a:off x="97155" y="28253055"/>
              <a:ext cx="1059008" cy="18678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1" i="0">
                  <a:latin typeface="Cambria Math" panose="02040503050406030204" pitchFamily="18" charset="0"/>
                </a:rPr>
                <a:t>〖𝑽_𝒅〗_𝒙=𝟓𝟎,𝟐𝟑 𝒌𝑵</a:t>
              </a:r>
              <a:endParaRPr lang="es-AR" sz="1100" b="1"/>
            </a:p>
          </xdr:txBody>
        </xdr:sp>
      </mc:Fallback>
    </mc:AlternateContent>
    <xdr:clientData/>
  </xdr:oneCellAnchor>
  <xdr:oneCellAnchor>
    <xdr:from>
      <xdr:col>0</xdr:col>
      <xdr:colOff>60960</xdr:colOff>
      <xdr:row>214</xdr:row>
      <xdr:rowOff>106680</xdr:rowOff>
    </xdr:from>
    <xdr:ext cx="919033" cy="3012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0" name="CuadroTexto 39">
              <a:extLst>
                <a:ext uri="{FF2B5EF4-FFF2-40B4-BE49-F238E27FC236}">
                  <a16:creationId xmlns:a16="http://schemas.microsoft.com/office/drawing/2014/main" id="{575D6F2B-0BF8-4460-A98E-21D15090DF0E}"/>
                </a:ext>
              </a:extLst>
            </xdr:cNvPr>
            <xdr:cNvSpPr txBox="1"/>
          </xdr:nvSpPr>
          <xdr:spPr>
            <a:xfrm>
              <a:off x="57150" y="40643175"/>
              <a:ext cx="919033" cy="3012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𝜓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skw"/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40" name="CuadroTexto 39">
              <a:extLst>
                <a:ext uri="{FF2B5EF4-FFF2-40B4-BE49-F238E27FC236}">
                  <a16:creationId xmlns:a16="http://schemas.microsoft.com/office/drawing/2014/main" id="{575D6F2B-0BF8-4460-A98E-21D15090DF0E}"/>
                </a:ext>
              </a:extLst>
            </xdr:cNvPr>
            <xdr:cNvSpPr txBox="1"/>
          </xdr:nvSpPr>
          <xdr:spPr>
            <a:xfrm>
              <a:off x="57150" y="40643175"/>
              <a:ext cx="919033" cy="3012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𝜓=|𝑓1⁄𝑓2|=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30480</xdr:colOff>
      <xdr:row>217</xdr:row>
      <xdr:rowOff>0</xdr:rowOff>
    </xdr:from>
    <xdr:ext cx="2007344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9E9F7EBC-3C24-4032-9CA3-25BF4C72E9A7}"/>
                </a:ext>
              </a:extLst>
            </xdr:cNvPr>
            <xdr:cNvSpPr txBox="1"/>
          </xdr:nvSpPr>
          <xdr:spPr>
            <a:xfrm>
              <a:off x="28575" y="41081325"/>
              <a:ext cx="20073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=4+2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𝜓</m:t>
                            </m:r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+2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𝜓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9E9F7EBC-3C24-4032-9CA3-25BF4C72E9A7}"/>
                </a:ext>
              </a:extLst>
            </xdr:cNvPr>
            <xdr:cNvSpPr txBox="1"/>
          </xdr:nvSpPr>
          <xdr:spPr>
            <a:xfrm>
              <a:off x="28575" y="41081325"/>
              <a:ext cx="20073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𝑘=4+2(1+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𝜓)^3+2(1+𝜓)=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219</xdr:row>
      <xdr:rowOff>76200</xdr:rowOff>
    </xdr:from>
    <xdr:ext cx="1741759" cy="36625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F16AEBB6-521B-48AF-9278-8B30482A3224}"/>
                </a:ext>
              </a:extLst>
            </xdr:cNvPr>
            <xdr:cNvSpPr txBox="1"/>
          </xdr:nvSpPr>
          <xdr:spPr>
            <a:xfrm>
              <a:off x="85725" y="41519475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F16AEBB6-521B-48AF-9278-8B30482A3224}"/>
                </a:ext>
              </a:extLst>
            </xdr:cNvPr>
            <xdr:cNvSpPr txBox="1"/>
          </xdr:nvSpPr>
          <xdr:spPr>
            <a:xfrm>
              <a:off x="85725" y="41519475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198120</xdr:colOff>
      <xdr:row>222</xdr:row>
      <xdr:rowOff>0</xdr:rowOff>
    </xdr:from>
    <xdr:ext cx="764761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1547D689-470E-4D95-AC67-AF4CB86FD5B5}"/>
                </a:ext>
              </a:extLst>
            </xdr:cNvPr>
            <xdr:cNvSpPr txBox="1"/>
          </xdr:nvSpPr>
          <xdr:spPr>
            <a:xfrm>
              <a:off x="200025" y="4198620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1547D689-470E-4D95-AC67-AF4CB86FD5B5}"/>
                </a:ext>
              </a:extLst>
            </xdr:cNvPr>
            <xdr:cNvSpPr txBox="1"/>
          </xdr:nvSpPr>
          <xdr:spPr>
            <a:xfrm>
              <a:off x="200025" y="4198620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</xdr:colOff>
      <xdr:row>229</xdr:row>
      <xdr:rowOff>11430</xdr:rowOff>
    </xdr:from>
    <xdr:ext cx="1248547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D54E2619-BDA7-4535-866C-2AAA3F747AD7}"/>
                </a:ext>
              </a:extLst>
            </xdr:cNvPr>
            <xdr:cNvSpPr txBox="1"/>
          </xdr:nvSpPr>
          <xdr:spPr>
            <a:xfrm>
              <a:off x="19050" y="43287315"/>
              <a:ext cx="12485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𝐹𝑦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,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D54E2619-BDA7-4535-866C-2AAA3F747AD7}"/>
                </a:ext>
              </a:extLst>
            </xdr:cNvPr>
            <xdr:cNvSpPr txBox="1"/>
          </xdr:nvSpPr>
          <xdr:spPr>
            <a:xfrm>
              <a:off x="19050" y="43287315"/>
              <a:ext cx="12485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𝑀_𝑛=𝑆_𝑒.𝐹𝑦,10^(−3)=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22860</xdr:colOff>
      <xdr:row>231</xdr:row>
      <xdr:rowOff>3810</xdr:rowOff>
    </xdr:from>
    <xdr:ext cx="95212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5" name="CuadroTexto 44">
              <a:extLst>
                <a:ext uri="{FF2B5EF4-FFF2-40B4-BE49-F238E27FC236}">
                  <a16:creationId xmlns:a16="http://schemas.microsoft.com/office/drawing/2014/main" id="{6654CC7F-D4F0-47B8-B5E1-1935CF45B3BA}"/>
                </a:ext>
              </a:extLst>
            </xdr:cNvPr>
            <xdr:cNvSpPr txBox="1"/>
          </xdr:nvSpPr>
          <xdr:spPr>
            <a:xfrm>
              <a:off x="19050" y="43639740"/>
              <a:ext cx="95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45" name="CuadroTexto 44">
              <a:extLst>
                <a:ext uri="{FF2B5EF4-FFF2-40B4-BE49-F238E27FC236}">
                  <a16:creationId xmlns:a16="http://schemas.microsoft.com/office/drawing/2014/main" id="{6654CC7F-D4F0-47B8-B5E1-1935CF45B3BA}"/>
                </a:ext>
              </a:extLst>
            </xdr:cNvPr>
            <xdr:cNvSpPr txBox="1"/>
          </xdr:nvSpPr>
          <xdr:spPr>
            <a:xfrm>
              <a:off x="19050" y="43639740"/>
              <a:ext cx="95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𝑀_𝑑=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𝑏.𝑀_𝑛=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723900</xdr:colOff>
      <xdr:row>231</xdr:row>
      <xdr:rowOff>11430</xdr:rowOff>
    </xdr:from>
    <xdr:ext cx="89986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6" name="CuadroTexto 45">
              <a:extLst>
                <a:ext uri="{FF2B5EF4-FFF2-40B4-BE49-F238E27FC236}">
                  <a16:creationId xmlns:a16="http://schemas.microsoft.com/office/drawing/2014/main" id="{55A4961F-5E8E-42DE-BC28-B387A2BB5852}"/>
                </a:ext>
              </a:extLst>
            </xdr:cNvPr>
            <xdr:cNvSpPr txBox="1"/>
          </xdr:nvSpPr>
          <xdr:spPr>
            <a:xfrm>
              <a:off x="2305050" y="43649265"/>
              <a:ext cx="899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𝑐𝑜𝑛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=0,95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46" name="CuadroTexto 45">
              <a:extLst>
                <a:ext uri="{FF2B5EF4-FFF2-40B4-BE49-F238E27FC236}">
                  <a16:creationId xmlns:a16="http://schemas.microsoft.com/office/drawing/2014/main" id="{55A4961F-5E8E-42DE-BC28-B387A2BB5852}"/>
                </a:ext>
              </a:extLst>
            </xdr:cNvPr>
            <xdr:cNvSpPr txBox="1"/>
          </xdr:nvSpPr>
          <xdr:spPr>
            <a:xfrm>
              <a:off x="2305050" y="43649265"/>
              <a:ext cx="899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〖𝑐𝑜𝑛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𝜙〗_</a:t>
              </a:r>
              <a:r>
                <a:rPr lang="es-AR" sz="1100" b="0" i="0">
                  <a:latin typeface="Cambria Math" panose="02040503050406030204" pitchFamily="18" charset="0"/>
                </a:rPr>
                <a:t>𝑏=0,95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98164</xdr:colOff>
      <xdr:row>233</xdr:row>
      <xdr:rowOff>174924</xdr:rowOff>
    </xdr:from>
    <xdr:ext cx="1144865" cy="20794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7" name="CuadroTexto 46">
              <a:extLst>
                <a:ext uri="{FF2B5EF4-FFF2-40B4-BE49-F238E27FC236}">
                  <a16:creationId xmlns:a16="http://schemas.microsoft.com/office/drawing/2014/main" id="{1A9524F1-22D6-412A-A9EE-0194A7F17330}"/>
                </a:ext>
              </a:extLst>
            </xdr:cNvPr>
            <xdr:cNvSpPr txBox="1"/>
          </xdr:nvSpPr>
          <xdr:spPr>
            <a:xfrm>
              <a:off x="94354" y="44167089"/>
              <a:ext cx="1144865" cy="20794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s-AR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𝑴</m:t>
                            </m:r>
                          </m:e>
                          <m:sub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𝒅</m:t>
                            </m:r>
                          </m:sub>
                        </m:sSub>
                      </m:e>
                      <m:sub>
                        <m:r>
                          <a:rPr lang="es-AR" sz="1100" b="1" i="1">
                            <a:latin typeface="Cambria Math" panose="02040503050406030204" pitchFamily="18" charset="0"/>
                          </a:rPr>
                          <m:t>𝒚</m:t>
                        </m:r>
                      </m:sub>
                    </m:sSub>
                    <m:r>
                      <a:rPr lang="es-AR" sz="11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𝟎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𝟖𝟒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𝒌𝑵𝒎</m:t>
                    </m:r>
                  </m:oMath>
                </m:oMathPara>
              </a14:m>
              <a:endParaRPr lang="es-AR" sz="1100" b="1"/>
            </a:p>
          </xdr:txBody>
        </xdr:sp>
      </mc:Choice>
      <mc:Fallback>
        <xdr:sp macro="" textlink="">
          <xdr:nvSpPr>
            <xdr:cNvPr id="47" name="CuadroTexto 46">
              <a:extLst>
                <a:ext uri="{FF2B5EF4-FFF2-40B4-BE49-F238E27FC236}">
                  <a16:creationId xmlns:a16="http://schemas.microsoft.com/office/drawing/2014/main" id="{1A9524F1-22D6-412A-A9EE-0194A7F17330}"/>
                </a:ext>
              </a:extLst>
            </xdr:cNvPr>
            <xdr:cNvSpPr txBox="1"/>
          </xdr:nvSpPr>
          <xdr:spPr>
            <a:xfrm>
              <a:off x="94354" y="44167089"/>
              <a:ext cx="1144865" cy="20794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1" i="0">
                  <a:latin typeface="Cambria Math" panose="02040503050406030204" pitchFamily="18" charset="0"/>
                </a:rPr>
                <a:t>〖𝑴_𝒅〗_𝒚=𝟎,𝟖𝟒 𝒌𝑵𝒎</a:t>
              </a:r>
              <a:endParaRPr lang="es-AR" sz="1100" b="1"/>
            </a:p>
          </xdr:txBody>
        </xdr:sp>
      </mc:Fallback>
    </mc:AlternateContent>
    <xdr:clientData/>
  </xdr:oneCellAnchor>
  <xdr:oneCellAnchor>
    <xdr:from>
      <xdr:col>0</xdr:col>
      <xdr:colOff>129540</xdr:colOff>
      <xdr:row>70</xdr:row>
      <xdr:rowOff>45720</xdr:rowOff>
    </xdr:from>
    <xdr:ext cx="124001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8" name="CuadroTexto 47">
              <a:extLst>
                <a:ext uri="{FF2B5EF4-FFF2-40B4-BE49-F238E27FC236}">
                  <a16:creationId xmlns:a16="http://schemas.microsoft.com/office/drawing/2014/main" id="{E3E63064-A1DE-4903-AE25-2AC48D09DE0E}"/>
                </a:ext>
              </a:extLst>
            </xdr:cNvPr>
            <xdr:cNvSpPr txBox="1"/>
          </xdr:nvSpPr>
          <xdr:spPr>
            <a:xfrm>
              <a:off x="133350" y="13744575"/>
              <a:ext cx="12400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𝑀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í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𝑛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48" name="CuadroTexto 47">
              <a:extLst>
                <a:ext uri="{FF2B5EF4-FFF2-40B4-BE49-F238E27FC236}">
                  <a16:creationId xmlns:a16="http://schemas.microsoft.com/office/drawing/2014/main" id="{E3E63064-A1DE-4903-AE25-2AC48D09DE0E}"/>
                </a:ext>
              </a:extLst>
            </xdr:cNvPr>
            <xdr:cNvSpPr txBox="1"/>
          </xdr:nvSpPr>
          <xdr:spPr>
            <a:xfrm>
              <a:off x="133350" y="13744575"/>
              <a:ext cx="12400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𝐼_𝑎=𝑀í𝑛(𝐼_𝑎1,𝐼_𝑎2 )=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74</xdr:row>
      <xdr:rowOff>0</xdr:rowOff>
    </xdr:from>
    <xdr:ext cx="51424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9" name="CuadroTexto 48">
              <a:extLst>
                <a:ext uri="{FF2B5EF4-FFF2-40B4-BE49-F238E27FC236}">
                  <a16:creationId xmlns:a16="http://schemas.microsoft.com/office/drawing/2014/main" id="{1168F9F9-950D-4B20-93BF-917A9E91FE39}"/>
                </a:ext>
              </a:extLst>
            </xdr:cNvPr>
            <xdr:cNvSpPr txBox="1"/>
          </xdr:nvSpPr>
          <xdr:spPr>
            <a:xfrm>
              <a:off x="3952875" y="14449425"/>
              <a:ext cx="5142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⇒   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𝑛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49" name="CuadroTexto 48">
              <a:extLst>
                <a:ext uri="{FF2B5EF4-FFF2-40B4-BE49-F238E27FC236}">
                  <a16:creationId xmlns:a16="http://schemas.microsoft.com/office/drawing/2014/main" id="{1168F9F9-950D-4B20-93BF-917A9E91FE39}"/>
                </a:ext>
              </a:extLst>
            </xdr:cNvPr>
            <xdr:cNvSpPr txBox="1"/>
          </xdr:nvSpPr>
          <xdr:spPr>
            <a:xfrm>
              <a:off x="3952875" y="14449425"/>
              <a:ext cx="5142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⇒   𝑛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76200</xdr:colOff>
      <xdr:row>248</xdr:row>
      <xdr:rowOff>224790</xdr:rowOff>
    </xdr:from>
    <xdr:ext cx="30745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0" name="CuadroTexto 49">
              <a:extLst>
                <a:ext uri="{FF2B5EF4-FFF2-40B4-BE49-F238E27FC236}">
                  <a16:creationId xmlns:a16="http://schemas.microsoft.com/office/drawing/2014/main" id="{9C8DB02E-EC5D-4600-BFF0-306DBC9EF87F}"/>
                </a:ext>
              </a:extLst>
            </xdr:cNvPr>
            <xdr:cNvSpPr txBox="1"/>
          </xdr:nvSpPr>
          <xdr:spPr>
            <a:xfrm>
              <a:off x="76200" y="46954440"/>
              <a:ext cx="3074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50" name="CuadroTexto 49">
              <a:extLst>
                <a:ext uri="{FF2B5EF4-FFF2-40B4-BE49-F238E27FC236}">
                  <a16:creationId xmlns:a16="http://schemas.microsoft.com/office/drawing/2014/main" id="{9C8DB02E-EC5D-4600-BFF0-306DBC9EF87F}"/>
                </a:ext>
              </a:extLst>
            </xdr:cNvPr>
            <xdr:cNvSpPr txBox="1"/>
          </xdr:nvSpPr>
          <xdr:spPr>
            <a:xfrm>
              <a:off x="76200" y="46954440"/>
              <a:ext cx="3074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𝑞_𝑠=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60960</xdr:colOff>
      <xdr:row>249</xdr:row>
      <xdr:rowOff>179070</xdr:rowOff>
    </xdr:from>
    <xdr:ext cx="31457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1" name="CuadroTexto 50">
              <a:extLst>
                <a:ext uri="{FF2B5EF4-FFF2-40B4-BE49-F238E27FC236}">
                  <a16:creationId xmlns:a16="http://schemas.microsoft.com/office/drawing/2014/main" id="{9B681E9A-B0DE-463A-A3A0-3BCF7F642CD7}"/>
                </a:ext>
              </a:extLst>
            </xdr:cNvPr>
            <xdr:cNvSpPr txBox="1"/>
          </xdr:nvSpPr>
          <xdr:spPr>
            <a:xfrm>
              <a:off x="57150" y="47135415"/>
              <a:ext cx="3145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51" name="CuadroTexto 50">
              <a:extLst>
                <a:ext uri="{FF2B5EF4-FFF2-40B4-BE49-F238E27FC236}">
                  <a16:creationId xmlns:a16="http://schemas.microsoft.com/office/drawing/2014/main" id="{9B681E9A-B0DE-463A-A3A0-3BCF7F642CD7}"/>
                </a:ext>
              </a:extLst>
            </xdr:cNvPr>
            <xdr:cNvSpPr txBox="1"/>
          </xdr:nvSpPr>
          <xdr:spPr>
            <a:xfrm>
              <a:off x="57150" y="47135415"/>
              <a:ext cx="3145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𝑞_𝐿=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76200</xdr:colOff>
      <xdr:row>251</xdr:row>
      <xdr:rowOff>80010</xdr:rowOff>
    </xdr:from>
    <xdr:ext cx="866071" cy="3169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2" name="CuadroTexto 51">
              <a:extLst>
                <a:ext uri="{FF2B5EF4-FFF2-40B4-BE49-F238E27FC236}">
                  <a16:creationId xmlns:a16="http://schemas.microsoft.com/office/drawing/2014/main" id="{2DB6E8AB-C086-43B4-8A98-D882C7006BAD}"/>
                </a:ext>
              </a:extLst>
            </xdr:cNvPr>
            <xdr:cNvSpPr txBox="1"/>
          </xdr:nvSpPr>
          <xdr:spPr>
            <a:xfrm>
              <a:off x="76200" y="47402115"/>
              <a:ext cx="866071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á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200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52" name="CuadroTexto 51">
              <a:extLst>
                <a:ext uri="{FF2B5EF4-FFF2-40B4-BE49-F238E27FC236}">
                  <a16:creationId xmlns:a16="http://schemas.microsoft.com/office/drawing/2014/main" id="{2DB6E8AB-C086-43B4-8A98-D882C7006BAD}"/>
                </a:ext>
              </a:extLst>
            </xdr:cNvPr>
            <xdr:cNvSpPr txBox="1"/>
          </xdr:nvSpPr>
          <xdr:spPr>
            <a:xfrm>
              <a:off x="76200" y="47402115"/>
              <a:ext cx="866071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𝑓_𝑚á𝑥=𝐿/200=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45720</xdr:colOff>
      <xdr:row>253</xdr:row>
      <xdr:rowOff>106680</xdr:rowOff>
    </xdr:from>
    <xdr:ext cx="922368" cy="3169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3" name="CuadroTexto 52">
              <a:extLst>
                <a:ext uri="{FF2B5EF4-FFF2-40B4-BE49-F238E27FC236}">
                  <a16:creationId xmlns:a16="http://schemas.microsoft.com/office/drawing/2014/main" id="{75FC4362-9935-47CB-8453-E42EFE5F605A}"/>
                </a:ext>
              </a:extLst>
            </xdr:cNvPr>
            <xdr:cNvSpPr txBox="1"/>
          </xdr:nvSpPr>
          <xdr:spPr>
            <a:xfrm>
              <a:off x="47625" y="47786925"/>
              <a:ext cx="922368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á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𝑥𝐿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240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53" name="CuadroTexto 52">
              <a:extLst>
                <a:ext uri="{FF2B5EF4-FFF2-40B4-BE49-F238E27FC236}">
                  <a16:creationId xmlns:a16="http://schemas.microsoft.com/office/drawing/2014/main" id="{75FC4362-9935-47CB-8453-E42EFE5F605A}"/>
                </a:ext>
              </a:extLst>
            </xdr:cNvPr>
            <xdr:cNvSpPr txBox="1"/>
          </xdr:nvSpPr>
          <xdr:spPr>
            <a:xfrm>
              <a:off x="47625" y="47786925"/>
              <a:ext cx="922368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𝑓_𝑚á𝑥𝐿=𝐿/240=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121920</xdr:colOff>
      <xdr:row>257</xdr:row>
      <xdr:rowOff>118110</xdr:rowOff>
    </xdr:from>
    <xdr:ext cx="982192" cy="3354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4" name="CuadroTexto 53">
              <a:extLst>
                <a:ext uri="{FF2B5EF4-FFF2-40B4-BE49-F238E27FC236}">
                  <a16:creationId xmlns:a16="http://schemas.microsoft.com/office/drawing/2014/main" id="{752DD92F-88EB-4568-92A2-652DA3A8951E}"/>
                </a:ext>
              </a:extLst>
            </xdr:cNvPr>
            <xdr:cNvSpPr txBox="1"/>
          </xdr:nvSpPr>
          <xdr:spPr>
            <a:xfrm>
              <a:off x="123825" y="48526065"/>
              <a:ext cx="982192" cy="3354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AR" sz="1400" b="0" i="1">
                      <a:latin typeface="Cambria Math" panose="02040503050406030204" pitchFamily="18" charset="0"/>
                    </a:rPr>
                    <m:t>𝑓</m:t>
                  </m:r>
                  <m:r>
                    <a:rPr lang="es-AR" sz="14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AR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AR" sz="1400" b="0" i="1">
                          <a:latin typeface="Cambria Math" panose="02040503050406030204" pitchFamily="18" charset="0"/>
                        </a:rPr>
                        <m:t>5</m:t>
                      </m:r>
                    </m:num>
                    <m:den>
                      <m:r>
                        <a:rPr lang="es-AR" sz="1400" b="0" i="1">
                          <a:latin typeface="Cambria Math" panose="02040503050406030204" pitchFamily="18" charset="0"/>
                        </a:rPr>
                        <m:t>384</m:t>
                      </m:r>
                    </m:den>
                  </m:f>
                  <m:f>
                    <m:fPr>
                      <m:ctrlPr>
                        <a:rPr lang="es-AR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s-AR" sz="1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𝑞</m:t>
                          </m:r>
                        </m:e>
                        <m:sub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𝑠</m:t>
                          </m:r>
                        </m:sub>
                      </m:sSub>
                      <m:r>
                        <a:rPr lang="es-AR" sz="1400" b="0" i="1">
                          <a:latin typeface="Cambria Math" panose="02040503050406030204" pitchFamily="18" charset="0"/>
                        </a:rPr>
                        <m:t>.</m:t>
                      </m:r>
                      <m:sSup>
                        <m:sSupPr>
                          <m:ctrlPr>
                            <a:rPr lang="es-AR" sz="14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𝐿</m:t>
                          </m:r>
                        </m:e>
                        <m:sup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4</m:t>
                          </m:r>
                        </m:sup>
                      </m:sSup>
                    </m:num>
                    <m:den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𝐸</m:t>
                      </m:r>
                      <m:r>
                        <a:rPr lang="es-AR" sz="1400" b="0" i="1">
                          <a:latin typeface="Cambria Math" panose="02040503050406030204" pitchFamily="18" charset="0"/>
                        </a:rPr>
                        <m:t>.</m:t>
                      </m:r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𝐼</m:t>
                      </m:r>
                    </m:den>
                  </m:f>
                </m:oMath>
              </a14:m>
              <a:r>
                <a:rPr lang="es-AR" sz="1400"/>
                <a:t>=</a:t>
              </a:r>
              <a:endParaRPr lang="es-AR" sz="1100"/>
            </a:p>
          </xdr:txBody>
        </xdr:sp>
      </mc:Choice>
      <mc:Fallback>
        <xdr:sp macro="" textlink="">
          <xdr:nvSpPr>
            <xdr:cNvPr id="54" name="CuadroTexto 53">
              <a:extLst>
                <a:ext uri="{FF2B5EF4-FFF2-40B4-BE49-F238E27FC236}">
                  <a16:creationId xmlns:a16="http://schemas.microsoft.com/office/drawing/2014/main" id="{752DD92F-88EB-4568-92A2-652DA3A8951E}"/>
                </a:ext>
              </a:extLst>
            </xdr:cNvPr>
            <xdr:cNvSpPr txBox="1"/>
          </xdr:nvSpPr>
          <xdr:spPr>
            <a:xfrm>
              <a:off x="123825" y="48526065"/>
              <a:ext cx="982192" cy="3354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400" b="0" i="0">
                  <a:latin typeface="Cambria Math" panose="02040503050406030204" pitchFamily="18" charset="0"/>
                </a:rPr>
                <a:t>𝑓=5/384  (𝑞_𝑠.𝐿^4)/(𝐸.𝐼)</a:t>
              </a:r>
              <a:r>
                <a:rPr lang="es-AR" sz="1400"/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68580</xdr:colOff>
      <xdr:row>259</xdr:row>
      <xdr:rowOff>114300</xdr:rowOff>
    </xdr:from>
    <xdr:ext cx="1045479" cy="3354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5" name="CuadroTexto 54">
              <a:extLst>
                <a:ext uri="{FF2B5EF4-FFF2-40B4-BE49-F238E27FC236}">
                  <a16:creationId xmlns:a16="http://schemas.microsoft.com/office/drawing/2014/main" id="{4A97969D-738C-453B-817B-D09FE47F1458}"/>
                </a:ext>
              </a:extLst>
            </xdr:cNvPr>
            <xdr:cNvSpPr txBox="1"/>
          </xdr:nvSpPr>
          <xdr:spPr>
            <a:xfrm>
              <a:off x="66675" y="48901350"/>
              <a:ext cx="1045479" cy="3354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AR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𝑓</m:t>
                      </m:r>
                    </m:e>
                    <m:sub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𝐿</m:t>
                      </m:r>
                    </m:sub>
                  </m:sSub>
                  <m:r>
                    <a:rPr lang="es-AR" sz="14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AR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AR" sz="1400" b="0" i="1">
                          <a:latin typeface="Cambria Math" panose="02040503050406030204" pitchFamily="18" charset="0"/>
                        </a:rPr>
                        <m:t>5</m:t>
                      </m:r>
                    </m:num>
                    <m:den>
                      <m:r>
                        <a:rPr lang="es-AR" sz="1400" b="0" i="1">
                          <a:latin typeface="Cambria Math" panose="02040503050406030204" pitchFamily="18" charset="0"/>
                        </a:rPr>
                        <m:t>384</m:t>
                      </m:r>
                    </m:den>
                  </m:f>
                  <m:f>
                    <m:fPr>
                      <m:ctrlPr>
                        <a:rPr lang="es-AR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s-AR" sz="1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𝑞</m:t>
                          </m:r>
                        </m:e>
                        <m:sub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𝐿</m:t>
                          </m:r>
                        </m:sub>
                      </m:sSub>
                      <m:r>
                        <a:rPr lang="es-AR" sz="1400" b="0" i="1">
                          <a:latin typeface="Cambria Math" panose="02040503050406030204" pitchFamily="18" charset="0"/>
                        </a:rPr>
                        <m:t>.</m:t>
                      </m:r>
                      <m:sSup>
                        <m:sSupPr>
                          <m:ctrlPr>
                            <a:rPr lang="es-AR" sz="14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𝐿</m:t>
                          </m:r>
                        </m:e>
                        <m:sup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4</m:t>
                          </m:r>
                        </m:sup>
                      </m:sSup>
                    </m:num>
                    <m:den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𝐸</m:t>
                      </m:r>
                      <m:r>
                        <a:rPr lang="es-AR" sz="1400" b="0" i="1">
                          <a:latin typeface="Cambria Math" panose="02040503050406030204" pitchFamily="18" charset="0"/>
                        </a:rPr>
                        <m:t>.</m:t>
                      </m:r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𝐼</m:t>
                      </m:r>
                    </m:den>
                  </m:f>
                </m:oMath>
              </a14:m>
              <a:r>
                <a:rPr lang="es-AR" sz="1400"/>
                <a:t>=</a:t>
              </a:r>
              <a:endParaRPr lang="es-AR" sz="1100"/>
            </a:p>
          </xdr:txBody>
        </xdr:sp>
      </mc:Choice>
      <mc:Fallback>
        <xdr:sp macro="" textlink="">
          <xdr:nvSpPr>
            <xdr:cNvPr id="55" name="CuadroTexto 54">
              <a:extLst>
                <a:ext uri="{FF2B5EF4-FFF2-40B4-BE49-F238E27FC236}">
                  <a16:creationId xmlns:a16="http://schemas.microsoft.com/office/drawing/2014/main" id="{4A97969D-738C-453B-817B-D09FE47F1458}"/>
                </a:ext>
              </a:extLst>
            </xdr:cNvPr>
            <xdr:cNvSpPr txBox="1"/>
          </xdr:nvSpPr>
          <xdr:spPr>
            <a:xfrm>
              <a:off x="66675" y="48901350"/>
              <a:ext cx="1045479" cy="3354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400" b="0" i="0">
                  <a:latin typeface="Cambria Math" panose="02040503050406030204" pitchFamily="18" charset="0"/>
                </a:rPr>
                <a:t>𝑓_𝐿=5/384  (𝑞_𝐿.𝐿^4)/(𝐸.𝐼)</a:t>
              </a:r>
              <a:r>
                <a:rPr lang="es-AR" sz="1400"/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156</xdr:row>
      <xdr:rowOff>87630</xdr:rowOff>
    </xdr:from>
    <xdr:ext cx="1610569" cy="39235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6" name="CuadroTexto 55">
              <a:extLst>
                <a:ext uri="{FF2B5EF4-FFF2-40B4-BE49-F238E27FC236}">
                  <a16:creationId xmlns:a16="http://schemas.microsoft.com/office/drawing/2014/main" id="{84E91819-DDBD-485A-83FD-346F54E42DE4}"/>
                </a:ext>
              </a:extLst>
            </xdr:cNvPr>
            <xdr:cNvSpPr txBox="1"/>
          </xdr:nvSpPr>
          <xdr:spPr>
            <a:xfrm>
              <a:off x="85725" y="29457015"/>
              <a:ext cx="1610569" cy="392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AR" sz="14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d>
                        <m:dPr>
                          <m:ctrlPr>
                            <a:rPr lang="es-AR" sz="140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s-AR" sz="140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es-AR" sz="14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b="0" i="1">
                                      <a:latin typeface="Cambria Math" panose="02040503050406030204" pitchFamily="18" charset="0"/>
                                    </a:rPr>
                                    <m:t>𝑀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latin typeface="Cambria Math" panose="02040503050406030204" pitchFamily="18" charset="0"/>
                                    </a:rPr>
                                    <m:t>𝑢</m:t>
                                  </m:r>
                                </m:sub>
                              </m:sSub>
                            </m:num>
                            <m:den>
                              <m:sSub>
                                <m:sSubPr>
                                  <m:ctrlPr>
                                    <a:rPr lang="es-AR" sz="14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𝜙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latin typeface="Cambria Math" panose="02040503050406030204" pitchFamily="18" charset="0"/>
                                    </a:rPr>
                                    <m:t>𝑏</m:t>
                                  </m:r>
                                </m:sub>
                              </m:sSub>
                              <m:sSub>
                                <m:sSubPr>
                                  <m:ctrlPr>
                                    <a:rPr lang="es-AR" sz="14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b="0" i="1">
                                      <a:latin typeface="Cambria Math" panose="02040503050406030204" pitchFamily="18" charset="0"/>
                                    </a:rPr>
                                    <m:t>𝑀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latin typeface="Cambria Math" panose="02040503050406030204" pitchFamily="18" charset="0"/>
                                    </a:rPr>
                                    <m:t>𝑛𝑥𝑜</m:t>
                                  </m:r>
                                </m:sub>
                              </m:sSub>
                            </m:den>
                          </m:f>
                        </m:e>
                      </m:d>
                    </m:e>
                    <m:sup>
                      <m:r>
                        <a:rPr lang="es-AR" sz="14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s-AR" sz="1400" b="0" i="1">
                      <a:latin typeface="Cambria Math" panose="02040503050406030204" pitchFamily="18" charset="0"/>
                    </a:rPr>
                    <m:t>+</m:t>
                  </m:r>
                  <m:sSup>
                    <m:sSupPr>
                      <m:ctrlPr>
                        <a:rPr lang="es-AR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d>
                        <m:dPr>
                          <m:ctrlPr>
                            <a:rPr lang="es-AR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s-AR" sz="14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es-AR" sz="14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𝑉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𝑢</m:t>
                                  </m:r>
                                </m:sub>
                              </m:sSub>
                            </m:num>
                            <m:den>
                              <m:sSub>
                                <m:sSubPr>
                                  <m:ctrlPr>
                                    <a:rPr lang="es-AR" sz="14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𝜙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𝑣</m:t>
                                  </m:r>
                                </m:sub>
                              </m:sSub>
                              <m:sSub>
                                <m:sSubPr>
                                  <m:ctrlPr>
                                    <a:rPr lang="es-AR" sz="14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𝑉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𝑛</m:t>
                                  </m:r>
                                </m:sub>
                              </m:sSub>
                            </m:den>
                          </m:f>
                        </m:e>
                      </m:d>
                    </m:e>
                    <m:sup>
                      <m:r>
                        <a:rPr lang="es-A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es-AR" sz="1400"/>
                <a:t>=</a:t>
              </a:r>
            </a:p>
          </xdr:txBody>
        </xdr:sp>
      </mc:Choice>
      <mc:Fallback>
        <xdr:sp macro="" textlink="">
          <xdr:nvSpPr>
            <xdr:cNvPr id="56" name="CuadroTexto 55">
              <a:extLst>
                <a:ext uri="{FF2B5EF4-FFF2-40B4-BE49-F238E27FC236}">
                  <a16:creationId xmlns:a16="http://schemas.microsoft.com/office/drawing/2014/main" id="{84E91819-DDBD-485A-83FD-346F54E42DE4}"/>
                </a:ext>
              </a:extLst>
            </xdr:cNvPr>
            <xdr:cNvSpPr txBox="1"/>
          </xdr:nvSpPr>
          <xdr:spPr>
            <a:xfrm>
              <a:off x="85725" y="29457015"/>
              <a:ext cx="1610569" cy="392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400" i="0">
                  <a:latin typeface="Cambria Math" panose="02040503050406030204" pitchFamily="18" charset="0"/>
                </a:rPr>
                <a:t>(</a:t>
              </a:r>
              <a:r>
                <a:rPr lang="es-AR" sz="1400" b="0" i="0">
                  <a:latin typeface="Cambria Math" panose="02040503050406030204" pitchFamily="18" charset="0"/>
                </a:rPr>
                <a:t>𝑀_𝑢/(</a:t>
              </a:r>
              <a:r>
                <a:rPr lang="es-AR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400" b="0" i="0">
                  <a:latin typeface="Cambria Math" panose="02040503050406030204" pitchFamily="18" charset="0"/>
                </a:rPr>
                <a:t>𝑏 𝑀_𝑛𝑥𝑜 ))^2+</a:t>
              </a:r>
              <a:r>
                <a:rPr lang="es-A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A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𝑉_𝑢/(</a:t>
              </a:r>
              <a:r>
                <a:rPr lang="es-A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𝜙_</a:t>
              </a:r>
              <a:r>
                <a:rPr lang="es-A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 𝑉_𝑛 ))^2</a:t>
              </a:r>
              <a:r>
                <a:rPr lang="es-AR" sz="1400"/>
                <a:t>=</a:t>
              </a:r>
            </a:p>
          </xdr:txBody>
        </xdr:sp>
      </mc:Fallback>
    </mc:AlternateContent>
    <xdr:clientData/>
  </xdr:oneCellAnchor>
  <xdr:oneCellAnchor>
    <xdr:from>
      <xdr:col>0</xdr:col>
      <xdr:colOff>121920</xdr:colOff>
      <xdr:row>239</xdr:row>
      <xdr:rowOff>99060</xdr:rowOff>
    </xdr:from>
    <xdr:ext cx="3508973" cy="3731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7" name="CuadroTexto 56">
              <a:extLst>
                <a:ext uri="{FF2B5EF4-FFF2-40B4-BE49-F238E27FC236}">
                  <a16:creationId xmlns:a16="http://schemas.microsoft.com/office/drawing/2014/main" id="{EF969971-3C47-434C-A11B-6E9B41C773C1}"/>
                </a:ext>
              </a:extLst>
            </xdr:cNvPr>
            <xdr:cNvSpPr txBox="1"/>
          </xdr:nvSpPr>
          <xdr:spPr>
            <a:xfrm>
              <a:off x="123825" y="45291375"/>
              <a:ext cx="3508973" cy="3731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𝜙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    +    </m:t>
                    </m:r>
                    <m:f>
                      <m:fPr>
                        <m:ctrlP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𝜙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sSub>
                          <m:sSub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𝑛𝑥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+    </m:t>
                    </m:r>
                    <m:f>
                      <m:fPr>
                        <m:ctrlP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𝜙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sSub>
                          <m:sSub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𝑛𝑦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               ≤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                      1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57" name="CuadroTexto 56">
              <a:extLst>
                <a:ext uri="{FF2B5EF4-FFF2-40B4-BE49-F238E27FC236}">
                  <a16:creationId xmlns:a16="http://schemas.microsoft.com/office/drawing/2014/main" id="{EF969971-3C47-434C-A11B-6E9B41C773C1}"/>
                </a:ext>
              </a:extLst>
            </xdr:cNvPr>
            <xdr:cNvSpPr txBox="1"/>
          </xdr:nvSpPr>
          <xdr:spPr>
            <a:xfrm>
              <a:off x="123825" y="45291375"/>
              <a:ext cx="3508973" cy="3731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𝑃_𝑢/(</a:t>
              </a:r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𝑐.𝑃_𝑛 )     +    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𝑀_𝑢𝑥/(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𝜙_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𝑏.𝑀_𝑛𝑥 )   +    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𝑀_𝑢𝑦/(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𝜙_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𝑏.𝑀_𝑛𝑦 )                  ≤</a:t>
              </a:r>
              <a:r>
                <a:rPr lang="es-AR" sz="1100" b="0" i="0">
                  <a:latin typeface="Cambria Math" panose="02040503050406030204" pitchFamily="18" charset="0"/>
                </a:rPr>
                <a:t>                       1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62865</xdr:colOff>
      <xdr:row>126</xdr:row>
      <xdr:rowOff>83820</xdr:rowOff>
    </xdr:from>
    <xdr:ext cx="1511759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8" name="CuadroTexto 57">
              <a:extLst>
                <a:ext uri="{FF2B5EF4-FFF2-40B4-BE49-F238E27FC236}">
                  <a16:creationId xmlns:a16="http://schemas.microsoft.com/office/drawing/2014/main" id="{9CCDAABF-4E4C-4443-8B30-A5AD0D4F7CF9}"/>
                </a:ext>
              </a:extLst>
            </xdr:cNvPr>
            <xdr:cNvSpPr txBox="1"/>
          </xdr:nvSpPr>
          <xdr:spPr>
            <a:xfrm>
              <a:off x="59055" y="23983950"/>
              <a:ext cx="1511759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9</m:t>
                        </m:r>
                      </m:den>
                    </m:f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10</m:t>
                            </m:r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sub>
                            </m:sSub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36</m:t>
                            </m:r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58" name="CuadroTexto 57">
              <a:extLst>
                <a:ext uri="{FF2B5EF4-FFF2-40B4-BE49-F238E27FC236}">
                  <a16:creationId xmlns:a16="http://schemas.microsoft.com/office/drawing/2014/main" id="{9CCDAABF-4E4C-4443-8B30-A5AD0D4F7CF9}"/>
                </a:ext>
              </a:extLst>
            </xdr:cNvPr>
            <xdr:cNvSpPr txBox="1"/>
          </xdr:nvSpPr>
          <xdr:spPr>
            <a:xfrm>
              <a:off x="59055" y="23983950"/>
              <a:ext cx="1511759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𝐹_𝑐=10/9 𝐹_𝑦 (1−(10𝐹_𝑦)/(36𝐹_𝑒 ))=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120015</xdr:colOff>
      <xdr:row>143</xdr:row>
      <xdr:rowOff>9525</xdr:rowOff>
    </xdr:from>
    <xdr:ext cx="922625" cy="18293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9" name="CuadroTexto 58">
              <a:extLst>
                <a:ext uri="{FF2B5EF4-FFF2-40B4-BE49-F238E27FC236}">
                  <a16:creationId xmlns:a16="http://schemas.microsoft.com/office/drawing/2014/main" id="{FAC8F0F7-5970-4916-8408-0E7614085577}"/>
                </a:ext>
              </a:extLst>
            </xdr:cNvPr>
            <xdr:cNvSpPr txBox="1"/>
          </xdr:nvSpPr>
          <xdr:spPr>
            <a:xfrm>
              <a:off x="121920" y="27005280"/>
              <a:ext cx="922625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𝐹𝑣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=0,60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59" name="CuadroTexto 58">
              <a:extLst>
                <a:ext uri="{FF2B5EF4-FFF2-40B4-BE49-F238E27FC236}">
                  <a16:creationId xmlns:a16="http://schemas.microsoft.com/office/drawing/2014/main" id="{FAC8F0F7-5970-4916-8408-0E7614085577}"/>
                </a:ext>
              </a:extLst>
            </xdr:cNvPr>
            <xdr:cNvSpPr txBox="1"/>
          </xdr:nvSpPr>
          <xdr:spPr>
            <a:xfrm>
              <a:off x="121920" y="27005280"/>
              <a:ext cx="922625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𝐹𝑣=0,60𝐹_𝑦=</a:t>
              </a:r>
              <a:endParaRPr lang="es-AR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46</xdr:row>
      <xdr:rowOff>72390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3535AE7C-33B6-34FE-D97F-797158FCB2B7}"/>
                </a:ext>
              </a:extLst>
            </xdr:cNvPr>
            <xdr:cNvSpPr txBox="1"/>
          </xdr:nvSpPr>
          <xdr:spPr>
            <a:xfrm>
              <a:off x="76200" y="1282827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3535AE7C-33B6-34FE-D97F-797158FCB2B7}"/>
                </a:ext>
              </a:extLst>
            </xdr:cNvPr>
            <xdr:cNvSpPr txBox="1"/>
          </xdr:nvSpPr>
          <xdr:spPr>
            <a:xfrm>
              <a:off x="76200" y="1282827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91440</xdr:colOff>
      <xdr:row>48</xdr:row>
      <xdr:rowOff>156210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66212F9-83A6-FE07-AED4-F0F8E09B1C53}"/>
                </a:ext>
              </a:extLst>
            </xdr:cNvPr>
            <xdr:cNvSpPr txBox="1"/>
          </xdr:nvSpPr>
          <xdr:spPr>
            <a:xfrm>
              <a:off x="91440" y="1684401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66212F9-83A6-FE07-AED4-F0F8E09B1C53}"/>
                </a:ext>
              </a:extLst>
            </xdr:cNvPr>
            <xdr:cNvSpPr txBox="1"/>
          </xdr:nvSpPr>
          <xdr:spPr>
            <a:xfrm>
              <a:off x="91440" y="1684401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99060</xdr:colOff>
      <xdr:row>58</xdr:row>
      <xdr:rowOff>19050</xdr:rowOff>
    </xdr:from>
    <xdr:ext cx="990784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B82825F5-8AC1-F7C0-9E44-73B7A4AFEE1A}"/>
                </a:ext>
              </a:extLst>
            </xdr:cNvPr>
            <xdr:cNvSpPr txBox="1"/>
          </xdr:nvSpPr>
          <xdr:spPr>
            <a:xfrm>
              <a:off x="99060" y="23336250"/>
              <a:ext cx="99078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=1,28.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B82825F5-8AC1-F7C0-9E44-73B7A4AFEE1A}"/>
                </a:ext>
              </a:extLst>
            </xdr:cNvPr>
            <xdr:cNvSpPr txBox="1"/>
          </xdr:nvSpPr>
          <xdr:spPr>
            <a:xfrm>
              <a:off x="99060" y="23336250"/>
              <a:ext cx="99078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𝑆=1,28.√(𝐸/𝑓)=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62</xdr:row>
      <xdr:rowOff>102870</xdr:rowOff>
    </xdr:from>
    <xdr:ext cx="732508" cy="3372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5335E71-2558-F998-A8DC-CFCC2E6B22E8}"/>
                </a:ext>
              </a:extLst>
            </xdr:cNvPr>
            <xdr:cNvSpPr txBox="1"/>
          </xdr:nvSpPr>
          <xdr:spPr>
            <a:xfrm>
              <a:off x="83820" y="15784830"/>
              <a:ext cx="732508" cy="337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𝐼𝑠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³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5335E71-2558-F998-A8DC-CFCC2E6B22E8}"/>
                </a:ext>
              </a:extLst>
            </xdr:cNvPr>
            <xdr:cNvSpPr txBox="1"/>
          </xdr:nvSpPr>
          <xdr:spPr>
            <a:xfrm>
              <a:off x="83820" y="15784830"/>
              <a:ext cx="732508" cy="337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𝐼𝑠=(𝑡.𝑑³)/12=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45720</xdr:colOff>
      <xdr:row>65</xdr:row>
      <xdr:rowOff>0</xdr:rowOff>
    </xdr:from>
    <xdr:ext cx="1976503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BFB5B447-9182-F818-2FBB-80399741ADE9}"/>
                </a:ext>
              </a:extLst>
            </xdr:cNvPr>
            <xdr:cNvSpPr txBox="1"/>
          </xdr:nvSpPr>
          <xdr:spPr>
            <a:xfrm>
              <a:off x="45720" y="24700230"/>
              <a:ext cx="1976503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=399.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/</m:t>
                                </m:r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den>
                            </m:f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−0,328</m:t>
                            </m:r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BFB5B447-9182-F818-2FBB-80399741ADE9}"/>
                </a:ext>
              </a:extLst>
            </xdr:cNvPr>
            <xdr:cNvSpPr txBox="1"/>
          </xdr:nvSpPr>
          <xdr:spPr>
            <a:xfrm>
              <a:off x="45720" y="24700230"/>
              <a:ext cx="1976503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𝐼_𝑎1=399.𝑡^4 ((𝑏/𝑡)/𝑆−0,328)^3=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60960</xdr:colOff>
      <xdr:row>67</xdr:row>
      <xdr:rowOff>95250</xdr:rowOff>
    </xdr:from>
    <xdr:ext cx="1618969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D532C982-6EA1-C3D0-0576-153BFEB9D996}"/>
                </a:ext>
              </a:extLst>
            </xdr:cNvPr>
            <xdr:cNvSpPr txBox="1"/>
          </xdr:nvSpPr>
          <xdr:spPr>
            <a:xfrm>
              <a:off x="60960" y="25286970"/>
              <a:ext cx="1618969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115</m:t>
                        </m:r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/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den>
                        </m:f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+5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D532C982-6EA1-C3D0-0576-153BFEB9D996}"/>
                </a:ext>
              </a:extLst>
            </xdr:cNvPr>
            <xdr:cNvSpPr txBox="1"/>
          </xdr:nvSpPr>
          <xdr:spPr>
            <a:xfrm>
              <a:off x="60960" y="25286970"/>
              <a:ext cx="1618969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𝐼_𝑎2=𝑡^4 (115 (𝑏/𝑡)/𝑆+5)=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106680</xdr:colOff>
      <xdr:row>72</xdr:row>
      <xdr:rowOff>0</xdr:rowOff>
    </xdr:from>
    <xdr:ext cx="632545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57FE73AE-9CFE-ECB6-B601-6D17F84CFE7B}"/>
                </a:ext>
              </a:extLst>
            </xdr:cNvPr>
            <xdr:cNvSpPr txBox="1"/>
          </xdr:nvSpPr>
          <xdr:spPr>
            <a:xfrm>
              <a:off x="106680" y="17887950"/>
              <a:ext cx="63254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𝐼𝑠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𝐼𝑎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57FE73AE-9CFE-ECB6-B601-6D17F84CFE7B}"/>
                </a:ext>
              </a:extLst>
            </xdr:cNvPr>
            <xdr:cNvSpPr txBox="1"/>
          </xdr:nvSpPr>
          <xdr:spPr>
            <a:xfrm>
              <a:off x="106680" y="17887950"/>
              <a:ext cx="63254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𝑅_𝐼=</a:t>
              </a:r>
              <a:r>
                <a:rPr lang="es-AR" sz="1100" b="0" i="0">
                  <a:latin typeface="Cambria Math" panose="02040503050406030204" pitchFamily="18" charset="0"/>
                </a:rPr>
                <a:t>𝐼𝑠/𝐼𝑎=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99060</xdr:colOff>
      <xdr:row>74</xdr:row>
      <xdr:rowOff>0</xdr:rowOff>
    </xdr:from>
    <xdr:ext cx="1160446" cy="321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880922B5-ECA7-9B6A-7D5E-F4D55B54BF35}"/>
                </a:ext>
              </a:extLst>
            </xdr:cNvPr>
            <xdr:cNvSpPr txBox="1"/>
          </xdr:nvSpPr>
          <xdr:spPr>
            <a:xfrm>
              <a:off x="99060" y="18451830"/>
              <a:ext cx="1160446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=0,528−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880922B5-ECA7-9B6A-7D5E-F4D55B54BF35}"/>
                </a:ext>
              </a:extLst>
            </xdr:cNvPr>
            <xdr:cNvSpPr txBox="1"/>
          </xdr:nvSpPr>
          <xdr:spPr>
            <a:xfrm>
              <a:off x="99060" y="18451830"/>
              <a:ext cx="1160446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𝑛=0,528−(𝑏/𝑡)/4𝑆=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152400</xdr:colOff>
      <xdr:row>77</xdr:row>
      <xdr:rowOff>110490</xdr:rowOff>
    </xdr:from>
    <xdr:ext cx="1933734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49D8E71A-CDD8-74B6-D9D4-CA3DA354C9D2}"/>
                </a:ext>
              </a:extLst>
            </xdr:cNvPr>
            <xdr:cNvSpPr txBox="1"/>
          </xdr:nvSpPr>
          <xdr:spPr>
            <a:xfrm>
              <a:off x="152400" y="19861530"/>
              <a:ext cx="193373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4,82−</m:t>
                        </m:r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den>
                        </m:f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sub>
                        </m:sSub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+0,43=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49D8E71A-CDD8-74B6-D9D4-CA3DA354C9D2}"/>
                </a:ext>
              </a:extLst>
            </xdr:cNvPr>
            <xdr:cNvSpPr txBox="1"/>
          </xdr:nvSpPr>
          <xdr:spPr>
            <a:xfrm>
              <a:off x="152400" y="19861530"/>
              <a:ext cx="193373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𝑘=(4,82−5𝐷/𝑏).〖𝑅_𝐼〗^𝑛+0,43=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91440</xdr:colOff>
      <xdr:row>80</xdr:row>
      <xdr:rowOff>80010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1C8F133-DA12-4235-A23C-3F7BE5DC04DC}"/>
                </a:ext>
              </a:extLst>
            </xdr:cNvPr>
            <xdr:cNvSpPr txBox="1"/>
          </xdr:nvSpPr>
          <xdr:spPr>
            <a:xfrm>
              <a:off x="91440" y="2024253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1C8F133-DA12-4235-A23C-3F7BE5DC04DC}"/>
                </a:ext>
              </a:extLst>
            </xdr:cNvPr>
            <xdr:cNvSpPr txBox="1"/>
          </xdr:nvSpPr>
          <xdr:spPr>
            <a:xfrm>
              <a:off x="91440" y="2024253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167640</xdr:colOff>
      <xdr:row>83</xdr:row>
      <xdr:rowOff>49530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BA5B50CA-DFA2-4826-8F86-45720B1B5D7A}"/>
                </a:ext>
              </a:extLst>
            </xdr:cNvPr>
            <xdr:cNvSpPr txBox="1"/>
          </xdr:nvSpPr>
          <xdr:spPr>
            <a:xfrm>
              <a:off x="167640" y="2450973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BA5B50CA-DFA2-4826-8F86-45720B1B5D7A}"/>
                </a:ext>
              </a:extLst>
            </xdr:cNvPr>
            <xdr:cNvSpPr txBox="1"/>
          </xdr:nvSpPr>
          <xdr:spPr>
            <a:xfrm>
              <a:off x="167640" y="2450973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137160</xdr:colOff>
      <xdr:row>90</xdr:row>
      <xdr:rowOff>148590</xdr:rowOff>
    </xdr:from>
    <xdr:ext cx="1676741" cy="3012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B2E9257A-1CD0-A990-2266-B2D1C570284E}"/>
                </a:ext>
              </a:extLst>
            </xdr:cNvPr>
            <xdr:cNvSpPr txBox="1"/>
          </xdr:nvSpPr>
          <xdr:spPr>
            <a:xfrm>
              <a:off x="137160" y="22642830"/>
              <a:ext cx="1676741" cy="3012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1=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2 ⇒ 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𝜓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skw"/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B2E9257A-1CD0-A990-2266-B2D1C570284E}"/>
                </a:ext>
              </a:extLst>
            </xdr:cNvPr>
            <xdr:cNvSpPr txBox="1"/>
          </xdr:nvSpPr>
          <xdr:spPr>
            <a:xfrm>
              <a:off x="137160" y="22642830"/>
              <a:ext cx="1676741" cy="3012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𝑓1=𝑓2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⇒ 𝜓=|𝑓1⁄𝑓2|=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152400</xdr:colOff>
      <xdr:row>94</xdr:row>
      <xdr:rowOff>3810</xdr:rowOff>
    </xdr:from>
    <xdr:ext cx="200734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B69584DC-C407-4B91-228A-DC175A5BBED3}"/>
                </a:ext>
              </a:extLst>
            </xdr:cNvPr>
            <xdr:cNvSpPr txBox="1"/>
          </xdr:nvSpPr>
          <xdr:spPr>
            <a:xfrm>
              <a:off x="152400" y="23229570"/>
              <a:ext cx="20073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=4+2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𝜓</m:t>
                            </m:r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+2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𝜓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B69584DC-C407-4B91-228A-DC175A5BBED3}"/>
                </a:ext>
              </a:extLst>
            </xdr:cNvPr>
            <xdr:cNvSpPr txBox="1"/>
          </xdr:nvSpPr>
          <xdr:spPr>
            <a:xfrm>
              <a:off x="152400" y="23229570"/>
              <a:ext cx="20073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𝑘=4+2(1+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𝜓)^3+2(1+𝜓)=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236220</xdr:colOff>
      <xdr:row>96</xdr:row>
      <xdr:rowOff>95250</xdr:rowOff>
    </xdr:from>
    <xdr:ext cx="813813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A09846EB-5708-15B1-26AC-E1AB0DEF4233}"/>
                </a:ext>
              </a:extLst>
            </xdr:cNvPr>
            <xdr:cNvSpPr txBox="1"/>
          </xdr:nvSpPr>
          <xdr:spPr>
            <a:xfrm>
              <a:off x="236220" y="23366730"/>
              <a:ext cx="813813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1=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𝐹𝑦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A09846EB-5708-15B1-26AC-E1AB0DEF4233}"/>
                </a:ext>
              </a:extLst>
            </xdr:cNvPr>
            <xdr:cNvSpPr txBox="1"/>
          </xdr:nvSpPr>
          <xdr:spPr>
            <a:xfrm>
              <a:off x="236220" y="23366730"/>
              <a:ext cx="813813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𝑓1=𝐹𝑦 ℎ/𝐻=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152400</xdr:colOff>
      <xdr:row>99</xdr:row>
      <xdr:rowOff>95250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F62F3AFF-5CBA-4BD1-944E-B2E2B496281C}"/>
                </a:ext>
              </a:extLst>
            </xdr:cNvPr>
            <xdr:cNvSpPr txBox="1"/>
          </xdr:nvSpPr>
          <xdr:spPr>
            <a:xfrm>
              <a:off x="152400" y="2423541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F62F3AFF-5CBA-4BD1-944E-B2E2B496281C}"/>
                </a:ext>
              </a:extLst>
            </xdr:cNvPr>
            <xdr:cNvSpPr txBox="1"/>
          </xdr:nvSpPr>
          <xdr:spPr>
            <a:xfrm>
              <a:off x="152400" y="2423541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320040</xdr:colOff>
      <xdr:row>102</xdr:row>
      <xdr:rowOff>19050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699AADF3-8C4C-4BC4-BE57-4AF2B5B7366C}"/>
                </a:ext>
              </a:extLst>
            </xdr:cNvPr>
            <xdr:cNvSpPr txBox="1"/>
          </xdr:nvSpPr>
          <xdr:spPr>
            <a:xfrm>
              <a:off x="320040" y="2795397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699AADF3-8C4C-4BC4-BE57-4AF2B5B7366C}"/>
                </a:ext>
              </a:extLst>
            </xdr:cNvPr>
            <xdr:cNvSpPr txBox="1"/>
          </xdr:nvSpPr>
          <xdr:spPr>
            <a:xfrm>
              <a:off x="320040" y="2795397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</xdr:colOff>
      <xdr:row>115</xdr:row>
      <xdr:rowOff>11430</xdr:rowOff>
    </xdr:from>
    <xdr:ext cx="124854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D7B31D0C-F46F-B6A5-DAE3-F2336D3DA0CC}"/>
                </a:ext>
              </a:extLst>
            </xdr:cNvPr>
            <xdr:cNvSpPr txBox="1"/>
          </xdr:nvSpPr>
          <xdr:spPr>
            <a:xfrm>
              <a:off x="15240" y="27001470"/>
              <a:ext cx="12485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𝐹𝑦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,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D7B31D0C-F46F-B6A5-DAE3-F2336D3DA0CC}"/>
                </a:ext>
              </a:extLst>
            </xdr:cNvPr>
            <xdr:cNvSpPr txBox="1"/>
          </xdr:nvSpPr>
          <xdr:spPr>
            <a:xfrm>
              <a:off x="15240" y="27001470"/>
              <a:ext cx="12485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𝑀_𝑛=𝑆_𝑒.𝐹𝑦,10^(−3)=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22860</xdr:colOff>
      <xdr:row>117</xdr:row>
      <xdr:rowOff>3810</xdr:rowOff>
    </xdr:from>
    <xdr:ext cx="9521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BDB69388-BE28-C5A4-BEC2-4A9A8B5A2923}"/>
                </a:ext>
              </a:extLst>
            </xdr:cNvPr>
            <xdr:cNvSpPr txBox="1"/>
          </xdr:nvSpPr>
          <xdr:spPr>
            <a:xfrm>
              <a:off x="22860" y="27359610"/>
              <a:ext cx="95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BDB69388-BE28-C5A4-BEC2-4A9A8B5A2923}"/>
                </a:ext>
              </a:extLst>
            </xdr:cNvPr>
            <xdr:cNvSpPr txBox="1"/>
          </xdr:nvSpPr>
          <xdr:spPr>
            <a:xfrm>
              <a:off x="22860" y="27359610"/>
              <a:ext cx="95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𝑀_𝑑=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𝑏.𝑀_𝑛=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723900</xdr:colOff>
      <xdr:row>117</xdr:row>
      <xdr:rowOff>11430</xdr:rowOff>
    </xdr:from>
    <xdr:ext cx="89986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E44FD6E2-01D9-54F1-42FC-EABAC175CE4B}"/>
                </a:ext>
              </a:extLst>
            </xdr:cNvPr>
            <xdr:cNvSpPr txBox="1"/>
          </xdr:nvSpPr>
          <xdr:spPr>
            <a:xfrm>
              <a:off x="2308860" y="27367230"/>
              <a:ext cx="899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𝑐𝑜𝑛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=0,95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E44FD6E2-01D9-54F1-42FC-EABAC175CE4B}"/>
                </a:ext>
              </a:extLst>
            </xdr:cNvPr>
            <xdr:cNvSpPr txBox="1"/>
          </xdr:nvSpPr>
          <xdr:spPr>
            <a:xfrm>
              <a:off x="2308860" y="27367230"/>
              <a:ext cx="899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〖𝑐𝑜𝑛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𝜙〗_</a:t>
              </a:r>
              <a:r>
                <a:rPr lang="es-AR" sz="1100" b="0" i="0">
                  <a:latin typeface="Cambria Math" panose="02040503050406030204" pitchFamily="18" charset="0"/>
                </a:rPr>
                <a:t>𝑏=0,95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106680</xdr:colOff>
      <xdr:row>123</xdr:row>
      <xdr:rowOff>110490</xdr:rowOff>
    </xdr:from>
    <xdr:ext cx="1364925" cy="3953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3F63C9F8-36BE-8DA1-020E-D4A8FC3BC9FD}"/>
                </a:ext>
              </a:extLst>
            </xdr:cNvPr>
            <xdr:cNvSpPr txBox="1"/>
          </xdr:nvSpPr>
          <xdr:spPr>
            <a:xfrm>
              <a:off x="106680" y="29599890"/>
              <a:ext cx="1364925" cy="3953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𝐶𝑏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𝑦𝑐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.(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)²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3F63C9F8-36BE-8DA1-020E-D4A8FC3BC9FD}"/>
                </a:ext>
              </a:extLst>
            </xdr:cNvPr>
            <xdr:cNvSpPr txBox="1"/>
          </xdr:nvSpPr>
          <xdr:spPr>
            <a:xfrm>
              <a:off x="106680" y="29599890"/>
              <a:ext cx="1364925" cy="3953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𝐹_𝑒=(𝐶𝑏.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𝜋^2.𝐸.𝑑.𝐼_𝑦𝑐)/(</a:t>
              </a:r>
              <a:r>
                <a:rPr lang="es-AR" sz="1100" b="0" i="0">
                  <a:latin typeface="Cambria Math" panose="02040503050406030204" pitchFamily="18" charset="0"/>
                </a:rPr>
                <a:t>𝑆_𝑓.(𝑘_𝑦.𝐿_𝑦)²)=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</xdr:colOff>
      <xdr:row>129</xdr:row>
      <xdr:rowOff>7620</xdr:rowOff>
    </xdr:from>
    <xdr:ext cx="123290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D940064A-8DE9-41CE-A89B-0D90135C7D3E}"/>
                </a:ext>
              </a:extLst>
            </xdr:cNvPr>
            <xdr:cNvSpPr txBox="1"/>
          </xdr:nvSpPr>
          <xdr:spPr>
            <a:xfrm>
              <a:off x="15240" y="29557980"/>
              <a:ext cx="123290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𝐹𝑐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D940064A-8DE9-41CE-A89B-0D90135C7D3E}"/>
                </a:ext>
              </a:extLst>
            </xdr:cNvPr>
            <xdr:cNvSpPr txBox="1"/>
          </xdr:nvSpPr>
          <xdr:spPr>
            <a:xfrm>
              <a:off x="15240" y="29557980"/>
              <a:ext cx="123290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𝑀_𝑛=𝑆_𝑐.𝐹𝑐.10^(−3)=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7620</xdr:colOff>
      <xdr:row>131</xdr:row>
      <xdr:rowOff>16017</xdr:rowOff>
    </xdr:from>
    <xdr:ext cx="9442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6705A7F8-1D74-4572-994F-60D9EF09A117}"/>
                </a:ext>
              </a:extLst>
            </xdr:cNvPr>
            <xdr:cNvSpPr txBox="1"/>
          </xdr:nvSpPr>
          <xdr:spPr>
            <a:xfrm rot="10800000" flipV="1">
              <a:off x="7620" y="38085537"/>
              <a:ext cx="9442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6705A7F8-1D74-4572-994F-60D9EF09A117}"/>
                </a:ext>
              </a:extLst>
            </xdr:cNvPr>
            <xdr:cNvSpPr txBox="1"/>
          </xdr:nvSpPr>
          <xdr:spPr>
            <a:xfrm rot="10800000" flipV="1">
              <a:off x="7620" y="38085537"/>
              <a:ext cx="9442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𝑀_𝑑=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𝑏.𝑀_𝑛=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495300</xdr:colOff>
      <xdr:row>131</xdr:row>
      <xdr:rowOff>8397</xdr:rowOff>
    </xdr:from>
    <xdr:ext cx="12039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75FA84B2-B61F-4CC5-B3A7-17938E44E6C8}"/>
                </a:ext>
              </a:extLst>
            </xdr:cNvPr>
            <xdr:cNvSpPr txBox="1"/>
          </xdr:nvSpPr>
          <xdr:spPr>
            <a:xfrm rot="10800000" flipV="1">
              <a:off x="2080260" y="29924517"/>
              <a:ext cx="12039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𝑐𝑜𝑛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=0,90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75FA84B2-B61F-4CC5-B3A7-17938E44E6C8}"/>
                </a:ext>
              </a:extLst>
            </xdr:cNvPr>
            <xdr:cNvSpPr txBox="1"/>
          </xdr:nvSpPr>
          <xdr:spPr>
            <a:xfrm rot="10800000" flipV="1">
              <a:off x="2080260" y="29924517"/>
              <a:ext cx="12039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〖𝑐𝑜𝑛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𝜙〗_</a:t>
              </a:r>
              <a:r>
                <a:rPr lang="es-AR" sz="1100" b="0" i="0">
                  <a:latin typeface="Cambria Math" panose="02040503050406030204" pitchFamily="18" charset="0"/>
                </a:rPr>
                <a:t>𝑏=0,90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11430</xdr:colOff>
      <xdr:row>138</xdr:row>
      <xdr:rowOff>160020</xdr:rowOff>
    </xdr:from>
    <xdr:ext cx="678134" cy="2049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EDCFEBE8-91FC-7612-1AD3-CA94054EDCB7}"/>
                </a:ext>
              </a:extLst>
            </xdr:cNvPr>
            <xdr:cNvSpPr txBox="1"/>
          </xdr:nvSpPr>
          <xdr:spPr>
            <a:xfrm>
              <a:off x="1592580" y="37993320"/>
              <a:ext cx="678134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𝑘𝑣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𝐹𝑦</m:t>
                        </m:r>
                      </m:e>
                    </m:rad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EDCFEBE8-91FC-7612-1AD3-CA94054EDCB7}"/>
                </a:ext>
              </a:extLst>
            </xdr:cNvPr>
            <xdr:cNvSpPr txBox="1"/>
          </xdr:nvSpPr>
          <xdr:spPr>
            <a:xfrm>
              <a:off x="1592580" y="37993320"/>
              <a:ext cx="678134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√(</a:t>
              </a:r>
              <a:r>
                <a:rPr lang="es-AR" sz="1100" b="0" i="0">
                  <a:latin typeface="Cambria Math" panose="02040503050406030204" pitchFamily="18" charset="0"/>
                </a:rPr>
                <a:t>𝐸.𝑘𝑣/𝐹𝑦)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7</xdr:col>
      <xdr:colOff>457200</xdr:colOff>
      <xdr:row>138</xdr:row>
      <xdr:rowOff>152400</xdr:rowOff>
    </xdr:from>
    <xdr:ext cx="941348" cy="2049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9944F313-E059-43D6-A835-46D8C0BC0EF3}"/>
                </a:ext>
              </a:extLst>
            </xdr:cNvPr>
            <xdr:cNvSpPr txBox="1"/>
          </xdr:nvSpPr>
          <xdr:spPr>
            <a:xfrm>
              <a:off x="5915025" y="37985700"/>
              <a:ext cx="941348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1,51</m:t>
                    </m:r>
                    <m:rad>
                      <m:radPr>
                        <m:degHide m:val="on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𝑘𝑣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𝐹𝑦</m:t>
                        </m:r>
                      </m:e>
                    </m:rad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9944F313-E059-43D6-A835-46D8C0BC0EF3}"/>
                </a:ext>
              </a:extLst>
            </xdr:cNvPr>
            <xdr:cNvSpPr txBox="1"/>
          </xdr:nvSpPr>
          <xdr:spPr>
            <a:xfrm>
              <a:off x="5915025" y="37985700"/>
              <a:ext cx="941348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1,51</a:t>
              </a:r>
              <a:r>
                <a:rPr lang="es-AR" sz="1100" i="0">
                  <a:latin typeface="Cambria Math" panose="02040503050406030204" pitchFamily="18" charset="0"/>
                </a:rPr>
                <a:t>√(</a:t>
              </a:r>
              <a:r>
                <a:rPr lang="es-AR" sz="1100" b="0" i="0">
                  <a:latin typeface="Cambria Math" panose="02040503050406030204" pitchFamily="18" charset="0"/>
                </a:rPr>
                <a:t>𝐸.𝑘𝑣/𝐹𝑦)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7</xdr:col>
      <xdr:colOff>188595</xdr:colOff>
      <xdr:row>141</xdr:row>
      <xdr:rowOff>135255</xdr:rowOff>
    </xdr:from>
    <xdr:ext cx="1420004" cy="3917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0EDBD478-E225-DED7-5545-697E557CB0D7}"/>
                </a:ext>
              </a:extLst>
            </xdr:cNvPr>
            <xdr:cNvSpPr txBox="1"/>
          </xdr:nvSpPr>
          <xdr:spPr>
            <a:xfrm>
              <a:off x="5646420" y="38511480"/>
              <a:ext cx="1420004" cy="3917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𝐹𝑣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0,60</m:t>
                        </m:r>
                        <m:rad>
                          <m:radPr>
                            <m:degHide m:val="on"/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𝑘𝑣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𝐹𝑦</m:t>
                            </m:r>
                          </m:e>
                        </m:rad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h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0EDBD478-E225-DED7-5545-697E557CB0D7}"/>
                </a:ext>
              </a:extLst>
            </xdr:cNvPr>
            <xdr:cNvSpPr txBox="1"/>
          </xdr:nvSpPr>
          <xdr:spPr>
            <a:xfrm>
              <a:off x="5646420" y="38511480"/>
              <a:ext cx="1420004" cy="3917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𝐹𝑣=(0,60√(𝐸.𝑘𝑣.𝐹𝑦))/(ℎ/𝑡)=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38100</xdr:colOff>
      <xdr:row>146</xdr:row>
      <xdr:rowOff>3810</xdr:rowOff>
    </xdr:from>
    <xdr:ext cx="1298369" cy="1749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C5665F5D-2072-54A1-BF3E-38A9E9D3CF16}"/>
                </a:ext>
              </a:extLst>
            </xdr:cNvPr>
            <xdr:cNvSpPr txBox="1"/>
          </xdr:nvSpPr>
          <xdr:spPr>
            <a:xfrm>
              <a:off x="38100" y="33516570"/>
              <a:ext cx="1298369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𝑉𝑛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𝐴𝑤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𝐹𝑦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C5665F5D-2072-54A1-BF3E-38A9E9D3CF16}"/>
                </a:ext>
              </a:extLst>
            </xdr:cNvPr>
            <xdr:cNvSpPr txBox="1"/>
          </xdr:nvSpPr>
          <xdr:spPr>
            <a:xfrm>
              <a:off x="38100" y="33516570"/>
              <a:ext cx="1298369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𝑉𝑛=𝐴𝑤.𝐹𝑦.10^(−1)=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60960</xdr:colOff>
      <xdr:row>148</xdr:row>
      <xdr:rowOff>3810</xdr:rowOff>
    </xdr:from>
    <xdr:ext cx="9162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BA3E9C59-9FFD-26AA-CE1D-6549893AFFC5}"/>
                </a:ext>
              </a:extLst>
            </xdr:cNvPr>
            <xdr:cNvSpPr txBox="1"/>
          </xdr:nvSpPr>
          <xdr:spPr>
            <a:xfrm>
              <a:off x="60960" y="32663130"/>
              <a:ext cx="9162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𝑉𝑑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𝑉𝑛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BA3E9C59-9FFD-26AA-CE1D-6549893AFFC5}"/>
                </a:ext>
              </a:extLst>
            </xdr:cNvPr>
            <xdr:cNvSpPr txBox="1"/>
          </xdr:nvSpPr>
          <xdr:spPr>
            <a:xfrm>
              <a:off x="60960" y="32663130"/>
              <a:ext cx="9162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𝑉𝑑=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𝑣.𝑉𝑛=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731520</xdr:colOff>
      <xdr:row>148</xdr:row>
      <xdr:rowOff>22860</xdr:rowOff>
    </xdr:from>
    <xdr:ext cx="10286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39D97C60-FEF7-4E40-A77E-7115360C030B}"/>
                </a:ext>
              </a:extLst>
            </xdr:cNvPr>
            <xdr:cNvSpPr txBox="1"/>
          </xdr:nvSpPr>
          <xdr:spPr>
            <a:xfrm rot="10800000" flipV="1">
              <a:off x="2316480" y="32682180"/>
              <a:ext cx="10286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𝑐𝑜𝑛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=0,95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39D97C60-FEF7-4E40-A77E-7115360C030B}"/>
                </a:ext>
              </a:extLst>
            </xdr:cNvPr>
            <xdr:cNvSpPr txBox="1"/>
          </xdr:nvSpPr>
          <xdr:spPr>
            <a:xfrm rot="10800000" flipV="1">
              <a:off x="2316480" y="32682180"/>
              <a:ext cx="10286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〖𝑐𝑜𝑛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𝜙〗_</a:t>
              </a:r>
              <a:r>
                <a:rPr lang="es-AR" sz="1100" b="0" i="0">
                  <a:latin typeface="Cambria Math" panose="02040503050406030204" pitchFamily="18" charset="0"/>
                </a:rPr>
                <a:t>𝑣=0,95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152400</xdr:colOff>
      <xdr:row>72</xdr:row>
      <xdr:rowOff>19050</xdr:rowOff>
    </xdr:from>
    <xdr:ext cx="57150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23980B72-0EF9-4204-A959-6E443A34856D}"/>
                </a:ext>
              </a:extLst>
            </xdr:cNvPr>
            <xdr:cNvSpPr txBox="1"/>
          </xdr:nvSpPr>
          <xdr:spPr>
            <a:xfrm>
              <a:off x="3322320" y="17987010"/>
              <a:ext cx="5715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⟹</m:t>
                        </m:r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 </m:t>
                        </m:r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23980B72-0EF9-4204-A959-6E443A34856D}"/>
                </a:ext>
              </a:extLst>
            </xdr:cNvPr>
            <xdr:cNvSpPr txBox="1"/>
          </xdr:nvSpPr>
          <xdr:spPr>
            <a:xfrm>
              <a:off x="3322320" y="17987010"/>
              <a:ext cx="5715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⟹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𝑅〗_𝐼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=</a:t>
              </a:r>
              <a:endParaRPr lang="es-AR" sz="1100"/>
            </a:p>
          </xdr:txBody>
        </xdr:sp>
      </mc:Fallback>
    </mc:AlternateContent>
    <xdr:clientData/>
  </xdr:oneCellAnchor>
  <xdr:twoCellAnchor editAs="oneCell">
    <xdr:from>
      <xdr:col>0</xdr:col>
      <xdr:colOff>83820</xdr:colOff>
      <xdr:row>3</xdr:row>
      <xdr:rowOff>99060</xdr:rowOff>
    </xdr:from>
    <xdr:to>
      <xdr:col>4</xdr:col>
      <xdr:colOff>515813</xdr:colOff>
      <xdr:row>14</xdr:row>
      <xdr:rowOff>57150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A26D9CEA-576A-2396-78E8-4ABA70EB1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8343900"/>
          <a:ext cx="3598103" cy="2476500"/>
        </a:xfrm>
        <a:prstGeom prst="rect">
          <a:avLst/>
        </a:prstGeom>
      </xdr:spPr>
    </xdr:pic>
    <xdr:clientData/>
  </xdr:twoCellAnchor>
  <xdr:oneCellAnchor>
    <xdr:from>
      <xdr:col>0</xdr:col>
      <xdr:colOff>60960</xdr:colOff>
      <xdr:row>186</xdr:row>
      <xdr:rowOff>87630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E86A2BE5-FF3C-4D1C-A7F5-27574DEFCCE8}"/>
                </a:ext>
              </a:extLst>
            </xdr:cNvPr>
            <xdr:cNvSpPr txBox="1"/>
          </xdr:nvSpPr>
          <xdr:spPr>
            <a:xfrm>
              <a:off x="60960" y="4077843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E86A2BE5-FF3C-4D1C-A7F5-27574DEFCCE8}"/>
                </a:ext>
              </a:extLst>
            </xdr:cNvPr>
            <xdr:cNvSpPr txBox="1"/>
          </xdr:nvSpPr>
          <xdr:spPr>
            <a:xfrm>
              <a:off x="60960" y="4077843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190500</xdr:colOff>
      <xdr:row>190</xdr:row>
      <xdr:rowOff>3810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FD6B10BE-B1B9-497A-ACD6-19FB18306E81}"/>
                </a:ext>
              </a:extLst>
            </xdr:cNvPr>
            <xdr:cNvSpPr txBox="1"/>
          </xdr:nvSpPr>
          <xdr:spPr>
            <a:xfrm>
              <a:off x="190500" y="4334637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FD6B10BE-B1B9-497A-ACD6-19FB18306E81}"/>
                </a:ext>
              </a:extLst>
            </xdr:cNvPr>
            <xdr:cNvSpPr txBox="1"/>
          </xdr:nvSpPr>
          <xdr:spPr>
            <a:xfrm>
              <a:off x="190500" y="4334637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twoCellAnchor editAs="oneCell">
    <xdr:from>
      <xdr:col>0</xdr:col>
      <xdr:colOff>0</xdr:colOff>
      <xdr:row>162</xdr:row>
      <xdr:rowOff>129540</xdr:rowOff>
    </xdr:from>
    <xdr:to>
      <xdr:col>7</xdr:col>
      <xdr:colOff>56488</xdr:colOff>
      <xdr:row>171</xdr:row>
      <xdr:rowOff>95250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C70B2E06-9B88-E2E7-BB51-184E34AD4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67540"/>
          <a:ext cx="5529553" cy="2019300"/>
        </a:xfrm>
        <a:prstGeom prst="rect">
          <a:avLst/>
        </a:prstGeom>
      </xdr:spPr>
    </xdr:pic>
    <xdr:clientData/>
  </xdr:twoCellAnchor>
  <xdr:oneCellAnchor>
    <xdr:from>
      <xdr:col>0</xdr:col>
      <xdr:colOff>76200</xdr:colOff>
      <xdr:row>194</xdr:row>
      <xdr:rowOff>148590</xdr:rowOff>
    </xdr:from>
    <xdr:ext cx="831125" cy="2511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B98A3BC6-90EA-8AA8-F6A9-258A588ED053}"/>
                </a:ext>
              </a:extLst>
            </xdr:cNvPr>
            <xdr:cNvSpPr txBox="1"/>
          </xdr:nvSpPr>
          <xdr:spPr>
            <a:xfrm>
              <a:off x="76200" y="43674030"/>
              <a:ext cx="831125" cy="251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AR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𝜌</m:t>
                  </m:r>
                  <m:r>
                    <a:rPr lang="es-A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A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s-A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(1−</m:t>
                      </m:r>
                      <m:f>
                        <m:fPr>
                          <m:type m:val="lin"/>
                          <m:ctrlPr>
                            <a:rPr lang="es-A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A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0,22</m:t>
                          </m:r>
                        </m:num>
                        <m:den>
                          <m:r>
                            <a:rPr lang="es-A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𝜆</m:t>
                          </m:r>
                        </m:den>
                      </m:f>
                    </m:num>
                    <m:den>
                      <m:r>
                        <a:rPr lang="es-A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𝜆</m:t>
                      </m:r>
                    </m:den>
                  </m:f>
                </m:oMath>
              </a14:m>
              <a:r>
                <a:rPr lang="es-AR" sz="1100"/>
                <a:t>=</a:t>
              </a:r>
            </a:p>
          </xdr:txBody>
        </xdr:sp>
      </mc:Choice>
      <mc:Fallback xmlns=""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B98A3BC6-90EA-8AA8-F6A9-258A588ED053}"/>
                </a:ext>
              </a:extLst>
            </xdr:cNvPr>
            <xdr:cNvSpPr txBox="1"/>
          </xdr:nvSpPr>
          <xdr:spPr>
            <a:xfrm>
              <a:off x="76200" y="43674030"/>
              <a:ext cx="831125" cy="251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=((1−0,22∕𝜆)/𝜆</a:t>
              </a:r>
              <a:r>
                <a:rPr lang="es-AR" sz="1100"/>
                <a:t>=</a:t>
              </a:r>
            </a:p>
          </xdr:txBody>
        </xdr:sp>
      </mc:Fallback>
    </mc:AlternateContent>
    <xdr:clientData/>
  </xdr:oneCellAnchor>
  <xdr:oneCellAnchor>
    <xdr:from>
      <xdr:col>0</xdr:col>
      <xdr:colOff>60960</xdr:colOff>
      <xdr:row>197</xdr:row>
      <xdr:rowOff>19050</xdr:rowOff>
    </xdr:from>
    <xdr:ext cx="7094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AEDAC7E8-9F42-28CA-1D18-9B7685863EC8}"/>
                </a:ext>
              </a:extLst>
            </xdr:cNvPr>
            <xdr:cNvSpPr txBox="1"/>
          </xdr:nvSpPr>
          <xdr:spPr>
            <a:xfrm>
              <a:off x="60960" y="44093130"/>
              <a:ext cx="7094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𝜌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𝑏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AEDAC7E8-9F42-28CA-1D18-9B7685863EC8}"/>
                </a:ext>
              </a:extLst>
            </xdr:cNvPr>
            <xdr:cNvSpPr txBox="1"/>
          </xdr:nvSpPr>
          <xdr:spPr>
            <a:xfrm>
              <a:off x="60960" y="44093130"/>
              <a:ext cx="7094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𝑏_𝑒=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𝜌.𝑏=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133350</xdr:colOff>
      <xdr:row>134</xdr:row>
      <xdr:rowOff>91440</xdr:rowOff>
    </xdr:from>
    <xdr:ext cx="1142685" cy="1867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CDC32DC8-DAAF-4F7C-3A3C-7A24F30E5E31}"/>
                </a:ext>
              </a:extLst>
            </xdr:cNvPr>
            <xdr:cNvSpPr txBox="1"/>
          </xdr:nvSpPr>
          <xdr:spPr>
            <a:xfrm>
              <a:off x="133350" y="37181790"/>
              <a:ext cx="1142685" cy="18678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s-AR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𝑴</m:t>
                            </m:r>
                          </m:e>
                          <m:sub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𝒅</m:t>
                            </m:r>
                          </m:sub>
                        </m:sSub>
                      </m:e>
                      <m:sub>
                        <m:r>
                          <a:rPr lang="es-AR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sub>
                    </m:sSub>
                    <m:r>
                      <a:rPr lang="es-AR" sz="11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𝟔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𝟐𝟔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𝒌𝑵𝒎</m:t>
                    </m:r>
                  </m:oMath>
                </m:oMathPara>
              </a14:m>
              <a:endParaRPr lang="es-AR" sz="1100" b="1"/>
            </a:p>
          </xdr:txBody>
        </xdr:sp>
      </mc:Choice>
      <mc:Fallback xmlns="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CDC32DC8-DAAF-4F7C-3A3C-7A24F30E5E31}"/>
                </a:ext>
              </a:extLst>
            </xdr:cNvPr>
            <xdr:cNvSpPr txBox="1"/>
          </xdr:nvSpPr>
          <xdr:spPr>
            <a:xfrm>
              <a:off x="133350" y="37181790"/>
              <a:ext cx="1142685" cy="18678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1" i="0">
                  <a:latin typeface="Cambria Math" panose="02040503050406030204" pitchFamily="18" charset="0"/>
                </a:rPr>
                <a:t>〖𝑴_𝒅〗_𝒙=𝟔,𝟐𝟔 𝒌𝑵𝒎</a:t>
              </a:r>
              <a:endParaRPr lang="es-AR" sz="1100" b="1"/>
            </a:p>
          </xdr:txBody>
        </xdr:sp>
      </mc:Fallback>
    </mc:AlternateContent>
    <xdr:clientData/>
  </xdr:oneCellAnchor>
  <xdr:oneCellAnchor>
    <xdr:from>
      <xdr:col>0</xdr:col>
      <xdr:colOff>93345</xdr:colOff>
      <xdr:row>149</xdr:row>
      <xdr:rowOff>169545</xdr:rowOff>
    </xdr:from>
    <xdr:ext cx="1059008" cy="1867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77EF6B6B-A986-4AE1-A825-1FE7F5C57139}"/>
                </a:ext>
              </a:extLst>
            </xdr:cNvPr>
            <xdr:cNvSpPr txBox="1"/>
          </xdr:nvSpPr>
          <xdr:spPr>
            <a:xfrm>
              <a:off x="93345" y="39993570"/>
              <a:ext cx="1059008" cy="18678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s-AR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𝑽</m:t>
                            </m:r>
                          </m:e>
                          <m:sub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𝒅</m:t>
                            </m:r>
                          </m:sub>
                        </m:sSub>
                      </m:e>
                      <m:sub>
                        <m:r>
                          <a:rPr lang="es-AR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sub>
                    </m:sSub>
                    <m:r>
                      <a:rPr lang="es-AR" sz="11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𝟓𝟎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𝟐𝟑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𝒌𝑵</m:t>
                    </m:r>
                  </m:oMath>
                </m:oMathPara>
              </a14:m>
              <a:endParaRPr lang="es-AR" sz="1100" b="1"/>
            </a:p>
          </xdr:txBody>
        </xdr:sp>
      </mc:Choice>
      <mc:Fallback xmlns="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77EF6B6B-A986-4AE1-A825-1FE7F5C57139}"/>
                </a:ext>
              </a:extLst>
            </xdr:cNvPr>
            <xdr:cNvSpPr txBox="1"/>
          </xdr:nvSpPr>
          <xdr:spPr>
            <a:xfrm>
              <a:off x="93345" y="39993570"/>
              <a:ext cx="1059008" cy="18678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1" i="0">
                  <a:latin typeface="Cambria Math" panose="02040503050406030204" pitchFamily="18" charset="0"/>
                </a:rPr>
                <a:t>〖𝑽_𝒅〗_𝒙=𝟓𝟎,𝟐𝟑 𝒌𝑵</a:t>
              </a:r>
              <a:endParaRPr lang="es-AR" sz="1100" b="1"/>
            </a:p>
          </xdr:txBody>
        </xdr:sp>
      </mc:Fallback>
    </mc:AlternateContent>
    <xdr:clientData/>
  </xdr:oneCellAnchor>
  <xdr:oneCellAnchor>
    <xdr:from>
      <xdr:col>0</xdr:col>
      <xdr:colOff>60960</xdr:colOff>
      <xdr:row>214</xdr:row>
      <xdr:rowOff>106680</xdr:rowOff>
    </xdr:from>
    <xdr:ext cx="919033" cy="3012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CuadroTexto 48">
              <a:extLst>
                <a:ext uri="{FF2B5EF4-FFF2-40B4-BE49-F238E27FC236}">
                  <a16:creationId xmlns:a16="http://schemas.microsoft.com/office/drawing/2014/main" id="{86B17AA0-0D3E-4FF4-8A00-90E93F58C724}"/>
                </a:ext>
              </a:extLst>
            </xdr:cNvPr>
            <xdr:cNvSpPr txBox="1"/>
          </xdr:nvSpPr>
          <xdr:spPr>
            <a:xfrm>
              <a:off x="60960" y="47678340"/>
              <a:ext cx="919033" cy="3012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𝜓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skw"/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9" name="CuadroTexto 48">
              <a:extLst>
                <a:ext uri="{FF2B5EF4-FFF2-40B4-BE49-F238E27FC236}">
                  <a16:creationId xmlns:a16="http://schemas.microsoft.com/office/drawing/2014/main" id="{86B17AA0-0D3E-4FF4-8A00-90E93F58C724}"/>
                </a:ext>
              </a:extLst>
            </xdr:cNvPr>
            <xdr:cNvSpPr txBox="1"/>
          </xdr:nvSpPr>
          <xdr:spPr>
            <a:xfrm>
              <a:off x="60960" y="47678340"/>
              <a:ext cx="919033" cy="3012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𝜓=|𝑓1⁄𝑓2|=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30480</xdr:colOff>
      <xdr:row>217</xdr:row>
      <xdr:rowOff>0</xdr:rowOff>
    </xdr:from>
    <xdr:ext cx="200734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CuadroTexto 49">
              <a:extLst>
                <a:ext uri="{FF2B5EF4-FFF2-40B4-BE49-F238E27FC236}">
                  <a16:creationId xmlns:a16="http://schemas.microsoft.com/office/drawing/2014/main" id="{E28F7053-9161-4E8A-A535-732E3FFC819A}"/>
                </a:ext>
              </a:extLst>
            </xdr:cNvPr>
            <xdr:cNvSpPr txBox="1"/>
          </xdr:nvSpPr>
          <xdr:spPr>
            <a:xfrm>
              <a:off x="30480" y="53119020"/>
              <a:ext cx="20073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=4+2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𝜓</m:t>
                            </m:r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+2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𝜓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0" name="CuadroTexto 49">
              <a:extLst>
                <a:ext uri="{FF2B5EF4-FFF2-40B4-BE49-F238E27FC236}">
                  <a16:creationId xmlns:a16="http://schemas.microsoft.com/office/drawing/2014/main" id="{E28F7053-9161-4E8A-A535-732E3FFC819A}"/>
                </a:ext>
              </a:extLst>
            </xdr:cNvPr>
            <xdr:cNvSpPr txBox="1"/>
          </xdr:nvSpPr>
          <xdr:spPr>
            <a:xfrm>
              <a:off x="30480" y="53119020"/>
              <a:ext cx="20073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𝑘=4+2(1+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𝜓)^3+2(1+𝜓)=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219</xdr:row>
      <xdr:rowOff>76200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CuadroTexto 50">
              <a:extLst>
                <a:ext uri="{FF2B5EF4-FFF2-40B4-BE49-F238E27FC236}">
                  <a16:creationId xmlns:a16="http://schemas.microsoft.com/office/drawing/2014/main" id="{75E27C0E-4FBB-49D9-96C3-599F3C5090A2}"/>
                </a:ext>
              </a:extLst>
            </xdr:cNvPr>
            <xdr:cNvSpPr txBox="1"/>
          </xdr:nvSpPr>
          <xdr:spPr>
            <a:xfrm>
              <a:off x="83820" y="4874514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1" name="CuadroTexto 50">
              <a:extLst>
                <a:ext uri="{FF2B5EF4-FFF2-40B4-BE49-F238E27FC236}">
                  <a16:creationId xmlns:a16="http://schemas.microsoft.com/office/drawing/2014/main" id="{75E27C0E-4FBB-49D9-96C3-599F3C5090A2}"/>
                </a:ext>
              </a:extLst>
            </xdr:cNvPr>
            <xdr:cNvSpPr txBox="1"/>
          </xdr:nvSpPr>
          <xdr:spPr>
            <a:xfrm>
              <a:off x="83820" y="4874514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198120</xdr:colOff>
      <xdr:row>222</xdr:row>
      <xdr:rowOff>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CuadroTexto 51">
              <a:extLst>
                <a:ext uri="{FF2B5EF4-FFF2-40B4-BE49-F238E27FC236}">
                  <a16:creationId xmlns:a16="http://schemas.microsoft.com/office/drawing/2014/main" id="{88B6AC16-6FF1-48AA-92E6-FA55768929EC}"/>
                </a:ext>
              </a:extLst>
            </xdr:cNvPr>
            <xdr:cNvSpPr txBox="1"/>
          </xdr:nvSpPr>
          <xdr:spPr>
            <a:xfrm>
              <a:off x="198120" y="4939284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2" name="CuadroTexto 51">
              <a:extLst>
                <a:ext uri="{FF2B5EF4-FFF2-40B4-BE49-F238E27FC236}">
                  <a16:creationId xmlns:a16="http://schemas.microsoft.com/office/drawing/2014/main" id="{88B6AC16-6FF1-48AA-92E6-FA55768929EC}"/>
                </a:ext>
              </a:extLst>
            </xdr:cNvPr>
            <xdr:cNvSpPr txBox="1"/>
          </xdr:nvSpPr>
          <xdr:spPr>
            <a:xfrm>
              <a:off x="198120" y="4939284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</xdr:colOff>
      <xdr:row>229</xdr:row>
      <xdr:rowOff>11430</xdr:rowOff>
    </xdr:from>
    <xdr:ext cx="124854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CuadroTexto 52">
              <a:extLst>
                <a:ext uri="{FF2B5EF4-FFF2-40B4-BE49-F238E27FC236}">
                  <a16:creationId xmlns:a16="http://schemas.microsoft.com/office/drawing/2014/main" id="{4C99B3BF-763E-4A4D-87E0-AA3E07D55531}"/>
                </a:ext>
              </a:extLst>
            </xdr:cNvPr>
            <xdr:cNvSpPr txBox="1"/>
          </xdr:nvSpPr>
          <xdr:spPr>
            <a:xfrm>
              <a:off x="15240" y="30354270"/>
              <a:ext cx="12485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𝐹𝑦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,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3" name="CuadroTexto 52">
              <a:extLst>
                <a:ext uri="{FF2B5EF4-FFF2-40B4-BE49-F238E27FC236}">
                  <a16:creationId xmlns:a16="http://schemas.microsoft.com/office/drawing/2014/main" id="{4C99B3BF-763E-4A4D-87E0-AA3E07D55531}"/>
                </a:ext>
              </a:extLst>
            </xdr:cNvPr>
            <xdr:cNvSpPr txBox="1"/>
          </xdr:nvSpPr>
          <xdr:spPr>
            <a:xfrm>
              <a:off x="15240" y="30354270"/>
              <a:ext cx="12485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𝑀_𝑛=𝑆_𝑒.𝐹𝑦,10^(−3)=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22860</xdr:colOff>
      <xdr:row>231</xdr:row>
      <xdr:rowOff>3810</xdr:rowOff>
    </xdr:from>
    <xdr:ext cx="9521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CuadroTexto 53">
              <a:extLst>
                <a:ext uri="{FF2B5EF4-FFF2-40B4-BE49-F238E27FC236}">
                  <a16:creationId xmlns:a16="http://schemas.microsoft.com/office/drawing/2014/main" id="{39FB0F98-C91F-461E-A79A-0A608D74780B}"/>
                </a:ext>
              </a:extLst>
            </xdr:cNvPr>
            <xdr:cNvSpPr txBox="1"/>
          </xdr:nvSpPr>
          <xdr:spPr>
            <a:xfrm>
              <a:off x="22860" y="30712410"/>
              <a:ext cx="95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4" name="CuadroTexto 53">
              <a:extLst>
                <a:ext uri="{FF2B5EF4-FFF2-40B4-BE49-F238E27FC236}">
                  <a16:creationId xmlns:a16="http://schemas.microsoft.com/office/drawing/2014/main" id="{39FB0F98-C91F-461E-A79A-0A608D74780B}"/>
                </a:ext>
              </a:extLst>
            </xdr:cNvPr>
            <xdr:cNvSpPr txBox="1"/>
          </xdr:nvSpPr>
          <xdr:spPr>
            <a:xfrm>
              <a:off x="22860" y="30712410"/>
              <a:ext cx="95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𝑀_𝑑=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𝑏.𝑀_𝑛=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723900</xdr:colOff>
      <xdr:row>231</xdr:row>
      <xdr:rowOff>11430</xdr:rowOff>
    </xdr:from>
    <xdr:ext cx="89986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CuadroTexto 54">
              <a:extLst>
                <a:ext uri="{FF2B5EF4-FFF2-40B4-BE49-F238E27FC236}">
                  <a16:creationId xmlns:a16="http://schemas.microsoft.com/office/drawing/2014/main" id="{428C1836-4473-49C6-A3E2-E58D44F7D20C}"/>
                </a:ext>
              </a:extLst>
            </xdr:cNvPr>
            <xdr:cNvSpPr txBox="1"/>
          </xdr:nvSpPr>
          <xdr:spPr>
            <a:xfrm>
              <a:off x="2308860" y="30720030"/>
              <a:ext cx="899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𝑐𝑜𝑛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=0,95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5" name="CuadroTexto 54">
              <a:extLst>
                <a:ext uri="{FF2B5EF4-FFF2-40B4-BE49-F238E27FC236}">
                  <a16:creationId xmlns:a16="http://schemas.microsoft.com/office/drawing/2014/main" id="{428C1836-4473-49C6-A3E2-E58D44F7D20C}"/>
                </a:ext>
              </a:extLst>
            </xdr:cNvPr>
            <xdr:cNvSpPr txBox="1"/>
          </xdr:nvSpPr>
          <xdr:spPr>
            <a:xfrm>
              <a:off x="2308860" y="30720030"/>
              <a:ext cx="899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〖𝑐𝑜𝑛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𝜙〗_</a:t>
              </a:r>
              <a:r>
                <a:rPr lang="es-AR" sz="1100" b="0" i="0">
                  <a:latin typeface="Cambria Math" panose="02040503050406030204" pitchFamily="18" charset="0"/>
                </a:rPr>
                <a:t>𝑏=0,95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98164</xdr:colOff>
      <xdr:row>233</xdr:row>
      <xdr:rowOff>174924</xdr:rowOff>
    </xdr:from>
    <xdr:ext cx="1144865" cy="2079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CuadroTexto 55">
              <a:extLst>
                <a:ext uri="{FF2B5EF4-FFF2-40B4-BE49-F238E27FC236}">
                  <a16:creationId xmlns:a16="http://schemas.microsoft.com/office/drawing/2014/main" id="{5DCC872D-DB2A-48D8-A9BB-35B839D67DCF}"/>
                </a:ext>
              </a:extLst>
            </xdr:cNvPr>
            <xdr:cNvSpPr txBox="1"/>
          </xdr:nvSpPr>
          <xdr:spPr>
            <a:xfrm>
              <a:off x="98164" y="55915224"/>
              <a:ext cx="1144865" cy="20794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s-AR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𝑴</m:t>
                            </m:r>
                          </m:e>
                          <m:sub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𝒅</m:t>
                            </m:r>
                          </m:sub>
                        </m:sSub>
                      </m:e>
                      <m:sub>
                        <m:r>
                          <a:rPr lang="es-AR" sz="1100" b="1" i="1">
                            <a:latin typeface="Cambria Math" panose="02040503050406030204" pitchFamily="18" charset="0"/>
                          </a:rPr>
                          <m:t>𝒚</m:t>
                        </m:r>
                      </m:sub>
                    </m:sSub>
                    <m:r>
                      <a:rPr lang="es-AR" sz="11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𝟎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𝟖𝟒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𝒌𝑵𝒎</m:t>
                    </m:r>
                  </m:oMath>
                </m:oMathPara>
              </a14:m>
              <a:endParaRPr lang="es-AR" sz="1100" b="1"/>
            </a:p>
          </xdr:txBody>
        </xdr:sp>
      </mc:Choice>
      <mc:Fallback xmlns="">
        <xdr:sp macro="" textlink="">
          <xdr:nvSpPr>
            <xdr:cNvPr id="56" name="CuadroTexto 55">
              <a:extLst>
                <a:ext uri="{FF2B5EF4-FFF2-40B4-BE49-F238E27FC236}">
                  <a16:creationId xmlns:a16="http://schemas.microsoft.com/office/drawing/2014/main" id="{5DCC872D-DB2A-48D8-A9BB-35B839D67DCF}"/>
                </a:ext>
              </a:extLst>
            </xdr:cNvPr>
            <xdr:cNvSpPr txBox="1"/>
          </xdr:nvSpPr>
          <xdr:spPr>
            <a:xfrm>
              <a:off x="98164" y="55915224"/>
              <a:ext cx="1144865" cy="20794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1" i="0">
                  <a:latin typeface="Cambria Math" panose="02040503050406030204" pitchFamily="18" charset="0"/>
                </a:rPr>
                <a:t>〖𝑴_𝒅〗_𝒚=𝟎,𝟖𝟒 𝒌𝑵𝒎</a:t>
              </a:r>
              <a:endParaRPr lang="es-AR" sz="1100" b="1"/>
            </a:p>
          </xdr:txBody>
        </xdr:sp>
      </mc:Fallback>
    </mc:AlternateContent>
    <xdr:clientData/>
  </xdr:oneCellAnchor>
  <xdr:oneCellAnchor>
    <xdr:from>
      <xdr:col>0</xdr:col>
      <xdr:colOff>129540</xdr:colOff>
      <xdr:row>70</xdr:row>
      <xdr:rowOff>45720</xdr:rowOff>
    </xdr:from>
    <xdr:ext cx="12400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CuadroTexto 56">
              <a:extLst>
                <a:ext uri="{FF2B5EF4-FFF2-40B4-BE49-F238E27FC236}">
                  <a16:creationId xmlns:a16="http://schemas.microsoft.com/office/drawing/2014/main" id="{D94D753E-6C71-4835-80BF-7428EA64E525}"/>
                </a:ext>
              </a:extLst>
            </xdr:cNvPr>
            <xdr:cNvSpPr txBox="1"/>
          </xdr:nvSpPr>
          <xdr:spPr>
            <a:xfrm>
              <a:off x="129540" y="25808940"/>
              <a:ext cx="12400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𝑀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í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𝑛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7" name="CuadroTexto 56">
              <a:extLst>
                <a:ext uri="{FF2B5EF4-FFF2-40B4-BE49-F238E27FC236}">
                  <a16:creationId xmlns:a16="http://schemas.microsoft.com/office/drawing/2014/main" id="{D94D753E-6C71-4835-80BF-7428EA64E525}"/>
                </a:ext>
              </a:extLst>
            </xdr:cNvPr>
            <xdr:cNvSpPr txBox="1"/>
          </xdr:nvSpPr>
          <xdr:spPr>
            <a:xfrm>
              <a:off x="129540" y="25808940"/>
              <a:ext cx="12400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𝐼_𝑎=𝑀í𝑛(𝐼_𝑎1,𝐼_𝑎2 )=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74</xdr:row>
      <xdr:rowOff>0</xdr:rowOff>
    </xdr:from>
    <xdr:ext cx="51424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CuadroTexto 58">
              <a:extLst>
                <a:ext uri="{FF2B5EF4-FFF2-40B4-BE49-F238E27FC236}">
                  <a16:creationId xmlns:a16="http://schemas.microsoft.com/office/drawing/2014/main" id="{36A5D6C1-8DCF-4075-89F3-D0446B50857F}"/>
                </a:ext>
              </a:extLst>
            </xdr:cNvPr>
            <xdr:cNvSpPr txBox="1"/>
          </xdr:nvSpPr>
          <xdr:spPr>
            <a:xfrm>
              <a:off x="3962400" y="26883360"/>
              <a:ext cx="5142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⇒   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𝑛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9" name="CuadroTexto 58">
              <a:extLst>
                <a:ext uri="{FF2B5EF4-FFF2-40B4-BE49-F238E27FC236}">
                  <a16:creationId xmlns:a16="http://schemas.microsoft.com/office/drawing/2014/main" id="{36A5D6C1-8DCF-4075-89F3-D0446B50857F}"/>
                </a:ext>
              </a:extLst>
            </xdr:cNvPr>
            <xdr:cNvSpPr txBox="1"/>
          </xdr:nvSpPr>
          <xdr:spPr>
            <a:xfrm>
              <a:off x="3962400" y="26883360"/>
              <a:ext cx="5142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⇒   𝑛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76200</xdr:colOff>
      <xdr:row>248</xdr:row>
      <xdr:rowOff>224790</xdr:rowOff>
    </xdr:from>
    <xdr:ext cx="30745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25CBE0AD-DBA7-7C9A-FF96-48399374A50A}"/>
                </a:ext>
              </a:extLst>
            </xdr:cNvPr>
            <xdr:cNvSpPr txBox="1"/>
          </xdr:nvSpPr>
          <xdr:spPr>
            <a:xfrm>
              <a:off x="76200" y="59325510"/>
              <a:ext cx="3074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25CBE0AD-DBA7-7C9A-FF96-48399374A50A}"/>
                </a:ext>
              </a:extLst>
            </xdr:cNvPr>
            <xdr:cNvSpPr txBox="1"/>
          </xdr:nvSpPr>
          <xdr:spPr>
            <a:xfrm>
              <a:off x="76200" y="59325510"/>
              <a:ext cx="3074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𝑞_𝑠=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60960</xdr:colOff>
      <xdr:row>249</xdr:row>
      <xdr:rowOff>179070</xdr:rowOff>
    </xdr:from>
    <xdr:ext cx="3145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CuadroTexto 62">
              <a:extLst>
                <a:ext uri="{FF2B5EF4-FFF2-40B4-BE49-F238E27FC236}">
                  <a16:creationId xmlns:a16="http://schemas.microsoft.com/office/drawing/2014/main" id="{62C292AF-041E-4242-897E-E0383D99B5A0}"/>
                </a:ext>
              </a:extLst>
            </xdr:cNvPr>
            <xdr:cNvSpPr txBox="1"/>
          </xdr:nvSpPr>
          <xdr:spPr>
            <a:xfrm>
              <a:off x="60960" y="59508390"/>
              <a:ext cx="3145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3" name="CuadroTexto 62">
              <a:extLst>
                <a:ext uri="{FF2B5EF4-FFF2-40B4-BE49-F238E27FC236}">
                  <a16:creationId xmlns:a16="http://schemas.microsoft.com/office/drawing/2014/main" id="{62C292AF-041E-4242-897E-E0383D99B5A0}"/>
                </a:ext>
              </a:extLst>
            </xdr:cNvPr>
            <xdr:cNvSpPr txBox="1"/>
          </xdr:nvSpPr>
          <xdr:spPr>
            <a:xfrm>
              <a:off x="60960" y="59508390"/>
              <a:ext cx="3145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𝑞_𝐿=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76200</xdr:colOff>
      <xdr:row>251</xdr:row>
      <xdr:rowOff>80010</xdr:rowOff>
    </xdr:from>
    <xdr:ext cx="866071" cy="3169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CuadroTexto 44">
              <a:extLst>
                <a:ext uri="{FF2B5EF4-FFF2-40B4-BE49-F238E27FC236}">
                  <a16:creationId xmlns:a16="http://schemas.microsoft.com/office/drawing/2014/main" id="{33C54966-B10E-AEB1-502E-05A22A002522}"/>
                </a:ext>
              </a:extLst>
            </xdr:cNvPr>
            <xdr:cNvSpPr txBox="1"/>
          </xdr:nvSpPr>
          <xdr:spPr>
            <a:xfrm>
              <a:off x="76200" y="59775090"/>
              <a:ext cx="866071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á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200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5" name="CuadroTexto 44">
              <a:extLst>
                <a:ext uri="{FF2B5EF4-FFF2-40B4-BE49-F238E27FC236}">
                  <a16:creationId xmlns:a16="http://schemas.microsoft.com/office/drawing/2014/main" id="{33C54966-B10E-AEB1-502E-05A22A002522}"/>
                </a:ext>
              </a:extLst>
            </xdr:cNvPr>
            <xdr:cNvSpPr txBox="1"/>
          </xdr:nvSpPr>
          <xdr:spPr>
            <a:xfrm>
              <a:off x="76200" y="59775090"/>
              <a:ext cx="866071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𝑓_𝑚á𝑥=𝐿/200=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45720</xdr:colOff>
      <xdr:row>253</xdr:row>
      <xdr:rowOff>106680</xdr:rowOff>
    </xdr:from>
    <xdr:ext cx="922368" cy="3169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CuadroTexto 63">
              <a:extLst>
                <a:ext uri="{FF2B5EF4-FFF2-40B4-BE49-F238E27FC236}">
                  <a16:creationId xmlns:a16="http://schemas.microsoft.com/office/drawing/2014/main" id="{BFC67308-887A-40C0-9A5D-C6B6DB153449}"/>
                </a:ext>
              </a:extLst>
            </xdr:cNvPr>
            <xdr:cNvSpPr txBox="1"/>
          </xdr:nvSpPr>
          <xdr:spPr>
            <a:xfrm>
              <a:off x="45720" y="60167520"/>
              <a:ext cx="922368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á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𝑥𝐿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240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4" name="CuadroTexto 63">
              <a:extLst>
                <a:ext uri="{FF2B5EF4-FFF2-40B4-BE49-F238E27FC236}">
                  <a16:creationId xmlns:a16="http://schemas.microsoft.com/office/drawing/2014/main" id="{BFC67308-887A-40C0-9A5D-C6B6DB153449}"/>
                </a:ext>
              </a:extLst>
            </xdr:cNvPr>
            <xdr:cNvSpPr txBox="1"/>
          </xdr:nvSpPr>
          <xdr:spPr>
            <a:xfrm>
              <a:off x="45720" y="60167520"/>
              <a:ext cx="922368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𝑓_𝑚á𝑥𝐿=𝐿/240=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121920</xdr:colOff>
      <xdr:row>257</xdr:row>
      <xdr:rowOff>118110</xdr:rowOff>
    </xdr:from>
    <xdr:ext cx="982192" cy="3354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CuadroTexto 45">
              <a:extLst>
                <a:ext uri="{FF2B5EF4-FFF2-40B4-BE49-F238E27FC236}">
                  <a16:creationId xmlns:a16="http://schemas.microsoft.com/office/drawing/2014/main" id="{DDA2FFBE-E64F-B4AE-81C4-FAD123EBCFA7}"/>
                </a:ext>
              </a:extLst>
            </xdr:cNvPr>
            <xdr:cNvSpPr txBox="1"/>
          </xdr:nvSpPr>
          <xdr:spPr>
            <a:xfrm>
              <a:off x="121920" y="60727590"/>
              <a:ext cx="982192" cy="3354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AR" sz="1400" b="0" i="1">
                      <a:latin typeface="Cambria Math" panose="02040503050406030204" pitchFamily="18" charset="0"/>
                    </a:rPr>
                    <m:t>𝑓</m:t>
                  </m:r>
                  <m:r>
                    <a:rPr lang="es-AR" sz="14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AR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AR" sz="1400" b="0" i="1">
                          <a:latin typeface="Cambria Math" panose="02040503050406030204" pitchFamily="18" charset="0"/>
                        </a:rPr>
                        <m:t>5</m:t>
                      </m:r>
                    </m:num>
                    <m:den>
                      <m:r>
                        <a:rPr lang="es-AR" sz="1400" b="0" i="1">
                          <a:latin typeface="Cambria Math" panose="02040503050406030204" pitchFamily="18" charset="0"/>
                        </a:rPr>
                        <m:t>384</m:t>
                      </m:r>
                    </m:den>
                  </m:f>
                  <m:f>
                    <m:fPr>
                      <m:ctrlPr>
                        <a:rPr lang="es-AR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s-AR" sz="1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𝑞</m:t>
                          </m:r>
                        </m:e>
                        <m:sub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𝑠</m:t>
                          </m:r>
                        </m:sub>
                      </m:sSub>
                      <m:r>
                        <a:rPr lang="es-AR" sz="1400" b="0" i="1">
                          <a:latin typeface="Cambria Math" panose="02040503050406030204" pitchFamily="18" charset="0"/>
                        </a:rPr>
                        <m:t>.</m:t>
                      </m:r>
                      <m:sSup>
                        <m:sSupPr>
                          <m:ctrlPr>
                            <a:rPr lang="es-AR" sz="14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𝐿</m:t>
                          </m:r>
                        </m:e>
                        <m:sup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4</m:t>
                          </m:r>
                        </m:sup>
                      </m:sSup>
                    </m:num>
                    <m:den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𝐸</m:t>
                      </m:r>
                      <m:r>
                        <a:rPr lang="es-AR" sz="1400" b="0" i="1">
                          <a:latin typeface="Cambria Math" panose="02040503050406030204" pitchFamily="18" charset="0"/>
                        </a:rPr>
                        <m:t>.</m:t>
                      </m:r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𝐼</m:t>
                      </m:r>
                    </m:den>
                  </m:f>
                </m:oMath>
              </a14:m>
              <a:r>
                <a:rPr lang="es-AR" sz="1400"/>
                <a:t>=</a:t>
              </a:r>
              <a:endParaRPr lang="es-AR" sz="1100"/>
            </a:p>
          </xdr:txBody>
        </xdr:sp>
      </mc:Choice>
      <mc:Fallback xmlns="">
        <xdr:sp macro="" textlink="">
          <xdr:nvSpPr>
            <xdr:cNvPr id="46" name="CuadroTexto 45">
              <a:extLst>
                <a:ext uri="{FF2B5EF4-FFF2-40B4-BE49-F238E27FC236}">
                  <a16:creationId xmlns:a16="http://schemas.microsoft.com/office/drawing/2014/main" id="{DDA2FFBE-E64F-B4AE-81C4-FAD123EBCFA7}"/>
                </a:ext>
              </a:extLst>
            </xdr:cNvPr>
            <xdr:cNvSpPr txBox="1"/>
          </xdr:nvSpPr>
          <xdr:spPr>
            <a:xfrm>
              <a:off x="121920" y="60727590"/>
              <a:ext cx="982192" cy="3354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400" b="0" i="0">
                  <a:latin typeface="Cambria Math" panose="02040503050406030204" pitchFamily="18" charset="0"/>
                </a:rPr>
                <a:t>𝑓=5/384  (𝑞_𝑠.𝐿^4)/(𝐸.𝐼)</a:t>
              </a:r>
              <a:r>
                <a:rPr lang="es-AR" sz="1400"/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68580</xdr:colOff>
      <xdr:row>259</xdr:row>
      <xdr:rowOff>114300</xdr:rowOff>
    </xdr:from>
    <xdr:ext cx="1045479" cy="3354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CuadroTexto 64">
              <a:extLst>
                <a:ext uri="{FF2B5EF4-FFF2-40B4-BE49-F238E27FC236}">
                  <a16:creationId xmlns:a16="http://schemas.microsoft.com/office/drawing/2014/main" id="{D1C16005-3902-4923-A7DA-E99B058A56B5}"/>
                </a:ext>
              </a:extLst>
            </xdr:cNvPr>
            <xdr:cNvSpPr txBox="1"/>
          </xdr:nvSpPr>
          <xdr:spPr>
            <a:xfrm>
              <a:off x="68580" y="60921900"/>
              <a:ext cx="1045479" cy="3354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AR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𝑓</m:t>
                      </m:r>
                    </m:e>
                    <m:sub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𝐿</m:t>
                      </m:r>
                    </m:sub>
                  </m:sSub>
                  <m:r>
                    <a:rPr lang="es-AR" sz="14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AR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AR" sz="1400" b="0" i="1">
                          <a:latin typeface="Cambria Math" panose="02040503050406030204" pitchFamily="18" charset="0"/>
                        </a:rPr>
                        <m:t>5</m:t>
                      </m:r>
                    </m:num>
                    <m:den>
                      <m:r>
                        <a:rPr lang="es-AR" sz="1400" b="0" i="1">
                          <a:latin typeface="Cambria Math" panose="02040503050406030204" pitchFamily="18" charset="0"/>
                        </a:rPr>
                        <m:t>384</m:t>
                      </m:r>
                    </m:den>
                  </m:f>
                  <m:f>
                    <m:fPr>
                      <m:ctrlPr>
                        <a:rPr lang="es-AR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s-AR" sz="1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𝑞</m:t>
                          </m:r>
                        </m:e>
                        <m:sub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𝐿</m:t>
                          </m:r>
                        </m:sub>
                      </m:sSub>
                      <m:r>
                        <a:rPr lang="es-AR" sz="1400" b="0" i="1">
                          <a:latin typeface="Cambria Math" panose="02040503050406030204" pitchFamily="18" charset="0"/>
                        </a:rPr>
                        <m:t>.</m:t>
                      </m:r>
                      <m:sSup>
                        <m:sSupPr>
                          <m:ctrlPr>
                            <a:rPr lang="es-AR" sz="14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𝐿</m:t>
                          </m:r>
                        </m:e>
                        <m:sup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4</m:t>
                          </m:r>
                        </m:sup>
                      </m:sSup>
                    </m:num>
                    <m:den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𝐸</m:t>
                      </m:r>
                      <m:r>
                        <a:rPr lang="es-AR" sz="1400" b="0" i="1">
                          <a:latin typeface="Cambria Math" panose="02040503050406030204" pitchFamily="18" charset="0"/>
                        </a:rPr>
                        <m:t>.</m:t>
                      </m:r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𝐼</m:t>
                      </m:r>
                    </m:den>
                  </m:f>
                </m:oMath>
              </a14:m>
              <a:r>
                <a:rPr lang="es-AR" sz="1400"/>
                <a:t>=</a:t>
              </a:r>
              <a:endParaRPr lang="es-AR" sz="1100"/>
            </a:p>
          </xdr:txBody>
        </xdr:sp>
      </mc:Choice>
      <mc:Fallback xmlns="">
        <xdr:sp macro="" textlink="">
          <xdr:nvSpPr>
            <xdr:cNvPr id="65" name="CuadroTexto 64">
              <a:extLst>
                <a:ext uri="{FF2B5EF4-FFF2-40B4-BE49-F238E27FC236}">
                  <a16:creationId xmlns:a16="http://schemas.microsoft.com/office/drawing/2014/main" id="{D1C16005-3902-4923-A7DA-E99B058A56B5}"/>
                </a:ext>
              </a:extLst>
            </xdr:cNvPr>
            <xdr:cNvSpPr txBox="1"/>
          </xdr:nvSpPr>
          <xdr:spPr>
            <a:xfrm>
              <a:off x="68580" y="60921900"/>
              <a:ext cx="1045479" cy="3354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400" b="0" i="0">
                  <a:latin typeface="Cambria Math" panose="02040503050406030204" pitchFamily="18" charset="0"/>
                </a:rPr>
                <a:t>𝑓_𝐿=5/384  (𝑞_𝐿.𝐿^4)/(𝐸.𝐼)</a:t>
              </a:r>
              <a:r>
                <a:rPr lang="es-AR" sz="1400"/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156</xdr:row>
      <xdr:rowOff>87630</xdr:rowOff>
    </xdr:from>
    <xdr:ext cx="1610569" cy="392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CuadroTexto 65">
              <a:extLst>
                <a:ext uri="{FF2B5EF4-FFF2-40B4-BE49-F238E27FC236}">
                  <a16:creationId xmlns:a16="http://schemas.microsoft.com/office/drawing/2014/main" id="{1CA87A97-734B-7C13-CDCF-896D86FFD5F0}"/>
                </a:ext>
              </a:extLst>
            </xdr:cNvPr>
            <xdr:cNvSpPr txBox="1"/>
          </xdr:nvSpPr>
          <xdr:spPr>
            <a:xfrm>
              <a:off x="83820" y="43323510"/>
              <a:ext cx="1610569" cy="392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AR" sz="14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d>
                        <m:dPr>
                          <m:ctrlPr>
                            <a:rPr lang="es-AR" sz="140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s-AR" sz="140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es-AR" sz="14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b="0" i="1">
                                      <a:latin typeface="Cambria Math" panose="02040503050406030204" pitchFamily="18" charset="0"/>
                                    </a:rPr>
                                    <m:t>𝑀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latin typeface="Cambria Math" panose="02040503050406030204" pitchFamily="18" charset="0"/>
                                    </a:rPr>
                                    <m:t>𝑢</m:t>
                                  </m:r>
                                </m:sub>
                              </m:sSub>
                            </m:num>
                            <m:den>
                              <m:sSub>
                                <m:sSubPr>
                                  <m:ctrlPr>
                                    <a:rPr lang="es-AR" sz="14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𝜙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latin typeface="Cambria Math" panose="02040503050406030204" pitchFamily="18" charset="0"/>
                                    </a:rPr>
                                    <m:t>𝑏</m:t>
                                  </m:r>
                                </m:sub>
                              </m:sSub>
                              <m:sSub>
                                <m:sSubPr>
                                  <m:ctrlPr>
                                    <a:rPr lang="es-AR" sz="14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b="0" i="1">
                                      <a:latin typeface="Cambria Math" panose="02040503050406030204" pitchFamily="18" charset="0"/>
                                    </a:rPr>
                                    <m:t>𝑀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latin typeface="Cambria Math" panose="02040503050406030204" pitchFamily="18" charset="0"/>
                                    </a:rPr>
                                    <m:t>𝑛𝑥𝑜</m:t>
                                  </m:r>
                                </m:sub>
                              </m:sSub>
                            </m:den>
                          </m:f>
                        </m:e>
                      </m:d>
                    </m:e>
                    <m:sup>
                      <m:r>
                        <a:rPr lang="es-AR" sz="14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s-AR" sz="1400" b="0" i="1">
                      <a:latin typeface="Cambria Math" panose="02040503050406030204" pitchFamily="18" charset="0"/>
                    </a:rPr>
                    <m:t>+</m:t>
                  </m:r>
                  <m:sSup>
                    <m:sSupPr>
                      <m:ctrlPr>
                        <a:rPr lang="es-AR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d>
                        <m:dPr>
                          <m:ctrlPr>
                            <a:rPr lang="es-AR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s-AR" sz="14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es-AR" sz="14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𝑉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𝑢</m:t>
                                  </m:r>
                                </m:sub>
                              </m:sSub>
                            </m:num>
                            <m:den>
                              <m:sSub>
                                <m:sSubPr>
                                  <m:ctrlPr>
                                    <a:rPr lang="es-AR" sz="14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𝜙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𝑣</m:t>
                                  </m:r>
                                </m:sub>
                              </m:sSub>
                              <m:sSub>
                                <m:sSubPr>
                                  <m:ctrlPr>
                                    <a:rPr lang="es-AR" sz="14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𝑉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𝑛</m:t>
                                  </m:r>
                                </m:sub>
                              </m:sSub>
                            </m:den>
                          </m:f>
                        </m:e>
                      </m:d>
                    </m:e>
                    <m:sup>
                      <m:r>
                        <a:rPr lang="es-A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es-AR" sz="1400"/>
                <a:t>=</a:t>
              </a:r>
            </a:p>
          </xdr:txBody>
        </xdr:sp>
      </mc:Choice>
      <mc:Fallback xmlns="">
        <xdr:sp macro="" textlink="">
          <xdr:nvSpPr>
            <xdr:cNvPr id="66" name="CuadroTexto 65">
              <a:extLst>
                <a:ext uri="{FF2B5EF4-FFF2-40B4-BE49-F238E27FC236}">
                  <a16:creationId xmlns:a16="http://schemas.microsoft.com/office/drawing/2014/main" id="{1CA87A97-734B-7C13-CDCF-896D86FFD5F0}"/>
                </a:ext>
              </a:extLst>
            </xdr:cNvPr>
            <xdr:cNvSpPr txBox="1"/>
          </xdr:nvSpPr>
          <xdr:spPr>
            <a:xfrm>
              <a:off x="83820" y="43323510"/>
              <a:ext cx="1610569" cy="392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400" i="0">
                  <a:latin typeface="Cambria Math" panose="02040503050406030204" pitchFamily="18" charset="0"/>
                </a:rPr>
                <a:t>(</a:t>
              </a:r>
              <a:r>
                <a:rPr lang="es-AR" sz="1400" b="0" i="0">
                  <a:latin typeface="Cambria Math" panose="02040503050406030204" pitchFamily="18" charset="0"/>
                </a:rPr>
                <a:t>𝑀_𝑢/(</a:t>
              </a:r>
              <a:r>
                <a:rPr lang="es-AR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400" b="0" i="0">
                  <a:latin typeface="Cambria Math" panose="02040503050406030204" pitchFamily="18" charset="0"/>
                </a:rPr>
                <a:t>𝑏 𝑀_𝑛𝑥𝑜 ))^2+</a:t>
              </a:r>
              <a:r>
                <a:rPr lang="es-A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A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s-A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_𝑢/(</a:t>
              </a:r>
              <a:r>
                <a:rPr lang="es-A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𝜙_</a:t>
              </a:r>
              <a:r>
                <a:rPr lang="es-A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</a:t>
              </a:r>
              <a:r>
                <a:rPr lang="es-A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A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s-A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_𝑛 ))^2</a:t>
              </a:r>
              <a:r>
                <a:rPr lang="es-AR" sz="1400"/>
                <a:t>=</a:t>
              </a:r>
            </a:p>
          </xdr:txBody>
        </xdr:sp>
      </mc:Fallback>
    </mc:AlternateContent>
    <xdr:clientData/>
  </xdr:oneCellAnchor>
  <xdr:oneCellAnchor>
    <xdr:from>
      <xdr:col>0</xdr:col>
      <xdr:colOff>121920</xdr:colOff>
      <xdr:row>239</xdr:row>
      <xdr:rowOff>99060</xdr:rowOff>
    </xdr:from>
    <xdr:ext cx="3508973" cy="3731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CuadroTexto 66">
              <a:extLst>
                <a:ext uri="{FF2B5EF4-FFF2-40B4-BE49-F238E27FC236}">
                  <a16:creationId xmlns:a16="http://schemas.microsoft.com/office/drawing/2014/main" id="{6A1AF98A-F22D-44C7-B9DA-19E40ECEF219}"/>
                </a:ext>
              </a:extLst>
            </xdr:cNvPr>
            <xdr:cNvSpPr txBox="1"/>
          </xdr:nvSpPr>
          <xdr:spPr>
            <a:xfrm>
              <a:off x="121920" y="57950100"/>
              <a:ext cx="3508973" cy="3731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𝜙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    +    </m:t>
                    </m:r>
                    <m:f>
                      <m:fPr>
                        <m:ctrlP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𝜙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sSub>
                          <m:sSub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𝑛𝑥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+    </m:t>
                    </m:r>
                    <m:f>
                      <m:fPr>
                        <m:ctrlP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𝜙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sSub>
                          <m:sSub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𝑛𝑦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               ≤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                      1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7" name="CuadroTexto 66">
              <a:extLst>
                <a:ext uri="{FF2B5EF4-FFF2-40B4-BE49-F238E27FC236}">
                  <a16:creationId xmlns:a16="http://schemas.microsoft.com/office/drawing/2014/main" id="{6A1AF98A-F22D-44C7-B9DA-19E40ECEF219}"/>
                </a:ext>
              </a:extLst>
            </xdr:cNvPr>
            <xdr:cNvSpPr txBox="1"/>
          </xdr:nvSpPr>
          <xdr:spPr>
            <a:xfrm>
              <a:off x="121920" y="57950100"/>
              <a:ext cx="3508973" cy="3731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𝑃_𝑢/(</a:t>
              </a:r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𝑐.𝑃_𝑛 )     +    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𝑀_𝑢𝑥/(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𝜙_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𝑏.𝑀_𝑛𝑥 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+    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𝑀_𝑢𝑦/(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𝜙_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𝑏.𝑀_𝑛𝑦 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             ≤</a:t>
              </a:r>
              <a:r>
                <a:rPr lang="es-AR" sz="1100" b="0" i="0">
                  <a:latin typeface="Cambria Math" panose="02040503050406030204" pitchFamily="18" charset="0"/>
                </a:rPr>
                <a:t>                       1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62865</xdr:colOff>
      <xdr:row>126</xdr:row>
      <xdr:rowOff>83820</xdr:rowOff>
    </xdr:from>
    <xdr:ext cx="1511759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889E9C6E-436A-3D33-4625-36F880F812C2}"/>
                </a:ext>
              </a:extLst>
            </xdr:cNvPr>
            <xdr:cNvSpPr txBox="1"/>
          </xdr:nvSpPr>
          <xdr:spPr>
            <a:xfrm>
              <a:off x="62865" y="35726370"/>
              <a:ext cx="1511759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9</m:t>
                        </m:r>
                      </m:den>
                    </m:f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10</m:t>
                            </m:r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sub>
                            </m:sSub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36</m:t>
                            </m:r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889E9C6E-436A-3D33-4625-36F880F812C2}"/>
                </a:ext>
              </a:extLst>
            </xdr:cNvPr>
            <xdr:cNvSpPr txBox="1"/>
          </xdr:nvSpPr>
          <xdr:spPr>
            <a:xfrm>
              <a:off x="62865" y="35726370"/>
              <a:ext cx="1511759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𝐹_𝑐=10/9 𝐹_𝑦 (1−(10𝐹_𝑦)/(36𝐹_𝑒 ))=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120015</xdr:colOff>
      <xdr:row>143</xdr:row>
      <xdr:rowOff>9525</xdr:rowOff>
    </xdr:from>
    <xdr:ext cx="922625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CuadroTexto 70">
              <a:extLst>
                <a:ext uri="{FF2B5EF4-FFF2-40B4-BE49-F238E27FC236}">
                  <a16:creationId xmlns:a16="http://schemas.microsoft.com/office/drawing/2014/main" id="{41B3A283-7258-4AE3-991E-A14378EE116D}"/>
                </a:ext>
              </a:extLst>
            </xdr:cNvPr>
            <xdr:cNvSpPr txBox="1"/>
          </xdr:nvSpPr>
          <xdr:spPr>
            <a:xfrm>
              <a:off x="120015" y="38747700"/>
              <a:ext cx="922625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𝐹𝑣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=0,60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71" name="CuadroTexto 70">
              <a:extLst>
                <a:ext uri="{FF2B5EF4-FFF2-40B4-BE49-F238E27FC236}">
                  <a16:creationId xmlns:a16="http://schemas.microsoft.com/office/drawing/2014/main" id="{41B3A283-7258-4AE3-991E-A14378EE116D}"/>
                </a:ext>
              </a:extLst>
            </xdr:cNvPr>
            <xdr:cNvSpPr txBox="1"/>
          </xdr:nvSpPr>
          <xdr:spPr>
            <a:xfrm>
              <a:off x="120015" y="38747700"/>
              <a:ext cx="922625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𝐹𝑣=0,60𝐹_𝑦=</a:t>
              </a:r>
              <a:endParaRPr lang="es-AR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297180</xdr:colOff>
      <xdr:row>1</xdr:row>
      <xdr:rowOff>220979</xdr:rowOff>
    </xdr:from>
    <xdr:to>
      <xdr:col>19</xdr:col>
      <xdr:colOff>609600</xdr:colOff>
      <xdr:row>16</xdr:row>
      <xdr:rowOff>155002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C9B7F91-F013-400F-A159-D11ABF501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2100" y="220979"/>
          <a:ext cx="3482340" cy="308108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6720F1FC-665A-401B-8E04-0B1E416967B9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13" dataBound="0" tableColumnId="13"/>
      <queryTableField id="14" dataBound="0" tableColumnId="14"/>
      <queryTableField id="15" dataBound="0" tableColumnId="15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4A8EB8-53CD-4A67-90AD-13490F1D22D7}" name="Table009__Page_4" displayName="Table009__Page_4" ref="A2:O42" tableType="queryTable" totalsRowShown="0">
  <autoFilter ref="A2:O42" xr:uid="{274A8EB8-53CD-4A67-90AD-13490F1D22D7}"/>
  <tableColumns count="15">
    <tableColumn id="1" xr3:uid="{42654C6E-4E7C-4BB0-8663-21D49992D0F7}" uniqueName="1" name="Column1" queryTableFieldId="1" dataDxfId="65"/>
    <tableColumn id="13" xr3:uid="{60F83789-8FF4-411D-AE80-D18798A658CA}" uniqueName="13" name="Column13" queryTableFieldId="13"/>
    <tableColumn id="14" xr3:uid="{6708A8D7-A6F5-4EB9-886B-BBF09643B667}" uniqueName="14" name="Column14" queryTableFieldId="14"/>
    <tableColumn id="15" xr3:uid="{7F88D748-434F-4827-8D15-F164097E0554}" uniqueName="15" name="Column15" queryTableFieldId="15"/>
    <tableColumn id="2" xr3:uid="{CBA24DC3-4251-413B-B842-B6F8A28E3E3C}" uniqueName="2" name="Column2" queryTableFieldId="2" dataDxfId="64"/>
    <tableColumn id="3" xr3:uid="{812EA086-AC9B-4899-AF2E-44F6D477D65A}" uniqueName="3" name="Column3" queryTableFieldId="3" dataDxfId="63"/>
    <tableColumn id="4" xr3:uid="{039E344C-590C-410D-96F4-2B0EB2035DD2}" uniqueName="4" name="Column4" queryTableFieldId="4" dataDxfId="62"/>
    <tableColumn id="5" xr3:uid="{55047C86-FAE6-4D53-974B-B8FD33A5130F}" uniqueName="5" name="Column5" queryTableFieldId="5" dataDxfId="61"/>
    <tableColumn id="6" xr3:uid="{9A108FCA-C6F3-4D1C-AE94-41BF7AC0F190}" uniqueName="6" name="Column6" queryTableFieldId="6" dataDxfId="60"/>
    <tableColumn id="7" xr3:uid="{8567A7A6-5B59-46F7-86C0-2D535C3A8AF0}" uniqueName="7" name="Column7" queryTableFieldId="7" dataDxfId="59"/>
    <tableColumn id="8" xr3:uid="{39634E18-CD09-4984-BC72-19C2CC3EAEE6}" uniqueName="8" name="Column8" queryTableFieldId="8" dataDxfId="58"/>
    <tableColumn id="9" xr3:uid="{9343FAA4-CAAF-498A-B0F1-208F28D69A3C}" uniqueName="9" name="Column9" queryTableFieldId="9" dataDxfId="57"/>
    <tableColumn id="10" xr3:uid="{0139372B-9513-4826-80C7-4290B299F43C}" uniqueName="10" name="Column10" queryTableFieldId="10" dataDxfId="56"/>
    <tableColumn id="11" xr3:uid="{477CC387-B4EB-4933-924E-0F4CF92FA7C1}" uniqueName="11" name="Column11" queryTableFieldId="11" dataDxfId="55"/>
    <tableColumn id="12" xr3:uid="{7C3CA327-D914-4850-9BF0-7FD9ACAC0E59}" uniqueName="12" name="Column12" queryTableFieldId="12" dataDxfId="5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3DE523-F1A7-405B-AAE9-FAA69FD04E2B}" name="Tabla8" displayName="Tabla8" ref="A5:O206" headerRowCount="0" totalsRowShown="0">
  <tableColumns count="15">
    <tableColumn id="1" xr3:uid="{244782BA-8B29-4071-A60D-FAC7D70CD6EF}" name="Columna1"/>
    <tableColumn id="2" xr3:uid="{7F1E0716-1AEF-43AE-A30C-C2C814E95A14}" name="Columna2" headerRowDxfId="53" dataDxfId="52"/>
    <tableColumn id="3" xr3:uid="{B1A7BE70-55A2-4A9F-A986-96E25066869F}" name="Columna3" headerRowDxfId="51" dataDxfId="50"/>
    <tableColumn id="4" xr3:uid="{49E3DCE1-E97D-461B-AF95-1B19C6162214}" name="Columna4" headerRowDxfId="49" dataDxfId="48"/>
    <tableColumn id="5" xr3:uid="{6C385F22-2815-4631-8DF9-2991E8DBAECD}" name="Columna5"/>
    <tableColumn id="6" xr3:uid="{B1CD7889-E34B-44B8-A4BB-4A1AC8747223}" name="Columna6"/>
    <tableColumn id="7" xr3:uid="{B0A96608-665B-4C16-9DB9-0B6E626A908C}" name="Columna7"/>
    <tableColumn id="8" xr3:uid="{CC1A68F3-426A-4EF3-9DC2-6AE9FF780957}" name="Columna8"/>
    <tableColumn id="9" xr3:uid="{6B71EF87-D6C8-4976-8EEF-1CF8D1F677A6}" name="Columna9"/>
    <tableColumn id="10" xr3:uid="{348D4CA5-6AB0-4C4B-B566-DDAB083ABEE7}" name="Columna10"/>
    <tableColumn id="11" xr3:uid="{45A83268-C573-49FE-8AAA-4DC54514EF72}" name="Columna11"/>
    <tableColumn id="12" xr3:uid="{50081F55-B119-42EF-858F-B73C4BE907D5}" name="Columna12"/>
    <tableColumn id="13" xr3:uid="{693FD37C-099D-4A79-A97B-0FCC5C6BA846}" name="Columna13"/>
    <tableColumn id="14" xr3:uid="{84EA0288-E205-4900-BF12-09AE6161B429}" name="Columna14"/>
    <tableColumn id="15" xr3:uid="{CE2B2FE0-617A-4CF2-8288-B5F1D6A8E3EA}" name="Columna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E4102-4BDB-4B2F-AD77-9482C18F0809}">
  <dimension ref="A1:W283"/>
  <sheetViews>
    <sheetView showGridLines="0" zoomScale="98" zoomScaleNormal="98" workbookViewId="0">
      <selection activeCell="K10" sqref="K10"/>
    </sheetView>
  </sheetViews>
  <sheetFormatPr baseColWidth="10" defaultRowHeight="14.4" x14ac:dyDescent="0.3"/>
  <cols>
    <col min="1" max="1" width="11.5546875" customWidth="1"/>
    <col min="4" max="4" width="11.5546875" customWidth="1"/>
    <col min="7" max="7" width="10.44140625" customWidth="1"/>
    <col min="8" max="9" width="7.6640625" customWidth="1"/>
    <col min="16" max="16" width="4.6640625" bestFit="1" customWidth="1"/>
    <col min="17" max="17" width="2.88671875" customWidth="1"/>
    <col min="20" max="20" width="8.6640625" customWidth="1"/>
  </cols>
  <sheetData>
    <row r="1" spans="1:7" ht="18" x14ac:dyDescent="0.35">
      <c r="A1" s="5" t="s">
        <v>4</v>
      </c>
    </row>
    <row r="2" spans="1:7" ht="15.6" x14ac:dyDescent="0.3">
      <c r="A2" s="2" t="s">
        <v>21</v>
      </c>
      <c r="B2" s="51" t="s">
        <v>381</v>
      </c>
      <c r="C2" s="51"/>
    </row>
    <row r="3" spans="1:7" ht="18" x14ac:dyDescent="0.35">
      <c r="A3" s="5"/>
    </row>
    <row r="4" spans="1:7" ht="18" x14ac:dyDescent="0.35">
      <c r="A4" s="5"/>
    </row>
    <row r="5" spans="1:7" ht="18" x14ac:dyDescent="0.35">
      <c r="A5" s="5"/>
    </row>
    <row r="6" spans="1:7" ht="18" x14ac:dyDescent="0.35">
      <c r="A6" s="5"/>
    </row>
    <row r="7" spans="1:7" ht="18" x14ac:dyDescent="0.35">
      <c r="A7" s="5"/>
    </row>
    <row r="8" spans="1:7" ht="18" x14ac:dyDescent="0.35">
      <c r="A8" s="5"/>
    </row>
    <row r="9" spans="1:7" ht="18" x14ac:dyDescent="0.35">
      <c r="A9" s="5"/>
    </row>
    <row r="10" spans="1:7" ht="18" x14ac:dyDescent="0.35">
      <c r="A10" s="5"/>
      <c r="G10" s="10"/>
    </row>
    <row r="11" spans="1:7" ht="18" x14ac:dyDescent="0.35">
      <c r="A11" s="5"/>
    </row>
    <row r="12" spans="1:7" ht="18" x14ac:dyDescent="0.35">
      <c r="A12" s="5"/>
    </row>
    <row r="13" spans="1:7" ht="18" x14ac:dyDescent="0.35">
      <c r="A13" s="5"/>
    </row>
    <row r="14" spans="1:7" ht="18" x14ac:dyDescent="0.35">
      <c r="A14" s="5"/>
    </row>
    <row r="16" spans="1:7" x14ac:dyDescent="0.3">
      <c r="A16" s="1" t="s">
        <v>45</v>
      </c>
      <c r="B16" s="1">
        <f>VLOOKUP($B$2,Tabla8[#All],2,FALSE)</f>
        <v>160</v>
      </c>
      <c r="C16" t="s">
        <v>13</v>
      </c>
      <c r="D16" s="1" t="s">
        <v>353</v>
      </c>
      <c r="E16" s="1">
        <f>VLOOKUP($B$2,Tabla8[#All],8,FALSE)</f>
        <v>4.75</v>
      </c>
      <c r="F16" t="s">
        <v>132</v>
      </c>
    </row>
    <row r="17" spans="1:23" x14ac:dyDescent="0.3">
      <c r="A17" s="1" t="s">
        <v>46</v>
      </c>
      <c r="B17" s="1">
        <f>VLOOKUP($B$2,Tabla8[#All],3,FALSE)</f>
        <v>50</v>
      </c>
      <c r="C17" t="s">
        <v>13</v>
      </c>
      <c r="D17" s="1" t="s">
        <v>54</v>
      </c>
      <c r="E17" s="1">
        <f>VLOOKUP($B$2,Tabla8[#All],7,FALSE)</f>
        <v>7.09</v>
      </c>
      <c r="F17" t="s">
        <v>23</v>
      </c>
    </row>
    <row r="18" spans="1:23" ht="16.2" x14ac:dyDescent="0.3">
      <c r="A18" s="1" t="s">
        <v>47</v>
      </c>
      <c r="B18" s="1">
        <f>VLOOKUP($B$2,Tabla8[#All],4,FALSE)</f>
        <v>20</v>
      </c>
      <c r="C18" t="s">
        <v>13</v>
      </c>
      <c r="D18" s="1" t="s">
        <v>55</v>
      </c>
      <c r="E18" s="1">
        <f>VLOOKUP($B$2,Tabla8[#All],10,FALSE)</f>
        <v>264</v>
      </c>
      <c r="F18" s="6" t="s">
        <v>65</v>
      </c>
    </row>
    <row r="19" spans="1:23" ht="16.2" x14ac:dyDescent="0.3">
      <c r="A19" s="1" t="s">
        <v>48</v>
      </c>
      <c r="B19" s="1">
        <f>VLOOKUP($B$2,Tabla8[#All],5,FALSE)</f>
        <v>2.5</v>
      </c>
      <c r="C19" t="s">
        <v>13</v>
      </c>
      <c r="D19" s="1" t="s">
        <v>56</v>
      </c>
      <c r="E19" s="1">
        <f>VLOOKUP($B$2,Tabla8[#All],11,FALSE)</f>
        <v>23.85</v>
      </c>
      <c r="F19" s="6" t="s">
        <v>65</v>
      </c>
      <c r="N19" s="1" t="s">
        <v>61</v>
      </c>
      <c r="O19" s="1">
        <v>0.18</v>
      </c>
      <c r="P19" s="6" t="s">
        <v>65</v>
      </c>
    </row>
    <row r="20" spans="1:23" ht="16.2" x14ac:dyDescent="0.3">
      <c r="A20" s="1" t="s">
        <v>49</v>
      </c>
      <c r="B20" s="1">
        <v>235</v>
      </c>
      <c r="C20" t="s">
        <v>22</v>
      </c>
      <c r="D20" s="1" t="s">
        <v>57</v>
      </c>
      <c r="E20" s="1">
        <f>VLOOKUP($B$2,Tabla8[#All],14,FALSE)</f>
        <v>6.1</v>
      </c>
      <c r="F20" s="6" t="s">
        <v>5</v>
      </c>
      <c r="N20" s="1" t="s">
        <v>62</v>
      </c>
      <c r="O20" s="1">
        <v>4486</v>
      </c>
      <c r="P20" s="6" t="s">
        <v>67</v>
      </c>
    </row>
    <row r="21" spans="1:23" x14ac:dyDescent="0.3">
      <c r="A21" s="1" t="s">
        <v>50</v>
      </c>
      <c r="B21" s="1">
        <v>370</v>
      </c>
      <c r="C21" t="s">
        <v>22</v>
      </c>
      <c r="D21" s="1" t="s">
        <v>58</v>
      </c>
      <c r="E21" s="1">
        <f>VLOOKUP($B$2,Tabla8[#All],15,FALSE)</f>
        <v>1.83</v>
      </c>
      <c r="F21" s="6" t="s">
        <v>5</v>
      </c>
      <c r="N21" s="1" t="s">
        <v>63</v>
      </c>
      <c r="O21" s="1">
        <v>5.47</v>
      </c>
      <c r="P21" s="6" t="s">
        <v>5</v>
      </c>
    </row>
    <row r="22" spans="1:23" x14ac:dyDescent="0.3">
      <c r="A22" s="7"/>
      <c r="B22" s="7"/>
      <c r="D22" s="1" t="s">
        <v>64</v>
      </c>
      <c r="E22" s="1">
        <f>VLOOKUP($B$2,Tabla8[#All],9,FALSE)</f>
        <v>1.63</v>
      </c>
      <c r="F22" s="6" t="s">
        <v>5</v>
      </c>
    </row>
    <row r="23" spans="1:23" x14ac:dyDescent="0.3">
      <c r="A23" s="1" t="s">
        <v>51</v>
      </c>
      <c r="B23" s="1">
        <f>B16-2*2*$B$19</f>
        <v>150</v>
      </c>
      <c r="C23" t="s">
        <v>13</v>
      </c>
      <c r="D23" s="48" t="s">
        <v>384</v>
      </c>
      <c r="E23" s="49"/>
      <c r="F23" s="6"/>
    </row>
    <row r="24" spans="1:23" x14ac:dyDescent="0.3">
      <c r="A24" s="1" t="s">
        <v>52</v>
      </c>
      <c r="B24" s="1">
        <f t="shared" ref="B24" si="0">B17-2*2*$B$19</f>
        <v>40</v>
      </c>
      <c r="C24" t="s">
        <v>13</v>
      </c>
      <c r="D24" s="1" t="s">
        <v>54</v>
      </c>
      <c r="E24" s="1">
        <f>2*E17</f>
        <v>14.18</v>
      </c>
      <c r="F24" t="s">
        <v>23</v>
      </c>
      <c r="N24" s="47" t="s">
        <v>397</v>
      </c>
      <c r="O24" s="47"/>
      <c r="R24" s="47" t="s">
        <v>398</v>
      </c>
      <c r="S24" s="47"/>
      <c r="U24" s="48" t="s">
        <v>399</v>
      </c>
      <c r="V24" s="49"/>
    </row>
    <row r="25" spans="1:23" ht="16.2" x14ac:dyDescent="0.3">
      <c r="A25" s="1" t="s">
        <v>53</v>
      </c>
      <c r="B25" s="1">
        <f>B18-2*$B$19</f>
        <v>15</v>
      </c>
      <c r="C25" t="s">
        <v>13</v>
      </c>
      <c r="D25" s="1" t="s">
        <v>55</v>
      </c>
      <c r="E25" s="1">
        <f>2*E18</f>
        <v>528</v>
      </c>
      <c r="F25" s="6" t="s">
        <v>65</v>
      </c>
      <c r="N25" s="46" t="s">
        <v>21</v>
      </c>
      <c r="O25" s="46" t="s">
        <v>404</v>
      </c>
      <c r="P25" s="7"/>
      <c r="Q25" s="7"/>
      <c r="R25" s="46" t="s">
        <v>21</v>
      </c>
      <c r="S25" s="46" t="s">
        <v>405</v>
      </c>
      <c r="T25" s="7"/>
      <c r="U25" s="46" t="s">
        <v>21</v>
      </c>
      <c r="V25" s="46" t="s">
        <v>406</v>
      </c>
    </row>
    <row r="26" spans="1:23" ht="16.2" x14ac:dyDescent="0.3">
      <c r="D26" s="1" t="s">
        <v>56</v>
      </c>
      <c r="E26" s="1">
        <f>ROUND(2*(E19+E17*(B17*0.1-(E22+'Correas Compresion Cajon'!t*0.1))^2),2)</f>
        <v>185.73</v>
      </c>
      <c r="F26" s="6" t="s">
        <v>65</v>
      </c>
      <c r="N26" s="1" t="s">
        <v>54</v>
      </c>
      <c r="O26" s="1">
        <v>17</v>
      </c>
      <c r="P26" t="s">
        <v>23</v>
      </c>
      <c r="R26" s="1" t="s">
        <v>54</v>
      </c>
      <c r="S26" s="1">
        <f>O26*2</f>
        <v>34</v>
      </c>
      <c r="T26" t="s">
        <v>23</v>
      </c>
      <c r="U26" s="1" t="s">
        <v>54</v>
      </c>
      <c r="V26" s="1">
        <v>11.34</v>
      </c>
      <c r="W26" t="s">
        <v>23</v>
      </c>
    </row>
    <row r="27" spans="1:23" ht="16.2" x14ac:dyDescent="0.3">
      <c r="A27" s="1" t="s">
        <v>68</v>
      </c>
      <c r="B27" s="1">
        <v>4</v>
      </c>
      <c r="C27" t="s">
        <v>2</v>
      </c>
      <c r="D27" s="1" t="s">
        <v>57</v>
      </c>
      <c r="E27" s="1">
        <f>E20</f>
        <v>6.1</v>
      </c>
      <c r="F27" s="6" t="s">
        <v>5</v>
      </c>
      <c r="N27" s="1" t="s">
        <v>55</v>
      </c>
      <c r="O27" s="1">
        <v>364</v>
      </c>
      <c r="P27" s="6" t="s">
        <v>65</v>
      </c>
      <c r="R27" s="1" t="s">
        <v>55</v>
      </c>
      <c r="S27" s="1">
        <f>2*O27</f>
        <v>728</v>
      </c>
      <c r="T27" s="6" t="s">
        <v>65</v>
      </c>
      <c r="U27" s="1" t="s">
        <v>396</v>
      </c>
      <c r="V27" s="1">
        <v>1.21</v>
      </c>
      <c r="W27" s="6" t="s">
        <v>5</v>
      </c>
    </row>
    <row r="28" spans="1:23" x14ac:dyDescent="0.3">
      <c r="A28" s="7"/>
      <c r="B28" s="7"/>
      <c r="D28" s="1" t="s">
        <v>58</v>
      </c>
      <c r="E28" s="1">
        <f>ROUND(SQRT(E26/E24),2)</f>
        <v>3.62</v>
      </c>
      <c r="F28" s="6" t="s">
        <v>5</v>
      </c>
      <c r="N28" s="1" t="s">
        <v>57</v>
      </c>
      <c r="O28" s="1">
        <v>4.6500000000000004</v>
      </c>
      <c r="P28" s="6" t="s">
        <v>5</v>
      </c>
      <c r="R28" s="1" t="s">
        <v>57</v>
      </c>
      <c r="S28" s="1">
        <f>O28</f>
        <v>4.6500000000000004</v>
      </c>
      <c r="T28" s="6" t="s">
        <v>5</v>
      </c>
    </row>
    <row r="29" spans="1:23" ht="16.2" x14ac:dyDescent="0.3">
      <c r="A29" s="7"/>
      <c r="B29" s="7"/>
      <c r="D29" s="1" t="s">
        <v>59</v>
      </c>
      <c r="E29" s="1">
        <f>ROUND(E25/(B16*0.1*0.5),2)</f>
        <v>66</v>
      </c>
      <c r="F29" s="6" t="s">
        <v>66</v>
      </c>
      <c r="N29" s="1" t="s">
        <v>56</v>
      </c>
      <c r="O29" s="1">
        <v>43.2</v>
      </c>
      <c r="P29" s="6" t="s">
        <v>65</v>
      </c>
      <c r="R29" s="1" t="s">
        <v>56</v>
      </c>
      <c r="S29" s="45">
        <f>2*(O29+O26*(S33/2)^2)</f>
        <v>18703.439999999999</v>
      </c>
      <c r="T29" s="6" t="s">
        <v>65</v>
      </c>
    </row>
    <row r="30" spans="1:23" ht="16.2" x14ac:dyDescent="0.3">
      <c r="A30" s="7"/>
      <c r="B30" s="7"/>
      <c r="D30" s="1" t="s">
        <v>60</v>
      </c>
      <c r="E30" s="1">
        <f>ROUND(E26/(B17*0.1),2)</f>
        <v>37.15</v>
      </c>
      <c r="F30" s="6" t="s">
        <v>66</v>
      </c>
      <c r="N30" s="1" t="s">
        <v>58</v>
      </c>
      <c r="O30" s="1">
        <v>1.59</v>
      </c>
      <c r="P30" s="6" t="s">
        <v>5</v>
      </c>
      <c r="R30" s="1" t="s">
        <v>58</v>
      </c>
      <c r="S30" s="26">
        <f>SQRT(S29/S26)</f>
        <v>23.454235789523992</v>
      </c>
      <c r="T30" s="6" t="s">
        <v>5</v>
      </c>
    </row>
    <row r="31" spans="1:23" ht="16.2" x14ac:dyDescent="0.3">
      <c r="A31" s="7"/>
      <c r="B31" s="7"/>
      <c r="N31" s="1" t="s">
        <v>394</v>
      </c>
      <c r="O31" s="1">
        <v>1.6</v>
      </c>
      <c r="P31" s="6" t="s">
        <v>5</v>
      </c>
      <c r="R31" s="1" t="s">
        <v>60</v>
      </c>
      <c r="S31" s="26">
        <f>S29/S32*2</f>
        <v>748.13759999999991</v>
      </c>
      <c r="T31" s="6" t="s">
        <v>66</v>
      </c>
    </row>
    <row r="32" spans="1:23" x14ac:dyDescent="0.3">
      <c r="A32" s="7"/>
      <c r="B32" s="7"/>
      <c r="R32" s="1" t="s">
        <v>395</v>
      </c>
      <c r="S32" s="1">
        <v>50</v>
      </c>
      <c r="T32" s="6" t="s">
        <v>5</v>
      </c>
    </row>
    <row r="33" spans="1:20" x14ac:dyDescent="0.3">
      <c r="R33" s="1" t="s">
        <v>51</v>
      </c>
      <c r="S33" s="1">
        <f>S32-2*O31</f>
        <v>46.8</v>
      </c>
      <c r="T33" s="6" t="s">
        <v>5</v>
      </c>
    </row>
    <row r="34" spans="1:20" ht="15.6" x14ac:dyDescent="0.3">
      <c r="A34" s="23" t="s">
        <v>105</v>
      </c>
      <c r="B34" s="7"/>
    </row>
    <row r="35" spans="1:20" x14ac:dyDescent="0.3">
      <c r="A35" s="7" t="s">
        <v>354</v>
      </c>
      <c r="B35" s="7">
        <v>5.16</v>
      </c>
      <c r="C35" t="s">
        <v>78</v>
      </c>
      <c r="D35" s="7" t="s">
        <v>357</v>
      </c>
      <c r="E35" s="7">
        <v>7.74</v>
      </c>
      <c r="F35" s="6" t="s">
        <v>3</v>
      </c>
      <c r="J35" t="s">
        <v>373</v>
      </c>
      <c r="K35" s="9">
        <f>B137</f>
        <v>13.959</v>
      </c>
    </row>
    <row r="36" spans="1:20" x14ac:dyDescent="0.3">
      <c r="A36" s="7" t="s">
        <v>355</v>
      </c>
      <c r="B36" s="7">
        <v>0.05</v>
      </c>
      <c r="C36" t="s">
        <v>78</v>
      </c>
      <c r="D36" s="7" t="s">
        <v>358</v>
      </c>
      <c r="E36" s="7">
        <v>0.16</v>
      </c>
      <c r="F36" s="6" t="s">
        <v>3</v>
      </c>
      <c r="J36" t="s">
        <v>374</v>
      </c>
      <c r="K36" s="9" t="e">
        <f>B231</f>
        <v>#REF!</v>
      </c>
    </row>
    <row r="37" spans="1:20" x14ac:dyDescent="0.3">
      <c r="A37" s="7" t="s">
        <v>356</v>
      </c>
      <c r="B37" s="7">
        <v>83.45</v>
      </c>
      <c r="C37" t="s">
        <v>15</v>
      </c>
      <c r="J37" t="s">
        <v>375</v>
      </c>
      <c r="K37" s="9">
        <f>B154</f>
        <v>100.46249999999999</v>
      </c>
      <c r="N37" s="47" t="s">
        <v>109</v>
      </c>
      <c r="O37" s="47"/>
      <c r="R37" s="47" t="s">
        <v>398</v>
      </c>
      <c r="S37" s="47"/>
    </row>
    <row r="38" spans="1:20" x14ac:dyDescent="0.3">
      <c r="A38" s="7"/>
      <c r="J38" t="s">
        <v>379</v>
      </c>
      <c r="K38" s="8" t="e">
        <f>B243</f>
        <v>#REF!</v>
      </c>
      <c r="N38" s="46" t="s">
        <v>21</v>
      </c>
      <c r="O38" s="46" t="s">
        <v>400</v>
      </c>
      <c r="P38" s="7"/>
      <c r="Q38" s="7"/>
      <c r="R38" s="46" t="s">
        <v>21</v>
      </c>
      <c r="S38" s="46" t="s">
        <v>403</v>
      </c>
      <c r="T38" s="7"/>
    </row>
    <row r="39" spans="1:20" ht="18" x14ac:dyDescent="0.35">
      <c r="A39" s="24" t="s">
        <v>84</v>
      </c>
      <c r="J39" t="s">
        <v>380</v>
      </c>
      <c r="K39" s="9">
        <f>C163</f>
        <v>0.14257979741614471</v>
      </c>
      <c r="N39" s="1" t="s">
        <v>51</v>
      </c>
      <c r="O39" s="1">
        <v>12</v>
      </c>
      <c r="P39" t="s">
        <v>5</v>
      </c>
      <c r="R39" s="1" t="s">
        <v>51</v>
      </c>
      <c r="S39" s="1">
        <v>12</v>
      </c>
      <c r="T39" t="s">
        <v>5</v>
      </c>
    </row>
    <row r="40" spans="1:20" ht="15.6" x14ac:dyDescent="0.3">
      <c r="A40" s="23" t="s">
        <v>24</v>
      </c>
      <c r="N40" s="1" t="s">
        <v>52</v>
      </c>
      <c r="O40" s="1">
        <v>12</v>
      </c>
      <c r="P40" t="s">
        <v>5</v>
      </c>
      <c r="R40" s="1" t="s">
        <v>52</v>
      </c>
      <c r="S40" s="1">
        <f>2*O40</f>
        <v>24</v>
      </c>
      <c r="T40" t="s">
        <v>5</v>
      </c>
    </row>
    <row r="41" spans="1:20" ht="15.6" x14ac:dyDescent="0.3">
      <c r="A41" s="4" t="s">
        <v>72</v>
      </c>
      <c r="B41" s="12" t="s">
        <v>69</v>
      </c>
      <c r="C41">
        <f>b/t</f>
        <v>16</v>
      </c>
      <c r="D41" s="7" t="s">
        <v>25</v>
      </c>
      <c r="E41" s="6">
        <v>60</v>
      </c>
      <c r="G41" s="3" t="str">
        <f>IF(C41&lt;E41,"Verifica","No Verifica")</f>
        <v>Verifica</v>
      </c>
      <c r="N41" s="1" t="s">
        <v>54</v>
      </c>
      <c r="O41" s="1">
        <v>14.2</v>
      </c>
      <c r="P41" t="s">
        <v>23</v>
      </c>
      <c r="R41" s="1" t="s">
        <v>54</v>
      </c>
      <c r="S41" s="1">
        <f>2*O41</f>
        <v>28.4</v>
      </c>
      <c r="T41" t="s">
        <v>23</v>
      </c>
    </row>
    <row r="42" spans="1:20" ht="16.2" x14ac:dyDescent="0.3">
      <c r="B42" s="12"/>
      <c r="D42" s="7"/>
      <c r="E42" s="6"/>
      <c r="N42" s="1" t="s">
        <v>55</v>
      </c>
      <c r="O42" s="1">
        <v>328</v>
      </c>
      <c r="P42" s="6" t="s">
        <v>65</v>
      </c>
      <c r="R42" s="1" t="s">
        <v>55</v>
      </c>
      <c r="S42" s="1">
        <f>2*O42</f>
        <v>656</v>
      </c>
      <c r="T42" s="6" t="s">
        <v>65</v>
      </c>
    </row>
    <row r="43" spans="1:20" ht="15.6" x14ac:dyDescent="0.3">
      <c r="A43" s="4" t="s">
        <v>73</v>
      </c>
      <c r="B43" s="12" t="s">
        <v>70</v>
      </c>
      <c r="C43">
        <f>d/t</f>
        <v>6</v>
      </c>
      <c r="D43" s="7" t="s">
        <v>25</v>
      </c>
      <c r="E43" s="6">
        <v>60</v>
      </c>
      <c r="G43" s="3" t="str">
        <f t="shared" ref="G43:G45" si="1">IF(C43&lt;E43,"Verifica","No Verifica")</f>
        <v>Verifica</v>
      </c>
      <c r="N43" s="1" t="s">
        <v>57</v>
      </c>
      <c r="O43" s="1">
        <v>4.8099999999999996</v>
      </c>
      <c r="P43" s="6" t="s">
        <v>5</v>
      </c>
      <c r="R43" s="1" t="s">
        <v>57</v>
      </c>
      <c r="S43" s="1">
        <f>O43</f>
        <v>4.8099999999999996</v>
      </c>
      <c r="T43" s="6" t="s">
        <v>5</v>
      </c>
    </row>
    <row r="44" spans="1:20" ht="16.2" x14ac:dyDescent="0.3">
      <c r="B44" s="12"/>
      <c r="D44" s="7"/>
      <c r="E44" s="6"/>
      <c r="N44" s="1" t="s">
        <v>59</v>
      </c>
      <c r="O44" s="1">
        <v>54.7</v>
      </c>
      <c r="P44" s="6" t="s">
        <v>66</v>
      </c>
      <c r="R44" s="1" t="s">
        <v>59</v>
      </c>
      <c r="S44" s="1">
        <f>2*O44</f>
        <v>109.4</v>
      </c>
      <c r="T44" s="6" t="s">
        <v>66</v>
      </c>
    </row>
    <row r="45" spans="1:20" ht="16.2" x14ac:dyDescent="0.3">
      <c r="A45" s="4" t="s">
        <v>74</v>
      </c>
      <c r="B45" s="12" t="s">
        <v>71</v>
      </c>
      <c r="C45">
        <f>h/t</f>
        <v>60</v>
      </c>
      <c r="D45" s="7" t="s">
        <v>25</v>
      </c>
      <c r="E45" s="6">
        <v>200</v>
      </c>
      <c r="G45" s="3" t="str">
        <f t="shared" si="1"/>
        <v>Verifica</v>
      </c>
      <c r="N45" s="1" t="s">
        <v>401</v>
      </c>
      <c r="O45" s="1">
        <v>63.6</v>
      </c>
      <c r="P45" s="6" t="s">
        <v>66</v>
      </c>
      <c r="R45" s="1" t="s">
        <v>401</v>
      </c>
      <c r="S45" s="1">
        <f>2*O45</f>
        <v>127.2</v>
      </c>
      <c r="T45" s="6" t="s">
        <v>66</v>
      </c>
    </row>
    <row r="46" spans="1:20" ht="16.2" x14ac:dyDescent="0.3">
      <c r="N46" s="1" t="s">
        <v>56</v>
      </c>
      <c r="O46" s="1">
        <v>21.5</v>
      </c>
      <c r="P46" s="6" t="s">
        <v>65</v>
      </c>
      <c r="R46" s="1" t="s">
        <v>56</v>
      </c>
      <c r="S46" s="1">
        <f>2*(O46+O41*(O40/2)^2)</f>
        <v>1065.4000000000001</v>
      </c>
      <c r="T46" s="6" t="s">
        <v>65</v>
      </c>
    </row>
    <row r="47" spans="1:20" x14ac:dyDescent="0.3">
      <c r="N47" s="1" t="s">
        <v>58</v>
      </c>
      <c r="O47" s="1">
        <v>1.23</v>
      </c>
      <c r="P47" s="6" t="s">
        <v>5</v>
      </c>
      <c r="R47" s="1" t="s">
        <v>58</v>
      </c>
      <c r="S47" s="26">
        <f>SQRT(S46/S41)</f>
        <v>6.1248742441818553</v>
      </c>
      <c r="T47" s="6" t="s">
        <v>5</v>
      </c>
    </row>
    <row r="48" spans="1:20" ht="16.2" x14ac:dyDescent="0.3">
      <c r="A48" s="23" t="s">
        <v>29</v>
      </c>
      <c r="N48" s="1" t="s">
        <v>60</v>
      </c>
      <c r="O48" s="1">
        <v>7.41</v>
      </c>
      <c r="P48" s="6" t="s">
        <v>66</v>
      </c>
      <c r="R48" s="1" t="s">
        <v>60</v>
      </c>
      <c r="S48" s="26">
        <f>S46/O40</f>
        <v>88.783333333333346</v>
      </c>
      <c r="T48" s="6" t="s">
        <v>66</v>
      </c>
    </row>
    <row r="49" spans="1:20" ht="16.2" x14ac:dyDescent="0.3">
      <c r="A49" s="4" t="s">
        <v>30</v>
      </c>
      <c r="N49" s="1" t="s">
        <v>402</v>
      </c>
      <c r="O49" s="1">
        <v>12.24</v>
      </c>
      <c r="P49" s="6" t="s">
        <v>66</v>
      </c>
      <c r="R49" s="1" t="s">
        <v>402</v>
      </c>
      <c r="S49" s="1">
        <f>S41*O40</f>
        <v>340.79999999999995</v>
      </c>
      <c r="T49" s="6" t="s">
        <v>66</v>
      </c>
    </row>
    <row r="50" spans="1:20" ht="16.2" x14ac:dyDescent="0.3">
      <c r="A50" s="7" t="s">
        <v>75</v>
      </c>
      <c r="B50" s="7">
        <f>fy</f>
        <v>235</v>
      </c>
      <c r="C50" t="s">
        <v>22</v>
      </c>
      <c r="N50" s="1" t="s">
        <v>61</v>
      </c>
      <c r="O50" s="1">
        <v>2.23</v>
      </c>
      <c r="P50" s="6" t="s">
        <v>65</v>
      </c>
      <c r="R50" s="1" t="s">
        <v>61</v>
      </c>
      <c r="S50" s="1">
        <f>2*O50</f>
        <v>4.46</v>
      </c>
      <c r="T50" s="6" t="s">
        <v>65</v>
      </c>
    </row>
    <row r="51" spans="1:20" x14ac:dyDescent="0.3">
      <c r="A51" s="7" t="s">
        <v>76</v>
      </c>
      <c r="B51" s="7">
        <v>0.43</v>
      </c>
    </row>
    <row r="53" spans="1:20" x14ac:dyDescent="0.3">
      <c r="C53" s="9" t="e">
        <f>B51*PI()^2*E*(t/d)^2/(12*(1-u^2))</f>
        <v>#REF!</v>
      </c>
      <c r="D53" t="s">
        <v>22</v>
      </c>
    </row>
    <row r="56" spans="1:20" x14ac:dyDescent="0.3">
      <c r="B56" s="8" t="e">
        <f>SQRT(B50/C53)</f>
        <v>#REF!</v>
      </c>
      <c r="C56" s="7" t="s">
        <v>25</v>
      </c>
      <c r="D56">
        <v>0.67300000000000004</v>
      </c>
      <c r="I56" t="e">
        <f>IF(B56&gt;D56,"OJO","")</f>
        <v>#REF!</v>
      </c>
    </row>
    <row r="58" spans="1:20" x14ac:dyDescent="0.3">
      <c r="A58" s="11" t="s">
        <v>32</v>
      </c>
    </row>
    <row r="60" spans="1:20" x14ac:dyDescent="0.3">
      <c r="A60" s="4" t="s">
        <v>33</v>
      </c>
    </row>
    <row r="61" spans="1:20" x14ac:dyDescent="0.3">
      <c r="N61" t="s">
        <v>9</v>
      </c>
      <c r="O61">
        <v>42</v>
      </c>
    </row>
    <row r="62" spans="1:20" x14ac:dyDescent="0.3">
      <c r="A62" s="4" t="s">
        <v>34</v>
      </c>
      <c r="N62" t="s">
        <v>110</v>
      </c>
      <c r="O62">
        <v>120</v>
      </c>
    </row>
    <row r="63" spans="1:20" x14ac:dyDescent="0.3">
      <c r="A63" s="7" t="s">
        <v>75</v>
      </c>
      <c r="B63" s="7">
        <f>fy</f>
        <v>235</v>
      </c>
      <c r="C63" t="s">
        <v>22</v>
      </c>
      <c r="N63" t="s">
        <v>407</v>
      </c>
      <c r="O63">
        <v>5</v>
      </c>
    </row>
    <row r="64" spans="1:20" x14ac:dyDescent="0.3">
      <c r="N64" t="s">
        <v>10</v>
      </c>
      <c r="O64">
        <f>O62-O63</f>
        <v>115</v>
      </c>
    </row>
    <row r="65" spans="1:19" x14ac:dyDescent="0.3">
      <c r="B65" s="9" t="e">
        <f>1.28*SQRT(E/B63)</f>
        <v>#REF!</v>
      </c>
      <c r="N65" t="s">
        <v>408</v>
      </c>
      <c r="O65">
        <f>320*130.11*(82+O62/2-O63)/(7*O61*O64^2)</f>
        <v>1.4670273523398019</v>
      </c>
    </row>
    <row r="66" spans="1:19" x14ac:dyDescent="0.3">
      <c r="N66" t="s">
        <v>409</v>
      </c>
      <c r="O66">
        <f>O65*O61*O64/4/10-130.11</f>
        <v>47.033552795031056</v>
      </c>
    </row>
    <row r="67" spans="1:19" x14ac:dyDescent="0.3">
      <c r="A67" s="7" t="s">
        <v>69</v>
      </c>
      <c r="B67">
        <f>b/t</f>
        <v>16</v>
      </c>
      <c r="C67" s="7" t="s">
        <v>35</v>
      </c>
      <c r="D67" s="10" t="s">
        <v>36</v>
      </c>
      <c r="I67" t="str">
        <f>IF(B67&lt;12.25,"OJO","")</f>
        <v/>
      </c>
      <c r="N67" t="s">
        <v>410</v>
      </c>
      <c r="O67">
        <v>7</v>
      </c>
    </row>
    <row r="68" spans="1:19" x14ac:dyDescent="0.3">
      <c r="N68" t="s">
        <v>411</v>
      </c>
      <c r="O68">
        <f>O66/O67</f>
        <v>6.719078970718722</v>
      </c>
    </row>
    <row r="69" spans="1:19" ht="16.2" x14ac:dyDescent="0.3">
      <c r="B69" s="8">
        <f>t*d^3/12/10^4</f>
        <v>7.03125E-2</v>
      </c>
      <c r="C69" s="6" t="s">
        <v>65</v>
      </c>
      <c r="N69" t="s">
        <v>412</v>
      </c>
      <c r="O69">
        <f>SQRT(6*O65*0.1^2*5*1000/(0.9*235))</f>
        <v>1.4425289811559756</v>
      </c>
    </row>
    <row r="70" spans="1:19" x14ac:dyDescent="0.3">
      <c r="N70" t="s">
        <v>413</v>
      </c>
      <c r="O70">
        <v>1.905</v>
      </c>
    </row>
    <row r="71" spans="1:19" ht="16.2" x14ac:dyDescent="0.3">
      <c r="C71" s="8" t="e">
        <f>399*t^4*(b/t/B65-0.328)^3/10^4</f>
        <v>#REF!</v>
      </c>
      <c r="D71" s="6" t="s">
        <v>65</v>
      </c>
      <c r="N71" t="s">
        <v>414</v>
      </c>
      <c r="O71">
        <f>O68*S71/100</f>
        <v>0.20157236912156165</v>
      </c>
      <c r="R71" t="s">
        <v>416</v>
      </c>
      <c r="S71">
        <v>3</v>
      </c>
    </row>
    <row r="72" spans="1:19" x14ac:dyDescent="0.3">
      <c r="N72" t="s">
        <v>415</v>
      </c>
      <c r="O72">
        <f>6*O71*1000/(0.9*235*O70^2)</f>
        <v>1.5757304183527925</v>
      </c>
    </row>
    <row r="74" spans="1:19" ht="16.2" x14ac:dyDescent="0.3">
      <c r="C74" s="25" t="e">
        <f>t^4*(115*b/t/B65+5)/10^4</f>
        <v>#REF!</v>
      </c>
      <c r="D74" s="6" t="s">
        <v>65</v>
      </c>
    </row>
    <row r="76" spans="1:19" ht="16.2" x14ac:dyDescent="0.3">
      <c r="C76" s="25" t="e">
        <f>MIN(C71,C74)</f>
        <v>#REF!</v>
      </c>
      <c r="D76" s="6" t="s">
        <v>65</v>
      </c>
      <c r="N76" t="s">
        <v>417</v>
      </c>
    </row>
    <row r="77" spans="1:19" x14ac:dyDescent="0.3">
      <c r="N77" t="s">
        <v>418</v>
      </c>
      <c r="O77">
        <f>O65*O61/2*10</f>
        <v>308.07574399135837</v>
      </c>
    </row>
    <row r="78" spans="1:19" x14ac:dyDescent="0.3">
      <c r="B78" s="9" t="e">
        <f>B69/C76</f>
        <v>#REF!</v>
      </c>
      <c r="C78" s="7" t="s">
        <v>35</v>
      </c>
      <c r="D78" s="14">
        <v>1</v>
      </c>
      <c r="F78" s="6">
        <v>1</v>
      </c>
      <c r="N78" t="s">
        <v>107</v>
      </c>
      <c r="O78">
        <f>O77*0.35^2/2</f>
        <v>18.869639319470696</v>
      </c>
    </row>
    <row r="79" spans="1:19" x14ac:dyDescent="0.3">
      <c r="N79" t="s">
        <v>419</v>
      </c>
      <c r="O79">
        <v>1.27</v>
      </c>
    </row>
    <row r="80" spans="1:19" x14ac:dyDescent="0.3">
      <c r="C80" s="25" t="e">
        <f>0.582-b/t/4/B65</f>
        <v>#REF!</v>
      </c>
      <c r="D80" s="7" t="s">
        <v>35</v>
      </c>
      <c r="E80" s="6">
        <v>0.33</v>
      </c>
      <c r="G80" s="15" t="e">
        <f>MAX(C80,E80)</f>
        <v>#REF!</v>
      </c>
      <c r="N80" t="s">
        <v>420</v>
      </c>
      <c r="O80">
        <v>25</v>
      </c>
    </row>
    <row r="81" spans="1:15" x14ac:dyDescent="0.3">
      <c r="N81" t="s">
        <v>421</v>
      </c>
      <c r="O81">
        <f>0.9*O79*O80^2/6*235/1000</f>
        <v>27.979687500000001</v>
      </c>
    </row>
    <row r="82" spans="1:15" x14ac:dyDescent="0.3">
      <c r="A82" s="16">
        <v>0.25</v>
      </c>
      <c r="B82" s="7" t="s">
        <v>25</v>
      </c>
      <c r="C82" s="12" t="s">
        <v>77</v>
      </c>
      <c r="D82" s="15">
        <f>B18/b</f>
        <v>0.5</v>
      </c>
      <c r="E82" s="7" t="s">
        <v>25</v>
      </c>
      <c r="F82" s="6">
        <v>0.8</v>
      </c>
    </row>
    <row r="84" spans="1:15" x14ac:dyDescent="0.3">
      <c r="D84" s="9" t="e">
        <f>(4.82-5*D82)*F78^C80+0.43</f>
        <v>#REF!</v>
      </c>
      <c r="E84" s="7" t="s">
        <v>25</v>
      </c>
      <c r="F84" s="6">
        <v>4</v>
      </c>
    </row>
    <row r="87" spans="1:15" x14ac:dyDescent="0.3">
      <c r="C87" s="9" t="e">
        <f>D84*PI()^2*E*(t/b)^2/(12*(1-u^2))</f>
        <v>#REF!</v>
      </c>
      <c r="D87" t="s">
        <v>22</v>
      </c>
    </row>
    <row r="90" spans="1:15" x14ac:dyDescent="0.3">
      <c r="B90" s="9" t="e">
        <f>SQRT(B50/C87)</f>
        <v>#REF!</v>
      </c>
      <c r="C90" s="7" t="s">
        <v>25</v>
      </c>
      <c r="D90" s="6">
        <v>0.67300000000000004</v>
      </c>
      <c r="I90" t="e">
        <f>IF(B90&gt;D90,"OJO","")</f>
        <v>#REF!</v>
      </c>
    </row>
    <row r="93" spans="1:15" x14ac:dyDescent="0.3">
      <c r="A93" s="11" t="s">
        <v>32</v>
      </c>
    </row>
    <row r="95" spans="1:15" x14ac:dyDescent="0.3">
      <c r="A95" s="4" t="s">
        <v>37</v>
      </c>
    </row>
    <row r="97" spans="1:4" x14ac:dyDescent="0.3">
      <c r="C97" s="7">
        <v>1</v>
      </c>
    </row>
    <row r="100" spans="1:4" x14ac:dyDescent="0.3">
      <c r="D100" s="6">
        <f>4+2*(1+C97)^3+2*(1+C97)</f>
        <v>24</v>
      </c>
    </row>
    <row r="103" spans="1:4" x14ac:dyDescent="0.3">
      <c r="B103" s="9">
        <f>fy*h/B16</f>
        <v>220.3125</v>
      </c>
      <c r="C103" t="s">
        <v>22</v>
      </c>
    </row>
    <row r="106" spans="1:4" x14ac:dyDescent="0.3">
      <c r="C106" s="9" t="e">
        <f>D100*PI()^2*E*(t/h)^2/(12*(1-u^2))</f>
        <v>#REF!</v>
      </c>
      <c r="D106" t="s">
        <v>22</v>
      </c>
    </row>
    <row r="109" spans="1:4" x14ac:dyDescent="0.3">
      <c r="B109" s="8" t="e">
        <f>SQRT(B103/C106)</f>
        <v>#REF!</v>
      </c>
      <c r="C109" s="7" t="s">
        <v>25</v>
      </c>
      <c r="D109" s="6">
        <v>0.67300000000000004</v>
      </c>
    </row>
    <row r="112" spans="1:4" x14ac:dyDescent="0.3">
      <c r="A112" s="11" t="s">
        <v>32</v>
      </c>
    </row>
    <row r="114" spans="1:3" x14ac:dyDescent="0.3">
      <c r="A114" s="4" t="s">
        <v>38</v>
      </c>
    </row>
    <row r="116" spans="1:3" ht="15.6" x14ac:dyDescent="0.3">
      <c r="A116" s="2" t="s">
        <v>39</v>
      </c>
    </row>
    <row r="117" spans="1:3" x14ac:dyDescent="0.3">
      <c r="A117" s="11"/>
    </row>
    <row r="119" spans="1:3" ht="15.6" x14ac:dyDescent="0.3">
      <c r="A119" s="23" t="s">
        <v>40</v>
      </c>
    </row>
    <row r="120" spans="1:3" x14ac:dyDescent="0.3">
      <c r="A120" s="17" t="s">
        <v>41</v>
      </c>
    </row>
    <row r="121" spans="1:3" x14ac:dyDescent="0.3">
      <c r="B121" s="9">
        <f>E29*fy*10^-3</f>
        <v>15.51</v>
      </c>
      <c r="C121" t="s">
        <v>78</v>
      </c>
    </row>
    <row r="122" spans="1:3" x14ac:dyDescent="0.3">
      <c r="C122" s="9"/>
    </row>
    <row r="123" spans="1:3" x14ac:dyDescent="0.3">
      <c r="B123" s="39">
        <f>0.95*B121</f>
        <v>14.734499999999999</v>
      </c>
      <c r="C123" t="s">
        <v>78</v>
      </c>
    </row>
    <row r="124" spans="1:3" x14ac:dyDescent="0.3">
      <c r="B124" s="20"/>
    </row>
    <row r="125" spans="1:3" x14ac:dyDescent="0.3">
      <c r="A125" s="17" t="s">
        <v>42</v>
      </c>
    </row>
    <row r="126" spans="1:3" x14ac:dyDescent="0.3">
      <c r="A126" s="7" t="s">
        <v>79</v>
      </c>
      <c r="B126" s="7">
        <v>200</v>
      </c>
      <c r="C126" t="s">
        <v>5</v>
      </c>
    </row>
    <row r="127" spans="1:3" x14ac:dyDescent="0.3">
      <c r="A127" s="7" t="s">
        <v>80</v>
      </c>
      <c r="B127" s="7">
        <v>1.19</v>
      </c>
    </row>
    <row r="128" spans="1:3" x14ac:dyDescent="0.3">
      <c r="A128" s="7" t="s">
        <v>81</v>
      </c>
      <c r="B128" s="7">
        <v>1</v>
      </c>
    </row>
    <row r="130" spans="1:7" x14ac:dyDescent="0.3">
      <c r="C130" s="19" t="e">
        <f>B127*PI()^2*E*B16*E26*0.5*0.1/(E29*(B126*B128)^2)</f>
        <v>#REF!</v>
      </c>
      <c r="D130" t="s">
        <v>22</v>
      </c>
      <c r="E130" s="21" t="s">
        <v>389</v>
      </c>
      <c r="F130" s="7">
        <f>2.78*fy</f>
        <v>653.29999999999995</v>
      </c>
      <c r="G130" t="s">
        <v>22</v>
      </c>
    </row>
    <row r="133" spans="1:7" x14ac:dyDescent="0.3">
      <c r="A133" s="7"/>
      <c r="B133" s="7">
        <v>235</v>
      </c>
      <c r="C133" t="s">
        <v>22</v>
      </c>
    </row>
    <row r="135" spans="1:7" x14ac:dyDescent="0.3">
      <c r="B135" s="9">
        <f>E29*B133*10^-3</f>
        <v>15.51</v>
      </c>
      <c r="C135" t="s">
        <v>78</v>
      </c>
    </row>
    <row r="136" spans="1:7" x14ac:dyDescent="0.3">
      <c r="C136" s="9"/>
    </row>
    <row r="137" spans="1:7" x14ac:dyDescent="0.3">
      <c r="B137" s="22">
        <f>0.9*B135</f>
        <v>13.959</v>
      </c>
      <c r="C137" t="s">
        <v>78</v>
      </c>
    </row>
    <row r="139" spans="1:7" x14ac:dyDescent="0.3">
      <c r="A139" s="11" t="s">
        <v>40</v>
      </c>
    </row>
    <row r="140" spans="1:7" ht="15.6" customHeight="1" x14ac:dyDescent="0.3">
      <c r="A140" s="11"/>
      <c r="C140" s="52" t="s">
        <v>35</v>
      </c>
      <c r="D140" s="53">
        <f>B35</f>
        <v>5.16</v>
      </c>
      <c r="E140" s="54" t="s">
        <v>78</v>
      </c>
      <c r="F140" s="50" t="str">
        <f>IF(B137&gt;D140,"Verifica","No Verifica")</f>
        <v>Verifica</v>
      </c>
    </row>
    <row r="141" spans="1:7" x14ac:dyDescent="0.3">
      <c r="C141" s="52"/>
      <c r="D141" s="53"/>
      <c r="E141" s="54"/>
      <c r="F141" s="50"/>
    </row>
    <row r="142" spans="1:7" x14ac:dyDescent="0.3">
      <c r="A142" s="17" t="s">
        <v>43</v>
      </c>
    </row>
    <row r="143" spans="1:7" x14ac:dyDescent="0.3">
      <c r="A143" s="7" t="s">
        <v>82</v>
      </c>
      <c r="B143" s="7">
        <v>5.34</v>
      </c>
    </row>
    <row r="145" spans="1:11" x14ac:dyDescent="0.3">
      <c r="A145" s="7" t="s">
        <v>44</v>
      </c>
      <c r="B145" s="7" t="s">
        <v>25</v>
      </c>
      <c r="J145" s="7" t="s">
        <v>25</v>
      </c>
    </row>
    <row r="146" spans="1:11" x14ac:dyDescent="0.3">
      <c r="A146" s="19">
        <f>h/t</f>
        <v>60</v>
      </c>
      <c r="B146" s="19"/>
      <c r="C146" s="19" t="e">
        <f>SQRT(E*B143/fy)</f>
        <v>#REF!</v>
      </c>
      <c r="G146" s="19"/>
      <c r="K146" s="19" t="e">
        <f>C146*1.51</f>
        <v>#REF!</v>
      </c>
    </row>
    <row r="149" spans="1:11" x14ac:dyDescent="0.3">
      <c r="B149" s="44">
        <f>0.6*fy</f>
        <v>141</v>
      </c>
      <c r="C149" t="s">
        <v>22</v>
      </c>
    </row>
    <row r="150" spans="1:11" x14ac:dyDescent="0.3">
      <c r="C150" s="9"/>
      <c r="K150" s="19" t="e">
        <f>0.6*SQRT(E*B143*fy)/A146</f>
        <v>#REF!</v>
      </c>
    </row>
    <row r="151" spans="1:11" x14ac:dyDescent="0.3">
      <c r="C151" s="9"/>
    </row>
    <row r="152" spans="1:11" x14ac:dyDescent="0.3">
      <c r="C152" s="9">
        <f>2*h*t*B149*10^-3</f>
        <v>105.75</v>
      </c>
      <c r="D152" t="s">
        <v>3</v>
      </c>
    </row>
    <row r="153" spans="1:11" x14ac:dyDescent="0.3">
      <c r="C153" s="9"/>
    </row>
    <row r="154" spans="1:11" x14ac:dyDescent="0.3">
      <c r="B154" s="22">
        <f>0.95*C152</f>
        <v>100.46249999999999</v>
      </c>
      <c r="C154" t="s">
        <v>3</v>
      </c>
    </row>
    <row r="156" spans="1:11" ht="14.4" customHeight="1" x14ac:dyDescent="0.3">
      <c r="C156" t="s">
        <v>35</v>
      </c>
      <c r="D156" s="18">
        <f>E35</f>
        <v>7.74</v>
      </c>
      <c r="E156" t="s">
        <v>3</v>
      </c>
      <c r="F156" s="34" t="str">
        <f>IF(B154&gt;D156,"Verifica","No Verifica")</f>
        <v>Verifica</v>
      </c>
    </row>
    <row r="157" spans="1:11" ht="14.4" customHeight="1" x14ac:dyDescent="0.3"/>
    <row r="160" spans="1:11" ht="15.6" x14ac:dyDescent="0.3">
      <c r="A160" s="23" t="s">
        <v>376</v>
      </c>
    </row>
    <row r="163" spans="1:6" ht="15.6" x14ac:dyDescent="0.3">
      <c r="C163" s="19">
        <f>(B35/B137)^2+(E35/B154)^2</f>
        <v>0.14257979741614471</v>
      </c>
      <c r="D163" s="7" t="s">
        <v>25</v>
      </c>
      <c r="E163" s="7">
        <v>1</v>
      </c>
      <c r="F163" s="34" t="str">
        <f>IF(C163&lt;E163,"Verifica","No Verifica")</f>
        <v>Verifica</v>
      </c>
    </row>
    <row r="167" spans="1:6" ht="18" x14ac:dyDescent="0.35">
      <c r="A167" s="24" t="s">
        <v>85</v>
      </c>
    </row>
    <row r="168" spans="1:6" ht="18" x14ac:dyDescent="0.35">
      <c r="A168" s="24"/>
    </row>
    <row r="169" spans="1:6" ht="18" x14ac:dyDescent="0.35">
      <c r="A169" s="24"/>
    </row>
    <row r="170" spans="1:6" ht="18" x14ac:dyDescent="0.35">
      <c r="A170" s="24"/>
    </row>
    <row r="171" spans="1:6" ht="18" x14ac:dyDescent="0.35">
      <c r="A171" s="24"/>
    </row>
    <row r="172" spans="1:6" ht="18" x14ac:dyDescent="0.35">
      <c r="A172" s="24"/>
    </row>
    <row r="173" spans="1:6" ht="18" x14ac:dyDescent="0.35">
      <c r="A173" s="24"/>
    </row>
    <row r="174" spans="1:6" ht="18" x14ac:dyDescent="0.35">
      <c r="A174" s="24"/>
    </row>
    <row r="175" spans="1:6" ht="18" x14ac:dyDescent="0.35">
      <c r="A175" s="24"/>
    </row>
    <row r="176" spans="1:6" ht="18" x14ac:dyDescent="0.35">
      <c r="A176" s="24"/>
    </row>
    <row r="177" spans="1:7" ht="18" x14ac:dyDescent="0.35">
      <c r="A177" s="24"/>
    </row>
    <row r="178" spans="1:7" ht="15.6" x14ac:dyDescent="0.3">
      <c r="A178" s="23" t="s">
        <v>24</v>
      </c>
    </row>
    <row r="179" spans="1:7" ht="15.6" x14ac:dyDescent="0.3">
      <c r="A179" s="4" t="s">
        <v>72</v>
      </c>
      <c r="B179" s="12" t="s">
        <v>69</v>
      </c>
      <c r="C179">
        <f>h/t</f>
        <v>60</v>
      </c>
      <c r="D179" s="7" t="s">
        <v>25</v>
      </c>
      <c r="E179" s="6">
        <v>500</v>
      </c>
      <c r="G179" s="3" t="str">
        <f>IF(C179&lt;E179,"Verifica","No Verifica")</f>
        <v>Verifica</v>
      </c>
    </row>
    <row r="181" spans="1:7" ht="15.6" x14ac:dyDescent="0.3">
      <c r="A181" s="4" t="s">
        <v>28</v>
      </c>
      <c r="B181" s="12" t="s">
        <v>71</v>
      </c>
      <c r="C181">
        <f>b/t</f>
        <v>16</v>
      </c>
      <c r="D181" s="7" t="s">
        <v>25</v>
      </c>
      <c r="E181" s="6">
        <v>200</v>
      </c>
      <c r="G181" s="3" t="str">
        <f>IF(C181&lt;E181,"Verifica","No Verifica")</f>
        <v>Verifica</v>
      </c>
    </row>
    <row r="183" spans="1:7" ht="15.6" x14ac:dyDescent="0.3">
      <c r="A183" s="23" t="s">
        <v>29</v>
      </c>
    </row>
    <row r="184" spans="1:7" x14ac:dyDescent="0.3">
      <c r="A184" s="4" t="s">
        <v>96</v>
      </c>
    </row>
    <row r="186" spans="1:7" x14ac:dyDescent="0.3">
      <c r="A186" t="s">
        <v>75</v>
      </c>
      <c r="B186">
        <v>235</v>
      </c>
      <c r="C186" t="s">
        <v>22</v>
      </c>
    </row>
    <row r="187" spans="1:7" x14ac:dyDescent="0.3">
      <c r="A187" t="s">
        <v>76</v>
      </c>
      <c r="B187">
        <v>4</v>
      </c>
    </row>
    <row r="189" spans="1:7" x14ac:dyDescent="0.3">
      <c r="C189" s="9" t="e">
        <f>B187*PI()^2*E*(t/h)^2/(12*(1-u^2))</f>
        <v>#REF!</v>
      </c>
      <c r="D189" t="s">
        <v>22</v>
      </c>
    </row>
    <row r="193" spans="1:8" x14ac:dyDescent="0.3">
      <c r="B193" s="25" t="e">
        <f>SQRT(B186/C189)</f>
        <v>#REF!</v>
      </c>
      <c r="C193" s="7" t="s">
        <v>35</v>
      </c>
      <c r="D193" s="6">
        <v>0.67300000000000004</v>
      </c>
    </row>
    <row r="195" spans="1:8" x14ac:dyDescent="0.3">
      <c r="A195" s="11" t="s">
        <v>350</v>
      </c>
    </row>
    <row r="197" spans="1:8" x14ac:dyDescent="0.3">
      <c r="B197" s="8" t="e">
        <f>(1-0.22/B193)/B193</f>
        <v>#REF!</v>
      </c>
    </row>
    <row r="199" spans="1:8" x14ac:dyDescent="0.3">
      <c r="B199" s="22" t="e">
        <f>h*B197*0.1</f>
        <v>#REF!</v>
      </c>
      <c r="C199" t="s">
        <v>5</v>
      </c>
    </row>
    <row r="200" spans="1:8" x14ac:dyDescent="0.3">
      <c r="B200" s="9"/>
    </row>
    <row r="201" spans="1:8" x14ac:dyDescent="0.3">
      <c r="A201" s="32" t="s">
        <v>91</v>
      </c>
      <c r="B201" s="32" t="s">
        <v>93</v>
      </c>
      <c r="C201" s="32" t="s">
        <v>94</v>
      </c>
      <c r="D201" s="32" t="s">
        <v>92</v>
      </c>
      <c r="E201" s="32" t="s">
        <v>95</v>
      </c>
      <c r="F201" s="32" t="s">
        <v>97</v>
      </c>
      <c r="G201" s="32" t="s">
        <v>100</v>
      </c>
      <c r="H201" s="32" t="s">
        <v>99</v>
      </c>
    </row>
    <row r="202" spans="1:8" x14ac:dyDescent="0.3">
      <c r="A202" s="1">
        <v>1</v>
      </c>
      <c r="B202" s="26" t="e">
        <f>B199</f>
        <v>#REF!</v>
      </c>
      <c r="C202" s="1">
        <v>1</v>
      </c>
      <c r="D202" s="26" t="e">
        <f>B202*C202</f>
        <v>#REF!</v>
      </c>
      <c r="E202" s="26">
        <f>B17*0.1-t*0.5*0.1</f>
        <v>4.875</v>
      </c>
      <c r="F202" s="26" t="e">
        <f>D202*E202</f>
        <v>#REF!</v>
      </c>
      <c r="G202" s="28" t="e">
        <f>D202*E202^2</f>
        <v>#REF!</v>
      </c>
      <c r="H202" s="29">
        <v>0</v>
      </c>
    </row>
    <row r="203" spans="1:8" x14ac:dyDescent="0.3">
      <c r="A203" s="1">
        <v>2</v>
      </c>
      <c r="B203" s="26">
        <f>PI()*0.5*1.5*t*0.1</f>
        <v>0.58904862254808621</v>
      </c>
      <c r="C203" s="1">
        <v>2</v>
      </c>
      <c r="D203" s="26">
        <f t="shared" ref="D203:D206" si="2">B203*C203</f>
        <v>1.1780972450961724</v>
      </c>
      <c r="E203" s="26">
        <f>B17*0.1-(0.363*1.5*t*0.1+t*0.5*0.1)</f>
        <v>4.7388750000000002</v>
      </c>
      <c r="F203" s="26">
        <f t="shared" ref="F203:F206" si="3">D203*E203</f>
        <v>5.5828555823551245</v>
      </c>
      <c r="G203" s="28">
        <f>D203*E203^2</f>
        <v>26.456454747833138</v>
      </c>
      <c r="H203" s="29">
        <v>0</v>
      </c>
    </row>
    <row r="204" spans="1:8" x14ac:dyDescent="0.3">
      <c r="A204" s="1">
        <v>3</v>
      </c>
      <c r="B204" s="1">
        <f>b*0.1</f>
        <v>4</v>
      </c>
      <c r="C204" s="1">
        <v>2</v>
      </c>
      <c r="D204" s="26">
        <f t="shared" si="2"/>
        <v>8</v>
      </c>
      <c r="E204" s="26">
        <f>B17/2/10</f>
        <v>2.5</v>
      </c>
      <c r="F204" s="26">
        <f t="shared" si="3"/>
        <v>20</v>
      </c>
      <c r="G204" s="28">
        <f>D204*E204^2</f>
        <v>50</v>
      </c>
      <c r="H204" s="28">
        <f>(B17*0.1)^3*t*0.1/12</f>
        <v>2.6041666666666665</v>
      </c>
    </row>
    <row r="205" spans="1:8" x14ac:dyDescent="0.3">
      <c r="A205" s="1">
        <v>4</v>
      </c>
      <c r="B205" s="26">
        <f>B203</f>
        <v>0.58904862254808621</v>
      </c>
      <c r="C205" s="1">
        <v>2</v>
      </c>
      <c r="D205" s="26">
        <f t="shared" si="2"/>
        <v>1.1780972450961724</v>
      </c>
      <c r="E205" s="26">
        <f>0.363*1.5*t*0.1+t*0.5*0.1</f>
        <v>0.26112500000000005</v>
      </c>
      <c r="F205" s="26">
        <f t="shared" si="3"/>
        <v>0.30763064312573807</v>
      </c>
      <c r="G205" s="28">
        <f>D205*E205^2</f>
        <v>8.0330051686208381E-2</v>
      </c>
      <c r="H205" s="29">
        <v>0</v>
      </c>
    </row>
    <row r="206" spans="1:8" x14ac:dyDescent="0.3">
      <c r="A206" s="1">
        <v>5</v>
      </c>
      <c r="B206" s="1">
        <f>d/10</f>
        <v>1.5</v>
      </c>
      <c r="C206" s="1">
        <v>2</v>
      </c>
      <c r="D206" s="26">
        <f t="shared" si="2"/>
        <v>3</v>
      </c>
      <c r="E206" s="26">
        <f>t/2/10</f>
        <v>0.125</v>
      </c>
      <c r="F206" s="26">
        <f t="shared" si="3"/>
        <v>0.375</v>
      </c>
      <c r="G206" s="28">
        <f>D206*E206^2</f>
        <v>4.6875E-2</v>
      </c>
      <c r="H206" s="29">
        <v>0</v>
      </c>
    </row>
    <row r="207" spans="1:8" x14ac:dyDescent="0.3">
      <c r="A207" s="1"/>
      <c r="B207" s="1"/>
      <c r="C207" s="1"/>
      <c r="D207" s="27" t="e">
        <f>SUM(D202:D206)</f>
        <v>#REF!</v>
      </c>
      <c r="E207" s="1"/>
      <c r="F207" s="27" t="e">
        <f>SUM(F202:F206)</f>
        <v>#REF!</v>
      </c>
      <c r="G207" s="30" t="e">
        <f>SUM(G202:G206)</f>
        <v>#REF!</v>
      </c>
      <c r="H207" s="30">
        <f>SUM(H202:H206)</f>
        <v>2.6041666666666665</v>
      </c>
    </row>
    <row r="208" spans="1:8" ht="16.2" x14ac:dyDescent="0.3">
      <c r="A208" s="7" t="s">
        <v>56</v>
      </c>
      <c r="B208" s="41" t="e">
        <f>2*(G207+H207)*t*0.1</f>
        <v>#REF!</v>
      </c>
      <c r="C208" s="6" t="s">
        <v>65</v>
      </c>
    </row>
    <row r="209" spans="1:4" ht="16.2" x14ac:dyDescent="0.3">
      <c r="A209" s="7" t="s">
        <v>60</v>
      </c>
      <c r="B209" s="19" t="e">
        <f>B208/(B17*0.1)</f>
        <v>#REF!</v>
      </c>
      <c r="C209" s="6" t="s">
        <v>66</v>
      </c>
    </row>
    <row r="211" spans="1:4" x14ac:dyDescent="0.3">
      <c r="A211" s="4" t="s">
        <v>101</v>
      </c>
    </row>
    <row r="212" spans="1:4" x14ac:dyDescent="0.3">
      <c r="A212" s="7" t="s">
        <v>102</v>
      </c>
      <c r="B212" s="19">
        <v>235</v>
      </c>
      <c r="C212" t="s">
        <v>22</v>
      </c>
    </row>
    <row r="213" spans="1:4" x14ac:dyDescent="0.3">
      <c r="A213" s="7" t="s">
        <v>388</v>
      </c>
      <c r="B213" s="19">
        <v>235</v>
      </c>
      <c r="C213" t="s">
        <v>22</v>
      </c>
    </row>
    <row r="215" spans="1:4" x14ac:dyDescent="0.3">
      <c r="B215" s="19">
        <f>ABS(B212/B213)</f>
        <v>1</v>
      </c>
    </row>
    <row r="217" spans="1:4" x14ac:dyDescent="0.3">
      <c r="D217" s="18">
        <f>4+2*(1+B215)^3+2*(1+B215)</f>
        <v>24</v>
      </c>
    </row>
    <row r="220" spans="1:4" x14ac:dyDescent="0.3">
      <c r="C220" s="40" t="e">
        <f>D217*PI()^2*E*(t/b)^2/(12*(1-u^2))</f>
        <v>#REF!</v>
      </c>
      <c r="D220" t="s">
        <v>22</v>
      </c>
    </row>
    <row r="223" spans="1:4" x14ac:dyDescent="0.3">
      <c r="B223" s="9" t="e">
        <f>SQRT(B213/C220)</f>
        <v>#REF!</v>
      </c>
      <c r="C223" s="7" t="s">
        <v>25</v>
      </c>
      <c r="D223">
        <v>0.67300000000000004</v>
      </c>
    </row>
    <row r="225" spans="1:15" x14ac:dyDescent="0.3">
      <c r="A225" s="11" t="s">
        <v>32</v>
      </c>
    </row>
    <row r="227" spans="1:15" ht="15.6" x14ac:dyDescent="0.3">
      <c r="A227" s="23" t="s">
        <v>40</v>
      </c>
    </row>
    <row r="228" spans="1:15" x14ac:dyDescent="0.3">
      <c r="A228" s="17" t="s">
        <v>41</v>
      </c>
    </row>
    <row r="229" spans="1:15" x14ac:dyDescent="0.3">
      <c r="B229" s="9" t="e">
        <f>B209*fy*10^-3</f>
        <v>#REF!</v>
      </c>
      <c r="C229" t="s">
        <v>78</v>
      </c>
    </row>
    <row r="230" spans="1:15" x14ac:dyDescent="0.3">
      <c r="C230" s="9"/>
    </row>
    <row r="231" spans="1:15" x14ac:dyDescent="0.3">
      <c r="B231" s="39" t="e">
        <f>0.95*B229</f>
        <v>#REF!</v>
      </c>
      <c r="C231" t="s">
        <v>78</v>
      </c>
    </row>
    <row r="232" spans="1:15" x14ac:dyDescent="0.3">
      <c r="B232" s="20"/>
    </row>
    <row r="234" spans="1:15" ht="15.6" x14ac:dyDescent="0.3">
      <c r="C234" s="7" t="s">
        <v>35</v>
      </c>
      <c r="D234" s="19">
        <f>B36</f>
        <v>0.05</v>
      </c>
      <c r="E234" t="s">
        <v>78</v>
      </c>
      <c r="F234" s="34" t="e">
        <f>IF(B231&gt;D234,"Verifica","No Verifica")</f>
        <v>#REF!</v>
      </c>
    </row>
    <row r="237" spans="1:15" ht="18" x14ac:dyDescent="0.35">
      <c r="A237" s="24" t="s">
        <v>377</v>
      </c>
    </row>
    <row r="238" spans="1:15" ht="18" x14ac:dyDescent="0.35">
      <c r="A238" s="43" t="s">
        <v>382</v>
      </c>
      <c r="M238">
        <v>235</v>
      </c>
    </row>
    <row r="239" spans="1:15" x14ac:dyDescent="0.3">
      <c r="A239" s="4"/>
      <c r="M239">
        <v>370</v>
      </c>
    </row>
    <row r="240" spans="1:15" x14ac:dyDescent="0.3">
      <c r="K240" s="7"/>
      <c r="L240" s="7"/>
      <c r="M240" s="7"/>
      <c r="N240" s="7"/>
      <c r="O240" s="7"/>
    </row>
    <row r="241" spans="1:13" x14ac:dyDescent="0.3">
      <c r="B241" s="7"/>
      <c r="L241" t="s">
        <v>391</v>
      </c>
      <c r="M241">
        <v>1.6</v>
      </c>
    </row>
    <row r="242" spans="1:13" x14ac:dyDescent="0.3">
      <c r="A242" s="19">
        <f>B37/'Correas Compresion Cajon'!C156</f>
        <v>0.40995283945765376</v>
      </c>
      <c r="B242" s="19">
        <f>D140/B137</f>
        <v>0.36965398667526328</v>
      </c>
      <c r="C242" s="19" t="e">
        <f>D234/B231</f>
        <v>#REF!</v>
      </c>
      <c r="L242" t="s">
        <v>8</v>
      </c>
      <c r="M242">
        <f>PI()*M241^2/4</f>
        <v>2.0106192982974678</v>
      </c>
    </row>
    <row r="243" spans="1:13" ht="15.6" x14ac:dyDescent="0.3">
      <c r="B243" s="19" t="e">
        <f>A242+B242+C242</f>
        <v>#REF!</v>
      </c>
      <c r="D243" s="7" t="s">
        <v>25</v>
      </c>
      <c r="E243" s="7">
        <v>1</v>
      </c>
      <c r="F243" s="34" t="e">
        <f>IF(B243&lt;E243,"Verifica","No Verifica")</f>
        <v>#REF!</v>
      </c>
    </row>
    <row r="244" spans="1:13" x14ac:dyDescent="0.3">
      <c r="L244" t="s">
        <v>392</v>
      </c>
      <c r="M244">
        <f>M238*M242*0.9*0.1</f>
        <v>42.524598158991445</v>
      </c>
    </row>
    <row r="245" spans="1:13" ht="5.4" customHeight="1" x14ac:dyDescent="0.3"/>
    <row r="246" spans="1:13" x14ac:dyDescent="0.3">
      <c r="L246" t="s">
        <v>393</v>
      </c>
      <c r="M246">
        <f>0.75*M242*M239*0.1*0.7</f>
        <v>39.056279869428316</v>
      </c>
    </row>
    <row r="248" spans="1:13" ht="18" x14ac:dyDescent="0.35">
      <c r="A248" s="24" t="s">
        <v>370</v>
      </c>
    </row>
    <row r="249" spans="1:13" x14ac:dyDescent="0.3">
      <c r="B249" s="7">
        <v>2.15</v>
      </c>
      <c r="C249" t="s">
        <v>83</v>
      </c>
    </row>
    <row r="250" spans="1:13" x14ac:dyDescent="0.3">
      <c r="B250" s="7">
        <v>2.15</v>
      </c>
      <c r="C250" t="s">
        <v>83</v>
      </c>
    </row>
    <row r="251" spans="1:13" x14ac:dyDescent="0.3">
      <c r="B251" s="7"/>
    </row>
    <row r="252" spans="1:13" x14ac:dyDescent="0.3">
      <c r="B252" s="7">
        <f>B27*100/200</f>
        <v>2</v>
      </c>
      <c r="C252" t="s">
        <v>5</v>
      </c>
    </row>
    <row r="254" spans="1:13" x14ac:dyDescent="0.3">
      <c r="B254" s="19">
        <f>B27*100/240</f>
        <v>1.6666666666666667</v>
      </c>
      <c r="C254" t="s">
        <v>5</v>
      </c>
    </row>
    <row r="256" spans="1:13" x14ac:dyDescent="0.3">
      <c r="A256" t="s">
        <v>372</v>
      </c>
    </row>
    <row r="258" spans="1:6" ht="15.6" x14ac:dyDescent="0.3">
      <c r="B258" s="9" t="e">
        <f>(5/384)*B249*(B27*100)^4/(E*E18*10)</f>
        <v>#REF!</v>
      </c>
      <c r="C258" t="s">
        <v>371</v>
      </c>
      <c r="D258" s="7">
        <f>B252</f>
        <v>2</v>
      </c>
      <c r="E258" t="s">
        <v>5</v>
      </c>
      <c r="F258" s="34" t="e">
        <f>IF(B258&lt;D258,"Verifica","No Verifica")</f>
        <v>#REF!</v>
      </c>
    </row>
    <row r="260" spans="1:6" ht="15.6" x14ac:dyDescent="0.3">
      <c r="B260" s="9" t="e">
        <f>(5/384)*B250*(B27*100)^4/(E*E18*10)</f>
        <v>#REF!</v>
      </c>
      <c r="C260" t="s">
        <v>371</v>
      </c>
      <c r="D260" s="19">
        <f>B254</f>
        <v>1.6666666666666667</v>
      </c>
      <c r="E260" t="s">
        <v>5</v>
      </c>
      <c r="F260" s="34" t="e">
        <f>IF(B260&lt;D260,"Verifica","No Verifica")</f>
        <v>#REF!</v>
      </c>
    </row>
    <row r="262" spans="1:6" x14ac:dyDescent="0.3">
      <c r="D262" s="9"/>
    </row>
    <row r="264" spans="1:6" x14ac:dyDescent="0.3">
      <c r="A264" t="s">
        <v>359</v>
      </c>
    </row>
    <row r="266" spans="1:6" x14ac:dyDescent="0.3">
      <c r="A266" t="s">
        <v>360</v>
      </c>
      <c r="B266">
        <v>2</v>
      </c>
      <c r="C266" t="s">
        <v>5</v>
      </c>
      <c r="E266" t="s">
        <v>361</v>
      </c>
    </row>
    <row r="267" spans="1:6" x14ac:dyDescent="0.3">
      <c r="A267" t="s">
        <v>44</v>
      </c>
      <c r="B267">
        <f>h/t</f>
        <v>60</v>
      </c>
      <c r="C267" t="s">
        <v>25</v>
      </c>
      <c r="D267">
        <v>200</v>
      </c>
    </row>
    <row r="268" spans="1:6" x14ac:dyDescent="0.3">
      <c r="A268" t="s">
        <v>362</v>
      </c>
      <c r="B268">
        <f>B266*10/t</f>
        <v>8</v>
      </c>
      <c r="C268" t="s">
        <v>25</v>
      </c>
      <c r="D268">
        <v>210</v>
      </c>
    </row>
    <row r="269" spans="1:6" x14ac:dyDescent="0.3">
      <c r="A269" t="s">
        <v>363</v>
      </c>
      <c r="B269">
        <f>B266*10/h</f>
        <v>0.13333333333333333</v>
      </c>
      <c r="C269" t="s">
        <v>25</v>
      </c>
      <c r="D269">
        <v>2</v>
      </c>
    </row>
    <row r="270" spans="1:6" x14ac:dyDescent="0.3">
      <c r="A270" t="s">
        <v>364</v>
      </c>
      <c r="B270">
        <v>90</v>
      </c>
    </row>
    <row r="272" spans="1:6" x14ac:dyDescent="0.3">
      <c r="A272" t="s">
        <v>0</v>
      </c>
      <c r="B272">
        <v>4</v>
      </c>
    </row>
    <row r="273" spans="1:4" x14ac:dyDescent="0.3">
      <c r="A273" t="s">
        <v>365</v>
      </c>
      <c r="B273">
        <v>0.14000000000000001</v>
      </c>
    </row>
    <row r="274" spans="1:4" x14ac:dyDescent="0.3">
      <c r="A274" t="s">
        <v>366</v>
      </c>
      <c r="B274">
        <v>0.35</v>
      </c>
    </row>
    <row r="275" spans="1:4" x14ac:dyDescent="0.3">
      <c r="A275" t="s">
        <v>367</v>
      </c>
      <c r="B275">
        <v>0.02</v>
      </c>
    </row>
    <row r="276" spans="1:4" x14ac:dyDescent="0.3">
      <c r="A276" t="s">
        <v>368</v>
      </c>
      <c r="B276">
        <v>0.85</v>
      </c>
    </row>
    <row r="278" spans="1:4" x14ac:dyDescent="0.3">
      <c r="A278" t="s">
        <v>12</v>
      </c>
      <c r="B278">
        <f>B272*(t/10)^2*fy*SIN(RADIANS(B270))*(1-B273)*(1+B274*SQRT(B268))*(1-B275*SQRT(B267))*0.1</f>
        <v>8.4966267803519653</v>
      </c>
    </row>
    <row r="279" spans="1:4" x14ac:dyDescent="0.3">
      <c r="A279" t="s">
        <v>11</v>
      </c>
      <c r="B279">
        <f>B276*B278</f>
        <v>7.2221327632991699</v>
      </c>
    </row>
    <row r="282" spans="1:4" x14ac:dyDescent="0.3">
      <c r="A282" t="s">
        <v>369</v>
      </c>
      <c r="B282">
        <v>9</v>
      </c>
    </row>
    <row r="283" spans="1:4" x14ac:dyDescent="0.3">
      <c r="B283">
        <f>1.07*B282/B279+B242</f>
        <v>1.7030551183931582</v>
      </c>
      <c r="C283" t="s">
        <v>25</v>
      </c>
      <c r="D283">
        <v>1.42</v>
      </c>
    </row>
  </sheetData>
  <mergeCells count="11">
    <mergeCell ref="F140:F141"/>
    <mergeCell ref="D23:E23"/>
    <mergeCell ref="B2:C2"/>
    <mergeCell ref="C140:C141"/>
    <mergeCell ref="D140:D141"/>
    <mergeCell ref="E140:E141"/>
    <mergeCell ref="N24:O24"/>
    <mergeCell ref="R24:S24"/>
    <mergeCell ref="U24:V24"/>
    <mergeCell ref="N37:O37"/>
    <mergeCell ref="R37:S37"/>
  </mergeCells>
  <conditionalFormatting sqref="F140">
    <cfRule type="cellIs" dxfId="47" priority="13" operator="equal">
      <formula>#REF!</formula>
    </cfRule>
    <cfRule type="cellIs" dxfId="46" priority="14" operator="equal">
      <formula>#REF!</formula>
    </cfRule>
  </conditionalFormatting>
  <conditionalFormatting sqref="F156">
    <cfRule type="cellIs" dxfId="45" priority="11" operator="equal">
      <formula>#REF!</formula>
    </cfRule>
    <cfRule type="cellIs" dxfId="44" priority="12" operator="equal">
      <formula>#REF!</formula>
    </cfRule>
  </conditionalFormatting>
  <conditionalFormatting sqref="F163">
    <cfRule type="cellIs" dxfId="43" priority="1" operator="equal">
      <formula>#REF!</formula>
    </cfRule>
    <cfRule type="cellIs" dxfId="42" priority="2" operator="equal">
      <formula>#REF!</formula>
    </cfRule>
  </conditionalFormatting>
  <conditionalFormatting sqref="F234">
    <cfRule type="cellIs" dxfId="41" priority="9" operator="equal">
      <formula>#REF!</formula>
    </cfRule>
    <cfRule type="cellIs" dxfId="40" priority="10" operator="equal">
      <formula>#REF!</formula>
    </cfRule>
  </conditionalFormatting>
  <conditionalFormatting sqref="F243">
    <cfRule type="cellIs" dxfId="39" priority="7" operator="equal">
      <formula>#REF!</formula>
    </cfRule>
    <cfRule type="cellIs" dxfId="38" priority="8" operator="equal">
      <formula>#REF!</formula>
    </cfRule>
  </conditionalFormatting>
  <conditionalFormatting sqref="F258">
    <cfRule type="cellIs" dxfId="37" priority="5" operator="equal">
      <formula>#REF!</formula>
    </cfRule>
    <cfRule type="cellIs" dxfId="36" priority="6" operator="equal">
      <formula>#REF!</formula>
    </cfRule>
  </conditionalFormatting>
  <conditionalFormatting sqref="F260">
    <cfRule type="cellIs" dxfId="35" priority="3" operator="equal">
      <formula>#REF!</formula>
    </cfRule>
    <cfRule type="cellIs" dxfId="34" priority="4" operator="equal">
      <formula>#REF!</formula>
    </cfRule>
  </conditionalFormatting>
  <conditionalFormatting sqref="G41 G43 G45">
    <cfRule type="cellIs" dxfId="33" priority="19" operator="equal">
      <formula>#REF!</formula>
    </cfRule>
    <cfRule type="cellIs" dxfId="32" priority="20" operator="equal">
      <formula>#REF!</formula>
    </cfRule>
  </conditionalFormatting>
  <conditionalFormatting sqref="G179">
    <cfRule type="cellIs" dxfId="31" priority="17" operator="equal">
      <formula>#REF!</formula>
    </cfRule>
    <cfRule type="cellIs" dxfId="30" priority="18" operator="equal">
      <formula>#REF!</formula>
    </cfRule>
  </conditionalFormatting>
  <conditionalFormatting sqref="G181">
    <cfRule type="cellIs" dxfId="29" priority="15" operator="equal">
      <formula>#REF!</formula>
    </cfRule>
    <cfRule type="cellIs" dxfId="28" priority="16" operator="equal">
      <formula>#REF!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2454BB50-024B-4504-8EE6-87CE35D19102}">
          <x14:formula1>
            <xm:f>'Perfiles C'!$A$5:$A$206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B755-0E53-4F9D-BD63-33AA0E3374DD}">
  <dimension ref="A1:P206"/>
  <sheetViews>
    <sheetView showGridLines="0" zoomScaleNormal="100" zoomScaleSheetLayoutView="100" workbookViewId="0">
      <selection activeCell="A135" sqref="A135:G157"/>
    </sheetView>
  </sheetViews>
  <sheetFormatPr baseColWidth="10" defaultRowHeight="14.4" x14ac:dyDescent="0.3"/>
  <cols>
    <col min="8" max="8" width="12.44140625" bestFit="1" customWidth="1"/>
  </cols>
  <sheetData>
    <row r="1" spans="1:16" ht="18" x14ac:dyDescent="0.35">
      <c r="A1" s="5" t="s">
        <v>16</v>
      </c>
      <c r="N1" t="s">
        <v>26</v>
      </c>
    </row>
    <row r="2" spans="1:16" x14ac:dyDescent="0.3">
      <c r="A2" t="s">
        <v>17</v>
      </c>
      <c r="B2">
        <v>4</v>
      </c>
      <c r="C2" t="s">
        <v>2</v>
      </c>
      <c r="N2" t="s">
        <v>27</v>
      </c>
    </row>
    <row r="3" spans="1:16" x14ac:dyDescent="0.3">
      <c r="A3" t="s">
        <v>18</v>
      </c>
      <c r="B3">
        <v>1.51</v>
      </c>
      <c r="C3" t="s">
        <v>2</v>
      </c>
    </row>
    <row r="4" spans="1:16" x14ac:dyDescent="0.3">
      <c r="A4" t="s">
        <v>14</v>
      </c>
      <c r="B4" t="e">
        <f>#REF!</f>
        <v>#REF!</v>
      </c>
      <c r="C4" t="s">
        <v>19</v>
      </c>
      <c r="N4" t="s">
        <v>7</v>
      </c>
      <c r="O4">
        <v>200000</v>
      </c>
      <c r="P4" t="s">
        <v>22</v>
      </c>
    </row>
    <row r="5" spans="1:16" x14ac:dyDescent="0.3">
      <c r="N5" t="s">
        <v>31</v>
      </c>
      <c r="O5">
        <v>0.3</v>
      </c>
    </row>
    <row r="6" spans="1:16" x14ac:dyDescent="0.3">
      <c r="N6" t="s">
        <v>1</v>
      </c>
      <c r="O6">
        <v>77200</v>
      </c>
      <c r="P6" t="s">
        <v>341</v>
      </c>
    </row>
    <row r="7" spans="1:16" x14ac:dyDescent="0.3">
      <c r="A7" t="s">
        <v>105</v>
      </c>
    </row>
    <row r="8" spans="1:16" x14ac:dyDescent="0.3">
      <c r="A8" t="s">
        <v>332</v>
      </c>
      <c r="B8">
        <v>19.899999999999999</v>
      </c>
    </row>
    <row r="9" spans="1:16" ht="18" x14ac:dyDescent="0.35">
      <c r="A9" s="5"/>
    </row>
    <row r="11" spans="1:16" ht="18" x14ac:dyDescent="0.35">
      <c r="A11" s="5" t="s">
        <v>20</v>
      </c>
    </row>
    <row r="12" spans="1:16" ht="15.6" x14ac:dyDescent="0.3">
      <c r="A12" s="2" t="s">
        <v>21</v>
      </c>
      <c r="B12" s="55" t="s">
        <v>381</v>
      </c>
      <c r="C12" s="55"/>
    </row>
    <row r="13" spans="1:16" ht="18" x14ac:dyDescent="0.35">
      <c r="A13" s="5"/>
    </row>
    <row r="14" spans="1:16" ht="18" x14ac:dyDescent="0.35">
      <c r="A14" s="5"/>
    </row>
    <row r="15" spans="1:16" ht="18" x14ac:dyDescent="0.35">
      <c r="A15" s="5"/>
    </row>
    <row r="16" spans="1:16" ht="18" x14ac:dyDescent="0.35">
      <c r="A16" s="5"/>
    </row>
    <row r="17" spans="1:7" ht="18" x14ac:dyDescent="0.35">
      <c r="A17" s="5"/>
    </row>
    <row r="18" spans="1:7" ht="18" x14ac:dyDescent="0.35">
      <c r="A18" s="5"/>
    </row>
    <row r="19" spans="1:7" ht="18" x14ac:dyDescent="0.35">
      <c r="A19" s="5"/>
    </row>
    <row r="20" spans="1:7" ht="18" x14ac:dyDescent="0.35">
      <c r="A20" s="5"/>
      <c r="G20" s="10"/>
    </row>
    <row r="21" spans="1:7" ht="18" x14ac:dyDescent="0.35">
      <c r="A21" s="5"/>
    </row>
    <row r="22" spans="1:7" ht="18" x14ac:dyDescent="0.35">
      <c r="A22" s="5"/>
    </row>
    <row r="23" spans="1:7" ht="18" x14ac:dyDescent="0.35">
      <c r="A23" s="5"/>
    </row>
    <row r="24" spans="1:7" ht="18" x14ac:dyDescent="0.35">
      <c r="A24" s="5"/>
    </row>
    <row r="26" spans="1:7" x14ac:dyDescent="0.3">
      <c r="A26" s="1" t="s">
        <v>45</v>
      </c>
      <c r="B26" s="1">
        <f>VLOOKUP($B$12,Tabla8[#All],2,FALSE)</f>
        <v>160</v>
      </c>
      <c r="C26" t="s">
        <v>13</v>
      </c>
      <c r="D26" s="1" t="s">
        <v>353</v>
      </c>
      <c r="E26" s="1">
        <f>VLOOKUP($B$12,Tabla8[#All],8,FALSE)</f>
        <v>4.75</v>
      </c>
      <c r="F26" t="s">
        <v>132</v>
      </c>
    </row>
    <row r="27" spans="1:7" x14ac:dyDescent="0.3">
      <c r="A27" s="1" t="s">
        <v>46</v>
      </c>
      <c r="B27" s="1">
        <f>VLOOKUP($B$12,Tabla8[#All],3,FALSE)</f>
        <v>50</v>
      </c>
      <c r="C27" t="s">
        <v>13</v>
      </c>
      <c r="D27" s="1" t="s">
        <v>54</v>
      </c>
      <c r="E27" s="1">
        <f>VLOOKUP($B$12,Tabla8[#All],7,FALSE)</f>
        <v>7.09</v>
      </c>
      <c r="F27" t="s">
        <v>23</v>
      </c>
    </row>
    <row r="28" spans="1:7" ht="16.2" x14ac:dyDescent="0.3">
      <c r="A28" s="1" t="s">
        <v>47</v>
      </c>
      <c r="B28" s="1">
        <f>VLOOKUP($B$12,Tabla8[#All],4,FALSE)</f>
        <v>20</v>
      </c>
      <c r="C28" t="s">
        <v>13</v>
      </c>
      <c r="D28" s="1" t="s">
        <v>55</v>
      </c>
      <c r="E28" s="1">
        <f>VLOOKUP($B$12,Tabla8[#All],10,FALSE)</f>
        <v>264</v>
      </c>
      <c r="F28" s="6" t="s">
        <v>65</v>
      </c>
    </row>
    <row r="29" spans="1:7" ht="16.2" x14ac:dyDescent="0.3">
      <c r="A29" s="1" t="s">
        <v>48</v>
      </c>
      <c r="B29" s="1">
        <f>VLOOKUP($B$12,Tabla8[#All],5,FALSE)</f>
        <v>2.5</v>
      </c>
      <c r="C29" t="s">
        <v>13</v>
      </c>
      <c r="D29" s="1" t="s">
        <v>56</v>
      </c>
      <c r="E29" s="1">
        <f>VLOOKUP($B$12,Tabla8[#All],11,FALSE)</f>
        <v>23.85</v>
      </c>
      <c r="F29" s="6" t="s">
        <v>65</v>
      </c>
    </row>
    <row r="30" spans="1:7" x14ac:dyDescent="0.3">
      <c r="A30" s="1" t="s">
        <v>49</v>
      </c>
      <c r="B30" s="1">
        <v>235</v>
      </c>
      <c r="C30" t="s">
        <v>22</v>
      </c>
      <c r="D30" s="1" t="s">
        <v>57</v>
      </c>
      <c r="E30" s="1">
        <f>VLOOKUP($B$12,Tabla8[#All],14,FALSE)</f>
        <v>6.1</v>
      </c>
      <c r="F30" s="6" t="s">
        <v>5</v>
      </c>
    </row>
    <row r="31" spans="1:7" x14ac:dyDescent="0.3">
      <c r="A31" s="1" t="s">
        <v>50</v>
      </c>
      <c r="B31" s="1">
        <v>370</v>
      </c>
      <c r="C31" t="s">
        <v>22</v>
      </c>
      <c r="D31" s="1" t="s">
        <v>58</v>
      </c>
      <c r="E31" s="1">
        <f>VLOOKUP($B$12,Tabla8[#All],15,FALSE)</f>
        <v>1.83</v>
      </c>
      <c r="F31" s="6" t="s">
        <v>5</v>
      </c>
    </row>
    <row r="32" spans="1:7" x14ac:dyDescent="0.3">
      <c r="A32" s="7"/>
      <c r="B32" s="7"/>
      <c r="D32" s="1" t="s">
        <v>64</v>
      </c>
      <c r="E32" s="1">
        <f>VLOOKUP($B$12,Tabla8[#All],9,FALSE)</f>
        <v>1.63</v>
      </c>
      <c r="F32" s="6" t="s">
        <v>5</v>
      </c>
      <c r="G32" s="6"/>
    </row>
    <row r="33" spans="1:7" x14ac:dyDescent="0.3">
      <c r="A33" s="1" t="s">
        <v>51</v>
      </c>
      <c r="B33" s="1">
        <f>B26-2*2*$B$29</f>
        <v>150</v>
      </c>
      <c r="C33" t="s">
        <v>13</v>
      </c>
      <c r="D33" s="48" t="s">
        <v>384</v>
      </c>
      <c r="E33" s="49"/>
      <c r="G33" s="6"/>
    </row>
    <row r="34" spans="1:7" x14ac:dyDescent="0.3">
      <c r="A34" s="1" t="s">
        <v>52</v>
      </c>
      <c r="B34" s="1">
        <f t="shared" ref="B34" si="0">B27-2*2*$B$29</f>
        <v>40</v>
      </c>
      <c r="C34" t="s">
        <v>13</v>
      </c>
      <c r="D34" s="1" t="s">
        <v>54</v>
      </c>
      <c r="E34" s="1">
        <f>2*E27</f>
        <v>14.18</v>
      </c>
      <c r="F34" t="s">
        <v>23</v>
      </c>
      <c r="G34" s="6"/>
    </row>
    <row r="35" spans="1:7" ht="16.2" x14ac:dyDescent="0.3">
      <c r="A35" s="1" t="s">
        <v>53</v>
      </c>
      <c r="B35" s="1">
        <f>B28-2*$B$29</f>
        <v>15</v>
      </c>
      <c r="C35" t="s">
        <v>13</v>
      </c>
      <c r="D35" s="1" t="s">
        <v>55</v>
      </c>
      <c r="E35" s="1">
        <f>2*E28</f>
        <v>528</v>
      </c>
      <c r="F35" s="6" t="s">
        <v>65</v>
      </c>
      <c r="G35" s="6"/>
    </row>
    <row r="36" spans="1:7" ht="16.2" x14ac:dyDescent="0.3">
      <c r="D36" s="1" t="s">
        <v>56</v>
      </c>
      <c r="E36" s="1">
        <f>ROUND(2*(E29+E27*(B27*0.1-(E32+'Correas Compresion Cajon'!t*0.1))^2),2)</f>
        <v>185.73</v>
      </c>
      <c r="F36" s="6" t="s">
        <v>65</v>
      </c>
      <c r="G36" s="6"/>
    </row>
    <row r="37" spans="1:7" x14ac:dyDescent="0.3">
      <c r="D37" s="1" t="s">
        <v>57</v>
      </c>
      <c r="E37" s="1">
        <f>E30</f>
        <v>6.1</v>
      </c>
      <c r="F37" s="6" t="s">
        <v>5</v>
      </c>
      <c r="G37" s="6"/>
    </row>
    <row r="38" spans="1:7" x14ac:dyDescent="0.3">
      <c r="A38" s="7" t="s">
        <v>342</v>
      </c>
      <c r="B38">
        <v>83.45</v>
      </c>
      <c r="D38" s="1" t="s">
        <v>58</v>
      </c>
      <c r="E38" s="1">
        <f>ROUND(SQRT(E36/E34),2)</f>
        <v>3.62</v>
      </c>
      <c r="F38" s="6" t="s">
        <v>5</v>
      </c>
    </row>
    <row r="39" spans="1:7" x14ac:dyDescent="0.3">
      <c r="A39" s="1" t="s">
        <v>339</v>
      </c>
      <c r="B39">
        <v>400</v>
      </c>
      <c r="C39" t="s">
        <v>5</v>
      </c>
    </row>
    <row r="40" spans="1:7" x14ac:dyDescent="0.3">
      <c r="A40" s="7" t="s">
        <v>340</v>
      </c>
      <c r="B40">
        <v>200</v>
      </c>
      <c r="C40" t="s">
        <v>5</v>
      </c>
    </row>
    <row r="41" spans="1:7" x14ac:dyDescent="0.3">
      <c r="A41" s="7"/>
      <c r="B41" s="7"/>
    </row>
    <row r="42" spans="1:7" ht="18" x14ac:dyDescent="0.35">
      <c r="A42" s="56" t="s">
        <v>390</v>
      </c>
      <c r="B42" s="56"/>
      <c r="C42" s="56"/>
      <c r="D42" s="56"/>
      <c r="E42" s="56"/>
    </row>
    <row r="43" spans="1:7" ht="15.6" x14ac:dyDescent="0.3">
      <c r="A43" s="23" t="s">
        <v>24</v>
      </c>
    </row>
    <row r="44" spans="1:7" ht="15.6" x14ac:dyDescent="0.3">
      <c r="A44" s="4" t="s">
        <v>72</v>
      </c>
      <c r="B44" s="12" t="s">
        <v>69</v>
      </c>
      <c r="C44">
        <f>b/t</f>
        <v>16</v>
      </c>
      <c r="D44" s="7" t="s">
        <v>25</v>
      </c>
      <c r="E44" s="6">
        <v>60</v>
      </c>
      <c r="G44" s="3" t="str">
        <f>IF(C44&lt;E44,"Verifica","No Verifica")</f>
        <v>Verifica</v>
      </c>
    </row>
    <row r="45" spans="1:7" x14ac:dyDescent="0.3">
      <c r="B45" s="12"/>
      <c r="D45" s="7"/>
      <c r="E45" s="6"/>
    </row>
    <row r="46" spans="1:7" ht="15.6" x14ac:dyDescent="0.3">
      <c r="A46" s="4" t="s">
        <v>73</v>
      </c>
      <c r="B46" s="12" t="s">
        <v>70</v>
      </c>
      <c r="C46">
        <f>d/t</f>
        <v>6</v>
      </c>
      <c r="D46" s="7" t="s">
        <v>25</v>
      </c>
      <c r="E46" s="6">
        <v>60</v>
      </c>
      <c r="G46" s="3" t="str">
        <f t="shared" ref="G46" si="1">IF(C46&lt;E46,"Verifica","No Verifica")</f>
        <v>Verifica</v>
      </c>
    </row>
    <row r="47" spans="1:7" x14ac:dyDescent="0.3">
      <c r="B47" s="12"/>
      <c r="D47" s="7"/>
      <c r="E47" s="6"/>
    </row>
    <row r="48" spans="1:7" ht="15.6" x14ac:dyDescent="0.3">
      <c r="A48" s="4" t="s">
        <v>74</v>
      </c>
      <c r="B48" s="12" t="s">
        <v>71</v>
      </c>
      <c r="C48">
        <f>h/t</f>
        <v>60</v>
      </c>
      <c r="D48" s="7" t="s">
        <v>25</v>
      </c>
      <c r="E48" s="6">
        <v>500</v>
      </c>
      <c r="G48" s="3" t="str">
        <f t="shared" ref="G48" si="2">IF(C48&lt;E48,"Verifica","No Verifica")</f>
        <v>Verifica</v>
      </c>
    </row>
    <row r="49" spans="1:10" ht="15.6" x14ac:dyDescent="0.3">
      <c r="A49" s="4"/>
      <c r="B49" s="12"/>
      <c r="D49" s="7"/>
      <c r="E49" s="6"/>
      <c r="G49" s="3"/>
    </row>
    <row r="50" spans="1:10" ht="18" x14ac:dyDescent="0.35">
      <c r="A50" s="24" t="s">
        <v>346</v>
      </c>
      <c r="B50" s="7"/>
    </row>
    <row r="51" spans="1:10" ht="15.6" x14ac:dyDescent="0.3">
      <c r="A51" s="23" t="s">
        <v>385</v>
      </c>
      <c r="B51" s="7"/>
    </row>
    <row r="52" spans="1:10" ht="15.6" x14ac:dyDescent="0.3">
      <c r="A52" s="42" t="s">
        <v>339</v>
      </c>
      <c r="B52" s="7">
        <v>400</v>
      </c>
      <c r="C52" t="s">
        <v>5</v>
      </c>
    </row>
    <row r="53" spans="1:10" x14ac:dyDescent="0.3">
      <c r="A53" s="7"/>
      <c r="B53" s="7"/>
    </row>
    <row r="54" spans="1:10" ht="15.6" x14ac:dyDescent="0.3">
      <c r="A54" s="7"/>
      <c r="B54" s="7">
        <f>ROUND(B52/E37,2)</f>
        <v>65.569999999999993</v>
      </c>
      <c r="C54" s="7" t="s">
        <v>25</v>
      </c>
      <c r="D54">
        <v>200</v>
      </c>
      <c r="G54" s="3" t="str">
        <f>IF(B65&lt;D54,"Verifica","No Verifica")</f>
        <v>Verifica</v>
      </c>
    </row>
    <row r="55" spans="1:10" x14ac:dyDescent="0.3">
      <c r="A55" s="7"/>
      <c r="B55" s="7"/>
    </row>
    <row r="56" spans="1:10" x14ac:dyDescent="0.3">
      <c r="A56" s="7"/>
      <c r="B56" s="7"/>
    </row>
    <row r="57" spans="1:10" x14ac:dyDescent="0.3">
      <c r="A57" s="7"/>
      <c r="B57" s="7"/>
      <c r="C57" s="19">
        <f>PI()^2*'Correas Compresion Cajon'!E/B54^2</f>
        <v>459.11277115641025</v>
      </c>
      <c r="D57" t="s">
        <v>22</v>
      </c>
      <c r="J57" s="8"/>
    </row>
    <row r="58" spans="1:10" x14ac:dyDescent="0.3">
      <c r="A58" s="7"/>
      <c r="B58" s="7"/>
      <c r="J58" s="8"/>
    </row>
    <row r="59" spans="1:10" ht="18" x14ac:dyDescent="0.35">
      <c r="A59" s="24"/>
      <c r="B59" s="7"/>
      <c r="J59" s="8"/>
    </row>
    <row r="60" spans="1:10" ht="15.6" x14ac:dyDescent="0.3">
      <c r="A60" s="23" t="s">
        <v>345</v>
      </c>
      <c r="B60" s="7"/>
      <c r="J60" s="8"/>
    </row>
    <row r="61" spans="1:10" ht="15.6" x14ac:dyDescent="0.3">
      <c r="A61" s="42" t="s">
        <v>340</v>
      </c>
      <c r="B61" s="7">
        <f>B40</f>
        <v>200</v>
      </c>
      <c r="C61" t="s">
        <v>5</v>
      </c>
      <c r="J61" s="8"/>
    </row>
    <row r="62" spans="1:10" ht="15.6" x14ac:dyDescent="0.3">
      <c r="A62" s="3" t="s">
        <v>386</v>
      </c>
      <c r="B62" s="7">
        <v>4</v>
      </c>
      <c r="J62" s="8"/>
    </row>
    <row r="63" spans="1:10" ht="15.6" x14ac:dyDescent="0.3">
      <c r="A63" s="3" t="s">
        <v>387</v>
      </c>
      <c r="B63" s="7">
        <f>B61/B62</f>
        <v>50</v>
      </c>
      <c r="C63" t="s">
        <v>5</v>
      </c>
      <c r="J63" s="8"/>
    </row>
    <row r="64" spans="1:10" ht="15.6" x14ac:dyDescent="0.3">
      <c r="A64" s="23"/>
      <c r="B64" s="7"/>
      <c r="J64" s="8"/>
    </row>
    <row r="65" spans="1:10" ht="15.6" x14ac:dyDescent="0.3">
      <c r="A65" s="7"/>
      <c r="B65" s="7">
        <f>ROUND(B61/E38,2)</f>
        <v>55.25</v>
      </c>
      <c r="C65" s="7" t="s">
        <v>25</v>
      </c>
      <c r="D65">
        <v>200</v>
      </c>
      <c r="G65" s="3" t="str">
        <f>IF(B54&lt;D65,"Verifica","No Verifica")</f>
        <v>Verifica</v>
      </c>
      <c r="J65" s="8"/>
    </row>
    <row r="66" spans="1:10" x14ac:dyDescent="0.3">
      <c r="A66" s="7"/>
      <c r="J66" s="8"/>
    </row>
    <row r="67" spans="1:10" x14ac:dyDescent="0.3">
      <c r="J67" s="8"/>
    </row>
    <row r="68" spans="1:10" ht="15.6" x14ac:dyDescent="0.3">
      <c r="C68" s="19">
        <f>SQRT(B65^2+(B63/E31)^2)</f>
        <v>61.636647220986887</v>
      </c>
      <c r="D68" s="7" t="s">
        <v>25</v>
      </c>
      <c r="E68">
        <v>200</v>
      </c>
      <c r="G68" s="3" t="str">
        <f>IF(B57&lt;E68,"Verifica","No Verifica")</f>
        <v>Verifica</v>
      </c>
      <c r="J68" s="8"/>
    </row>
    <row r="69" spans="1:10" x14ac:dyDescent="0.3">
      <c r="J69" s="8"/>
    </row>
    <row r="70" spans="1:10" x14ac:dyDescent="0.3">
      <c r="J70" s="8"/>
    </row>
    <row r="71" spans="1:10" ht="15.6" x14ac:dyDescent="0.3">
      <c r="A71">
        <f>ROUND(B63/E31,2)</f>
        <v>27.32</v>
      </c>
      <c r="B71" s="7" t="s">
        <v>25</v>
      </c>
      <c r="C71" s="20"/>
      <c r="D71" s="7">
        <f>ROUND(C68*0.5,2)</f>
        <v>30.82</v>
      </c>
      <c r="G71" s="3" t="str">
        <f>IF(A71&lt;D71,"Verifica","No Verifica")</f>
        <v>Verifica</v>
      </c>
      <c r="J71" s="8"/>
    </row>
    <row r="74" spans="1:10" x14ac:dyDescent="0.3">
      <c r="C74" s="19">
        <f>PI()^2*'Correas Compresion Cajon'!E/C68^2</f>
        <v>519.57916461815807</v>
      </c>
      <c r="D74" t="s">
        <v>22</v>
      </c>
    </row>
    <row r="77" spans="1:10" x14ac:dyDescent="0.3">
      <c r="A77" s="7"/>
      <c r="C77" s="19">
        <f>MIN(C57,C74)</f>
        <v>459.11277115641025</v>
      </c>
      <c r="D77" t="s">
        <v>22</v>
      </c>
      <c r="E77" s="7"/>
    </row>
    <row r="78" spans="1:10" x14ac:dyDescent="0.3">
      <c r="A78" s="7"/>
      <c r="E78" s="7"/>
    </row>
    <row r="79" spans="1:10" ht="15.6" x14ac:dyDescent="0.3">
      <c r="A79" s="23" t="s">
        <v>348</v>
      </c>
      <c r="B79" s="7"/>
    </row>
    <row r="80" spans="1:10" x14ac:dyDescent="0.3">
      <c r="A80" s="7"/>
      <c r="B80" s="7"/>
    </row>
    <row r="81" spans="1:10" x14ac:dyDescent="0.3">
      <c r="A81" s="7"/>
      <c r="B81" s="7"/>
    </row>
    <row r="82" spans="1:10" x14ac:dyDescent="0.3">
      <c r="A82" s="7"/>
      <c r="B82" s="7">
        <f>ROUND(SQRT('Correas Compresion Cajon'!fy/C77),2)</f>
        <v>0.72</v>
      </c>
      <c r="C82" s="7" t="s">
        <v>25</v>
      </c>
      <c r="D82">
        <v>1.5</v>
      </c>
    </row>
    <row r="83" spans="1:10" x14ac:dyDescent="0.3">
      <c r="A83" s="7"/>
      <c r="B83" s="7"/>
    </row>
    <row r="84" spans="1:10" x14ac:dyDescent="0.3">
      <c r="A84" s="7"/>
      <c r="C84" s="37">
        <f>ROUND(0.658^(B82^2)*fy,2)</f>
        <v>189.16</v>
      </c>
      <c r="D84" t="s">
        <v>22</v>
      </c>
    </row>
    <row r="86" spans="1:10" ht="18" x14ac:dyDescent="0.35">
      <c r="A86" s="24" t="s">
        <v>349</v>
      </c>
    </row>
    <row r="87" spans="1:10" x14ac:dyDescent="0.3">
      <c r="A87" s="4" t="s">
        <v>333</v>
      </c>
      <c r="J87">
        <v>2916.6</v>
      </c>
    </row>
    <row r="88" spans="1:10" x14ac:dyDescent="0.3">
      <c r="A88" s="7" t="s">
        <v>75</v>
      </c>
      <c r="B88" s="7">
        <f>C84</f>
        <v>189.16</v>
      </c>
      <c r="C88" t="s">
        <v>22</v>
      </c>
      <c r="I88" t="str">
        <f>IF(B94&gt;D94,"OJO","")</f>
        <v/>
      </c>
    </row>
    <row r="89" spans="1:10" x14ac:dyDescent="0.3">
      <c r="A89" s="7" t="s">
        <v>76</v>
      </c>
      <c r="B89" s="7">
        <v>0.43</v>
      </c>
    </row>
    <row r="91" spans="1:10" x14ac:dyDescent="0.3">
      <c r="C91" s="9">
        <f>B89*PI()^2*E*(t/d)^2/(12*(1-u^2))</f>
        <v>2159.1014918948026</v>
      </c>
      <c r="D91" t="s">
        <v>22</v>
      </c>
    </row>
    <row r="94" spans="1:10" x14ac:dyDescent="0.3">
      <c r="B94" s="8">
        <f>SQRT(B88/C91)</f>
        <v>0.29599073962653594</v>
      </c>
      <c r="C94" s="7" t="s">
        <v>25</v>
      </c>
      <c r="D94">
        <v>0.67300000000000004</v>
      </c>
    </row>
    <row r="96" spans="1:10" x14ac:dyDescent="0.3">
      <c r="A96" s="11" t="s">
        <v>32</v>
      </c>
    </row>
    <row r="98" spans="1:9" x14ac:dyDescent="0.3">
      <c r="A98" s="4" t="s">
        <v>33</v>
      </c>
    </row>
    <row r="99" spans="1:9" x14ac:dyDescent="0.3">
      <c r="I99" t="str">
        <f>IF(B105&lt;12.25,"OJO","")</f>
        <v/>
      </c>
    </row>
    <row r="100" spans="1:9" x14ac:dyDescent="0.3">
      <c r="A100" s="4" t="s">
        <v>34</v>
      </c>
    </row>
    <row r="101" spans="1:9" x14ac:dyDescent="0.3">
      <c r="A101" s="7" t="s">
        <v>75</v>
      </c>
      <c r="B101" s="7">
        <f>C84</f>
        <v>189.16</v>
      </c>
      <c r="C101" t="s">
        <v>22</v>
      </c>
    </row>
    <row r="103" spans="1:9" x14ac:dyDescent="0.3">
      <c r="B103" s="9">
        <f>1.28*SQRT(E/B101)</f>
        <v>41.620789573987011</v>
      </c>
    </row>
    <row r="105" spans="1:9" x14ac:dyDescent="0.3">
      <c r="A105" s="7" t="s">
        <v>69</v>
      </c>
      <c r="B105" s="7">
        <f>b/t</f>
        <v>16</v>
      </c>
      <c r="C105" s="7" t="s">
        <v>35</v>
      </c>
      <c r="D105" s="10" t="s">
        <v>338</v>
      </c>
      <c r="E105" s="19">
        <f>0.328*B103</f>
        <v>13.65161898026774</v>
      </c>
    </row>
    <row r="107" spans="1:9" ht="16.2" x14ac:dyDescent="0.3">
      <c r="B107" s="25">
        <f>t*d^3/12/10^4</f>
        <v>7.03125E-2</v>
      </c>
      <c r="C107" s="6" t="s">
        <v>65</v>
      </c>
    </row>
    <row r="110" spans="1:9" ht="16.2" x14ac:dyDescent="0.3">
      <c r="C110" s="8">
        <f>399*t^4*(b/t/B103-0.328)^3/10^4</f>
        <v>2.7996753326929585E-4</v>
      </c>
      <c r="D110" s="6" t="s">
        <v>65</v>
      </c>
    </row>
    <row r="113" spans="1:9" ht="16.2" x14ac:dyDescent="0.3">
      <c r="C113" s="25">
        <f>t^4*(115*b/t/B103+5)/10^4</f>
        <v>0.19222139051795373</v>
      </c>
      <c r="D113" s="6" t="s">
        <v>65</v>
      </c>
    </row>
    <row r="115" spans="1:9" ht="16.2" x14ac:dyDescent="0.3">
      <c r="C115" s="25">
        <f>MIN(C110,C113)</f>
        <v>2.7996753326929585E-4</v>
      </c>
      <c r="D115" s="6" t="s">
        <v>65</v>
      </c>
    </row>
    <row r="117" spans="1:9" x14ac:dyDescent="0.3">
      <c r="B117">
        <f>ROUND(B107/C115,2)</f>
        <v>251.15</v>
      </c>
      <c r="C117" s="7" t="s">
        <v>35</v>
      </c>
      <c r="D117" s="14">
        <v>1</v>
      </c>
      <c r="F117" s="6">
        <v>1</v>
      </c>
    </row>
    <row r="120" spans="1:9" x14ac:dyDescent="0.3">
      <c r="C120" s="25">
        <f>0.582-b/t/4/B103</f>
        <v>0.48589418266826923</v>
      </c>
      <c r="D120" s="7" t="s">
        <v>35</v>
      </c>
      <c r="E120" s="6">
        <v>0.33</v>
      </c>
      <c r="F120" s="25">
        <f>MAX(C120,E120)</f>
        <v>0.48589418266826923</v>
      </c>
    </row>
    <row r="122" spans="1:9" x14ac:dyDescent="0.3">
      <c r="A122" s="16">
        <v>0.25</v>
      </c>
      <c r="B122" s="7" t="s">
        <v>25</v>
      </c>
      <c r="C122" s="12" t="s">
        <v>77</v>
      </c>
      <c r="D122" s="15">
        <f>B28/b</f>
        <v>0.5</v>
      </c>
      <c r="E122" s="7" t="s">
        <v>25</v>
      </c>
      <c r="F122" s="6">
        <v>0.8</v>
      </c>
    </row>
    <row r="125" spans="1:9" x14ac:dyDescent="0.3">
      <c r="D125" s="19">
        <f>(4.82-5*D122)*F117^F120+0.43</f>
        <v>2.7500000000000004</v>
      </c>
      <c r="E125" s="7" t="s">
        <v>25</v>
      </c>
      <c r="F125" s="6">
        <v>4</v>
      </c>
    </row>
    <row r="126" spans="1:9" x14ac:dyDescent="0.3">
      <c r="I126" t="str">
        <f>IF(B131&gt;D131,"OJO","")</f>
        <v/>
      </c>
    </row>
    <row r="128" spans="1:9" x14ac:dyDescent="0.3">
      <c r="C128" s="9">
        <f>MIN(D125,F125)*PI()^2*E*(t/b)^2/(12*(1-u^2))</f>
        <v>1941.7791396946357</v>
      </c>
      <c r="D128" t="s">
        <v>22</v>
      </c>
    </row>
    <row r="131" spans="1:4" x14ac:dyDescent="0.3">
      <c r="B131" s="9">
        <f>SQRT(B101/C128)</f>
        <v>0.31211506903168329</v>
      </c>
      <c r="C131" s="7" t="s">
        <v>25</v>
      </c>
      <c r="D131" s="6">
        <v>0.67300000000000004</v>
      </c>
    </row>
    <row r="133" spans="1:4" x14ac:dyDescent="0.3">
      <c r="A133" s="11" t="s">
        <v>32</v>
      </c>
    </row>
    <row r="135" spans="1:4" x14ac:dyDescent="0.3">
      <c r="A135" s="4" t="s">
        <v>334</v>
      </c>
    </row>
    <row r="136" spans="1:4" x14ac:dyDescent="0.3">
      <c r="A136" s="7" t="s">
        <v>335</v>
      </c>
      <c r="B136" s="7">
        <f>C84</f>
        <v>189.16</v>
      </c>
      <c r="C136" t="s">
        <v>22</v>
      </c>
    </row>
    <row r="137" spans="1:4" x14ac:dyDescent="0.3">
      <c r="A137" s="7" t="s">
        <v>76</v>
      </c>
      <c r="B137" s="7">
        <v>4</v>
      </c>
      <c r="C137" s="7"/>
    </row>
    <row r="139" spans="1:4" x14ac:dyDescent="0.3">
      <c r="C139">
        <f>ROUND(B137*PI()^2*E*(t/h)^2/(12*(1-u^2)),2)</f>
        <v>200.85</v>
      </c>
      <c r="D139" t="s">
        <v>22</v>
      </c>
    </row>
    <row r="140" spans="1:4" x14ac:dyDescent="0.3">
      <c r="D140" s="6"/>
    </row>
    <row r="143" spans="1:4" x14ac:dyDescent="0.3">
      <c r="B143" s="8">
        <f>SQRT(B136/C139)</f>
        <v>0.97046244709150742</v>
      </c>
      <c r="C143" s="7" t="s">
        <v>35</v>
      </c>
      <c r="D143" s="6">
        <v>0.67300000000000004</v>
      </c>
    </row>
    <row r="145" spans="1:11" x14ac:dyDescent="0.3">
      <c r="A145" s="11" t="s">
        <v>350</v>
      </c>
    </row>
    <row r="147" spans="1:11" x14ac:dyDescent="0.3">
      <c r="B147" s="25">
        <f>(1-0.22/B143)/B143</f>
        <v>0.79684067719565066</v>
      </c>
      <c r="C147" s="9"/>
    </row>
    <row r="149" spans="1:11" x14ac:dyDescent="0.3">
      <c r="B149" s="7">
        <f>ROUND(B147*h,2)</f>
        <v>119.53</v>
      </c>
      <c r="C149" t="s">
        <v>5</v>
      </c>
    </row>
    <row r="151" spans="1:11" ht="18" x14ac:dyDescent="0.35">
      <c r="A151" s="24" t="s">
        <v>351</v>
      </c>
    </row>
    <row r="152" spans="1:11" x14ac:dyDescent="0.3">
      <c r="C152" s="7">
        <f>2*ROUND(E27-('Correas Compresion Cajon'!h-B149)*'Correas Compresion Cajon'!t*0.01,2)</f>
        <v>12.66</v>
      </c>
      <c r="D152" t="s">
        <v>23</v>
      </c>
    </row>
    <row r="154" spans="1:11" ht="18" x14ac:dyDescent="0.35">
      <c r="A154" s="24" t="s">
        <v>352</v>
      </c>
    </row>
    <row r="155" spans="1:11" ht="18" x14ac:dyDescent="0.35">
      <c r="A155" s="24"/>
    </row>
    <row r="156" spans="1:11" ht="18" x14ac:dyDescent="0.35">
      <c r="A156" s="24"/>
      <c r="C156" s="38">
        <f>ROUND(0.85*C84*C152*0.1,2)</f>
        <v>203.56</v>
      </c>
      <c r="D156" t="s">
        <v>378</v>
      </c>
      <c r="E156" s="7">
        <f>B38</f>
        <v>83.45</v>
      </c>
      <c r="F156" t="s">
        <v>3</v>
      </c>
      <c r="G156" s="3" t="str">
        <f>IF(B147&lt;D156,"Verifica","No Verifica")</f>
        <v>Verifica</v>
      </c>
      <c r="K156">
        <f>C156/0.85</f>
        <v>239.48235294117649</v>
      </c>
    </row>
    <row r="157" spans="1:11" ht="18" x14ac:dyDescent="0.35">
      <c r="A157" s="24"/>
    </row>
    <row r="160" spans="1:11" x14ac:dyDescent="0.3">
      <c r="A160" t="s">
        <v>108</v>
      </c>
    </row>
    <row r="161" spans="1:11" x14ac:dyDescent="0.3">
      <c r="A161" t="s">
        <v>106</v>
      </c>
      <c r="B161">
        <f>B38/C156</f>
        <v>0.40995283945765376</v>
      </c>
      <c r="D161" t="s">
        <v>343</v>
      </c>
      <c r="E161" t="e">
        <f>'Correas Flexion'!#REF!/'Correas Flexion'!B132</f>
        <v>#REF!</v>
      </c>
      <c r="G161" t="s">
        <v>344</v>
      </c>
      <c r="H161">
        <f>'Correas Flexion'!D235/'Correas Flexion'!B232</f>
        <v>0</v>
      </c>
      <c r="J161" t="e">
        <f>B161+E161+H161</f>
        <v>#REF!</v>
      </c>
    </row>
    <row r="163" spans="1:11" x14ac:dyDescent="0.3">
      <c r="B163" s="9"/>
    </row>
    <row r="164" spans="1:11" x14ac:dyDescent="0.3">
      <c r="A164" s="32" t="s">
        <v>91</v>
      </c>
      <c r="B164" s="32" t="s">
        <v>93</v>
      </c>
      <c r="C164" s="32" t="s">
        <v>94</v>
      </c>
      <c r="D164" s="32" t="s">
        <v>92</v>
      </c>
      <c r="E164" s="32" t="s">
        <v>95</v>
      </c>
      <c r="F164" s="32" t="s">
        <v>97</v>
      </c>
      <c r="G164" s="32" t="s">
        <v>98</v>
      </c>
      <c r="H164" s="32" t="s">
        <v>100</v>
      </c>
      <c r="I164" s="32" t="s">
        <v>99</v>
      </c>
    </row>
    <row r="165" spans="1:11" x14ac:dyDescent="0.3">
      <c r="A165" s="1">
        <v>1</v>
      </c>
      <c r="B165" s="26">
        <f>d/10</f>
        <v>1.5</v>
      </c>
      <c r="C165" s="1">
        <v>1</v>
      </c>
      <c r="D165" s="26">
        <f>B165*C165</f>
        <v>1.5</v>
      </c>
      <c r="E165" s="26">
        <f>(d/2+2*'Correas Compresion Cajon'!t)*0.1</f>
        <v>1.25</v>
      </c>
      <c r="F165" s="26">
        <f>D165*E165</f>
        <v>1.875</v>
      </c>
      <c r="G165" s="26">
        <f>ABS(E165-$B$174)</f>
        <v>6.75</v>
      </c>
      <c r="H165" s="28">
        <f t="shared" ref="H165:H172" si="3">D165*G165^2</f>
        <v>68.34375</v>
      </c>
      <c r="I165" s="29">
        <f>(d*0.1)^3/12</f>
        <v>0.28125</v>
      </c>
    </row>
    <row r="166" spans="1:11" x14ac:dyDescent="0.3">
      <c r="A166" s="1">
        <v>2</v>
      </c>
      <c r="B166" s="26">
        <f>PI()*0.5*1.5*t*0.1</f>
        <v>0.58904862254808621</v>
      </c>
      <c r="C166" s="1">
        <v>2</v>
      </c>
      <c r="D166" s="26">
        <f t="shared" ref="D166:D172" si="4">B166*C166</f>
        <v>1.1780972450961724</v>
      </c>
      <c r="E166" s="26">
        <f>(0.363*1.5*t+t/2)*0.1</f>
        <v>0.261125</v>
      </c>
      <c r="F166" s="26">
        <f t="shared" ref="F166:F172" si="5">D166*E166</f>
        <v>0.30763064312573801</v>
      </c>
      <c r="G166" s="26">
        <f t="shared" ref="G166:G172" si="6">ABS(E166-$B$174)</f>
        <v>7.7388750000000002</v>
      </c>
      <c r="H166" s="28">
        <f t="shared" si="3"/>
        <v>70.556463447829444</v>
      </c>
      <c r="I166" s="29">
        <v>0</v>
      </c>
    </row>
    <row r="167" spans="1:11" x14ac:dyDescent="0.3">
      <c r="A167" s="1">
        <v>3</v>
      </c>
      <c r="B167" s="1">
        <f>b*0.1</f>
        <v>4</v>
      </c>
      <c r="C167" s="1">
        <v>1</v>
      </c>
      <c r="D167" s="26">
        <f t="shared" si="4"/>
        <v>4</v>
      </c>
      <c r="E167" s="26">
        <f>'Correas Compresion Cajon'!t/2*0.1</f>
        <v>0.125</v>
      </c>
      <c r="F167" s="26">
        <f t="shared" si="5"/>
        <v>0.5</v>
      </c>
      <c r="G167" s="26">
        <f t="shared" si="6"/>
        <v>7.875</v>
      </c>
      <c r="H167" s="28">
        <f t="shared" si="3"/>
        <v>248.0625</v>
      </c>
      <c r="I167" s="28">
        <v>0</v>
      </c>
    </row>
    <row r="168" spans="1:11" x14ac:dyDescent="0.3">
      <c r="A168" s="1" t="s">
        <v>336</v>
      </c>
      <c r="B168" s="19">
        <f>B149*0.1*0.5</f>
        <v>5.9765000000000006</v>
      </c>
      <c r="C168" s="1">
        <v>1</v>
      </c>
      <c r="D168" s="26">
        <f t="shared" si="4"/>
        <v>5.9765000000000006</v>
      </c>
      <c r="E168" s="26">
        <f>('Correas Compresion Cajon'!t*2.5*0.1+B168*0.5)</f>
        <v>3.6132500000000003</v>
      </c>
      <c r="F168" s="26">
        <f t="shared" si="5"/>
        <v>21.594588625000004</v>
      </c>
      <c r="G168" s="26">
        <f t="shared" si="6"/>
        <v>4.3867499999999993</v>
      </c>
      <c r="H168" s="28">
        <f t="shared" si="3"/>
        <v>115.00922934928123</v>
      </c>
      <c r="I168" s="29">
        <f>(B168)^3/12</f>
        <v>17.789327293510421</v>
      </c>
    </row>
    <row r="169" spans="1:11" x14ac:dyDescent="0.3">
      <c r="A169" s="1" t="s">
        <v>337</v>
      </c>
      <c r="B169" s="19">
        <f>B168</f>
        <v>5.9765000000000006</v>
      </c>
      <c r="C169" s="1">
        <v>1</v>
      </c>
      <c r="D169" s="26">
        <f t="shared" si="4"/>
        <v>5.9765000000000006</v>
      </c>
      <c r="E169" s="26">
        <f>(B26-'Correas Compresion Cajon'!t*2.5)*0.1-B169*0.5</f>
        <v>12.386749999999999</v>
      </c>
      <c r="F169" s="26">
        <f t="shared" si="5"/>
        <v>74.029411375000009</v>
      </c>
      <c r="G169" s="26">
        <f t="shared" si="6"/>
        <v>4.3867499999999993</v>
      </c>
      <c r="H169" s="28">
        <f t="shared" si="3"/>
        <v>115.00922934928123</v>
      </c>
      <c r="I169" s="29">
        <f>(B169)^3/12</f>
        <v>17.789327293510421</v>
      </c>
    </row>
    <row r="170" spans="1:11" x14ac:dyDescent="0.3">
      <c r="A170" s="1">
        <v>5</v>
      </c>
      <c r="B170" s="26">
        <f>B166</f>
        <v>0.58904862254808621</v>
      </c>
      <c r="C170" s="1">
        <v>2</v>
      </c>
      <c r="D170" s="26">
        <f t="shared" si="4"/>
        <v>1.1780972450961724</v>
      </c>
      <c r="E170" s="26">
        <f>(B26-0.363*1.5*t-t*0.5)*0.1</f>
        <v>15.738875</v>
      </c>
      <c r="F170" s="26">
        <f t="shared" si="5"/>
        <v>18.541925278413022</v>
      </c>
      <c r="G170" s="26">
        <f t="shared" si="6"/>
        <v>7.7388750000000002</v>
      </c>
      <c r="H170" s="28">
        <f t="shared" si="3"/>
        <v>70.556463447829444</v>
      </c>
      <c r="I170" s="29">
        <v>0</v>
      </c>
      <c r="K170">
        <f>d</f>
        <v>15</v>
      </c>
    </row>
    <row r="171" spans="1:11" x14ac:dyDescent="0.3">
      <c r="A171" s="1">
        <v>6</v>
      </c>
      <c r="B171" s="1">
        <f>B167</f>
        <v>4</v>
      </c>
      <c r="C171" s="1">
        <v>1</v>
      </c>
      <c r="D171" s="26">
        <f t="shared" si="4"/>
        <v>4</v>
      </c>
      <c r="E171" s="26">
        <f>(B26-t*0.5)*0.1</f>
        <v>15.875</v>
      </c>
      <c r="F171" s="26">
        <f t="shared" si="5"/>
        <v>63.5</v>
      </c>
      <c r="G171" s="26">
        <f t="shared" si="6"/>
        <v>7.875</v>
      </c>
      <c r="H171" s="28">
        <f t="shared" si="3"/>
        <v>248.0625</v>
      </c>
      <c r="I171" s="29">
        <v>0</v>
      </c>
    </row>
    <row r="172" spans="1:11" x14ac:dyDescent="0.3">
      <c r="A172" s="1">
        <v>7</v>
      </c>
      <c r="B172" s="26">
        <f>B165</f>
        <v>1.5</v>
      </c>
      <c r="C172" s="1">
        <v>1</v>
      </c>
      <c r="D172" s="26">
        <f t="shared" si="4"/>
        <v>1.5</v>
      </c>
      <c r="E172" s="26">
        <f>(B26-2*'Correas Compresion Cajon'!t-'Correas Compresion Cajon'!d*0.5)*0.1</f>
        <v>14.75</v>
      </c>
      <c r="F172" s="26">
        <f t="shared" si="5"/>
        <v>22.125</v>
      </c>
      <c r="G172" s="26">
        <f t="shared" si="6"/>
        <v>6.75</v>
      </c>
      <c r="H172" s="28">
        <f t="shared" si="3"/>
        <v>68.34375</v>
      </c>
      <c r="I172" s="29">
        <f>I165</f>
        <v>0.28125</v>
      </c>
    </row>
    <row r="173" spans="1:11" x14ac:dyDescent="0.3">
      <c r="A173" s="1"/>
      <c r="B173" s="1"/>
      <c r="C173" s="1"/>
      <c r="D173" s="27">
        <f>SUM(D165:D172)</f>
        <v>25.309194490192347</v>
      </c>
      <c r="E173" s="1"/>
      <c r="F173" s="27">
        <f>SUM(F165:F172)</f>
        <v>202.47355592153878</v>
      </c>
      <c r="G173" s="1"/>
      <c r="H173" s="30">
        <f>SUM(H165:H172)</f>
        <v>1003.9438855942213</v>
      </c>
      <c r="I173" s="30">
        <f>SUM(I165:I172)</f>
        <v>36.141154587020843</v>
      </c>
    </row>
    <row r="174" spans="1:11" x14ac:dyDescent="0.3">
      <c r="A174" t="s">
        <v>64</v>
      </c>
      <c r="B174" s="9">
        <f>F173/D173</f>
        <v>8</v>
      </c>
      <c r="C174" t="s">
        <v>5</v>
      </c>
    </row>
    <row r="175" spans="1:11" ht="16.2" x14ac:dyDescent="0.3">
      <c r="A175" t="s">
        <v>55</v>
      </c>
      <c r="B175" s="13">
        <f>(H173+I173)*t*0.1</f>
        <v>260.02126004531056</v>
      </c>
      <c r="C175" s="6" t="s">
        <v>65</v>
      </c>
    </row>
    <row r="176" spans="1:11" x14ac:dyDescent="0.3">
      <c r="A176" t="s">
        <v>54</v>
      </c>
      <c r="B176" s="13">
        <f>D173*t*0.1</f>
        <v>6.3272986225480867</v>
      </c>
      <c r="C176" s="6" t="s">
        <v>23</v>
      </c>
    </row>
    <row r="177" spans="1:4" x14ac:dyDescent="0.3">
      <c r="A177" t="s">
        <v>57</v>
      </c>
      <c r="B177">
        <f>SQRT(B175/B176)</f>
        <v>6.410549578609837</v>
      </c>
    </row>
    <row r="178" spans="1:4" x14ac:dyDescent="0.3">
      <c r="A178" s="4" t="s">
        <v>101</v>
      </c>
    </row>
    <row r="179" spans="1:4" x14ac:dyDescent="0.3">
      <c r="A179" t="s">
        <v>102</v>
      </c>
      <c r="B179" s="9" t="e">
        <f>#REF!</f>
        <v>#REF!</v>
      </c>
      <c r="C179" t="s">
        <v>22</v>
      </c>
    </row>
    <row r="180" spans="1:4" x14ac:dyDescent="0.3">
      <c r="A180" t="s">
        <v>103</v>
      </c>
      <c r="B180" s="9" t="e">
        <f>B179*(-2*t*0.1+B174)/B174</f>
        <v>#REF!</v>
      </c>
      <c r="C180" t="s">
        <v>22</v>
      </c>
    </row>
    <row r="181" spans="1:4" x14ac:dyDescent="0.3">
      <c r="A181" t="s">
        <v>104</v>
      </c>
      <c r="B181" s="9">
        <f>fy*(b*0.1-(B174-2*t*0.1))/(B27*0.1-B174)</f>
        <v>274.16666666666669</v>
      </c>
      <c r="C181" t="s">
        <v>22</v>
      </c>
    </row>
    <row r="183" spans="1:4" x14ac:dyDescent="0.3">
      <c r="B183" s="9" t="e">
        <f>ABS(B181/B180)</f>
        <v>#REF!</v>
      </c>
    </row>
    <row r="186" spans="1:4" x14ac:dyDescent="0.3">
      <c r="D186" s="18" t="e">
        <f>4+2*(1+B183)^3+2*(1+B183)</f>
        <v>#REF!</v>
      </c>
    </row>
    <row r="189" spans="1:4" x14ac:dyDescent="0.3">
      <c r="C189" s="33" t="e">
        <f>D186*PI()^2*E*(t/b)^2/(12*(1-u^2))</f>
        <v>#REF!</v>
      </c>
      <c r="D189" t="s">
        <v>22</v>
      </c>
    </row>
    <row r="193" spans="1:6" x14ac:dyDescent="0.3">
      <c r="B193" s="9" t="e">
        <f>SQRT(B180/C189)</f>
        <v>#REF!</v>
      </c>
      <c r="C193" s="7" t="s">
        <v>25</v>
      </c>
      <c r="D193">
        <v>0.67300000000000004</v>
      </c>
    </row>
    <row r="196" spans="1:6" x14ac:dyDescent="0.3">
      <c r="A196" s="11" t="s">
        <v>32</v>
      </c>
    </row>
    <row r="199" spans="1:6" ht="15.6" x14ac:dyDescent="0.3">
      <c r="A199" s="23" t="s">
        <v>40</v>
      </c>
    </row>
    <row r="200" spans="1:6" x14ac:dyDescent="0.3">
      <c r="A200" s="17" t="s">
        <v>41</v>
      </c>
    </row>
    <row r="201" spans="1:6" x14ac:dyDescent="0.3">
      <c r="B201" s="9" t="e">
        <f>#REF!*fy*10^-3</f>
        <v>#REF!</v>
      </c>
      <c r="C201" t="s">
        <v>78</v>
      </c>
    </row>
    <row r="202" spans="1:6" x14ac:dyDescent="0.3">
      <c r="C202" s="9"/>
    </row>
    <row r="203" spans="1:6" x14ac:dyDescent="0.3">
      <c r="B203" s="31" t="e">
        <f>0.95*B201</f>
        <v>#REF!</v>
      </c>
      <c r="C203" t="s">
        <v>78</v>
      </c>
    </row>
    <row r="204" spans="1:6" x14ac:dyDescent="0.3">
      <c r="B204" s="20"/>
    </row>
    <row r="206" spans="1:6" ht="15.6" x14ac:dyDescent="0.3">
      <c r="C206" s="7" t="s">
        <v>35</v>
      </c>
      <c r="D206" s="19" t="e">
        <f>#REF!</f>
        <v>#REF!</v>
      </c>
      <c r="E206" t="s">
        <v>78</v>
      </c>
      <c r="F206" s="34" t="e">
        <f>IF(B203&gt;D206,"Verifica","No Verifica")</f>
        <v>#REF!</v>
      </c>
    </row>
  </sheetData>
  <mergeCells count="3">
    <mergeCell ref="B12:C12"/>
    <mergeCell ref="D33:E33"/>
    <mergeCell ref="A42:E42"/>
  </mergeCells>
  <conditionalFormatting sqref="F206">
    <cfRule type="cellIs" dxfId="27" priority="13" operator="equal">
      <formula>$N$2</formula>
    </cfRule>
    <cfRule type="cellIs" dxfId="26" priority="14" operator="equal">
      <formula>$N$1</formula>
    </cfRule>
  </conditionalFormatting>
  <conditionalFormatting sqref="G44 G46 G48:G49">
    <cfRule type="cellIs" dxfId="25" priority="7" operator="equal">
      <formula>$N$2</formula>
    </cfRule>
    <cfRule type="cellIs" dxfId="24" priority="8" operator="equal">
      <formula>$N$1</formula>
    </cfRule>
  </conditionalFormatting>
  <conditionalFormatting sqref="G54">
    <cfRule type="cellIs" dxfId="23" priority="11" operator="equal">
      <formula>$N$2</formula>
    </cfRule>
    <cfRule type="cellIs" dxfId="22" priority="12" operator="equal">
      <formula>$N$1</formula>
    </cfRule>
  </conditionalFormatting>
  <conditionalFormatting sqref="G65">
    <cfRule type="cellIs" dxfId="21" priority="9" operator="equal">
      <formula>$N$2</formula>
    </cfRule>
    <cfRule type="cellIs" dxfId="20" priority="10" operator="equal">
      <formula>$N$1</formula>
    </cfRule>
  </conditionalFormatting>
  <conditionalFormatting sqref="G68">
    <cfRule type="cellIs" dxfId="19" priority="3" operator="equal">
      <formula>$N$2</formula>
    </cfRule>
    <cfRule type="cellIs" dxfId="18" priority="4" operator="equal">
      <formula>$N$1</formula>
    </cfRule>
  </conditionalFormatting>
  <conditionalFormatting sqref="G71">
    <cfRule type="cellIs" dxfId="17" priority="1" operator="equal">
      <formula>$N$2</formula>
    </cfRule>
    <cfRule type="cellIs" dxfId="16" priority="2" operator="equal">
      <formula>$N$1</formula>
    </cfRule>
  </conditionalFormatting>
  <conditionalFormatting sqref="G156">
    <cfRule type="cellIs" dxfId="15" priority="5" operator="equal">
      <formula>$N$2</formula>
    </cfRule>
    <cfRule type="cellIs" dxfId="14" priority="6" operator="equal">
      <formula>$N$1</formula>
    </cfRule>
  </conditionalFormatting>
  <pageMargins left="0.7" right="0.7" top="0.75" bottom="0.75" header="0.3" footer="0.3"/>
  <pageSetup orientation="portrait" r:id="rId1"/>
  <rowBreaks count="2" manualBreakCount="2">
    <brk id="42" max="6" man="1"/>
    <brk id="85" max="6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C28ADF-FB37-4640-8989-0AAC5F809F5F}">
          <x14:formula1>
            <xm:f>'Perfiles C'!$A$5:$A$206</xm:f>
          </x14:formula1>
          <xm:sqref>B12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FEF51-24E3-420D-BDFE-4DFD12A3C54C}">
  <dimension ref="A1:P208"/>
  <sheetViews>
    <sheetView showGridLines="0" zoomScaleNormal="100" zoomScaleSheetLayoutView="100" workbookViewId="0">
      <selection activeCell="B26" sqref="B26"/>
    </sheetView>
  </sheetViews>
  <sheetFormatPr baseColWidth="10" defaultRowHeight="14.4" x14ac:dyDescent="0.3"/>
  <cols>
    <col min="8" max="8" width="12.44140625" bestFit="1" customWidth="1"/>
  </cols>
  <sheetData>
    <row r="1" spans="1:16" ht="18" x14ac:dyDescent="0.35">
      <c r="A1" s="5" t="s">
        <v>16</v>
      </c>
      <c r="N1" t="s">
        <v>26</v>
      </c>
    </row>
    <row r="2" spans="1:16" x14ac:dyDescent="0.3">
      <c r="A2" t="s">
        <v>17</v>
      </c>
      <c r="B2">
        <v>4</v>
      </c>
      <c r="C2" t="s">
        <v>2</v>
      </c>
      <c r="N2" t="s">
        <v>27</v>
      </c>
    </row>
    <row r="3" spans="1:16" x14ac:dyDescent="0.3">
      <c r="A3" t="s">
        <v>18</v>
      </c>
      <c r="B3">
        <v>1.51</v>
      </c>
      <c r="C3" t="s">
        <v>2</v>
      </c>
    </row>
    <row r="4" spans="1:16" x14ac:dyDescent="0.3">
      <c r="A4" t="s">
        <v>14</v>
      </c>
      <c r="B4" t="e">
        <f>#REF!</f>
        <v>#REF!</v>
      </c>
      <c r="C4" t="s">
        <v>19</v>
      </c>
      <c r="N4" t="s">
        <v>7</v>
      </c>
      <c r="O4">
        <v>200000</v>
      </c>
      <c r="P4" t="s">
        <v>22</v>
      </c>
    </row>
    <row r="5" spans="1:16" x14ac:dyDescent="0.3">
      <c r="N5" t="s">
        <v>31</v>
      </c>
      <c r="O5">
        <v>0.3</v>
      </c>
    </row>
    <row r="6" spans="1:16" x14ac:dyDescent="0.3">
      <c r="N6" t="s">
        <v>1</v>
      </c>
      <c r="O6">
        <v>77200</v>
      </c>
      <c r="P6" t="s">
        <v>341</v>
      </c>
    </row>
    <row r="7" spans="1:16" x14ac:dyDescent="0.3">
      <c r="A7" t="s">
        <v>105</v>
      </c>
    </row>
    <row r="8" spans="1:16" x14ac:dyDescent="0.3">
      <c r="A8" t="s">
        <v>332</v>
      </c>
      <c r="B8">
        <v>19.899999999999999</v>
      </c>
    </row>
    <row r="9" spans="1:16" ht="18" x14ac:dyDescent="0.35">
      <c r="A9" s="5"/>
    </row>
    <row r="11" spans="1:16" ht="18" x14ac:dyDescent="0.35">
      <c r="A11" s="5" t="s">
        <v>20</v>
      </c>
    </row>
    <row r="12" spans="1:16" ht="15.6" x14ac:dyDescent="0.3">
      <c r="A12" s="2" t="s">
        <v>21</v>
      </c>
      <c r="B12" s="55" t="s">
        <v>193</v>
      </c>
      <c r="C12" s="55"/>
    </row>
    <row r="13" spans="1:16" ht="18" x14ac:dyDescent="0.35">
      <c r="A13" s="5"/>
    </row>
    <row r="14" spans="1:16" ht="18" x14ac:dyDescent="0.35">
      <c r="A14" s="5"/>
    </row>
    <row r="15" spans="1:16" ht="18" x14ac:dyDescent="0.35">
      <c r="A15" s="5"/>
    </row>
    <row r="16" spans="1:16" ht="18" x14ac:dyDescent="0.35">
      <c r="A16" s="5"/>
    </row>
    <row r="17" spans="1:7" ht="18" x14ac:dyDescent="0.35">
      <c r="A17" s="5"/>
    </row>
    <row r="18" spans="1:7" ht="18" x14ac:dyDescent="0.35">
      <c r="A18" s="5"/>
    </row>
    <row r="19" spans="1:7" ht="18" x14ac:dyDescent="0.35">
      <c r="A19" s="5"/>
    </row>
    <row r="20" spans="1:7" ht="18" x14ac:dyDescent="0.35">
      <c r="A20" s="5"/>
      <c r="G20" s="10"/>
    </row>
    <row r="21" spans="1:7" ht="18" x14ac:dyDescent="0.35">
      <c r="A21" s="5"/>
    </row>
    <row r="22" spans="1:7" ht="18" x14ac:dyDescent="0.35">
      <c r="A22" s="5"/>
    </row>
    <row r="23" spans="1:7" ht="18" x14ac:dyDescent="0.35">
      <c r="A23" s="5"/>
    </row>
    <row r="24" spans="1:7" ht="18" x14ac:dyDescent="0.35">
      <c r="A24" s="5"/>
    </row>
    <row r="26" spans="1:7" x14ac:dyDescent="0.3">
      <c r="A26" s="1" t="s">
        <v>45</v>
      </c>
      <c r="B26" s="1">
        <f>VLOOKUP($B$12,Tabla8[#All],2,FALSE)</f>
        <v>160</v>
      </c>
      <c r="C26" t="s">
        <v>13</v>
      </c>
      <c r="D26" s="1" t="s">
        <v>353</v>
      </c>
      <c r="E26" s="1">
        <f>VLOOKUP($B$12,Tabla8[#All],8,FALSE)</f>
        <v>7.51</v>
      </c>
      <c r="F26" t="s">
        <v>132</v>
      </c>
    </row>
    <row r="27" spans="1:7" x14ac:dyDescent="0.3">
      <c r="A27" s="1" t="s">
        <v>46</v>
      </c>
      <c r="B27" s="1">
        <f>VLOOKUP($B$12,Tabla8[#All],3,FALSE)</f>
        <v>60</v>
      </c>
      <c r="C27" t="s">
        <v>13</v>
      </c>
      <c r="D27" s="1" t="s">
        <v>54</v>
      </c>
      <c r="E27" s="1">
        <f>VLOOKUP($B$12,Tabla8[#All],7,FALSE)</f>
        <v>9.57</v>
      </c>
      <c r="F27" t="s">
        <v>23</v>
      </c>
    </row>
    <row r="28" spans="1:7" ht="16.2" x14ac:dyDescent="0.3">
      <c r="A28" s="1" t="s">
        <v>47</v>
      </c>
      <c r="B28" s="1">
        <f>VLOOKUP($B$12,Tabla8[#All],4,FALSE)</f>
        <v>20</v>
      </c>
      <c r="C28" t="s">
        <v>13</v>
      </c>
      <c r="D28" s="1" t="s">
        <v>55</v>
      </c>
      <c r="E28" s="1">
        <f>VLOOKUP($B$12,Tabla8[#All],10,FALSE)</f>
        <v>366.41</v>
      </c>
      <c r="F28" s="6" t="s">
        <v>65</v>
      </c>
    </row>
    <row r="29" spans="1:7" ht="16.2" x14ac:dyDescent="0.3">
      <c r="A29" s="1" t="s">
        <v>48</v>
      </c>
      <c r="B29" s="1">
        <f>VLOOKUP($B$12,Tabla8[#All],5,FALSE)</f>
        <v>3.2</v>
      </c>
      <c r="C29" t="s">
        <v>13</v>
      </c>
      <c r="D29" s="1" t="s">
        <v>56</v>
      </c>
      <c r="E29" s="1">
        <f>VLOOKUP($B$12,Tabla8[#All],11,FALSE)</f>
        <v>45.06</v>
      </c>
      <c r="F29" s="6" t="s">
        <v>65</v>
      </c>
    </row>
    <row r="30" spans="1:7" x14ac:dyDescent="0.3">
      <c r="A30" s="1" t="s">
        <v>49</v>
      </c>
      <c r="B30" s="1">
        <v>235</v>
      </c>
      <c r="C30" t="s">
        <v>22</v>
      </c>
      <c r="D30" s="1" t="s">
        <v>57</v>
      </c>
      <c r="E30" s="1">
        <f>VLOOKUP($B$12,Tabla8[#All],14,FALSE)</f>
        <v>6.19</v>
      </c>
      <c r="F30" s="6" t="s">
        <v>5</v>
      </c>
    </row>
    <row r="31" spans="1:7" x14ac:dyDescent="0.3">
      <c r="A31" s="1" t="s">
        <v>50</v>
      </c>
      <c r="B31" s="1">
        <v>370</v>
      </c>
      <c r="C31" t="s">
        <v>22</v>
      </c>
      <c r="D31" s="1" t="s">
        <v>58</v>
      </c>
      <c r="E31" s="1">
        <f>VLOOKUP($B$12,Tabla8[#All],15,FALSE)</f>
        <v>2.17</v>
      </c>
      <c r="F31" s="6" t="s">
        <v>5</v>
      </c>
    </row>
    <row r="32" spans="1:7" ht="16.2" x14ac:dyDescent="0.3">
      <c r="A32" s="7"/>
      <c r="B32" s="7"/>
      <c r="D32" s="1" t="s">
        <v>59</v>
      </c>
      <c r="E32" s="1">
        <f>VLOOKUP($B$12,Tabla8[#All],12,FALSE)</f>
        <v>45.8</v>
      </c>
      <c r="F32" s="6" t="s">
        <v>66</v>
      </c>
    </row>
    <row r="33" spans="1:7" ht="16.2" x14ac:dyDescent="0.3">
      <c r="A33" s="1" t="s">
        <v>51</v>
      </c>
      <c r="B33" s="1">
        <f>B26-2*2*$B$29</f>
        <v>147.19999999999999</v>
      </c>
      <c r="C33" t="s">
        <v>13</v>
      </c>
      <c r="D33" s="1" t="s">
        <v>60</v>
      </c>
      <c r="E33" s="1">
        <f>VLOOKUP($B$12,Tabla8[#All],13,FALSE)</f>
        <v>10.89</v>
      </c>
      <c r="F33" s="6" t="s">
        <v>66</v>
      </c>
    </row>
    <row r="34" spans="1:7" x14ac:dyDescent="0.3">
      <c r="A34" s="1" t="s">
        <v>52</v>
      </c>
      <c r="B34" s="1">
        <f t="shared" ref="B34" si="0">B27-2*2*$B$29</f>
        <v>47.2</v>
      </c>
      <c r="C34" t="s">
        <v>13</v>
      </c>
      <c r="D34" s="1" t="s">
        <v>64</v>
      </c>
      <c r="E34" s="1">
        <f>VLOOKUP($B$12,Tabla8[#All],9,FALSE)</f>
        <v>1.54</v>
      </c>
      <c r="F34" s="6" t="s">
        <v>5</v>
      </c>
    </row>
    <row r="35" spans="1:7" ht="16.2" x14ac:dyDescent="0.3">
      <c r="A35" s="1" t="s">
        <v>53</v>
      </c>
      <c r="B35" s="1">
        <f>B28-2*$B$29</f>
        <v>13.6</v>
      </c>
      <c r="C35" t="s">
        <v>13</v>
      </c>
      <c r="D35" s="1" t="s">
        <v>61</v>
      </c>
      <c r="E35" s="1">
        <v>0.33</v>
      </c>
      <c r="F35" s="6" t="s">
        <v>65</v>
      </c>
    </row>
    <row r="36" spans="1:7" ht="16.2" x14ac:dyDescent="0.3">
      <c r="D36" s="1" t="s">
        <v>62</v>
      </c>
      <c r="E36" s="1">
        <v>2515</v>
      </c>
      <c r="F36" s="6" t="s">
        <v>67</v>
      </c>
    </row>
    <row r="37" spans="1:7" x14ac:dyDescent="0.3">
      <c r="D37" s="1" t="s">
        <v>63</v>
      </c>
      <c r="E37" s="1">
        <v>4.41</v>
      </c>
      <c r="F37" s="6" t="s">
        <v>5</v>
      </c>
    </row>
    <row r="38" spans="1:7" x14ac:dyDescent="0.3">
      <c r="A38" s="7" t="s">
        <v>342</v>
      </c>
      <c r="B38">
        <v>46.58</v>
      </c>
    </row>
    <row r="39" spans="1:7" x14ac:dyDescent="0.3">
      <c r="A39" s="1" t="s">
        <v>339</v>
      </c>
      <c r="C39" t="s">
        <v>5</v>
      </c>
    </row>
    <row r="40" spans="1:7" x14ac:dyDescent="0.3">
      <c r="A40" s="7" t="s">
        <v>340</v>
      </c>
      <c r="C40" t="s">
        <v>5</v>
      </c>
    </row>
    <row r="41" spans="1:7" x14ac:dyDescent="0.3">
      <c r="A41" s="7"/>
      <c r="B41" s="7"/>
    </row>
    <row r="42" spans="1:7" ht="15.6" x14ac:dyDescent="0.3">
      <c r="A42" s="23" t="s">
        <v>24</v>
      </c>
    </row>
    <row r="43" spans="1:7" ht="15.6" x14ac:dyDescent="0.3">
      <c r="A43" s="4" t="s">
        <v>72</v>
      </c>
      <c r="B43" s="12" t="s">
        <v>69</v>
      </c>
      <c r="C43">
        <f>b/t</f>
        <v>14.75</v>
      </c>
      <c r="D43" s="7" t="s">
        <v>25</v>
      </c>
      <c r="E43" s="6">
        <v>60</v>
      </c>
      <c r="G43" s="3" t="str">
        <f>IF(C43&lt;E43,"Verifica","No Verifica")</f>
        <v>Verifica</v>
      </c>
    </row>
    <row r="44" spans="1:7" x14ac:dyDescent="0.3">
      <c r="B44" s="12"/>
      <c r="D44" s="7"/>
      <c r="E44" s="6"/>
    </row>
    <row r="45" spans="1:7" ht="15.6" x14ac:dyDescent="0.3">
      <c r="A45" s="4" t="s">
        <v>73</v>
      </c>
      <c r="B45" s="12" t="s">
        <v>70</v>
      </c>
      <c r="C45">
        <f>d/t</f>
        <v>4.25</v>
      </c>
      <c r="D45" s="7" t="s">
        <v>25</v>
      </c>
      <c r="E45" s="6">
        <v>60</v>
      </c>
      <c r="G45" s="3" t="str">
        <f t="shared" ref="G45" si="1">IF(C45&lt;E45,"Verifica","No Verifica")</f>
        <v>Verifica</v>
      </c>
    </row>
    <row r="46" spans="1:7" x14ac:dyDescent="0.3">
      <c r="B46" s="12"/>
      <c r="D46" s="7"/>
      <c r="E46" s="6"/>
    </row>
    <row r="47" spans="1:7" ht="15.6" x14ac:dyDescent="0.3">
      <c r="A47" s="4" t="s">
        <v>74</v>
      </c>
      <c r="B47" s="12" t="s">
        <v>71</v>
      </c>
      <c r="C47">
        <f>h/t</f>
        <v>45.999999999999993</v>
      </c>
      <c r="D47" s="7" t="s">
        <v>25</v>
      </c>
      <c r="E47" s="6">
        <v>500</v>
      </c>
      <c r="G47" s="3" t="str">
        <f t="shared" ref="G47" si="2">IF(C47&lt;E47,"Verifica","No Verifica")</f>
        <v>Verifica</v>
      </c>
    </row>
    <row r="48" spans="1:7" ht="15.6" x14ac:dyDescent="0.3">
      <c r="A48" s="4"/>
      <c r="B48" s="12"/>
      <c r="D48" s="7"/>
      <c r="E48" s="6"/>
      <c r="G48" s="3"/>
    </row>
    <row r="49" spans="1:10" ht="18" x14ac:dyDescent="0.35">
      <c r="A49" s="24" t="s">
        <v>346</v>
      </c>
      <c r="B49" s="7"/>
    </row>
    <row r="50" spans="1:10" ht="15.6" x14ac:dyDescent="0.3">
      <c r="A50" s="23" t="s">
        <v>345</v>
      </c>
      <c r="B50" s="7"/>
    </row>
    <row r="51" spans="1:10" ht="15.6" x14ac:dyDescent="0.3">
      <c r="A51" s="42" t="s">
        <v>340</v>
      </c>
      <c r="B51" s="7">
        <v>200</v>
      </c>
      <c r="C51" t="s">
        <v>5</v>
      </c>
    </row>
    <row r="52" spans="1:10" x14ac:dyDescent="0.3">
      <c r="A52" s="7"/>
      <c r="B52" s="7"/>
    </row>
    <row r="53" spans="1:10" ht="15.6" x14ac:dyDescent="0.3">
      <c r="A53" s="7"/>
      <c r="B53" s="7">
        <f>ROUND(B51/E31,2)</f>
        <v>92.17</v>
      </c>
      <c r="C53" s="7" t="s">
        <v>25</v>
      </c>
      <c r="D53">
        <v>200</v>
      </c>
      <c r="G53" s="3" t="str">
        <f>IF(B62&lt;D53,"Verifica","No Verifica")</f>
        <v>Verifica</v>
      </c>
    </row>
    <row r="54" spans="1:10" x14ac:dyDescent="0.3">
      <c r="A54" s="7"/>
      <c r="B54" s="7"/>
    </row>
    <row r="55" spans="1:10" x14ac:dyDescent="0.3">
      <c r="A55" s="7"/>
      <c r="B55" s="7"/>
    </row>
    <row r="56" spans="1:10" x14ac:dyDescent="0.3">
      <c r="A56" s="7"/>
      <c r="B56" s="7"/>
      <c r="C56" s="19">
        <f>PI()^2*'Correas Compresion'!E/B53^2</f>
        <v>232.35422083567457</v>
      </c>
      <c r="D56" t="s">
        <v>22</v>
      </c>
      <c r="J56" s="8"/>
    </row>
    <row r="57" spans="1:10" x14ac:dyDescent="0.3">
      <c r="A57" s="7"/>
      <c r="B57" s="7"/>
      <c r="J57" s="8"/>
    </row>
    <row r="58" spans="1:10" ht="18" x14ac:dyDescent="0.35">
      <c r="A58" s="24"/>
      <c r="B58" s="7"/>
      <c r="J58" s="8"/>
    </row>
    <row r="59" spans="1:10" ht="15.6" x14ac:dyDescent="0.3">
      <c r="A59" s="23" t="s">
        <v>347</v>
      </c>
      <c r="B59" s="7"/>
      <c r="J59" s="8"/>
    </row>
    <row r="60" spans="1:10" ht="15.6" x14ac:dyDescent="0.3">
      <c r="A60" s="42" t="s">
        <v>339</v>
      </c>
      <c r="B60" s="7">
        <v>400</v>
      </c>
      <c r="C60" t="s">
        <v>5</v>
      </c>
      <c r="J60" s="8"/>
    </row>
    <row r="61" spans="1:10" ht="15.6" x14ac:dyDescent="0.3">
      <c r="A61" s="23"/>
      <c r="B61" s="7"/>
      <c r="J61" s="8"/>
    </row>
    <row r="62" spans="1:10" ht="15.6" x14ac:dyDescent="0.3">
      <c r="A62" s="7"/>
      <c r="B62" s="7">
        <f>ROUND(B60/E30,2)</f>
        <v>64.62</v>
      </c>
      <c r="C62" s="7" t="s">
        <v>25</v>
      </c>
      <c r="D62">
        <v>200</v>
      </c>
      <c r="G62" s="3" t="str">
        <f>IF(B53&lt;D62,"Verifica","No Verifica")</f>
        <v>Verifica</v>
      </c>
      <c r="J62" s="8"/>
    </row>
    <row r="63" spans="1:10" x14ac:dyDescent="0.3">
      <c r="A63" s="7"/>
      <c r="J63" s="8"/>
    </row>
    <row r="64" spans="1:10" x14ac:dyDescent="0.3">
      <c r="A64" s="7"/>
      <c r="B64" s="7"/>
      <c r="J64" s="8"/>
    </row>
    <row r="65" spans="1:10" x14ac:dyDescent="0.3">
      <c r="A65" s="7"/>
      <c r="B65" s="7"/>
      <c r="C65" s="19">
        <f>ROUND(PI()^2*'Correas Compresion'!E/B62^2,2)</f>
        <v>472.71</v>
      </c>
      <c r="D65" t="s">
        <v>22</v>
      </c>
      <c r="J65" s="8"/>
    </row>
    <row r="66" spans="1:10" x14ac:dyDescent="0.3">
      <c r="A66" s="7"/>
      <c r="B66" s="7"/>
      <c r="J66" s="8"/>
    </row>
    <row r="67" spans="1:10" x14ac:dyDescent="0.3">
      <c r="J67" s="8"/>
    </row>
    <row r="68" spans="1:10" x14ac:dyDescent="0.3">
      <c r="C68" s="19">
        <f>SQRT(E30^2+E31^2+E37^2)</f>
        <v>7.9039926619399132</v>
      </c>
      <c r="D68" t="s">
        <v>5</v>
      </c>
      <c r="J68" s="8"/>
    </row>
    <row r="69" spans="1:10" x14ac:dyDescent="0.3">
      <c r="J69" s="8"/>
    </row>
    <row r="70" spans="1:10" x14ac:dyDescent="0.3">
      <c r="J70" s="8"/>
    </row>
    <row r="71" spans="1:10" x14ac:dyDescent="0.3">
      <c r="C71" s="20">
        <f>(g*E35+PI()^2*'Correas Compresion'!E*E36/(B51)^2)/(E27*C68^2)</f>
        <v>250.19968233817687</v>
      </c>
      <c r="D71" s="7" t="s">
        <v>22</v>
      </c>
      <c r="J71" s="8"/>
    </row>
    <row r="74" spans="1:10" x14ac:dyDescent="0.3">
      <c r="C74" s="9">
        <f>1-(E37/C68)^2</f>
        <v>0.68869641493698874</v>
      </c>
    </row>
    <row r="76" spans="1:10" x14ac:dyDescent="0.3">
      <c r="A76" s="7"/>
      <c r="E76" s="19">
        <f>((C65+C71)-SQRT((C65+C71)^2-4*C74*C65*C71))/(2*C74)</f>
        <v>202.77836787837535</v>
      </c>
      <c r="F76" t="s">
        <v>22</v>
      </c>
    </row>
    <row r="77" spans="1:10" x14ac:dyDescent="0.3">
      <c r="A77" s="7"/>
      <c r="E77" s="7"/>
    </row>
    <row r="78" spans="1:10" x14ac:dyDescent="0.3">
      <c r="A78" s="7"/>
      <c r="E78" s="7"/>
    </row>
    <row r="79" spans="1:10" x14ac:dyDescent="0.3">
      <c r="A79" s="7"/>
      <c r="C79" s="19">
        <f>MIN(C56,E76)</f>
        <v>202.77836787837535</v>
      </c>
      <c r="D79" t="s">
        <v>22</v>
      </c>
      <c r="E79" s="7"/>
    </row>
    <row r="80" spans="1:10" x14ac:dyDescent="0.3">
      <c r="A80" s="7"/>
      <c r="E80" s="7"/>
    </row>
    <row r="81" spans="1:10" ht="15.6" x14ac:dyDescent="0.3">
      <c r="A81" s="23" t="s">
        <v>348</v>
      </c>
      <c r="B81" s="7"/>
    </row>
    <row r="82" spans="1:10" x14ac:dyDescent="0.3">
      <c r="A82" s="7"/>
      <c r="B82" s="7"/>
    </row>
    <row r="83" spans="1:10" x14ac:dyDescent="0.3">
      <c r="A83" s="7"/>
      <c r="B83" s="7"/>
    </row>
    <row r="84" spans="1:10" x14ac:dyDescent="0.3">
      <c r="A84" s="7"/>
      <c r="B84" s="7">
        <f>ROUND(SQRT('Correas Compresion'!fy/C79),2)</f>
        <v>1.08</v>
      </c>
      <c r="C84" s="7" t="s">
        <v>25</v>
      </c>
      <c r="D84">
        <v>1.5</v>
      </c>
    </row>
    <row r="85" spans="1:10" x14ac:dyDescent="0.3">
      <c r="A85" s="7"/>
      <c r="B85" s="7"/>
    </row>
    <row r="86" spans="1:10" x14ac:dyDescent="0.3">
      <c r="A86" s="7"/>
      <c r="C86" s="37">
        <f>ROUND(0.658^(B84^2)*fy,2)</f>
        <v>144.22999999999999</v>
      </c>
      <c r="D86" t="s">
        <v>22</v>
      </c>
    </row>
    <row r="88" spans="1:10" ht="18" x14ac:dyDescent="0.35">
      <c r="A88" s="24" t="s">
        <v>349</v>
      </c>
    </row>
    <row r="89" spans="1:10" x14ac:dyDescent="0.3">
      <c r="A89" s="4" t="s">
        <v>333</v>
      </c>
      <c r="J89">
        <v>2916.6</v>
      </c>
    </row>
    <row r="90" spans="1:10" x14ac:dyDescent="0.3">
      <c r="A90" s="7" t="s">
        <v>75</v>
      </c>
      <c r="B90" s="7">
        <f>C86</f>
        <v>144.22999999999999</v>
      </c>
      <c r="C90" t="s">
        <v>22</v>
      </c>
      <c r="I90" t="str">
        <f>IF(B96&gt;D96,"OJO","")</f>
        <v/>
      </c>
    </row>
    <row r="91" spans="1:10" x14ac:dyDescent="0.3">
      <c r="A91" s="7" t="s">
        <v>76</v>
      </c>
      <c r="B91" s="7">
        <v>0.43</v>
      </c>
    </row>
    <row r="93" spans="1:10" x14ac:dyDescent="0.3">
      <c r="C93" s="9">
        <f>B91*PI()^2*E*(t/d)^2/(12*(1-u^2))</f>
        <v>4303.2611049529642</v>
      </c>
      <c r="D93" t="s">
        <v>22</v>
      </c>
    </row>
    <row r="96" spans="1:10" x14ac:dyDescent="0.3">
      <c r="B96" s="8">
        <f>SQRT(B90/C93)</f>
        <v>0.18307496200465417</v>
      </c>
      <c r="C96" s="7" t="s">
        <v>25</v>
      </c>
      <c r="D96">
        <v>0.67300000000000004</v>
      </c>
    </row>
    <row r="98" spans="1:9" x14ac:dyDescent="0.3">
      <c r="A98" s="11" t="s">
        <v>32</v>
      </c>
    </row>
    <row r="100" spans="1:9" x14ac:dyDescent="0.3">
      <c r="A100" s="4" t="s">
        <v>33</v>
      </c>
    </row>
    <row r="101" spans="1:9" x14ac:dyDescent="0.3">
      <c r="I101" t="str">
        <f>IF(B107&lt;12.25,"OJO","")</f>
        <v/>
      </c>
    </row>
    <row r="102" spans="1:9" x14ac:dyDescent="0.3">
      <c r="A102" s="4" t="s">
        <v>34</v>
      </c>
    </row>
    <row r="103" spans="1:9" x14ac:dyDescent="0.3">
      <c r="A103" s="7" t="s">
        <v>75</v>
      </c>
      <c r="B103" s="7">
        <f>C86</f>
        <v>144.22999999999999</v>
      </c>
      <c r="C103" t="s">
        <v>22</v>
      </c>
    </row>
    <row r="105" spans="1:9" x14ac:dyDescent="0.3">
      <c r="B105" s="9">
        <f>1.28*SQRT(E/B103)</f>
        <v>47.664733122189119</v>
      </c>
    </row>
    <row r="107" spans="1:9" x14ac:dyDescent="0.3">
      <c r="A107" s="7" t="s">
        <v>69</v>
      </c>
      <c r="B107" s="7">
        <f>b/t</f>
        <v>14.75</v>
      </c>
      <c r="C107" s="7" t="s">
        <v>35</v>
      </c>
      <c r="D107" s="10" t="s">
        <v>338</v>
      </c>
      <c r="E107" s="19">
        <f>0.328*B105</f>
        <v>15.634032464078032</v>
      </c>
    </row>
    <row r="109" spans="1:9" ht="16.2" x14ac:dyDescent="0.3">
      <c r="B109" s="25">
        <f>t*d^3/12/10^4</f>
        <v>6.707882666666666E-2</v>
      </c>
      <c r="C109" s="6" t="s">
        <v>65</v>
      </c>
    </row>
    <row r="112" spans="1:9" ht="16.2" x14ac:dyDescent="0.3">
      <c r="C112" s="8">
        <f>399*t^4*(b/t/B105-0.328)^3/10^4</f>
        <v>-2.6692297284251342E-5</v>
      </c>
      <c r="D112" s="6" t="s">
        <v>65</v>
      </c>
    </row>
    <row r="115" spans="1:9" ht="16.2" x14ac:dyDescent="0.3">
      <c r="C115" s="25">
        <f>t^4*(115*b/t/B105+5)/10^4</f>
        <v>0.42558667239182013</v>
      </c>
      <c r="D115" s="6" t="s">
        <v>65</v>
      </c>
    </row>
    <row r="117" spans="1:9" ht="16.2" x14ac:dyDescent="0.3">
      <c r="C117" s="25">
        <f>MIN(C112,C115)</f>
        <v>-2.6692297284251342E-5</v>
      </c>
      <c r="D117" s="6" t="s">
        <v>65</v>
      </c>
    </row>
    <row r="119" spans="1:9" x14ac:dyDescent="0.3">
      <c r="B119">
        <f>ROUND(B109/C117,2)</f>
        <v>-2513.04</v>
      </c>
      <c r="C119" s="7" t="s">
        <v>35</v>
      </c>
      <c r="D119" s="14">
        <v>1</v>
      </c>
      <c r="F119" s="6">
        <v>1</v>
      </c>
    </row>
    <row r="122" spans="1:9" x14ac:dyDescent="0.3">
      <c r="C122" s="25">
        <f>0.582-b/t/4/B105</f>
        <v>0.50463672198589571</v>
      </c>
      <c r="D122" s="7" t="s">
        <v>35</v>
      </c>
      <c r="E122" s="6">
        <v>0.33</v>
      </c>
      <c r="F122" s="25">
        <f>MAX(C122,E122)</f>
        <v>0.50463672198589571</v>
      </c>
    </row>
    <row r="124" spans="1:9" x14ac:dyDescent="0.3">
      <c r="A124" s="16">
        <v>0.25</v>
      </c>
      <c r="B124" s="7" t="s">
        <v>25</v>
      </c>
      <c r="C124" s="12" t="s">
        <v>77</v>
      </c>
      <c r="D124" s="15">
        <f>B28/b</f>
        <v>0.42372881355932202</v>
      </c>
      <c r="E124" s="7" t="s">
        <v>25</v>
      </c>
      <c r="F124" s="6">
        <v>0.8</v>
      </c>
    </row>
    <row r="127" spans="1:9" x14ac:dyDescent="0.3">
      <c r="D127" s="19">
        <f>(4.82-5*D124)*F119^F122+0.43</f>
        <v>3.1313559322033906</v>
      </c>
      <c r="E127" s="7" t="s">
        <v>25</v>
      </c>
      <c r="F127" s="6">
        <v>4</v>
      </c>
    </row>
    <row r="128" spans="1:9" x14ac:dyDescent="0.3">
      <c r="I128" t="str">
        <f>IF(B133&gt;D133,"OJO","")</f>
        <v/>
      </c>
    </row>
    <row r="130" spans="1:4" x14ac:dyDescent="0.3">
      <c r="C130" s="9">
        <f>MIN(D127,F127)*PI()^2*E*(t/b)^2/(12*(1-u^2))</f>
        <v>2601.6896992760794</v>
      </c>
      <c r="D130" t="s">
        <v>22</v>
      </c>
    </row>
    <row r="133" spans="1:4" x14ac:dyDescent="0.3">
      <c r="B133" s="9">
        <f>SQRT(B103/C130)</f>
        <v>0.23545073636130429</v>
      </c>
      <c r="C133" s="7" t="s">
        <v>25</v>
      </c>
      <c r="D133" s="6">
        <v>0.67300000000000004</v>
      </c>
    </row>
    <row r="135" spans="1:4" x14ac:dyDescent="0.3">
      <c r="A135" s="11" t="s">
        <v>32</v>
      </c>
    </row>
    <row r="137" spans="1:4" x14ac:dyDescent="0.3">
      <c r="A137" s="4" t="s">
        <v>334</v>
      </c>
    </row>
    <row r="138" spans="1:4" x14ac:dyDescent="0.3">
      <c r="A138" s="7" t="s">
        <v>335</v>
      </c>
      <c r="B138" s="7">
        <f>C86</f>
        <v>144.22999999999999</v>
      </c>
      <c r="C138" t="s">
        <v>22</v>
      </c>
    </row>
    <row r="139" spans="1:4" x14ac:dyDescent="0.3">
      <c r="A139" s="7" t="s">
        <v>76</v>
      </c>
      <c r="B139" s="7">
        <v>4</v>
      </c>
      <c r="C139" s="7"/>
    </row>
    <row r="141" spans="1:4" x14ac:dyDescent="0.3">
      <c r="C141">
        <f>ROUND(B139*PI()^2*E*(t/h)^2/(12*(1-u^2)),2)</f>
        <v>341.71</v>
      </c>
      <c r="D141" t="s">
        <v>22</v>
      </c>
    </row>
    <row r="142" spans="1:4" x14ac:dyDescent="0.3">
      <c r="D142" s="6"/>
    </row>
    <row r="145" spans="1:11" x14ac:dyDescent="0.3">
      <c r="B145" s="8">
        <f>SQRT(B138/C141)</f>
        <v>0.6496791922796189</v>
      </c>
      <c r="C145" s="7" t="s">
        <v>35</v>
      </c>
      <c r="D145" s="6">
        <v>0.67300000000000004</v>
      </c>
    </row>
    <row r="147" spans="1:11" x14ac:dyDescent="0.3">
      <c r="A147" s="11" t="s">
        <v>350</v>
      </c>
    </row>
    <row r="149" spans="1:11" x14ac:dyDescent="0.3">
      <c r="B149" s="25">
        <f>(1-0.22/B145)/B145</f>
        <v>1.0179967884203602</v>
      </c>
      <c r="C149" s="9"/>
    </row>
    <row r="151" spans="1:11" x14ac:dyDescent="0.3">
      <c r="B151" s="7">
        <f>ROUND(B149*h,2)</f>
        <v>149.85</v>
      </c>
      <c r="C151" t="s">
        <v>5</v>
      </c>
    </row>
    <row r="153" spans="1:11" ht="18" x14ac:dyDescent="0.35">
      <c r="A153" s="24" t="s">
        <v>351</v>
      </c>
    </row>
    <row r="154" spans="1:11" x14ac:dyDescent="0.3">
      <c r="C154" s="7">
        <f>ROUND(E27-('Correas Compresion'!h-B151)*'Correas Compresion'!t*0.01,2)</f>
        <v>9.65</v>
      </c>
      <c r="D154" t="s">
        <v>23</v>
      </c>
    </row>
    <row r="156" spans="1:11" ht="18" x14ac:dyDescent="0.35">
      <c r="A156" s="24" t="s">
        <v>352</v>
      </c>
    </row>
    <row r="157" spans="1:11" ht="18" x14ac:dyDescent="0.35">
      <c r="A157" s="24"/>
    </row>
    <row r="158" spans="1:11" ht="18" x14ac:dyDescent="0.35">
      <c r="A158" s="24"/>
      <c r="C158" s="38">
        <f>ROUND(0.85*C86*C154*0.1,2)</f>
        <v>118.3</v>
      </c>
      <c r="D158" t="s">
        <v>378</v>
      </c>
      <c r="E158" s="7">
        <f>B38</f>
        <v>46.58</v>
      </c>
      <c r="F158" t="s">
        <v>3</v>
      </c>
      <c r="G158" s="3" t="str">
        <f>IF(B149&lt;D158,"Verifica","No Verifica")</f>
        <v>Verifica</v>
      </c>
      <c r="K158">
        <f>C158/0.85</f>
        <v>139.1764705882353</v>
      </c>
    </row>
    <row r="159" spans="1:11" ht="18" x14ac:dyDescent="0.35">
      <c r="A159" s="24"/>
    </row>
    <row r="162" spans="1:11" x14ac:dyDescent="0.3">
      <c r="A162" t="s">
        <v>108</v>
      </c>
    </row>
    <row r="163" spans="1:11" x14ac:dyDescent="0.3">
      <c r="A163" t="s">
        <v>106</v>
      </c>
      <c r="B163">
        <f>B38/C158</f>
        <v>0.39374471682163992</v>
      </c>
      <c r="D163" t="s">
        <v>343</v>
      </c>
      <c r="E163" t="e">
        <f>'Correas Flexion'!#REF!/'Correas Flexion'!B132</f>
        <v>#REF!</v>
      </c>
      <c r="G163" t="s">
        <v>344</v>
      </c>
      <c r="H163">
        <f>'Correas Flexion'!D235/'Correas Flexion'!B232</f>
        <v>0</v>
      </c>
      <c r="J163" t="e">
        <f>B163+E163+H163</f>
        <v>#REF!</v>
      </c>
    </row>
    <row r="165" spans="1:11" x14ac:dyDescent="0.3">
      <c r="B165" s="9"/>
    </row>
    <row r="166" spans="1:11" x14ac:dyDescent="0.3">
      <c r="A166" s="32" t="s">
        <v>91</v>
      </c>
      <c r="B166" s="32" t="s">
        <v>93</v>
      </c>
      <c r="C166" s="32" t="s">
        <v>94</v>
      </c>
      <c r="D166" s="32" t="s">
        <v>92</v>
      </c>
      <c r="E166" s="32" t="s">
        <v>95</v>
      </c>
      <c r="F166" s="32" t="s">
        <v>97</v>
      </c>
      <c r="G166" s="32" t="s">
        <v>98</v>
      </c>
      <c r="H166" s="32" t="s">
        <v>100</v>
      </c>
      <c r="I166" s="32" t="s">
        <v>99</v>
      </c>
    </row>
    <row r="167" spans="1:11" x14ac:dyDescent="0.3">
      <c r="A167" s="1">
        <v>1</v>
      </c>
      <c r="B167" s="26">
        <f>d/10</f>
        <v>1.3599999999999999</v>
      </c>
      <c r="C167" s="1">
        <v>1</v>
      </c>
      <c r="D167" s="26">
        <f>B167*C167</f>
        <v>1.3599999999999999</v>
      </c>
      <c r="E167" s="26">
        <f>(d/2+2*'Correas Compresion'!t)*0.1</f>
        <v>1.32</v>
      </c>
      <c r="F167" s="26">
        <f>D167*E167</f>
        <v>1.7951999999999999</v>
      </c>
      <c r="G167" s="26">
        <f>ABS(E167-$B$176)</f>
        <v>6.6800000000000015</v>
      </c>
      <c r="H167" s="28">
        <f t="shared" ref="H167:H174" si="3">D167*G167^2</f>
        <v>60.686464000000022</v>
      </c>
      <c r="I167" s="29">
        <f>(d*0.1)^3/12</f>
        <v>0.20962133333333341</v>
      </c>
    </row>
    <row r="168" spans="1:11" x14ac:dyDescent="0.3">
      <c r="A168" s="1">
        <v>2</v>
      </c>
      <c r="B168" s="26">
        <f>PI()*0.5*1.5*t*0.1</f>
        <v>0.75398223686155041</v>
      </c>
      <c r="C168" s="1">
        <v>2</v>
      </c>
      <c r="D168" s="26">
        <f t="shared" ref="D168:D174" si="4">B168*C168</f>
        <v>1.5079644737231008</v>
      </c>
      <c r="E168" s="26">
        <f>(0.363*1.5*t+t/2)*0.1</f>
        <v>0.33424000000000004</v>
      </c>
      <c r="F168" s="26">
        <f t="shared" ref="F168:F174" si="5">D168*E168</f>
        <v>0.50402204569720932</v>
      </c>
      <c r="G168" s="26">
        <f t="shared" ref="G168:G174" si="6">ABS(E168-$B$176)</f>
        <v>7.6657600000000015</v>
      </c>
      <c r="H168" s="28">
        <f t="shared" si="3"/>
        <v>88.613837915676967</v>
      </c>
      <c r="I168" s="29">
        <v>0</v>
      </c>
    </row>
    <row r="169" spans="1:11" x14ac:dyDescent="0.3">
      <c r="A169" s="1">
        <v>3</v>
      </c>
      <c r="B169" s="1">
        <f>b*0.1</f>
        <v>4.7200000000000006</v>
      </c>
      <c r="C169" s="1">
        <v>1</v>
      </c>
      <c r="D169" s="26">
        <f t="shared" si="4"/>
        <v>4.7200000000000006</v>
      </c>
      <c r="E169" s="26">
        <f>'Correas Compresion'!t/2*0.1</f>
        <v>0.16000000000000003</v>
      </c>
      <c r="F169" s="26">
        <f t="shared" si="5"/>
        <v>0.7552000000000002</v>
      </c>
      <c r="G169" s="26">
        <f t="shared" si="6"/>
        <v>7.8400000000000016</v>
      </c>
      <c r="H169" s="28">
        <f t="shared" si="3"/>
        <v>290.11763200000013</v>
      </c>
      <c r="I169" s="28">
        <v>0</v>
      </c>
    </row>
    <row r="170" spans="1:11" x14ac:dyDescent="0.3">
      <c r="A170" s="1" t="s">
        <v>336</v>
      </c>
      <c r="B170" s="19">
        <f>B151*0.1*0.5</f>
        <v>7.4924999999999997</v>
      </c>
      <c r="C170" s="1">
        <v>1</v>
      </c>
      <c r="D170" s="26">
        <f t="shared" si="4"/>
        <v>7.4924999999999997</v>
      </c>
      <c r="E170" s="26">
        <f>('Correas Compresion'!t*2.5*0.1+B170*0.5)</f>
        <v>4.5462499999999997</v>
      </c>
      <c r="F170" s="26">
        <f t="shared" si="5"/>
        <v>34.062778124999994</v>
      </c>
      <c r="G170" s="26">
        <f t="shared" si="6"/>
        <v>3.4537500000000021</v>
      </c>
      <c r="H170" s="28">
        <f t="shared" si="3"/>
        <v>89.373455050781359</v>
      </c>
      <c r="I170" s="29">
        <f>(B170)^3/12</f>
        <v>35.050886683593745</v>
      </c>
    </row>
    <row r="171" spans="1:11" x14ac:dyDescent="0.3">
      <c r="A171" s="1" t="s">
        <v>337</v>
      </c>
      <c r="B171" s="19">
        <f>B170</f>
        <v>7.4924999999999997</v>
      </c>
      <c r="C171" s="1">
        <v>1</v>
      </c>
      <c r="D171" s="26">
        <f t="shared" si="4"/>
        <v>7.4924999999999997</v>
      </c>
      <c r="E171" s="26">
        <f>(B26-'Correas Compresion'!t*2.5)*0.1-B171*0.5</f>
        <v>11.453750000000001</v>
      </c>
      <c r="F171" s="26">
        <f t="shared" si="5"/>
        <v>85.817221875000001</v>
      </c>
      <c r="G171" s="26">
        <f t="shared" si="6"/>
        <v>3.4537499999999994</v>
      </c>
      <c r="H171" s="28">
        <f t="shared" si="3"/>
        <v>89.373455050781217</v>
      </c>
      <c r="I171" s="29">
        <f>(B171)^3/12</f>
        <v>35.050886683593745</v>
      </c>
    </row>
    <row r="172" spans="1:11" x14ac:dyDescent="0.3">
      <c r="A172" s="1">
        <v>5</v>
      </c>
      <c r="B172" s="26">
        <f>B168</f>
        <v>0.75398223686155041</v>
      </c>
      <c r="C172" s="1">
        <v>2</v>
      </c>
      <c r="D172" s="26">
        <f t="shared" si="4"/>
        <v>1.5079644737231008</v>
      </c>
      <c r="E172" s="26">
        <f>(B26-0.363*1.5*t-t*0.5)*0.1</f>
        <v>15.665760000000001</v>
      </c>
      <c r="F172" s="26">
        <f t="shared" si="5"/>
        <v>23.623409533872405</v>
      </c>
      <c r="G172" s="26">
        <f t="shared" si="6"/>
        <v>7.6657599999999988</v>
      </c>
      <c r="H172" s="28">
        <f t="shared" si="3"/>
        <v>88.613837915676925</v>
      </c>
      <c r="I172" s="29">
        <v>0</v>
      </c>
      <c r="K172">
        <f>d</f>
        <v>13.6</v>
      </c>
    </row>
    <row r="173" spans="1:11" x14ac:dyDescent="0.3">
      <c r="A173" s="1">
        <v>6</v>
      </c>
      <c r="B173" s="1">
        <f>B169</f>
        <v>4.7200000000000006</v>
      </c>
      <c r="C173" s="1">
        <v>1</v>
      </c>
      <c r="D173" s="26">
        <f t="shared" si="4"/>
        <v>4.7200000000000006</v>
      </c>
      <c r="E173" s="26">
        <f>(B26-t*0.5)*0.1</f>
        <v>15.840000000000002</v>
      </c>
      <c r="F173" s="26">
        <f t="shared" si="5"/>
        <v>74.764800000000022</v>
      </c>
      <c r="G173" s="26">
        <f t="shared" si="6"/>
        <v>7.84</v>
      </c>
      <c r="H173" s="28">
        <f t="shared" si="3"/>
        <v>290.11763200000001</v>
      </c>
      <c r="I173" s="29">
        <v>0</v>
      </c>
    </row>
    <row r="174" spans="1:11" x14ac:dyDescent="0.3">
      <c r="A174" s="1">
        <v>7</v>
      </c>
      <c r="B174" s="26">
        <f>B167</f>
        <v>1.3599999999999999</v>
      </c>
      <c r="C174" s="1">
        <v>1</v>
      </c>
      <c r="D174" s="26">
        <f t="shared" si="4"/>
        <v>1.3599999999999999</v>
      </c>
      <c r="E174" s="26">
        <f>(B26-2*'Correas Compresion'!t-'Correas Compresion'!d*0.5)*0.1</f>
        <v>14.68</v>
      </c>
      <c r="F174" s="26">
        <f t="shared" si="5"/>
        <v>19.964799999999997</v>
      </c>
      <c r="G174" s="26">
        <f t="shared" si="6"/>
        <v>6.6799999999999979</v>
      </c>
      <c r="H174" s="28">
        <f t="shared" si="3"/>
        <v>60.686463999999951</v>
      </c>
      <c r="I174" s="29">
        <f>I167</f>
        <v>0.20962133333333341</v>
      </c>
    </row>
    <row r="175" spans="1:11" x14ac:dyDescent="0.3">
      <c r="A175" s="1"/>
      <c r="B175" s="1"/>
      <c r="C175" s="1"/>
      <c r="D175" s="27">
        <f>SUM(D167:D174)</f>
        <v>30.160928947446202</v>
      </c>
      <c r="E175" s="1"/>
      <c r="F175" s="27">
        <f>SUM(F167:F174)</f>
        <v>241.28743157956964</v>
      </c>
      <c r="G175" s="1"/>
      <c r="H175" s="30">
        <f>SUM(H167:H174)</f>
        <v>1057.5827779329165</v>
      </c>
      <c r="I175" s="30">
        <f>SUM(I167:I174)</f>
        <v>70.521016033854153</v>
      </c>
    </row>
    <row r="176" spans="1:11" x14ac:dyDescent="0.3">
      <c r="A176" t="s">
        <v>64</v>
      </c>
      <c r="B176" s="9">
        <f>F175/D175</f>
        <v>8.0000000000000018</v>
      </c>
      <c r="C176" t="s">
        <v>5</v>
      </c>
    </row>
    <row r="177" spans="1:4" ht="16.2" x14ac:dyDescent="0.3">
      <c r="A177" t="s">
        <v>55</v>
      </c>
      <c r="B177" s="13">
        <f>(H175+I175)*t*0.1</f>
        <v>360.99321406936673</v>
      </c>
      <c r="C177" s="6" t="s">
        <v>65</v>
      </c>
    </row>
    <row r="178" spans="1:4" x14ac:dyDescent="0.3">
      <c r="A178" t="s">
        <v>54</v>
      </c>
      <c r="B178" s="13">
        <f>D175*t*0.1</f>
        <v>9.6514972631827849</v>
      </c>
      <c r="C178" s="6" t="s">
        <v>23</v>
      </c>
    </row>
    <row r="179" spans="1:4" x14ac:dyDescent="0.3">
      <c r="A179" t="s">
        <v>57</v>
      </c>
      <c r="B179">
        <f>SQRT(B177/B178)</f>
        <v>6.1157844891338975</v>
      </c>
    </row>
    <row r="180" spans="1:4" x14ac:dyDescent="0.3">
      <c r="A180" s="4" t="s">
        <v>101</v>
      </c>
    </row>
    <row r="181" spans="1:4" x14ac:dyDescent="0.3">
      <c r="A181" t="s">
        <v>102</v>
      </c>
      <c r="B181" s="9" t="e">
        <f>#REF!</f>
        <v>#REF!</v>
      </c>
      <c r="C181" t="s">
        <v>22</v>
      </c>
    </row>
    <row r="182" spans="1:4" x14ac:dyDescent="0.3">
      <c r="A182" t="s">
        <v>103</v>
      </c>
      <c r="B182" s="9" t="e">
        <f>B181*(-2*t*0.1+B176)/B176</f>
        <v>#REF!</v>
      </c>
      <c r="C182" t="s">
        <v>22</v>
      </c>
    </row>
    <row r="183" spans="1:4" x14ac:dyDescent="0.3">
      <c r="A183" t="s">
        <v>104</v>
      </c>
      <c r="B183" s="9">
        <f>fy*(b*0.1-(B176-2*t*0.1))/(B27*0.1-B176)</f>
        <v>310.19999999999976</v>
      </c>
      <c r="C183" t="s">
        <v>22</v>
      </c>
    </row>
    <row r="185" spans="1:4" x14ac:dyDescent="0.3">
      <c r="B185" s="9" t="e">
        <f>ABS(B183/B182)</f>
        <v>#REF!</v>
      </c>
    </row>
    <row r="188" spans="1:4" x14ac:dyDescent="0.3">
      <c r="D188" s="18" t="e">
        <f>4+2*(1+B185)^3+2*(1+B185)</f>
        <v>#REF!</v>
      </c>
    </row>
    <row r="191" spans="1:4" x14ac:dyDescent="0.3">
      <c r="C191" s="33" t="e">
        <f>D188*PI()^2*E*(t/b)^2/(12*(1-u^2))</f>
        <v>#REF!</v>
      </c>
      <c r="D191" t="s">
        <v>22</v>
      </c>
    </row>
    <row r="195" spans="1:6" x14ac:dyDescent="0.3">
      <c r="B195" s="9" t="e">
        <f>SQRT(B182/C191)</f>
        <v>#REF!</v>
      </c>
      <c r="C195" s="7" t="s">
        <v>25</v>
      </c>
      <c r="D195">
        <v>0.67300000000000004</v>
      </c>
    </row>
    <row r="198" spans="1:6" x14ac:dyDescent="0.3">
      <c r="A198" s="11" t="s">
        <v>32</v>
      </c>
    </row>
    <row r="201" spans="1:6" ht="15.6" x14ac:dyDescent="0.3">
      <c r="A201" s="23" t="s">
        <v>40</v>
      </c>
    </row>
    <row r="202" spans="1:6" x14ac:dyDescent="0.3">
      <c r="A202" s="17" t="s">
        <v>41</v>
      </c>
    </row>
    <row r="203" spans="1:6" x14ac:dyDescent="0.3">
      <c r="B203" s="9" t="e">
        <f>#REF!*fy*10^-3</f>
        <v>#REF!</v>
      </c>
      <c r="C203" t="s">
        <v>78</v>
      </c>
    </row>
    <row r="204" spans="1:6" x14ac:dyDescent="0.3">
      <c r="C204" s="9"/>
    </row>
    <row r="205" spans="1:6" x14ac:dyDescent="0.3">
      <c r="B205" s="31" t="e">
        <f>0.95*B203</f>
        <v>#REF!</v>
      </c>
      <c r="C205" t="s">
        <v>78</v>
      </c>
    </row>
    <row r="206" spans="1:6" x14ac:dyDescent="0.3">
      <c r="B206" s="20"/>
    </row>
    <row r="208" spans="1:6" ht="15.6" x14ac:dyDescent="0.3">
      <c r="C208" s="7" t="s">
        <v>35</v>
      </c>
      <c r="D208" s="19" t="e">
        <f>#REF!</f>
        <v>#REF!</v>
      </c>
      <c r="E208" t="s">
        <v>78</v>
      </c>
      <c r="F208" s="34" t="e">
        <f>IF(B205&gt;D208,"Verifica","No Verifica")</f>
        <v>#REF!</v>
      </c>
    </row>
  </sheetData>
  <mergeCells count="1">
    <mergeCell ref="B12:C12"/>
  </mergeCells>
  <conditionalFormatting sqref="F208">
    <cfRule type="cellIs" dxfId="13" priority="9" operator="equal">
      <formula>$N$2</formula>
    </cfRule>
    <cfRule type="cellIs" dxfId="12" priority="10" operator="equal">
      <formula>$N$1</formula>
    </cfRule>
  </conditionalFormatting>
  <conditionalFormatting sqref="G43 G45 G47:G48">
    <cfRule type="cellIs" dxfId="11" priority="3" operator="equal">
      <formula>$N$2</formula>
    </cfRule>
    <cfRule type="cellIs" dxfId="10" priority="4" operator="equal">
      <formula>$N$1</formula>
    </cfRule>
  </conditionalFormatting>
  <conditionalFormatting sqref="G53">
    <cfRule type="cellIs" dxfId="9" priority="7" operator="equal">
      <formula>$N$2</formula>
    </cfRule>
    <cfRule type="cellIs" dxfId="8" priority="8" operator="equal">
      <formula>$N$1</formula>
    </cfRule>
  </conditionalFormatting>
  <conditionalFormatting sqref="G62">
    <cfRule type="cellIs" dxfId="7" priority="5" operator="equal">
      <formula>$N$2</formula>
    </cfRule>
    <cfRule type="cellIs" dxfId="6" priority="6" operator="equal">
      <formula>$N$1</formula>
    </cfRule>
  </conditionalFormatting>
  <conditionalFormatting sqref="G158">
    <cfRule type="cellIs" dxfId="5" priority="1" operator="equal">
      <formula>$N$2</formula>
    </cfRule>
    <cfRule type="cellIs" dxfId="4" priority="2" operator="equal">
      <formula>$N$1</formula>
    </cfRule>
  </conditionalFormatting>
  <pageMargins left="0.7" right="0.7" top="0.75" bottom="0.75" header="0.3" footer="0.3"/>
  <pageSetup orientation="portrait" r:id="rId1"/>
  <rowBreaks count="2" manualBreakCount="2">
    <brk id="41" max="6" man="1"/>
    <brk id="87" max="6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EC9527-B92E-4DA5-8F78-13983FF23525}">
          <x14:formula1>
            <xm:f>'Perfiles C'!$A$5:$A$206</xm:f>
          </x14:formula1>
          <xm:sqref>B12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7702E-5B66-437F-9ED8-A0169E0769EF}">
  <dimension ref="A1:Q284"/>
  <sheetViews>
    <sheetView showGridLines="0" tabSelected="1" topLeftCell="A82" zoomScaleNormal="100" workbookViewId="0">
      <selection activeCell="B31" sqref="B31"/>
    </sheetView>
  </sheetViews>
  <sheetFormatPr baseColWidth="10" defaultRowHeight="14.4" x14ac:dyDescent="0.3"/>
  <cols>
    <col min="1" max="1" width="11.5546875" customWidth="1"/>
    <col min="4" max="4" width="11.5546875" customWidth="1"/>
    <col min="7" max="7" width="10.44140625" customWidth="1"/>
    <col min="8" max="9" width="7.6640625" customWidth="1"/>
  </cols>
  <sheetData>
    <row r="1" spans="1:16" ht="18" x14ac:dyDescent="0.35">
      <c r="A1" s="5" t="s">
        <v>4</v>
      </c>
      <c r="N1" t="s">
        <v>27</v>
      </c>
    </row>
    <row r="2" spans="1:16" ht="15.6" x14ac:dyDescent="0.3">
      <c r="A2" s="2" t="s">
        <v>21</v>
      </c>
      <c r="B2" s="51" t="s">
        <v>458</v>
      </c>
      <c r="C2" s="51"/>
    </row>
    <row r="3" spans="1:16" ht="18" x14ac:dyDescent="0.35">
      <c r="A3" s="5"/>
      <c r="N3" t="s">
        <v>7</v>
      </c>
      <c r="O3">
        <v>200000</v>
      </c>
      <c r="P3" t="s">
        <v>22</v>
      </c>
    </row>
    <row r="4" spans="1:16" ht="18" x14ac:dyDescent="0.35">
      <c r="A4" s="5"/>
      <c r="N4" t="s">
        <v>31</v>
      </c>
      <c r="O4">
        <v>0.3</v>
      </c>
    </row>
    <row r="5" spans="1:16" ht="18" x14ac:dyDescent="0.35">
      <c r="A5" s="5"/>
      <c r="H5" t="s">
        <v>204</v>
      </c>
      <c r="J5">
        <v>6.74</v>
      </c>
    </row>
    <row r="6" spans="1:16" ht="18" x14ac:dyDescent="0.35">
      <c r="A6" s="5"/>
      <c r="H6" t="s">
        <v>199</v>
      </c>
      <c r="J6">
        <v>6.35</v>
      </c>
    </row>
    <row r="7" spans="1:16" ht="18" x14ac:dyDescent="0.35">
      <c r="A7" s="5"/>
    </row>
    <row r="8" spans="1:16" ht="18" x14ac:dyDescent="0.35">
      <c r="A8" s="5"/>
    </row>
    <row r="9" spans="1:16" ht="18" x14ac:dyDescent="0.35">
      <c r="A9" s="5"/>
    </row>
    <row r="10" spans="1:16" ht="18" x14ac:dyDescent="0.35">
      <c r="A10" s="5"/>
      <c r="G10" s="10"/>
    </row>
    <row r="11" spans="1:16" ht="18" x14ac:dyDescent="0.35">
      <c r="A11" s="5"/>
      <c r="H11" t="s">
        <v>180</v>
      </c>
      <c r="J11">
        <v>5.56</v>
      </c>
    </row>
    <row r="12" spans="1:16" ht="18" x14ac:dyDescent="0.35">
      <c r="A12" s="5"/>
      <c r="H12" t="s">
        <v>381</v>
      </c>
      <c r="J12">
        <v>4.75</v>
      </c>
    </row>
    <row r="13" spans="1:16" ht="18" x14ac:dyDescent="0.35">
      <c r="A13" s="5"/>
      <c r="H13" t="s">
        <v>189</v>
      </c>
      <c r="J13">
        <v>4.66</v>
      </c>
    </row>
    <row r="14" spans="1:16" ht="18" x14ac:dyDescent="0.35">
      <c r="A14" s="5"/>
    </row>
    <row r="16" spans="1:16" x14ac:dyDescent="0.3">
      <c r="A16" s="1" t="s">
        <v>45</v>
      </c>
      <c r="B16" s="1" t="str">
        <f>VLOOKUP($B$2,CTernium,2,FALSE)</f>
        <v>120</v>
      </c>
      <c r="C16" t="s">
        <v>13</v>
      </c>
      <c r="D16" s="1" t="s">
        <v>353</v>
      </c>
      <c r="E16" s="1">
        <f>VLOOKUP($B$2,CTernium,7,FALSE)</f>
        <v>3.77</v>
      </c>
      <c r="F16" t="s">
        <v>132</v>
      </c>
    </row>
    <row r="17" spans="1:11" x14ac:dyDescent="0.3">
      <c r="A17" s="1" t="s">
        <v>46</v>
      </c>
      <c r="B17" s="1" t="str">
        <f>VLOOKUP($B$2,CTernium,3,FALSE)</f>
        <v>50</v>
      </c>
      <c r="C17" t="s">
        <v>13</v>
      </c>
      <c r="D17" s="1" t="s">
        <v>54</v>
      </c>
      <c r="E17" s="1">
        <f>VLOOKUP($B$2,CTernium,8,FALSE)</f>
        <v>4.68</v>
      </c>
      <c r="F17" t="s">
        <v>23</v>
      </c>
    </row>
    <row r="18" spans="1:11" ht="16.2" x14ac:dyDescent="0.3">
      <c r="A18" s="1" t="s">
        <v>47</v>
      </c>
      <c r="B18" s="1" t="str">
        <f>VLOOKUP($B$2,CTernium,4,FALSE)</f>
        <v>15</v>
      </c>
      <c r="C18" t="s">
        <v>13</v>
      </c>
      <c r="D18" s="1" t="s">
        <v>55</v>
      </c>
      <c r="E18" s="1">
        <f>VLOOKUP($B$2,CTernium,10,FALSE)</f>
        <v>109.51</v>
      </c>
      <c r="F18" s="6" t="s">
        <v>65</v>
      </c>
    </row>
    <row r="19" spans="1:11" ht="16.2" x14ac:dyDescent="0.3">
      <c r="A19" s="1" t="s">
        <v>48</v>
      </c>
      <c r="B19" s="1" t="str">
        <f>VLOOKUP($B$2,CTernium,5,FALSE)</f>
        <v>2</v>
      </c>
      <c r="C19" t="s">
        <v>13</v>
      </c>
      <c r="D19" s="1" t="s">
        <v>56</v>
      </c>
      <c r="E19" s="1">
        <f>VLOOKUP($B$2,CTernium,14,FALSE)</f>
        <v>16.68</v>
      </c>
      <c r="F19" s="6" t="s">
        <v>65</v>
      </c>
      <c r="I19" s="1" t="s">
        <v>61</v>
      </c>
      <c r="J19" s="1">
        <v>0.18</v>
      </c>
      <c r="K19" s="6" t="s">
        <v>65</v>
      </c>
    </row>
    <row r="20" spans="1:11" ht="16.2" x14ac:dyDescent="0.3">
      <c r="A20" s="1" t="s">
        <v>49</v>
      </c>
      <c r="B20" s="1">
        <v>235</v>
      </c>
      <c r="C20" t="s">
        <v>22</v>
      </c>
      <c r="D20" s="1" t="s">
        <v>57</v>
      </c>
      <c r="E20" s="1">
        <f>VLOOKUP($B$2,CTernium,11,FALSE)</f>
        <v>4.84</v>
      </c>
      <c r="F20" s="6" t="s">
        <v>5</v>
      </c>
      <c r="I20" s="1" t="s">
        <v>62</v>
      </c>
      <c r="J20" s="1">
        <v>4486</v>
      </c>
      <c r="K20" s="6" t="s">
        <v>67</v>
      </c>
    </row>
    <row r="21" spans="1:11" x14ac:dyDescent="0.3">
      <c r="A21" s="1" t="s">
        <v>50</v>
      </c>
      <c r="B21" s="1">
        <v>370</v>
      </c>
      <c r="C21" t="s">
        <v>22</v>
      </c>
      <c r="D21" s="1" t="s">
        <v>58</v>
      </c>
      <c r="E21" s="1">
        <f>VLOOKUP($B$2,CTernium,15,FALSE)</f>
        <v>1.89</v>
      </c>
      <c r="F21" s="6" t="s">
        <v>5</v>
      </c>
      <c r="I21" s="1" t="s">
        <v>63</v>
      </c>
      <c r="J21" s="1">
        <v>5.47</v>
      </c>
      <c r="K21" s="6" t="s">
        <v>5</v>
      </c>
    </row>
    <row r="22" spans="1:11" ht="16.2" x14ac:dyDescent="0.3">
      <c r="A22" s="7"/>
      <c r="B22" s="7"/>
      <c r="D22" s="1" t="s">
        <v>59</v>
      </c>
      <c r="E22" s="1">
        <f>VLOOKUP($B$2,CTernium,9,FALSE)</f>
        <v>18.25</v>
      </c>
      <c r="F22" s="6" t="s">
        <v>66</v>
      </c>
    </row>
    <row r="23" spans="1:11" ht="16.2" x14ac:dyDescent="0.3">
      <c r="A23" s="1" t="s">
        <v>51</v>
      </c>
      <c r="B23" s="1">
        <f>B16-2*2*$B$19</f>
        <v>112</v>
      </c>
      <c r="C23" t="s">
        <v>13</v>
      </c>
      <c r="D23" s="1" t="s">
        <v>60</v>
      </c>
      <c r="E23" s="1">
        <f>VLOOKUP($B$2,CTernium,13,FALSE)</f>
        <v>4.92</v>
      </c>
      <c r="F23" s="6" t="s">
        <v>66</v>
      </c>
    </row>
    <row r="24" spans="1:11" x14ac:dyDescent="0.3">
      <c r="A24" s="1" t="s">
        <v>52</v>
      </c>
      <c r="B24" s="1">
        <f t="shared" ref="B24" si="0">B17-2*2*$B$19</f>
        <v>42</v>
      </c>
      <c r="C24" t="s">
        <v>13</v>
      </c>
      <c r="D24" s="1" t="s">
        <v>64</v>
      </c>
      <c r="E24" s="1">
        <f>VLOOKUP($B$2,CTernium,12,FALSE)</f>
        <v>1.61</v>
      </c>
      <c r="F24" s="6" t="s">
        <v>5</v>
      </c>
    </row>
    <row r="25" spans="1:11" x14ac:dyDescent="0.3">
      <c r="A25" s="1" t="s">
        <v>53</v>
      </c>
      <c r="B25" s="1">
        <f>B18-2*$B$19</f>
        <v>11</v>
      </c>
      <c r="C25" t="s">
        <v>13</v>
      </c>
    </row>
    <row r="27" spans="1:11" x14ac:dyDescent="0.3">
      <c r="A27" s="1" t="s">
        <v>68</v>
      </c>
      <c r="B27" s="1">
        <v>4</v>
      </c>
      <c r="C27" t="s">
        <v>2</v>
      </c>
      <c r="K27">
        <f>(B30/K30)^2+(B31/K31)^2</f>
        <v>0.74620951679274816</v>
      </c>
    </row>
    <row r="29" spans="1:11" ht="15.6" x14ac:dyDescent="0.3">
      <c r="A29" s="23" t="s">
        <v>105</v>
      </c>
      <c r="B29" s="7"/>
    </row>
    <row r="30" spans="1:11" x14ac:dyDescent="0.3">
      <c r="A30" s="7" t="s">
        <v>354</v>
      </c>
      <c r="B30" s="7">
        <v>2.96</v>
      </c>
      <c r="C30" t="s">
        <v>78</v>
      </c>
      <c r="D30" s="7" t="s">
        <v>357</v>
      </c>
      <c r="E30" s="7">
        <v>3.5409999999999999</v>
      </c>
      <c r="F30" s="6" t="s">
        <v>3</v>
      </c>
      <c r="J30" t="s">
        <v>373</v>
      </c>
      <c r="K30" s="9">
        <f>B132</f>
        <v>3.4265835</v>
      </c>
    </row>
    <row r="31" spans="1:11" x14ac:dyDescent="0.3">
      <c r="A31" s="7" t="s">
        <v>355</v>
      </c>
      <c r="B31" s="7">
        <v>0</v>
      </c>
      <c r="C31" t="s">
        <v>78</v>
      </c>
      <c r="D31" s="7" t="s">
        <v>358</v>
      </c>
      <c r="E31" s="7">
        <v>0</v>
      </c>
      <c r="F31" s="6" t="s">
        <v>3</v>
      </c>
      <c r="J31" t="s">
        <v>374</v>
      </c>
      <c r="K31" s="9">
        <f>B232</f>
        <v>0.67746246328481385</v>
      </c>
    </row>
    <row r="32" spans="1:11" x14ac:dyDescent="0.3">
      <c r="A32" s="7" t="s">
        <v>356</v>
      </c>
      <c r="B32" s="7">
        <v>0</v>
      </c>
      <c r="C32" t="s">
        <v>15</v>
      </c>
      <c r="J32" t="s">
        <v>375</v>
      </c>
      <c r="K32" s="9">
        <f>B149</f>
        <v>30.004799999999999</v>
      </c>
    </row>
    <row r="33" spans="1:11" x14ac:dyDescent="0.3">
      <c r="A33" s="7"/>
      <c r="J33" t="s">
        <v>379</v>
      </c>
      <c r="K33" s="8">
        <f>B244</f>
        <v>0.86383419519763638</v>
      </c>
    </row>
    <row r="34" spans="1:11" ht="18" x14ac:dyDescent="0.35">
      <c r="A34" s="24" t="s">
        <v>84</v>
      </c>
      <c r="J34" t="s">
        <v>380</v>
      </c>
      <c r="K34" s="9">
        <f>C158</f>
        <v>0.76013692744257633</v>
      </c>
    </row>
    <row r="35" spans="1:11" ht="15.6" x14ac:dyDescent="0.3">
      <c r="A35" s="23" t="s">
        <v>24</v>
      </c>
    </row>
    <row r="36" spans="1:11" ht="15.6" x14ac:dyDescent="0.3">
      <c r="A36" s="4" t="s">
        <v>72</v>
      </c>
      <c r="B36" s="12" t="s">
        <v>69</v>
      </c>
      <c r="C36">
        <f>b/t</f>
        <v>21</v>
      </c>
      <c r="D36" s="7" t="s">
        <v>25</v>
      </c>
      <c r="E36" s="6">
        <v>60</v>
      </c>
      <c r="G36" s="3" t="str">
        <f>IF(C36&lt;E36,"Verifica","No Verifica")</f>
        <v>Verifica</v>
      </c>
    </row>
    <row r="37" spans="1:11" x14ac:dyDescent="0.3">
      <c r="B37" s="12"/>
      <c r="D37" s="7"/>
      <c r="E37" s="6"/>
    </row>
    <row r="38" spans="1:11" ht="15.6" x14ac:dyDescent="0.3">
      <c r="A38" s="4" t="s">
        <v>73</v>
      </c>
      <c r="B38" s="12" t="s">
        <v>70</v>
      </c>
      <c r="C38">
        <f>d/t</f>
        <v>5.5</v>
      </c>
      <c r="D38" s="7" t="s">
        <v>25</v>
      </c>
      <c r="E38" s="6">
        <v>60</v>
      </c>
      <c r="G38" s="3" t="str">
        <f t="shared" ref="G38:G40" si="1">IF(C38&lt;E38,"Verifica","No Verifica")</f>
        <v>Verifica</v>
      </c>
    </row>
    <row r="39" spans="1:11" x14ac:dyDescent="0.3">
      <c r="B39" s="12"/>
      <c r="D39" s="7"/>
      <c r="E39" s="6"/>
    </row>
    <row r="40" spans="1:11" ht="15.6" x14ac:dyDescent="0.3">
      <c r="A40" s="4" t="s">
        <v>74</v>
      </c>
      <c r="B40" s="12" t="s">
        <v>71</v>
      </c>
      <c r="C40">
        <f>h/t</f>
        <v>56</v>
      </c>
      <c r="D40" s="7" t="s">
        <v>25</v>
      </c>
      <c r="E40" s="6">
        <v>200</v>
      </c>
      <c r="G40" s="3" t="str">
        <f t="shared" si="1"/>
        <v>Verifica</v>
      </c>
    </row>
    <row r="43" spans="1:11" ht="15.6" x14ac:dyDescent="0.3">
      <c r="A43" s="23" t="s">
        <v>29</v>
      </c>
    </row>
    <row r="44" spans="1:11" x14ac:dyDescent="0.3">
      <c r="A44" s="4" t="s">
        <v>30</v>
      </c>
    </row>
    <row r="45" spans="1:11" x14ac:dyDescent="0.3">
      <c r="A45" s="7" t="s">
        <v>75</v>
      </c>
      <c r="B45" s="7">
        <f>fy</f>
        <v>235</v>
      </c>
      <c r="C45" t="s">
        <v>22</v>
      </c>
    </row>
    <row r="46" spans="1:11" x14ac:dyDescent="0.3">
      <c r="A46" s="7" t="s">
        <v>76</v>
      </c>
      <c r="B46" s="7">
        <v>0.43</v>
      </c>
    </row>
    <row r="48" spans="1:11" x14ac:dyDescent="0.3">
      <c r="C48" s="9">
        <f>B46*PI()^2*E*(t/d)^2/(12*(1-u^2))</f>
        <v>2569.5092134946412</v>
      </c>
      <c r="D48" t="s">
        <v>22</v>
      </c>
    </row>
    <row r="51" spans="1:9" x14ac:dyDescent="0.3">
      <c r="B51" s="8">
        <f>SQRT(B45/C48)</f>
        <v>0.30241883879993625</v>
      </c>
      <c r="C51" s="7" t="s">
        <v>25</v>
      </c>
      <c r="D51">
        <v>0.67300000000000004</v>
      </c>
      <c r="I51" t="str">
        <f>IF(B51&gt;D51,"OJO","")</f>
        <v/>
      </c>
    </row>
    <row r="53" spans="1:9" x14ac:dyDescent="0.3">
      <c r="A53" s="11" t="s">
        <v>32</v>
      </c>
    </row>
    <row r="55" spans="1:9" x14ac:dyDescent="0.3">
      <c r="A55" s="4" t="s">
        <v>33</v>
      </c>
    </row>
    <row r="57" spans="1:9" x14ac:dyDescent="0.3">
      <c r="A57" s="4" t="s">
        <v>34</v>
      </c>
    </row>
    <row r="58" spans="1:9" x14ac:dyDescent="0.3">
      <c r="A58" s="7" t="s">
        <v>75</v>
      </c>
      <c r="B58" s="7">
        <f>fy</f>
        <v>235</v>
      </c>
      <c r="C58" t="s">
        <v>22</v>
      </c>
    </row>
    <row r="60" spans="1:9" x14ac:dyDescent="0.3">
      <c r="B60" s="9">
        <f>1.28*SQRT(E/B58)</f>
        <v>37.341437823461007</v>
      </c>
    </row>
    <row r="62" spans="1:9" x14ac:dyDescent="0.3">
      <c r="A62" s="7" t="s">
        <v>69</v>
      </c>
      <c r="B62">
        <f>b/t</f>
        <v>21</v>
      </c>
      <c r="C62" s="7" t="s">
        <v>35</v>
      </c>
      <c r="D62" s="10" t="s">
        <v>36</v>
      </c>
      <c r="I62" t="str">
        <f>IF(B62&lt;12.25,"OJO","")</f>
        <v/>
      </c>
    </row>
    <row r="64" spans="1:9" ht="16.2" x14ac:dyDescent="0.3">
      <c r="B64" s="8">
        <f>t*d^3/12/10^4</f>
        <v>2.2183333333333333E-2</v>
      </c>
      <c r="C64" s="6" t="s">
        <v>65</v>
      </c>
    </row>
    <row r="66" spans="1:7" ht="16.2" x14ac:dyDescent="0.3">
      <c r="C66" s="8">
        <f>399*t^4*(b/t/B60-0.328)^3/10^4</f>
        <v>8.2194535565420258E-3</v>
      </c>
      <c r="D66" s="6" t="s">
        <v>65</v>
      </c>
    </row>
    <row r="69" spans="1:7" ht="16.2" x14ac:dyDescent="0.3">
      <c r="C69" s="25">
        <f>t^4*(115*b/t/B60+5)/10^4</f>
        <v>0.11147753662480325</v>
      </c>
      <c r="D69" s="6" t="s">
        <v>65</v>
      </c>
    </row>
    <row r="71" spans="1:7" ht="16.2" x14ac:dyDescent="0.3">
      <c r="C71" s="25">
        <f>MIN(C66,C69)</f>
        <v>8.2194535565420258E-3</v>
      </c>
      <c r="D71" s="6" t="s">
        <v>65</v>
      </c>
    </row>
    <row r="73" spans="1:7" x14ac:dyDescent="0.3">
      <c r="B73" s="9">
        <f>B64/C71</f>
        <v>2.6988817663769362</v>
      </c>
      <c r="C73" s="7" t="s">
        <v>35</v>
      </c>
      <c r="D73" s="14">
        <v>1</v>
      </c>
      <c r="F73" s="6">
        <v>1</v>
      </c>
    </row>
    <row r="75" spans="1:7" x14ac:dyDescent="0.3">
      <c r="C75" s="25">
        <f>0.582-b/t/4/B60</f>
        <v>0.4414055208902129</v>
      </c>
      <c r="D75" s="7" t="s">
        <v>35</v>
      </c>
      <c r="E75" s="6">
        <v>0.33</v>
      </c>
      <c r="G75" s="15">
        <f>MAX(C75,E75)</f>
        <v>0.4414055208902129</v>
      </c>
    </row>
    <row r="77" spans="1:7" x14ac:dyDescent="0.3">
      <c r="A77" s="16">
        <v>0.25</v>
      </c>
      <c r="B77" s="7" t="s">
        <v>25</v>
      </c>
      <c r="C77" s="12" t="s">
        <v>77</v>
      </c>
      <c r="D77" s="15">
        <f>B18/b</f>
        <v>0.35714285714285715</v>
      </c>
      <c r="E77" s="7" t="s">
        <v>25</v>
      </c>
      <c r="F77" s="6">
        <v>0.8</v>
      </c>
    </row>
    <row r="79" spans="1:7" x14ac:dyDescent="0.3">
      <c r="D79" s="9">
        <f>(4.82-5*D77)*F73^C75+0.43</f>
        <v>3.4642857142857149</v>
      </c>
      <c r="E79" s="7" t="s">
        <v>25</v>
      </c>
      <c r="F79" s="6">
        <v>4</v>
      </c>
    </row>
    <row r="82" spans="1:9" x14ac:dyDescent="0.3">
      <c r="C82" s="9">
        <f>D79*PI()^2*E*(t/b)^2/(12*(1-u^2))</f>
        <v>1419.9799628028736</v>
      </c>
      <c r="D82" t="s">
        <v>22</v>
      </c>
    </row>
    <row r="85" spans="1:9" x14ac:dyDescent="0.3">
      <c r="B85" s="9">
        <f>SQRT(B45/C82)</f>
        <v>0.40681112693887095</v>
      </c>
      <c r="C85" s="7" t="s">
        <v>25</v>
      </c>
      <c r="D85" s="6">
        <v>0.67300000000000004</v>
      </c>
      <c r="I85" t="str">
        <f>IF(B85&gt;D85,"OJO","")</f>
        <v/>
      </c>
    </row>
    <row r="88" spans="1:9" x14ac:dyDescent="0.3">
      <c r="A88" s="11" t="s">
        <v>32</v>
      </c>
    </row>
    <row r="90" spans="1:9" x14ac:dyDescent="0.3">
      <c r="A90" s="4" t="s">
        <v>37</v>
      </c>
    </row>
    <row r="92" spans="1:9" x14ac:dyDescent="0.3">
      <c r="C92" s="7">
        <v>1</v>
      </c>
    </row>
    <row r="95" spans="1:9" x14ac:dyDescent="0.3">
      <c r="D95" s="6">
        <f>4+2*(1+C92)^3+2*(1+C92)</f>
        <v>24</v>
      </c>
    </row>
    <row r="98" spans="1:4" x14ac:dyDescent="0.3">
      <c r="B98" s="9">
        <f>fy*h/B16</f>
        <v>219.33333333333334</v>
      </c>
      <c r="C98" t="s">
        <v>22</v>
      </c>
    </row>
    <row r="101" spans="1:4" x14ac:dyDescent="0.3">
      <c r="C101" s="9">
        <f>D95*PI()^2*E*(t/h)^2/(12*(1-u^2))</f>
        <v>1383.3825410811503</v>
      </c>
      <c r="D101" t="s">
        <v>22</v>
      </c>
    </row>
    <row r="104" spans="1:4" x14ac:dyDescent="0.3">
      <c r="B104" s="8">
        <f>SQRT(B98/C101)</f>
        <v>0.39818158797055342</v>
      </c>
      <c r="C104" s="7" t="s">
        <v>25</v>
      </c>
      <c r="D104" s="6">
        <v>0.67300000000000004</v>
      </c>
    </row>
    <row r="107" spans="1:4" x14ac:dyDescent="0.3">
      <c r="A107" s="11" t="s">
        <v>32</v>
      </c>
    </row>
    <row r="109" spans="1:4" x14ac:dyDescent="0.3">
      <c r="A109" s="4" t="s">
        <v>38</v>
      </c>
    </row>
    <row r="111" spans="1:4" ht="15.6" x14ac:dyDescent="0.3">
      <c r="A111" s="2" t="s">
        <v>39</v>
      </c>
    </row>
    <row r="112" spans="1:4" x14ac:dyDescent="0.3">
      <c r="A112" s="11"/>
    </row>
    <row r="114" spans="1:17" ht="15.6" x14ac:dyDescent="0.3">
      <c r="A114" s="23" t="s">
        <v>40</v>
      </c>
    </row>
    <row r="115" spans="1:17" x14ac:dyDescent="0.3">
      <c r="A115" s="17" t="s">
        <v>41</v>
      </c>
    </row>
    <row r="116" spans="1:17" x14ac:dyDescent="0.3">
      <c r="B116" s="9">
        <f>E22*fy*10^-3</f>
        <v>4.2887500000000003</v>
      </c>
      <c r="C116" t="s">
        <v>78</v>
      </c>
    </row>
    <row r="117" spans="1:17" x14ac:dyDescent="0.3">
      <c r="C117" s="9"/>
    </row>
    <row r="118" spans="1:17" x14ac:dyDescent="0.3">
      <c r="B118" s="39">
        <f>0.95*B116</f>
        <v>4.0743125000000004</v>
      </c>
      <c r="C118" t="s">
        <v>78</v>
      </c>
    </row>
    <row r="119" spans="1:17" x14ac:dyDescent="0.3">
      <c r="B119" s="20"/>
    </row>
    <row r="120" spans="1:17" x14ac:dyDescent="0.3">
      <c r="A120" s="17" t="s">
        <v>42</v>
      </c>
    </row>
    <row r="121" spans="1:17" x14ac:dyDescent="0.3">
      <c r="A121" s="7" t="s">
        <v>79</v>
      </c>
      <c r="B121" s="7">
        <v>200</v>
      </c>
      <c r="C121" t="s">
        <v>5</v>
      </c>
    </row>
    <row r="122" spans="1:17" x14ac:dyDescent="0.3">
      <c r="A122" s="7" t="s">
        <v>80</v>
      </c>
      <c r="B122" s="7">
        <v>1.2</v>
      </c>
    </row>
    <row r="123" spans="1:17" x14ac:dyDescent="0.3">
      <c r="A123" s="7" t="s">
        <v>81</v>
      </c>
      <c r="B123" s="7">
        <v>1</v>
      </c>
    </row>
    <row r="125" spans="1:17" x14ac:dyDescent="0.3">
      <c r="C125" s="19">
        <f>B122*PI()^2*E*B16*E19*0.5*0.1/(E22*(B121*B123)^2)</f>
        <v>324.73972880910344</v>
      </c>
      <c r="D125" t="s">
        <v>22</v>
      </c>
      <c r="E125" s="21" t="s">
        <v>383</v>
      </c>
      <c r="F125" s="7">
        <f>2.78*fy</f>
        <v>653.29999999999995</v>
      </c>
      <c r="G125" t="s">
        <v>22</v>
      </c>
    </row>
    <row r="126" spans="1:17" x14ac:dyDescent="0.3">
      <c r="P126" t="s">
        <v>512</v>
      </c>
      <c r="Q126">
        <v>1.4219999999999999</v>
      </c>
    </row>
    <row r="127" spans="1:17" x14ac:dyDescent="0.3">
      <c r="P127" t="s">
        <v>513</v>
      </c>
      <c r="Q127">
        <v>0.16700000000000001</v>
      </c>
    </row>
    <row r="128" spans="1:17" x14ac:dyDescent="0.3">
      <c r="A128" s="7"/>
      <c r="C128" s="7">
        <f>ROUND(10/9*fy*(1-10*fy/(36*C125)),2)</f>
        <v>208.62</v>
      </c>
      <c r="D128" t="s">
        <v>22</v>
      </c>
      <c r="P128" t="s">
        <v>514</v>
      </c>
      <c r="Q128">
        <v>0.65800000000000003</v>
      </c>
    </row>
    <row r="129" spans="1:17" x14ac:dyDescent="0.3">
      <c r="P129" t="s">
        <v>515</v>
      </c>
      <c r="Q129">
        <v>3.1829999999999998</v>
      </c>
    </row>
    <row r="130" spans="1:17" x14ac:dyDescent="0.3">
      <c r="B130" s="9">
        <f>E22*C128*10^-3</f>
        <v>3.807315</v>
      </c>
      <c r="C130" t="s">
        <v>78</v>
      </c>
    </row>
    <row r="131" spans="1:17" x14ac:dyDescent="0.3">
      <c r="C131" s="9"/>
    </row>
    <row r="132" spans="1:17" x14ac:dyDescent="0.3">
      <c r="B132" s="22">
        <f>0.9*B130</f>
        <v>3.4265835</v>
      </c>
      <c r="C132" t="s">
        <v>78</v>
      </c>
      <c r="P132">
        <f>12.5*Q129/(2.5*Q129+3*Q126+4*Q127+3*Q128)</f>
        <v>2.6764992768490798</v>
      </c>
    </row>
    <row r="134" spans="1:17" x14ac:dyDescent="0.3">
      <c r="A134" s="11" t="s">
        <v>40</v>
      </c>
    </row>
    <row r="135" spans="1:17" ht="15.6" customHeight="1" x14ac:dyDescent="0.3">
      <c r="A135" s="11"/>
      <c r="C135" s="52" t="s">
        <v>35</v>
      </c>
      <c r="D135" s="53">
        <f>B30</f>
        <v>2.96</v>
      </c>
      <c r="E135" s="54" t="s">
        <v>78</v>
      </c>
      <c r="F135" s="50" t="str">
        <f>IF(B132&gt;D135,"Verifica","No Verifica")</f>
        <v>Verifica</v>
      </c>
    </row>
    <row r="136" spans="1:17" x14ac:dyDescent="0.3">
      <c r="C136" s="52"/>
      <c r="D136" s="53"/>
      <c r="E136" s="54"/>
      <c r="F136" s="50"/>
    </row>
    <row r="137" spans="1:17" x14ac:dyDescent="0.3">
      <c r="A137" s="17" t="s">
        <v>43</v>
      </c>
    </row>
    <row r="138" spans="1:17" x14ac:dyDescent="0.3">
      <c r="A138" s="7" t="s">
        <v>82</v>
      </c>
      <c r="B138" s="7">
        <v>5.34</v>
      </c>
    </row>
    <row r="140" spans="1:17" x14ac:dyDescent="0.3">
      <c r="A140" s="7" t="s">
        <v>44</v>
      </c>
      <c r="B140" s="7" t="s">
        <v>25</v>
      </c>
      <c r="C140" s="7"/>
      <c r="H140" s="7" t="s">
        <v>25</v>
      </c>
    </row>
    <row r="141" spans="1:17" x14ac:dyDescent="0.3">
      <c r="A141" s="19">
        <f>h/t</f>
        <v>56</v>
      </c>
      <c r="B141" s="19"/>
      <c r="C141" s="19">
        <f>SQRT(E*B138/fy)</f>
        <v>67.414248130968801</v>
      </c>
      <c r="G141" s="19"/>
      <c r="I141" s="19">
        <f>C141*1.51</f>
        <v>101.7955146777629</v>
      </c>
    </row>
    <row r="144" spans="1:17" x14ac:dyDescent="0.3">
      <c r="B144" s="44">
        <f>0.6*fy</f>
        <v>141</v>
      </c>
      <c r="C144" t="s">
        <v>22</v>
      </c>
      <c r="J144" s="9">
        <f>0.6*SQRT(E*B138*fy)/A141</f>
        <v>169.73944618690356</v>
      </c>
    </row>
    <row r="145" spans="1:6" x14ac:dyDescent="0.3">
      <c r="C145" s="9"/>
    </row>
    <row r="146" spans="1:6" x14ac:dyDescent="0.3">
      <c r="C146" s="9"/>
    </row>
    <row r="147" spans="1:6" x14ac:dyDescent="0.3">
      <c r="C147" s="9">
        <f>h*t*B144*10^-3</f>
        <v>31.584</v>
      </c>
      <c r="D147" t="s">
        <v>3</v>
      </c>
    </row>
    <row r="148" spans="1:6" x14ac:dyDescent="0.3">
      <c r="C148" s="9"/>
    </row>
    <row r="149" spans="1:6" x14ac:dyDescent="0.3">
      <c r="B149" s="22">
        <f>0.95*C147</f>
        <v>30.004799999999999</v>
      </c>
      <c r="C149" t="s">
        <v>3</v>
      </c>
    </row>
    <row r="151" spans="1:6" ht="14.4" customHeight="1" x14ac:dyDescent="0.3">
      <c r="C151" t="s">
        <v>35</v>
      </c>
      <c r="D151" s="18">
        <f>E30</f>
        <v>3.5409999999999999</v>
      </c>
      <c r="E151" t="s">
        <v>3</v>
      </c>
      <c r="F151" s="34" t="str">
        <f>IF(B149&gt;D151,"Verifica","No Verifica")</f>
        <v>Verifica</v>
      </c>
    </row>
    <row r="152" spans="1:6" ht="14.4" customHeight="1" x14ac:dyDescent="0.3"/>
    <row r="155" spans="1:6" ht="15.6" x14ac:dyDescent="0.3">
      <c r="A155" s="23" t="s">
        <v>376</v>
      </c>
    </row>
    <row r="158" spans="1:6" ht="15.6" x14ac:dyDescent="0.3">
      <c r="C158" s="19">
        <f>(B30/B132)^2+(E30/B149)^2</f>
        <v>0.76013692744257633</v>
      </c>
      <c r="D158" s="7" t="s">
        <v>25</v>
      </c>
      <c r="E158" s="7">
        <v>1</v>
      </c>
      <c r="F158" s="34" t="str">
        <f>IF(C158&lt;E158,"Verifica","No Verifica")</f>
        <v>Verifica</v>
      </c>
    </row>
    <row r="162" spans="1:7" ht="18" x14ac:dyDescent="0.35">
      <c r="A162" s="24" t="s">
        <v>85</v>
      </c>
    </row>
    <row r="163" spans="1:7" ht="18" x14ac:dyDescent="0.35">
      <c r="A163" s="24"/>
    </row>
    <row r="164" spans="1:7" ht="18" x14ac:dyDescent="0.35">
      <c r="A164" s="24"/>
    </row>
    <row r="165" spans="1:7" ht="18" x14ac:dyDescent="0.35">
      <c r="A165" s="24"/>
    </row>
    <row r="166" spans="1:7" ht="18" x14ac:dyDescent="0.35">
      <c r="A166" s="24"/>
    </row>
    <row r="167" spans="1:7" ht="18" x14ac:dyDescent="0.35">
      <c r="A167" s="24"/>
    </row>
    <row r="168" spans="1:7" ht="18" x14ac:dyDescent="0.35">
      <c r="A168" s="24"/>
    </row>
    <row r="169" spans="1:7" ht="18" x14ac:dyDescent="0.35">
      <c r="A169" s="24"/>
    </row>
    <row r="170" spans="1:7" ht="18" x14ac:dyDescent="0.35">
      <c r="A170" s="24"/>
    </row>
    <row r="171" spans="1:7" ht="18" x14ac:dyDescent="0.35">
      <c r="A171" s="24"/>
    </row>
    <row r="172" spans="1:7" ht="18" x14ac:dyDescent="0.35">
      <c r="A172" s="24"/>
    </row>
    <row r="173" spans="1:7" ht="15.6" x14ac:dyDescent="0.3">
      <c r="A173" s="23" t="s">
        <v>24</v>
      </c>
    </row>
    <row r="174" spans="1:7" ht="15.6" x14ac:dyDescent="0.3">
      <c r="A174" s="4" t="s">
        <v>72</v>
      </c>
      <c r="B174" s="12" t="s">
        <v>69</v>
      </c>
      <c r="C174">
        <f>h/t</f>
        <v>56</v>
      </c>
      <c r="D174" s="7" t="s">
        <v>25</v>
      </c>
      <c r="E174" s="6">
        <v>500</v>
      </c>
      <c r="G174" s="3" t="str">
        <f>IF(C174&lt;E174,"Verifica","No Verifica")</f>
        <v>Verifica</v>
      </c>
    </row>
    <row r="176" spans="1:7" ht="15.6" x14ac:dyDescent="0.3">
      <c r="A176" s="4" t="s">
        <v>28</v>
      </c>
      <c r="B176" s="12" t="s">
        <v>71</v>
      </c>
      <c r="C176">
        <f>b/t</f>
        <v>21</v>
      </c>
      <c r="D176" s="7" t="s">
        <v>25</v>
      </c>
      <c r="E176" s="6">
        <v>200</v>
      </c>
      <c r="G176" s="3" t="str">
        <f>IF(C176&lt;E176,"Verifica","No Verifica")</f>
        <v>Verifica</v>
      </c>
    </row>
    <row r="178" spans="1:13" ht="15.6" x14ac:dyDescent="0.3">
      <c r="A178" s="23" t="s">
        <v>29</v>
      </c>
    </row>
    <row r="179" spans="1:13" x14ac:dyDescent="0.3">
      <c r="A179" s="4" t="s">
        <v>96</v>
      </c>
    </row>
    <row r="180" spans="1:13" x14ac:dyDescent="0.3">
      <c r="A180" t="s">
        <v>86</v>
      </c>
    </row>
    <row r="182" spans="1:13" x14ac:dyDescent="0.3">
      <c r="A182" t="s">
        <v>87</v>
      </c>
      <c r="B182">
        <f>E24</f>
        <v>1.61</v>
      </c>
      <c r="C182" t="s">
        <v>5</v>
      </c>
    </row>
    <row r="183" spans="1:13" x14ac:dyDescent="0.3">
      <c r="A183" t="s">
        <v>88</v>
      </c>
      <c r="B183">
        <f>B17*0.1-B182</f>
        <v>3.3899999999999997</v>
      </c>
      <c r="C183" t="s">
        <v>5</v>
      </c>
    </row>
    <row r="184" spans="1:13" x14ac:dyDescent="0.3">
      <c r="A184" t="s">
        <v>89</v>
      </c>
      <c r="B184" s="9">
        <v>159.49</v>
      </c>
      <c r="C184" t="s">
        <v>22</v>
      </c>
      <c r="M184">
        <f>b*0.1-B207</f>
        <v>2.5258511170087425</v>
      </c>
    </row>
    <row r="185" spans="1:13" x14ac:dyDescent="0.3">
      <c r="A185" t="s">
        <v>90</v>
      </c>
      <c r="B185">
        <v>235</v>
      </c>
      <c r="C185" t="s">
        <v>22</v>
      </c>
      <c r="M185" s="9">
        <f>fy*B207/M184</f>
        <v>155.75937348550536</v>
      </c>
    </row>
    <row r="186" spans="1:13" x14ac:dyDescent="0.3">
      <c r="A186" t="s">
        <v>76</v>
      </c>
      <c r="B186">
        <v>4</v>
      </c>
    </row>
    <row r="188" spans="1:13" x14ac:dyDescent="0.3">
      <c r="C188" s="9">
        <f>B186*PI()^2*E*(t/h)^2/(12*(1-u^2))</f>
        <v>230.56375684685835</v>
      </c>
      <c r="D188" t="s">
        <v>22</v>
      </c>
    </row>
    <row r="192" spans="1:13" x14ac:dyDescent="0.3">
      <c r="B192" s="25">
        <f>SQRT(B184/C188)</f>
        <v>0.83170863225404279</v>
      </c>
      <c r="C192" s="7" t="s">
        <v>35</v>
      </c>
      <c r="D192" s="6">
        <v>0.67300000000000004</v>
      </c>
    </row>
    <row r="194" spans="1:9" x14ac:dyDescent="0.3">
      <c r="A194" s="11" t="s">
        <v>350</v>
      </c>
    </row>
    <row r="196" spans="1:9" x14ac:dyDescent="0.3">
      <c r="B196" s="8">
        <f>(1-0.22/B192)/B192</f>
        <v>0.88430522508085396</v>
      </c>
    </row>
    <row r="198" spans="1:9" x14ac:dyDescent="0.3">
      <c r="B198" s="22">
        <f>h*B196*0.1</f>
        <v>9.904218520905566</v>
      </c>
      <c r="C198" t="s">
        <v>5</v>
      </c>
    </row>
    <row r="199" spans="1:9" x14ac:dyDescent="0.3">
      <c r="B199" s="9"/>
    </row>
    <row r="200" spans="1:9" x14ac:dyDescent="0.3">
      <c r="A200" s="32" t="s">
        <v>91</v>
      </c>
      <c r="B200" s="32" t="s">
        <v>93</v>
      </c>
      <c r="C200" s="32" t="s">
        <v>94</v>
      </c>
      <c r="D200" s="32" t="s">
        <v>92</v>
      </c>
      <c r="E200" s="32" t="s">
        <v>95</v>
      </c>
      <c r="F200" s="32" t="s">
        <v>97</v>
      </c>
      <c r="G200" s="32" t="s">
        <v>98</v>
      </c>
      <c r="H200" s="32" t="s">
        <v>100</v>
      </c>
      <c r="I200" s="32" t="s">
        <v>99</v>
      </c>
    </row>
    <row r="201" spans="1:9" x14ac:dyDescent="0.3">
      <c r="A201" s="1">
        <v>1</v>
      </c>
      <c r="B201" s="26">
        <f>B198</f>
        <v>9.904218520905566</v>
      </c>
      <c r="C201" s="1">
        <v>1</v>
      </c>
      <c r="D201" s="26">
        <f>B201*C201</f>
        <v>9.904218520905566</v>
      </c>
      <c r="E201" s="26">
        <f>t/2/10</f>
        <v>0.1</v>
      </c>
      <c r="F201" s="26">
        <f>D201*E201</f>
        <v>0.99042185209055666</v>
      </c>
      <c r="G201" s="26">
        <f>ABS(E201-$B$207)</f>
        <v>1.5741488829912578</v>
      </c>
      <c r="H201" s="28">
        <f>C201*G201^2</f>
        <v>2.4779447058226247</v>
      </c>
      <c r="I201" s="29">
        <v>0</v>
      </c>
    </row>
    <row r="202" spans="1:9" x14ac:dyDescent="0.3">
      <c r="A202" s="1">
        <v>2</v>
      </c>
      <c r="B202" s="26">
        <f>PI()*0.5*1.5*t*0.1</f>
        <v>0.47123889803846897</v>
      </c>
      <c r="C202" s="1">
        <v>2</v>
      </c>
      <c r="D202" s="26">
        <f t="shared" ref="D202:D205" si="2">B202*C202</f>
        <v>0.94247779607693793</v>
      </c>
      <c r="E202" s="26">
        <f>0.363*1.5*t*0.1+t*0.5*0.1</f>
        <v>0.2089</v>
      </c>
      <c r="F202" s="26">
        <f t="shared" ref="F202:F205" si="3">D202*E202</f>
        <v>0.19688361160047232</v>
      </c>
      <c r="G202" s="26">
        <f t="shared" ref="G202:G205" si="4">ABS(E202-$B$207)</f>
        <v>1.4652488829912578</v>
      </c>
      <c r="H202" s="28">
        <f t="shared" ref="H202:H205" si="5">C202*G202^2</f>
        <v>4.293908578214257</v>
      </c>
      <c r="I202" s="29">
        <v>0</v>
      </c>
    </row>
    <row r="203" spans="1:9" x14ac:dyDescent="0.3">
      <c r="A203" s="1">
        <v>3</v>
      </c>
      <c r="B203" s="1">
        <f>b*0.1</f>
        <v>4.2</v>
      </c>
      <c r="C203" s="1">
        <v>2</v>
      </c>
      <c r="D203" s="26">
        <f t="shared" si="2"/>
        <v>8.4</v>
      </c>
      <c r="E203" s="26">
        <f>B17/2/10</f>
        <v>2.5</v>
      </c>
      <c r="F203" s="26">
        <f t="shared" si="3"/>
        <v>21</v>
      </c>
      <c r="G203" s="26">
        <f t="shared" si="4"/>
        <v>0.82585111700874214</v>
      </c>
      <c r="H203" s="28">
        <f t="shared" si="5"/>
        <v>1.3640601349291741</v>
      </c>
      <c r="I203" s="28">
        <f>(B17*0.1)^3*t*0.1/12</f>
        <v>2.0833333333333335</v>
      </c>
    </row>
    <row r="204" spans="1:9" x14ac:dyDescent="0.3">
      <c r="A204" s="1">
        <v>4</v>
      </c>
      <c r="B204" s="26">
        <f>B202</f>
        <v>0.47123889803846897</v>
      </c>
      <c r="C204" s="1">
        <v>2</v>
      </c>
      <c r="D204" s="26">
        <f t="shared" si="2"/>
        <v>0.94247779607693793</v>
      </c>
      <c r="E204" s="26">
        <f>B17*0.1-(0.363*1.5*t*0.1+t*0.5*0.1)</f>
        <v>4.7911000000000001</v>
      </c>
      <c r="F204" s="26">
        <f t="shared" si="3"/>
        <v>4.5155053687842175</v>
      </c>
      <c r="G204" s="26">
        <f t="shared" si="4"/>
        <v>3.1169511170087425</v>
      </c>
      <c r="H204" s="28">
        <f t="shared" si="5"/>
        <v>19.430768531644095</v>
      </c>
      <c r="I204" s="29">
        <v>0</v>
      </c>
    </row>
    <row r="205" spans="1:9" x14ac:dyDescent="0.3">
      <c r="A205" s="1">
        <v>5</v>
      </c>
      <c r="B205" s="1">
        <f>d/10</f>
        <v>1.1000000000000001</v>
      </c>
      <c r="C205" s="1">
        <v>2</v>
      </c>
      <c r="D205" s="26">
        <f t="shared" si="2"/>
        <v>2.2000000000000002</v>
      </c>
      <c r="E205" s="26">
        <f>B17*0.1-t*0.5*0.1</f>
        <v>4.9000000000000004</v>
      </c>
      <c r="F205" s="26">
        <f t="shared" si="3"/>
        <v>10.780000000000001</v>
      </c>
      <c r="G205" s="26">
        <f t="shared" si="4"/>
        <v>3.2258511170087427</v>
      </c>
      <c r="H205" s="28">
        <f t="shared" si="5"/>
        <v>20.812230858213105</v>
      </c>
      <c r="I205" s="29">
        <v>0</v>
      </c>
    </row>
    <row r="206" spans="1:9" x14ac:dyDescent="0.3">
      <c r="A206" s="1"/>
      <c r="B206" s="1"/>
      <c r="C206" s="1"/>
      <c r="D206" s="27">
        <f>SUM(D201:D205)</f>
        <v>22.389174113059443</v>
      </c>
      <c r="E206" s="1"/>
      <c r="F206" s="27">
        <f>SUM(F201:F205)</f>
        <v>37.482810832475252</v>
      </c>
      <c r="G206" s="1"/>
      <c r="H206" s="30">
        <f>SUM(H201:H205)</f>
        <v>48.378912808823259</v>
      </c>
      <c r="I206" s="30">
        <f>SUM(I201:I205)</f>
        <v>2.0833333333333335</v>
      </c>
    </row>
    <row r="207" spans="1:9" x14ac:dyDescent="0.3">
      <c r="A207" s="7" t="s">
        <v>64</v>
      </c>
      <c r="B207" s="19">
        <f>F206/D206</f>
        <v>1.6741488829912579</v>
      </c>
      <c r="C207" t="s">
        <v>5</v>
      </c>
    </row>
    <row r="208" spans="1:9" ht="16.2" x14ac:dyDescent="0.3">
      <c r="A208" s="7" t="s">
        <v>56</v>
      </c>
      <c r="B208" s="41">
        <f>(H206+I206)*t*0.1</f>
        <v>10.09244922843132</v>
      </c>
      <c r="C208" s="6" t="s">
        <v>65</v>
      </c>
    </row>
    <row r="209" spans="1:4" ht="16.2" x14ac:dyDescent="0.3">
      <c r="A209" s="7" t="s">
        <v>60</v>
      </c>
      <c r="B209" s="19">
        <f>B208/(B17*0.1-B207)</f>
        <v>3.0345463081066688</v>
      </c>
      <c r="C209" s="6" t="s">
        <v>66</v>
      </c>
    </row>
    <row r="211" spans="1:4" x14ac:dyDescent="0.3">
      <c r="A211" s="4" t="s">
        <v>101</v>
      </c>
    </row>
    <row r="212" spans="1:4" x14ac:dyDescent="0.3">
      <c r="A212" s="7" t="s">
        <v>102</v>
      </c>
      <c r="B212" s="19">
        <f>B184</f>
        <v>159.49</v>
      </c>
      <c r="C212" t="s">
        <v>22</v>
      </c>
    </row>
    <row r="213" spans="1:4" x14ac:dyDescent="0.3">
      <c r="A213" s="7" t="s">
        <v>103</v>
      </c>
      <c r="B213" s="19">
        <f>B212*(-2*t*0.1+B207)/B207</f>
        <v>121.38347276807691</v>
      </c>
      <c r="C213" t="s">
        <v>22</v>
      </c>
    </row>
    <row r="214" spans="1:4" x14ac:dyDescent="0.3">
      <c r="A214" s="7" t="s">
        <v>104</v>
      </c>
      <c r="B214" s="19">
        <f>fy*(b*0.1-(B207-2*t*0.1))/(B17*0.1-B207)</f>
        <v>206.73655804396222</v>
      </c>
      <c r="C214" t="s">
        <v>22</v>
      </c>
    </row>
    <row r="216" spans="1:4" x14ac:dyDescent="0.3">
      <c r="B216" s="19">
        <f>ABS(B214/B213)</f>
        <v>1.703168918547638</v>
      </c>
    </row>
    <row r="218" spans="1:4" x14ac:dyDescent="0.3">
      <c r="D218" s="18">
        <f>4+2*(1+B216)^3+2*(1+B216)</f>
        <v>48.911109079138924</v>
      </c>
    </row>
    <row r="221" spans="1:4" x14ac:dyDescent="0.3">
      <c r="C221" s="40">
        <f>D218*PI()^2*E*(t/b)^2/(12*(1-u^2))</f>
        <v>20048.229441480446</v>
      </c>
      <c r="D221" t="s">
        <v>22</v>
      </c>
    </row>
    <row r="224" spans="1:4" x14ac:dyDescent="0.3">
      <c r="B224" s="9">
        <f>SQRT(B213/C221)</f>
        <v>7.7811138047208836E-2</v>
      </c>
      <c r="C224" s="7" t="s">
        <v>25</v>
      </c>
      <c r="D224">
        <v>0.67300000000000004</v>
      </c>
    </row>
    <row r="226" spans="1:6" x14ac:dyDescent="0.3">
      <c r="A226" s="11" t="s">
        <v>32</v>
      </c>
    </row>
    <row r="228" spans="1:6" ht="15.6" x14ac:dyDescent="0.3">
      <c r="A228" s="23" t="s">
        <v>40</v>
      </c>
    </row>
    <row r="229" spans="1:6" x14ac:dyDescent="0.3">
      <c r="A229" s="17" t="s">
        <v>41</v>
      </c>
    </row>
    <row r="230" spans="1:6" x14ac:dyDescent="0.3">
      <c r="B230" s="9">
        <f>B209*fy*10^-3</f>
        <v>0.7131183824050672</v>
      </c>
      <c r="C230" t="s">
        <v>78</v>
      </c>
    </row>
    <row r="231" spans="1:6" x14ac:dyDescent="0.3">
      <c r="C231" s="9"/>
    </row>
    <row r="232" spans="1:6" x14ac:dyDescent="0.3">
      <c r="B232" s="39">
        <f>0.95*B230</f>
        <v>0.67746246328481385</v>
      </c>
      <c r="C232" t="s">
        <v>78</v>
      </c>
    </row>
    <row r="233" spans="1:6" x14ac:dyDescent="0.3">
      <c r="B233" s="20"/>
    </row>
    <row r="235" spans="1:6" ht="15.6" x14ac:dyDescent="0.3">
      <c r="C235" s="7" t="s">
        <v>35</v>
      </c>
      <c r="D235" s="19">
        <f>B31</f>
        <v>0</v>
      </c>
      <c r="E235" t="s">
        <v>78</v>
      </c>
      <c r="F235" s="34" t="str">
        <f>IF(B232&gt;D235,"Verifica","No Verifica")</f>
        <v>Verifica</v>
      </c>
    </row>
    <row r="238" spans="1:6" ht="18" x14ac:dyDescent="0.35">
      <c r="A238" s="24" t="s">
        <v>377</v>
      </c>
    </row>
    <row r="239" spans="1:6" ht="18" x14ac:dyDescent="0.35">
      <c r="A239" s="43" t="s">
        <v>382</v>
      </c>
    </row>
    <row r="240" spans="1:6" x14ac:dyDescent="0.3">
      <c r="A240" s="4"/>
    </row>
    <row r="241" spans="1:15" x14ac:dyDescent="0.3">
      <c r="K241" s="7"/>
      <c r="L241" s="7"/>
      <c r="M241" s="7"/>
      <c r="N241" s="7"/>
      <c r="O241" s="7"/>
    </row>
    <row r="242" spans="1:15" x14ac:dyDescent="0.3">
      <c r="B242" s="7"/>
    </row>
    <row r="243" spans="1:15" x14ac:dyDescent="0.3">
      <c r="A243" s="19">
        <f>B32/'Correas Compresion'!C158</f>
        <v>0</v>
      </c>
      <c r="B243" s="19">
        <f>D135/B132</f>
        <v>0.86383419519763638</v>
      </c>
      <c r="C243" s="19">
        <f>D235/B232</f>
        <v>0</v>
      </c>
    </row>
    <row r="244" spans="1:15" ht="15.6" x14ac:dyDescent="0.3">
      <c r="B244" s="19">
        <f>A243+B243+C243</f>
        <v>0.86383419519763638</v>
      </c>
      <c r="D244" s="7" t="s">
        <v>25</v>
      </c>
      <c r="E244" s="7">
        <v>1</v>
      </c>
      <c r="F244" s="34" t="str">
        <f>IF(B244&lt;E244,"Verifica","No Verifica")</f>
        <v>Verifica</v>
      </c>
    </row>
    <row r="246" spans="1:15" ht="5.4" customHeight="1" x14ac:dyDescent="0.3"/>
    <row r="249" spans="1:15" ht="18" x14ac:dyDescent="0.35">
      <c r="A249" s="24" t="s">
        <v>370</v>
      </c>
    </row>
    <row r="250" spans="1:15" x14ac:dyDescent="0.3">
      <c r="B250" s="7">
        <v>2.15</v>
      </c>
      <c r="C250" t="s">
        <v>83</v>
      </c>
    </row>
    <row r="251" spans="1:15" x14ac:dyDescent="0.3">
      <c r="B251" s="7">
        <v>2.15</v>
      </c>
      <c r="C251" t="s">
        <v>83</v>
      </c>
    </row>
    <row r="252" spans="1:15" x14ac:dyDescent="0.3">
      <c r="B252" s="7"/>
    </row>
    <row r="253" spans="1:15" x14ac:dyDescent="0.3">
      <c r="B253" s="7">
        <f>B27*100/200</f>
        <v>2</v>
      </c>
      <c r="C253" t="s">
        <v>5</v>
      </c>
    </row>
    <row r="255" spans="1:15" x14ac:dyDescent="0.3">
      <c r="B255" s="19">
        <f>B27*100/240</f>
        <v>1.6666666666666667</v>
      </c>
      <c r="C255" t="s">
        <v>5</v>
      </c>
    </row>
    <row r="257" spans="1:6" x14ac:dyDescent="0.3">
      <c r="A257" t="s">
        <v>372</v>
      </c>
    </row>
    <row r="259" spans="1:6" ht="15.6" x14ac:dyDescent="0.3">
      <c r="B259" s="9">
        <f>(5/384)*B250*(B27*100)^4/(E*E18*10)</f>
        <v>3.2721517060846805</v>
      </c>
      <c r="C259" t="s">
        <v>371</v>
      </c>
      <c r="D259" s="7">
        <f>B253</f>
        <v>2</v>
      </c>
      <c r="E259" t="s">
        <v>5</v>
      </c>
      <c r="F259" s="34" t="str">
        <f>IF(B259&lt;D259,"Verifica","No Verifica")</f>
        <v>No Verifica</v>
      </c>
    </row>
    <row r="261" spans="1:6" ht="15.6" x14ac:dyDescent="0.3">
      <c r="B261" s="9">
        <f>(5/384)*B251*(B27*100)^4/(E*E18*10)</f>
        <v>3.2721517060846805</v>
      </c>
      <c r="C261" t="s">
        <v>371</v>
      </c>
      <c r="D261" s="19">
        <f>B255</f>
        <v>1.6666666666666667</v>
      </c>
      <c r="E261" t="s">
        <v>5</v>
      </c>
      <c r="F261" s="34" t="str">
        <f>IF(B261&lt;D261,"Verifica","No Verifica")</f>
        <v>No Verifica</v>
      </c>
    </row>
    <row r="263" spans="1:6" x14ac:dyDescent="0.3">
      <c r="D263" s="9"/>
    </row>
    <row r="265" spans="1:6" x14ac:dyDescent="0.3">
      <c r="A265" t="s">
        <v>359</v>
      </c>
    </row>
    <row r="267" spans="1:6" x14ac:dyDescent="0.3">
      <c r="A267" t="s">
        <v>360</v>
      </c>
      <c r="B267">
        <v>2</v>
      </c>
      <c r="C267" t="s">
        <v>5</v>
      </c>
      <c r="E267" t="s">
        <v>361</v>
      </c>
    </row>
    <row r="268" spans="1:6" x14ac:dyDescent="0.3">
      <c r="A268" t="s">
        <v>44</v>
      </c>
      <c r="B268">
        <f>h/t</f>
        <v>56</v>
      </c>
      <c r="C268" t="s">
        <v>25</v>
      </c>
      <c r="D268">
        <v>200</v>
      </c>
    </row>
    <row r="269" spans="1:6" x14ac:dyDescent="0.3">
      <c r="A269" t="s">
        <v>362</v>
      </c>
      <c r="B269">
        <f>B267*10/t</f>
        <v>10</v>
      </c>
      <c r="C269" t="s">
        <v>25</v>
      </c>
      <c r="D269">
        <v>210</v>
      </c>
    </row>
    <row r="270" spans="1:6" x14ac:dyDescent="0.3">
      <c r="A270" t="s">
        <v>363</v>
      </c>
      <c r="B270">
        <f>B267*10/h</f>
        <v>0.17857142857142858</v>
      </c>
      <c r="C270" t="s">
        <v>25</v>
      </c>
      <c r="D270">
        <v>2</v>
      </c>
    </row>
    <row r="271" spans="1:6" x14ac:dyDescent="0.3">
      <c r="A271" t="s">
        <v>364</v>
      </c>
      <c r="B271">
        <v>90</v>
      </c>
    </row>
    <row r="273" spans="1:4" x14ac:dyDescent="0.3">
      <c r="A273" t="s">
        <v>0</v>
      </c>
      <c r="B273">
        <v>4</v>
      </c>
    </row>
    <row r="274" spans="1:4" x14ac:dyDescent="0.3">
      <c r="A274" t="s">
        <v>365</v>
      </c>
      <c r="B274">
        <v>0.14000000000000001</v>
      </c>
    </row>
    <row r="275" spans="1:4" x14ac:dyDescent="0.3">
      <c r="A275" t="s">
        <v>366</v>
      </c>
      <c r="B275">
        <v>0.35</v>
      </c>
    </row>
    <row r="276" spans="1:4" x14ac:dyDescent="0.3">
      <c r="A276" t="s">
        <v>367</v>
      </c>
      <c r="B276">
        <v>0.02</v>
      </c>
    </row>
    <row r="277" spans="1:4" x14ac:dyDescent="0.3">
      <c r="A277" t="s">
        <v>368</v>
      </c>
      <c r="B277">
        <v>0.85</v>
      </c>
    </row>
    <row r="279" spans="1:4" x14ac:dyDescent="0.3">
      <c r="A279" t="s">
        <v>12</v>
      </c>
      <c r="B279">
        <f>B273*(t/10)^2*fy*SIN(RADIANS(B271))*(1-B274)*(1+B275*SQRT(B269))*(1-B276*SQRT(B268))*0.1</f>
        <v>5.7929318352116113</v>
      </c>
    </row>
    <row r="280" spans="1:4" x14ac:dyDescent="0.3">
      <c r="A280" t="s">
        <v>11</v>
      </c>
      <c r="B280">
        <f>B277*B279</f>
        <v>4.9239920599298692</v>
      </c>
    </row>
    <row r="283" spans="1:4" x14ac:dyDescent="0.3">
      <c r="A283" t="s">
        <v>369</v>
      </c>
      <c r="B283">
        <v>9</v>
      </c>
    </row>
    <row r="284" spans="1:4" x14ac:dyDescent="0.3">
      <c r="B284">
        <f>1.07*B283/B280+B243</f>
        <v>2.8195644000382099</v>
      </c>
      <c r="C284" t="s">
        <v>25</v>
      </c>
      <c r="D284">
        <v>1.42</v>
      </c>
    </row>
  </sheetData>
  <mergeCells count="5">
    <mergeCell ref="B2:C2"/>
    <mergeCell ref="C135:C136"/>
    <mergeCell ref="D135:D136"/>
    <mergeCell ref="E135:E136"/>
    <mergeCell ref="F135:F136"/>
  </mergeCells>
  <conditionalFormatting sqref="G36 G38 G40 F135 F151 F158 G174 G176 F235 F244 F259 F261">
    <cfRule type="cellIs" dxfId="1" priority="1" operator="equal">
      <formula>$N$1</formula>
    </cfRule>
    <cfRule type="cellIs" dxfId="0" priority="2" operator="equal">
      <formula>#REF!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6A3615D-422B-4E98-B6B4-7D4FB223EBDB}">
          <x14:formula1>
            <xm:f>'Perf C Ternium'!$A$6:$A$42</xm:f>
          </x14:formula1>
          <xm:sqref>B2:C2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7BC3E-32B7-43BE-9FC9-48C2A2E590ED}">
  <dimension ref="A1:Q284"/>
  <sheetViews>
    <sheetView showGridLines="0" topLeftCell="A6" zoomScaleNormal="100" workbookViewId="0">
      <selection activeCell="B123" sqref="B123"/>
    </sheetView>
  </sheetViews>
  <sheetFormatPr baseColWidth="10" defaultRowHeight="14.4" x14ac:dyDescent="0.3"/>
  <cols>
    <col min="1" max="1" width="11.5546875" customWidth="1"/>
    <col min="4" max="4" width="11.5546875" customWidth="1"/>
    <col min="7" max="7" width="10.44140625" customWidth="1"/>
    <col min="8" max="9" width="7.6640625" customWidth="1"/>
  </cols>
  <sheetData>
    <row r="1" spans="1:16" ht="18" x14ac:dyDescent="0.35">
      <c r="A1" s="5" t="s">
        <v>4</v>
      </c>
      <c r="N1" t="s">
        <v>27</v>
      </c>
    </row>
    <row r="2" spans="1:16" ht="15.6" x14ac:dyDescent="0.3">
      <c r="A2" s="2" t="s">
        <v>21</v>
      </c>
      <c r="B2" s="51" t="s">
        <v>458</v>
      </c>
      <c r="C2" s="51"/>
    </row>
    <row r="3" spans="1:16" ht="18" x14ac:dyDescent="0.35">
      <c r="A3" s="5"/>
      <c r="N3" t="s">
        <v>7</v>
      </c>
      <c r="O3">
        <v>200000</v>
      </c>
      <c r="P3" t="s">
        <v>22</v>
      </c>
    </row>
    <row r="4" spans="1:16" ht="18" x14ac:dyDescent="0.35">
      <c r="A4" s="5"/>
      <c r="N4" t="s">
        <v>31</v>
      </c>
      <c r="O4">
        <v>0.3</v>
      </c>
    </row>
    <row r="5" spans="1:16" ht="18" x14ac:dyDescent="0.35">
      <c r="A5" s="5"/>
    </row>
    <row r="6" spans="1:16" ht="18" x14ac:dyDescent="0.35">
      <c r="A6" s="5"/>
    </row>
    <row r="7" spans="1:16" ht="18" x14ac:dyDescent="0.35">
      <c r="A7" s="5"/>
    </row>
    <row r="8" spans="1:16" ht="18" x14ac:dyDescent="0.35">
      <c r="A8" s="5"/>
    </row>
    <row r="9" spans="1:16" ht="18" x14ac:dyDescent="0.35">
      <c r="A9" s="5"/>
    </row>
    <row r="10" spans="1:16" ht="18" x14ac:dyDescent="0.35">
      <c r="A10" s="5"/>
      <c r="G10" s="10"/>
    </row>
    <row r="11" spans="1:16" ht="18" x14ac:dyDescent="0.35">
      <c r="A11" s="5"/>
    </row>
    <row r="12" spans="1:16" ht="18" x14ac:dyDescent="0.35">
      <c r="A12" s="5"/>
    </row>
    <row r="13" spans="1:16" ht="18" x14ac:dyDescent="0.35">
      <c r="A13" s="5"/>
    </row>
    <row r="14" spans="1:16" ht="18" x14ac:dyDescent="0.35">
      <c r="A14" s="5"/>
    </row>
    <row r="16" spans="1:16" x14ac:dyDescent="0.3">
      <c r="A16" s="1" t="s">
        <v>45</v>
      </c>
      <c r="B16" s="1" t="str">
        <f>VLOOKUP($B$2,CTernium,2,FALSE)</f>
        <v>120</v>
      </c>
      <c r="C16" t="s">
        <v>13</v>
      </c>
      <c r="D16" s="1" t="s">
        <v>353</v>
      </c>
      <c r="E16" s="1">
        <f>VLOOKUP($B$2,CTernium,7,FALSE)</f>
        <v>3.77</v>
      </c>
      <c r="F16" t="s">
        <v>132</v>
      </c>
    </row>
    <row r="17" spans="1:11" x14ac:dyDescent="0.3">
      <c r="A17" s="1" t="s">
        <v>46</v>
      </c>
      <c r="B17" s="1" t="str">
        <f>VLOOKUP($B$2,CTernium,3,FALSE)</f>
        <v>50</v>
      </c>
      <c r="C17" t="s">
        <v>13</v>
      </c>
      <c r="D17" s="1" t="s">
        <v>54</v>
      </c>
      <c r="E17" s="1">
        <f>VLOOKUP($B$2,CTernium,8,FALSE)</f>
        <v>4.68</v>
      </c>
      <c r="F17" t="s">
        <v>23</v>
      </c>
    </row>
    <row r="18" spans="1:11" ht="16.2" x14ac:dyDescent="0.3">
      <c r="A18" s="1" t="s">
        <v>47</v>
      </c>
      <c r="B18" s="1" t="str">
        <f>VLOOKUP($B$2,CTernium,4,FALSE)</f>
        <v>15</v>
      </c>
      <c r="C18" t="s">
        <v>13</v>
      </c>
      <c r="D18" s="1" t="s">
        <v>55</v>
      </c>
      <c r="E18" s="1">
        <f>VLOOKUP($B$2,CTernium,10,FALSE)</f>
        <v>109.51</v>
      </c>
      <c r="F18" s="6" t="s">
        <v>65</v>
      </c>
    </row>
    <row r="19" spans="1:11" ht="16.2" x14ac:dyDescent="0.3">
      <c r="A19" s="1" t="s">
        <v>48</v>
      </c>
      <c r="B19" s="1" t="str">
        <f>VLOOKUP($B$2,CTernium,5,FALSE)</f>
        <v>2</v>
      </c>
      <c r="C19" t="s">
        <v>13</v>
      </c>
      <c r="D19" s="1" t="s">
        <v>56</v>
      </c>
      <c r="E19" s="1">
        <f>VLOOKUP($B$2,CTernium,14,FALSE)</f>
        <v>16.68</v>
      </c>
      <c r="F19" s="6" t="s">
        <v>65</v>
      </c>
      <c r="I19" s="1" t="s">
        <v>61</v>
      </c>
      <c r="J19" s="1">
        <v>0.18</v>
      </c>
      <c r="K19" s="6" t="s">
        <v>65</v>
      </c>
    </row>
    <row r="20" spans="1:11" ht="16.2" x14ac:dyDescent="0.3">
      <c r="A20" s="1" t="s">
        <v>49</v>
      </c>
      <c r="B20" s="1">
        <v>235</v>
      </c>
      <c r="C20" t="s">
        <v>22</v>
      </c>
      <c r="D20" s="1" t="s">
        <v>57</v>
      </c>
      <c r="E20" s="1">
        <f>VLOOKUP($B$2,CTernium,11,FALSE)</f>
        <v>4.84</v>
      </c>
      <c r="F20" s="6" t="s">
        <v>5</v>
      </c>
      <c r="I20" s="1" t="s">
        <v>62</v>
      </c>
      <c r="J20" s="1">
        <v>4486</v>
      </c>
      <c r="K20" s="6" t="s">
        <v>67</v>
      </c>
    </row>
    <row r="21" spans="1:11" x14ac:dyDescent="0.3">
      <c r="A21" s="1" t="s">
        <v>50</v>
      </c>
      <c r="B21" s="1">
        <v>370</v>
      </c>
      <c r="C21" t="s">
        <v>22</v>
      </c>
      <c r="D21" s="1" t="s">
        <v>58</v>
      </c>
      <c r="E21" s="1">
        <f>VLOOKUP($B$2,CTernium,15,FALSE)</f>
        <v>1.89</v>
      </c>
      <c r="F21" s="6" t="s">
        <v>5</v>
      </c>
      <c r="I21" s="1" t="s">
        <v>63</v>
      </c>
      <c r="J21" s="1">
        <v>5.47</v>
      </c>
      <c r="K21" s="6" t="s">
        <v>5</v>
      </c>
    </row>
    <row r="22" spans="1:11" ht="16.2" x14ac:dyDescent="0.3">
      <c r="A22" s="7"/>
      <c r="B22" s="7"/>
      <c r="D22" s="1" t="s">
        <v>59</v>
      </c>
      <c r="E22" s="1">
        <f>VLOOKUP($B$2,CTernium,9,FALSE)</f>
        <v>18.25</v>
      </c>
      <c r="F22" s="6" t="s">
        <v>66</v>
      </c>
    </row>
    <row r="23" spans="1:11" ht="16.2" x14ac:dyDescent="0.3">
      <c r="A23" s="1" t="s">
        <v>51</v>
      </c>
      <c r="B23" s="1">
        <f>B16-2*2*$B$19</f>
        <v>112</v>
      </c>
      <c r="C23" t="s">
        <v>13</v>
      </c>
      <c r="D23" s="1" t="s">
        <v>60</v>
      </c>
      <c r="E23" s="1">
        <f>VLOOKUP($B$2,CTernium,13,FALSE)</f>
        <v>4.92</v>
      </c>
      <c r="F23" s="6" t="s">
        <v>66</v>
      </c>
    </row>
    <row r="24" spans="1:11" x14ac:dyDescent="0.3">
      <c r="A24" s="1" t="s">
        <v>52</v>
      </c>
      <c r="B24" s="1">
        <f t="shared" ref="B24" si="0">B17-2*2*$B$19</f>
        <v>42</v>
      </c>
      <c r="C24" t="s">
        <v>13</v>
      </c>
      <c r="D24" s="1" t="s">
        <v>64</v>
      </c>
      <c r="E24" s="1">
        <f>VLOOKUP($B$2,CTernium,12,FALSE)</f>
        <v>1.61</v>
      </c>
      <c r="F24" s="6" t="s">
        <v>5</v>
      </c>
    </row>
    <row r="25" spans="1:11" x14ac:dyDescent="0.3">
      <c r="A25" s="1" t="s">
        <v>53</v>
      </c>
      <c r="B25" s="1">
        <f>B18-2*$B$19</f>
        <v>11</v>
      </c>
      <c r="C25" t="s">
        <v>13</v>
      </c>
    </row>
    <row r="27" spans="1:11" x14ac:dyDescent="0.3">
      <c r="A27" s="1" t="s">
        <v>68</v>
      </c>
      <c r="B27" s="1">
        <v>4</v>
      </c>
      <c r="C27" t="s">
        <v>2</v>
      </c>
      <c r="K27">
        <f>(B30/K30)^2+(B31/K31)^2</f>
        <v>0.86614688006723251</v>
      </c>
    </row>
    <row r="29" spans="1:11" ht="15.6" x14ac:dyDescent="0.3">
      <c r="A29" s="23" t="s">
        <v>105</v>
      </c>
      <c r="B29" s="7"/>
    </row>
    <row r="30" spans="1:11" x14ac:dyDescent="0.3">
      <c r="A30" s="7" t="s">
        <v>354</v>
      </c>
      <c r="B30" s="7">
        <v>3.18</v>
      </c>
      <c r="C30" t="s">
        <v>78</v>
      </c>
      <c r="D30" s="7" t="s">
        <v>357</v>
      </c>
      <c r="E30" s="7">
        <v>3.8860000000000001</v>
      </c>
      <c r="F30" s="6" t="s">
        <v>3</v>
      </c>
      <c r="J30" t="s">
        <v>373</v>
      </c>
      <c r="K30" s="9">
        <f>B132</f>
        <v>3.4168927500000006</v>
      </c>
    </row>
    <row r="31" spans="1:11" x14ac:dyDescent="0.3">
      <c r="A31" s="7" t="s">
        <v>355</v>
      </c>
      <c r="B31" s="7">
        <v>0</v>
      </c>
      <c r="C31" t="s">
        <v>78</v>
      </c>
      <c r="D31" s="7" t="s">
        <v>358</v>
      </c>
      <c r="E31" s="7">
        <v>0</v>
      </c>
      <c r="F31" s="6" t="s">
        <v>3</v>
      </c>
      <c r="J31" t="s">
        <v>374</v>
      </c>
      <c r="K31" s="9">
        <f>B232</f>
        <v>0.67746246328481385</v>
      </c>
    </row>
    <row r="32" spans="1:11" x14ac:dyDescent="0.3">
      <c r="A32" s="7" t="s">
        <v>356</v>
      </c>
      <c r="B32" s="7">
        <v>0</v>
      </c>
      <c r="C32" t="s">
        <v>15</v>
      </c>
      <c r="J32" t="s">
        <v>375</v>
      </c>
      <c r="K32" s="9">
        <f>B149</f>
        <v>30.004799999999999</v>
      </c>
    </row>
    <row r="33" spans="1:11" x14ac:dyDescent="0.3">
      <c r="A33" s="7"/>
      <c r="J33" t="s">
        <v>379</v>
      </c>
      <c r="K33" s="8">
        <f>B244</f>
        <v>0.93067012419397699</v>
      </c>
    </row>
    <row r="34" spans="1:11" ht="18" x14ac:dyDescent="0.35">
      <c r="A34" s="24" t="s">
        <v>84</v>
      </c>
      <c r="J34" t="s">
        <v>380</v>
      </c>
      <c r="K34" s="9">
        <f>C158</f>
        <v>0.88292039655699817</v>
      </c>
    </row>
    <row r="35" spans="1:11" ht="15.6" x14ac:dyDescent="0.3">
      <c r="A35" s="23" t="s">
        <v>24</v>
      </c>
    </row>
    <row r="36" spans="1:11" ht="15.6" x14ac:dyDescent="0.3">
      <c r="A36" s="4" t="s">
        <v>72</v>
      </c>
      <c r="B36" s="12" t="s">
        <v>69</v>
      </c>
      <c r="C36">
        <f>b/t</f>
        <v>21</v>
      </c>
      <c r="D36" s="7" t="s">
        <v>25</v>
      </c>
      <c r="E36" s="6">
        <v>60</v>
      </c>
      <c r="G36" s="3" t="str">
        <f>IF(C36&lt;E36,"Verifica","No Verifica")</f>
        <v>Verifica</v>
      </c>
    </row>
    <row r="37" spans="1:11" x14ac:dyDescent="0.3">
      <c r="B37" s="12"/>
      <c r="D37" s="7"/>
      <c r="E37" s="6"/>
    </row>
    <row r="38" spans="1:11" ht="15.6" x14ac:dyDescent="0.3">
      <c r="A38" s="4" t="s">
        <v>73</v>
      </c>
      <c r="B38" s="12" t="s">
        <v>70</v>
      </c>
      <c r="C38">
        <f>d/t</f>
        <v>5.5</v>
      </c>
      <c r="D38" s="7" t="s">
        <v>25</v>
      </c>
      <c r="E38" s="6">
        <v>60</v>
      </c>
      <c r="G38" s="3" t="str">
        <f t="shared" ref="G38:G40" si="1">IF(C38&lt;E38,"Verifica","No Verifica")</f>
        <v>Verifica</v>
      </c>
    </row>
    <row r="39" spans="1:11" x14ac:dyDescent="0.3">
      <c r="B39" s="12"/>
      <c r="D39" s="7"/>
      <c r="E39" s="6"/>
    </row>
    <row r="40" spans="1:11" ht="15.6" x14ac:dyDescent="0.3">
      <c r="A40" s="4" t="s">
        <v>74</v>
      </c>
      <c r="B40" s="12" t="s">
        <v>71</v>
      </c>
      <c r="C40">
        <f>h/t</f>
        <v>56</v>
      </c>
      <c r="D40" s="7" t="s">
        <v>25</v>
      </c>
      <c r="E40" s="6">
        <v>200</v>
      </c>
      <c r="G40" s="3" t="str">
        <f t="shared" si="1"/>
        <v>Verifica</v>
      </c>
    </row>
    <row r="43" spans="1:11" ht="15.6" x14ac:dyDescent="0.3">
      <c r="A43" s="23" t="s">
        <v>29</v>
      </c>
    </row>
    <row r="44" spans="1:11" x14ac:dyDescent="0.3">
      <c r="A44" s="4" t="s">
        <v>30</v>
      </c>
    </row>
    <row r="45" spans="1:11" x14ac:dyDescent="0.3">
      <c r="A45" s="7" t="s">
        <v>75</v>
      </c>
      <c r="B45" s="7">
        <f>fy</f>
        <v>235</v>
      </c>
      <c r="C45" t="s">
        <v>22</v>
      </c>
    </row>
    <row r="46" spans="1:11" x14ac:dyDescent="0.3">
      <c r="A46" s="7" t="s">
        <v>76</v>
      </c>
      <c r="B46" s="7">
        <v>0.43</v>
      </c>
    </row>
    <row r="48" spans="1:11" x14ac:dyDescent="0.3">
      <c r="C48" s="9">
        <f>B46*PI()^2*E*(t/d)^2/(12*(1-u^2))</f>
        <v>2569.5092134946412</v>
      </c>
      <c r="D48" t="s">
        <v>22</v>
      </c>
    </row>
    <row r="51" spans="1:9" x14ac:dyDescent="0.3">
      <c r="B51" s="8">
        <f>SQRT(B45/C48)</f>
        <v>0.30241883879993625</v>
      </c>
      <c r="C51" s="7" t="s">
        <v>25</v>
      </c>
      <c r="D51">
        <v>0.67300000000000004</v>
      </c>
      <c r="I51" t="str">
        <f>IF(B51&gt;D51,"OJO","")</f>
        <v/>
      </c>
    </row>
    <row r="53" spans="1:9" x14ac:dyDescent="0.3">
      <c r="A53" s="11" t="s">
        <v>32</v>
      </c>
    </row>
    <row r="55" spans="1:9" x14ac:dyDescent="0.3">
      <c r="A55" s="4" t="s">
        <v>33</v>
      </c>
    </row>
    <row r="57" spans="1:9" x14ac:dyDescent="0.3">
      <c r="A57" s="4" t="s">
        <v>34</v>
      </c>
    </row>
    <row r="58" spans="1:9" x14ac:dyDescent="0.3">
      <c r="A58" s="7" t="s">
        <v>75</v>
      </c>
      <c r="B58" s="7">
        <f>fy</f>
        <v>235</v>
      </c>
      <c r="C58" t="s">
        <v>22</v>
      </c>
    </row>
    <row r="60" spans="1:9" x14ac:dyDescent="0.3">
      <c r="B60" s="9">
        <f>1.28*SQRT(E/B58)</f>
        <v>37.341437823461007</v>
      </c>
    </row>
    <row r="62" spans="1:9" x14ac:dyDescent="0.3">
      <c r="A62" s="7" t="s">
        <v>69</v>
      </c>
      <c r="B62">
        <f>b/t</f>
        <v>21</v>
      </c>
      <c r="C62" s="7" t="s">
        <v>35</v>
      </c>
      <c r="D62" s="10" t="s">
        <v>36</v>
      </c>
      <c r="I62" t="str">
        <f>IF(B62&lt;12.25,"OJO","")</f>
        <v/>
      </c>
    </row>
    <row r="64" spans="1:9" ht="16.2" x14ac:dyDescent="0.3">
      <c r="B64" s="8">
        <f>t*d^3/12/10^4</f>
        <v>2.2183333333333333E-2</v>
      </c>
      <c r="C64" s="6" t="s">
        <v>65</v>
      </c>
    </row>
    <row r="66" spans="1:7" ht="16.2" x14ac:dyDescent="0.3">
      <c r="C66" s="8">
        <f>399*t^4*(b/t/B60-0.328)^3/10^4</f>
        <v>8.2194535565420258E-3</v>
      </c>
      <c r="D66" s="6" t="s">
        <v>65</v>
      </c>
    </row>
    <row r="69" spans="1:7" ht="16.2" x14ac:dyDescent="0.3">
      <c r="C69" s="25">
        <f>t^4*(115*b/t/B60+5)/10^4</f>
        <v>0.11147753662480325</v>
      </c>
      <c r="D69" s="6" t="s">
        <v>65</v>
      </c>
    </row>
    <row r="71" spans="1:7" ht="16.2" x14ac:dyDescent="0.3">
      <c r="C71" s="25">
        <f>MIN(C66,C69)</f>
        <v>8.2194535565420258E-3</v>
      </c>
      <c r="D71" s="6" t="s">
        <v>65</v>
      </c>
    </row>
    <row r="73" spans="1:7" x14ac:dyDescent="0.3">
      <c r="B73" s="9">
        <f>B64/C71</f>
        <v>2.6988817663769362</v>
      </c>
      <c r="C73" s="7" t="s">
        <v>35</v>
      </c>
      <c r="D73" s="14">
        <v>1</v>
      </c>
      <c r="F73" s="6">
        <v>1</v>
      </c>
    </row>
    <row r="75" spans="1:7" x14ac:dyDescent="0.3">
      <c r="C75" s="25">
        <f>0.582-b/t/4/B60</f>
        <v>0.4414055208902129</v>
      </c>
      <c r="D75" s="7" t="s">
        <v>35</v>
      </c>
      <c r="E75" s="6">
        <v>0.33</v>
      </c>
      <c r="G75" s="15">
        <f>MAX(C75,E75)</f>
        <v>0.4414055208902129</v>
      </c>
    </row>
    <row r="77" spans="1:7" x14ac:dyDescent="0.3">
      <c r="A77" s="16">
        <v>0.25</v>
      </c>
      <c r="B77" s="7" t="s">
        <v>25</v>
      </c>
      <c r="C77" s="12" t="s">
        <v>77</v>
      </c>
      <c r="D77" s="15">
        <f>B18/b</f>
        <v>0.35714285714285715</v>
      </c>
      <c r="E77" s="7" t="s">
        <v>25</v>
      </c>
      <c r="F77" s="6">
        <v>0.8</v>
      </c>
    </row>
    <row r="79" spans="1:7" x14ac:dyDescent="0.3">
      <c r="D79" s="9">
        <f>(4.82-5*D77)*F73^C75+0.43</f>
        <v>3.4642857142857149</v>
      </c>
      <c r="E79" s="7" t="s">
        <v>25</v>
      </c>
      <c r="F79" s="6">
        <v>4</v>
      </c>
    </row>
    <row r="82" spans="1:9" x14ac:dyDescent="0.3">
      <c r="C82" s="9">
        <f>D79*PI()^2*E*(t/b)^2/(12*(1-u^2))</f>
        <v>1419.9799628028736</v>
      </c>
      <c r="D82" t="s">
        <v>22</v>
      </c>
    </row>
    <row r="85" spans="1:9" x14ac:dyDescent="0.3">
      <c r="B85" s="9">
        <f>SQRT(B45/C82)</f>
        <v>0.40681112693887095</v>
      </c>
      <c r="C85" s="7" t="s">
        <v>25</v>
      </c>
      <c r="D85" s="6">
        <v>0.67300000000000004</v>
      </c>
      <c r="I85" t="str">
        <f>IF(B85&gt;D85,"OJO","")</f>
        <v/>
      </c>
    </row>
    <row r="88" spans="1:9" x14ac:dyDescent="0.3">
      <c r="A88" s="11" t="s">
        <v>32</v>
      </c>
    </row>
    <row r="90" spans="1:9" x14ac:dyDescent="0.3">
      <c r="A90" s="4" t="s">
        <v>37</v>
      </c>
    </row>
    <row r="92" spans="1:9" x14ac:dyDescent="0.3">
      <c r="C92" s="7">
        <v>1</v>
      </c>
    </row>
    <row r="95" spans="1:9" x14ac:dyDescent="0.3">
      <c r="D95" s="6">
        <f>4+2*(1+C92)^3+2*(1+C92)</f>
        <v>24</v>
      </c>
    </row>
    <row r="98" spans="1:4" x14ac:dyDescent="0.3">
      <c r="B98" s="9">
        <f>fy*h/B16</f>
        <v>219.33333333333334</v>
      </c>
      <c r="C98" t="s">
        <v>22</v>
      </c>
    </row>
    <row r="101" spans="1:4" x14ac:dyDescent="0.3">
      <c r="C101" s="9">
        <f>D95*PI()^2*E*(t/h)^2/(12*(1-u^2))</f>
        <v>1383.3825410811503</v>
      </c>
      <c r="D101" t="s">
        <v>22</v>
      </c>
    </row>
    <row r="104" spans="1:4" x14ac:dyDescent="0.3">
      <c r="B104" s="8">
        <f>SQRT(B98/C101)</f>
        <v>0.39818158797055342</v>
      </c>
      <c r="C104" s="7" t="s">
        <v>25</v>
      </c>
      <c r="D104" s="6">
        <v>0.67300000000000004</v>
      </c>
    </row>
    <row r="107" spans="1:4" x14ac:dyDescent="0.3">
      <c r="A107" s="11" t="s">
        <v>32</v>
      </c>
    </row>
    <row r="109" spans="1:4" x14ac:dyDescent="0.3">
      <c r="A109" s="4" t="s">
        <v>38</v>
      </c>
    </row>
    <row r="111" spans="1:4" ht="15.6" x14ac:dyDescent="0.3">
      <c r="A111" s="2" t="s">
        <v>39</v>
      </c>
    </row>
    <row r="112" spans="1:4" x14ac:dyDescent="0.3">
      <c r="A112" s="11"/>
    </row>
    <row r="114" spans="1:17" ht="15.6" x14ac:dyDescent="0.3">
      <c r="A114" s="23" t="s">
        <v>40</v>
      </c>
    </row>
    <row r="115" spans="1:17" x14ac:dyDescent="0.3">
      <c r="A115" s="17" t="s">
        <v>41</v>
      </c>
    </row>
    <row r="116" spans="1:17" x14ac:dyDescent="0.3">
      <c r="B116" s="9">
        <f>E22*fy*10^-3</f>
        <v>4.2887500000000003</v>
      </c>
      <c r="C116" t="s">
        <v>78</v>
      </c>
    </row>
    <row r="117" spans="1:17" x14ac:dyDescent="0.3">
      <c r="C117" s="9"/>
    </row>
    <row r="118" spans="1:17" x14ac:dyDescent="0.3">
      <c r="B118" s="39">
        <f>0.95*B116</f>
        <v>4.0743125000000004</v>
      </c>
      <c r="C118" t="s">
        <v>78</v>
      </c>
    </row>
    <row r="119" spans="1:17" x14ac:dyDescent="0.3">
      <c r="B119" s="20"/>
    </row>
    <row r="120" spans="1:17" x14ac:dyDescent="0.3">
      <c r="A120" s="17" t="s">
        <v>42</v>
      </c>
    </row>
    <row r="121" spans="1:17" x14ac:dyDescent="0.3">
      <c r="A121" s="7" t="s">
        <v>79</v>
      </c>
      <c r="B121" s="7">
        <v>300</v>
      </c>
      <c r="C121" t="s">
        <v>5</v>
      </c>
    </row>
    <row r="122" spans="1:17" x14ac:dyDescent="0.3">
      <c r="A122" s="7" t="s">
        <v>80</v>
      </c>
      <c r="B122" s="7">
        <v>2.67</v>
      </c>
    </row>
    <row r="123" spans="1:17" x14ac:dyDescent="0.3">
      <c r="A123" s="7" t="s">
        <v>81</v>
      </c>
      <c r="B123" s="7">
        <v>1</v>
      </c>
    </row>
    <row r="125" spans="1:17" x14ac:dyDescent="0.3">
      <c r="C125" s="19">
        <f>B122*PI()^2*E*B16*E19*0.5*0.1/(E22*(B121*B123)^2)</f>
        <v>321.13150960011336</v>
      </c>
      <c r="D125" t="s">
        <v>22</v>
      </c>
      <c r="E125" s="21" t="s">
        <v>383</v>
      </c>
      <c r="F125" s="7">
        <f>2.78*fy</f>
        <v>653.29999999999995</v>
      </c>
      <c r="G125" t="s">
        <v>22</v>
      </c>
    </row>
    <row r="126" spans="1:17" x14ac:dyDescent="0.3">
      <c r="P126" t="s">
        <v>512</v>
      </c>
      <c r="Q126">
        <v>1.4219999999999999</v>
      </c>
    </row>
    <row r="127" spans="1:17" x14ac:dyDescent="0.3">
      <c r="P127" t="s">
        <v>513</v>
      </c>
      <c r="Q127">
        <v>0.16700000000000001</v>
      </c>
    </row>
    <row r="128" spans="1:17" x14ac:dyDescent="0.3">
      <c r="A128" s="7"/>
      <c r="C128" s="7">
        <f>ROUND(10/9*fy*(1-10*fy/(36*C125)),2)</f>
        <v>208.03</v>
      </c>
      <c r="D128" t="s">
        <v>22</v>
      </c>
      <c r="P128" t="s">
        <v>514</v>
      </c>
      <c r="Q128">
        <v>0.65800000000000003</v>
      </c>
    </row>
    <row r="129" spans="1:17" x14ac:dyDescent="0.3">
      <c r="P129" t="s">
        <v>515</v>
      </c>
      <c r="Q129">
        <v>3.1829999999999998</v>
      </c>
    </row>
    <row r="130" spans="1:17" x14ac:dyDescent="0.3">
      <c r="B130" s="9">
        <f>E22*C128*10^-3</f>
        <v>3.7965475000000004</v>
      </c>
      <c r="C130" t="s">
        <v>78</v>
      </c>
    </row>
    <row r="131" spans="1:17" x14ac:dyDescent="0.3">
      <c r="C131" s="9"/>
    </row>
    <row r="132" spans="1:17" x14ac:dyDescent="0.3">
      <c r="B132" s="22">
        <f>0.9*B130</f>
        <v>3.4168927500000006</v>
      </c>
      <c r="C132" t="s">
        <v>78</v>
      </c>
      <c r="P132">
        <f>12.5*Q129/(2.5*Q129+3*Q126+4*Q127+3*Q128)</f>
        <v>2.6764992768490798</v>
      </c>
    </row>
    <row r="134" spans="1:17" x14ac:dyDescent="0.3">
      <c r="A134" s="11" t="s">
        <v>40</v>
      </c>
    </row>
    <row r="135" spans="1:17" ht="15.6" customHeight="1" x14ac:dyDescent="0.3">
      <c r="A135" s="11"/>
      <c r="C135" s="52" t="s">
        <v>35</v>
      </c>
      <c r="D135" s="53">
        <f>B30</f>
        <v>3.18</v>
      </c>
      <c r="E135" s="54" t="s">
        <v>78</v>
      </c>
      <c r="F135" s="50" t="str">
        <f>IF(B132&gt;D135,"Verifica","No Verifica")</f>
        <v>Verifica</v>
      </c>
    </row>
    <row r="136" spans="1:17" x14ac:dyDescent="0.3">
      <c r="C136" s="52"/>
      <c r="D136" s="53"/>
      <c r="E136" s="54"/>
      <c r="F136" s="50"/>
    </row>
    <row r="137" spans="1:17" x14ac:dyDescent="0.3">
      <c r="A137" s="17" t="s">
        <v>43</v>
      </c>
    </row>
    <row r="138" spans="1:17" x14ac:dyDescent="0.3">
      <c r="A138" s="7" t="s">
        <v>82</v>
      </c>
      <c r="B138" s="7">
        <v>5.34</v>
      </c>
    </row>
    <row r="140" spans="1:17" x14ac:dyDescent="0.3">
      <c r="A140" s="7" t="s">
        <v>44</v>
      </c>
      <c r="B140" s="7" t="s">
        <v>25</v>
      </c>
      <c r="C140" s="7"/>
      <c r="H140" s="7" t="s">
        <v>25</v>
      </c>
    </row>
    <row r="141" spans="1:17" x14ac:dyDescent="0.3">
      <c r="A141" s="19">
        <f>h/t</f>
        <v>56</v>
      </c>
      <c r="B141" s="19"/>
      <c r="C141" s="19">
        <f>SQRT(E*B138/fy)</f>
        <v>67.414248130968801</v>
      </c>
      <c r="G141" s="19"/>
      <c r="I141" s="19">
        <f>C141*1.51</f>
        <v>101.7955146777629</v>
      </c>
    </row>
    <row r="144" spans="1:17" x14ac:dyDescent="0.3">
      <c r="B144" s="44">
        <f>0.6*fy</f>
        <v>141</v>
      </c>
      <c r="C144" t="s">
        <v>22</v>
      </c>
      <c r="J144" s="9">
        <f>0.6*SQRT(E*B138*fy)/A141</f>
        <v>169.73944618690356</v>
      </c>
    </row>
    <row r="145" spans="1:6" x14ac:dyDescent="0.3">
      <c r="C145" s="9"/>
    </row>
    <row r="146" spans="1:6" x14ac:dyDescent="0.3">
      <c r="C146" s="9"/>
    </row>
    <row r="147" spans="1:6" x14ac:dyDescent="0.3">
      <c r="C147" s="9">
        <f>h*t*B144*10^-3</f>
        <v>31.584</v>
      </c>
      <c r="D147" t="s">
        <v>3</v>
      </c>
    </row>
    <row r="148" spans="1:6" x14ac:dyDescent="0.3">
      <c r="C148" s="9"/>
    </row>
    <row r="149" spans="1:6" x14ac:dyDescent="0.3">
      <c r="B149" s="22">
        <f>0.95*C147</f>
        <v>30.004799999999999</v>
      </c>
      <c r="C149" t="s">
        <v>3</v>
      </c>
    </row>
    <row r="151" spans="1:6" ht="14.4" customHeight="1" x14ac:dyDescent="0.3">
      <c r="C151" t="s">
        <v>35</v>
      </c>
      <c r="D151" s="18">
        <f>E30</f>
        <v>3.8860000000000001</v>
      </c>
      <c r="E151" t="s">
        <v>3</v>
      </c>
      <c r="F151" s="34" t="str">
        <f>IF(B149&gt;D151,"Verifica","No Verifica")</f>
        <v>Verifica</v>
      </c>
    </row>
    <row r="152" spans="1:6" ht="14.4" customHeight="1" x14ac:dyDescent="0.3"/>
    <row r="155" spans="1:6" ht="15.6" x14ac:dyDescent="0.3">
      <c r="A155" s="23" t="s">
        <v>376</v>
      </c>
    </row>
    <row r="158" spans="1:6" ht="15.6" x14ac:dyDescent="0.3">
      <c r="C158" s="19">
        <f>(B30/B132)^2+(E30/B149)^2</f>
        <v>0.88292039655699817</v>
      </c>
      <c r="D158" s="7" t="s">
        <v>25</v>
      </c>
      <c r="E158" s="7">
        <v>1</v>
      </c>
      <c r="F158" s="34" t="str">
        <f>IF(C158&lt;E158,"Verifica","No Verifica")</f>
        <v>Verifica</v>
      </c>
    </row>
    <row r="162" spans="1:7" ht="18" x14ac:dyDescent="0.35">
      <c r="A162" s="24" t="s">
        <v>85</v>
      </c>
    </row>
    <row r="163" spans="1:7" ht="18" x14ac:dyDescent="0.35">
      <c r="A163" s="24"/>
    </row>
    <row r="164" spans="1:7" ht="18" x14ac:dyDescent="0.35">
      <c r="A164" s="24"/>
    </row>
    <row r="165" spans="1:7" ht="18" x14ac:dyDescent="0.35">
      <c r="A165" s="24"/>
    </row>
    <row r="166" spans="1:7" ht="18" x14ac:dyDescent="0.35">
      <c r="A166" s="24"/>
    </row>
    <row r="167" spans="1:7" ht="18" x14ac:dyDescent="0.35">
      <c r="A167" s="24"/>
    </row>
    <row r="168" spans="1:7" ht="18" x14ac:dyDescent="0.35">
      <c r="A168" s="24"/>
    </row>
    <row r="169" spans="1:7" ht="18" x14ac:dyDescent="0.35">
      <c r="A169" s="24"/>
    </row>
    <row r="170" spans="1:7" ht="18" x14ac:dyDescent="0.35">
      <c r="A170" s="24"/>
    </row>
    <row r="171" spans="1:7" ht="18" x14ac:dyDescent="0.35">
      <c r="A171" s="24"/>
    </row>
    <row r="172" spans="1:7" ht="18" x14ac:dyDescent="0.35">
      <c r="A172" s="24"/>
    </row>
    <row r="173" spans="1:7" ht="15.6" x14ac:dyDescent="0.3">
      <c r="A173" s="23" t="s">
        <v>24</v>
      </c>
    </row>
    <row r="174" spans="1:7" ht="15.6" x14ac:dyDescent="0.3">
      <c r="A174" s="4" t="s">
        <v>72</v>
      </c>
      <c r="B174" s="12" t="s">
        <v>69</v>
      </c>
      <c r="C174">
        <f>h/t</f>
        <v>56</v>
      </c>
      <c r="D174" s="7" t="s">
        <v>25</v>
      </c>
      <c r="E174" s="6">
        <v>500</v>
      </c>
      <c r="G174" s="3" t="str">
        <f>IF(C174&lt;E174,"Verifica","No Verifica")</f>
        <v>Verifica</v>
      </c>
    </row>
    <row r="176" spans="1:7" ht="15.6" x14ac:dyDescent="0.3">
      <c r="A176" s="4" t="s">
        <v>28</v>
      </c>
      <c r="B176" s="12" t="s">
        <v>71</v>
      </c>
      <c r="C176">
        <f>b/t</f>
        <v>21</v>
      </c>
      <c r="D176" s="7" t="s">
        <v>25</v>
      </c>
      <c r="E176" s="6">
        <v>200</v>
      </c>
      <c r="G176" s="3" t="str">
        <f>IF(C176&lt;E176,"Verifica","No Verifica")</f>
        <v>Verifica</v>
      </c>
    </row>
    <row r="178" spans="1:13" ht="15.6" x14ac:dyDescent="0.3">
      <c r="A178" s="23" t="s">
        <v>29</v>
      </c>
    </row>
    <row r="179" spans="1:13" x14ac:dyDescent="0.3">
      <c r="A179" s="4" t="s">
        <v>96</v>
      </c>
    </row>
    <row r="180" spans="1:13" x14ac:dyDescent="0.3">
      <c r="A180" t="s">
        <v>86</v>
      </c>
    </row>
    <row r="182" spans="1:13" x14ac:dyDescent="0.3">
      <c r="A182" t="s">
        <v>87</v>
      </c>
      <c r="B182">
        <f>E24</f>
        <v>1.61</v>
      </c>
      <c r="C182" t="s">
        <v>5</v>
      </c>
    </row>
    <row r="183" spans="1:13" x14ac:dyDescent="0.3">
      <c r="A183" t="s">
        <v>88</v>
      </c>
      <c r="B183">
        <f>B17*0.1-B182</f>
        <v>3.3899999999999997</v>
      </c>
      <c r="C183" t="s">
        <v>5</v>
      </c>
    </row>
    <row r="184" spans="1:13" x14ac:dyDescent="0.3">
      <c r="A184" t="s">
        <v>89</v>
      </c>
      <c r="B184" s="9">
        <v>159.49</v>
      </c>
      <c r="C184" t="s">
        <v>22</v>
      </c>
      <c r="M184">
        <f>b*0.1-B207</f>
        <v>2.5258511170087425</v>
      </c>
    </row>
    <row r="185" spans="1:13" x14ac:dyDescent="0.3">
      <c r="A185" t="s">
        <v>90</v>
      </c>
      <c r="B185">
        <v>235</v>
      </c>
      <c r="C185" t="s">
        <v>22</v>
      </c>
      <c r="M185" s="9">
        <f>fy*B207/M184</f>
        <v>155.75937348550536</v>
      </c>
    </row>
    <row r="186" spans="1:13" x14ac:dyDescent="0.3">
      <c r="A186" t="s">
        <v>76</v>
      </c>
      <c r="B186">
        <v>4</v>
      </c>
    </row>
    <row r="188" spans="1:13" x14ac:dyDescent="0.3">
      <c r="C188" s="9">
        <f>B186*PI()^2*E*(t/h)^2/(12*(1-u^2))</f>
        <v>230.56375684685835</v>
      </c>
      <c r="D188" t="s">
        <v>22</v>
      </c>
    </row>
    <row r="192" spans="1:13" x14ac:dyDescent="0.3">
      <c r="B192" s="25">
        <f>SQRT(B184/C188)</f>
        <v>0.83170863225404279</v>
      </c>
      <c r="C192" s="7" t="s">
        <v>35</v>
      </c>
      <c r="D192" s="6">
        <v>0.67300000000000004</v>
      </c>
    </row>
    <row r="194" spans="1:9" x14ac:dyDescent="0.3">
      <c r="A194" s="11" t="s">
        <v>350</v>
      </c>
    </row>
    <row r="196" spans="1:9" x14ac:dyDescent="0.3">
      <c r="B196" s="8">
        <f>(1-0.22/B192)/B192</f>
        <v>0.88430522508085396</v>
      </c>
    </row>
    <row r="198" spans="1:9" x14ac:dyDescent="0.3">
      <c r="B198" s="22">
        <f>h*B196*0.1</f>
        <v>9.904218520905566</v>
      </c>
      <c r="C198" t="s">
        <v>5</v>
      </c>
    </row>
    <row r="199" spans="1:9" x14ac:dyDescent="0.3">
      <c r="B199" s="9"/>
    </row>
    <row r="200" spans="1:9" x14ac:dyDescent="0.3">
      <c r="A200" s="32" t="s">
        <v>91</v>
      </c>
      <c r="B200" s="32" t="s">
        <v>93</v>
      </c>
      <c r="C200" s="32" t="s">
        <v>94</v>
      </c>
      <c r="D200" s="32" t="s">
        <v>92</v>
      </c>
      <c r="E200" s="32" t="s">
        <v>95</v>
      </c>
      <c r="F200" s="32" t="s">
        <v>97</v>
      </c>
      <c r="G200" s="32" t="s">
        <v>98</v>
      </c>
      <c r="H200" s="32" t="s">
        <v>100</v>
      </c>
      <c r="I200" s="32" t="s">
        <v>99</v>
      </c>
    </row>
    <row r="201" spans="1:9" x14ac:dyDescent="0.3">
      <c r="A201" s="1">
        <v>1</v>
      </c>
      <c r="B201" s="26">
        <f>B198</f>
        <v>9.904218520905566</v>
      </c>
      <c r="C201" s="1">
        <v>1</v>
      </c>
      <c r="D201" s="26">
        <f>B201*C201</f>
        <v>9.904218520905566</v>
      </c>
      <c r="E201" s="26">
        <f>t/2/10</f>
        <v>0.1</v>
      </c>
      <c r="F201" s="26">
        <f>D201*E201</f>
        <v>0.99042185209055666</v>
      </c>
      <c r="G201" s="26">
        <f>ABS(E201-$B$207)</f>
        <v>1.5741488829912578</v>
      </c>
      <c r="H201" s="28">
        <f>C201*G201^2</f>
        <v>2.4779447058226247</v>
      </c>
      <c r="I201" s="29">
        <v>0</v>
      </c>
    </row>
    <row r="202" spans="1:9" x14ac:dyDescent="0.3">
      <c r="A202" s="1">
        <v>2</v>
      </c>
      <c r="B202" s="26">
        <f>PI()*0.5*1.5*t*0.1</f>
        <v>0.47123889803846897</v>
      </c>
      <c r="C202" s="1">
        <v>2</v>
      </c>
      <c r="D202" s="26">
        <f t="shared" ref="D202:D205" si="2">B202*C202</f>
        <v>0.94247779607693793</v>
      </c>
      <c r="E202" s="26">
        <f>0.363*1.5*t*0.1+t*0.5*0.1</f>
        <v>0.2089</v>
      </c>
      <c r="F202" s="26">
        <f t="shared" ref="F202:F205" si="3">D202*E202</f>
        <v>0.19688361160047232</v>
      </c>
      <c r="G202" s="26">
        <f t="shared" ref="G202:G205" si="4">ABS(E202-$B$207)</f>
        <v>1.4652488829912578</v>
      </c>
      <c r="H202" s="28">
        <f t="shared" ref="H202:H205" si="5">C202*G202^2</f>
        <v>4.293908578214257</v>
      </c>
      <c r="I202" s="29">
        <v>0</v>
      </c>
    </row>
    <row r="203" spans="1:9" x14ac:dyDescent="0.3">
      <c r="A203" s="1">
        <v>3</v>
      </c>
      <c r="B203" s="1">
        <f>b*0.1</f>
        <v>4.2</v>
      </c>
      <c r="C203" s="1">
        <v>2</v>
      </c>
      <c r="D203" s="26">
        <f t="shared" si="2"/>
        <v>8.4</v>
      </c>
      <c r="E203" s="26">
        <f>B17/2/10</f>
        <v>2.5</v>
      </c>
      <c r="F203" s="26">
        <f t="shared" si="3"/>
        <v>21</v>
      </c>
      <c r="G203" s="26">
        <f t="shared" si="4"/>
        <v>0.82585111700874214</v>
      </c>
      <c r="H203" s="28">
        <f t="shared" si="5"/>
        <v>1.3640601349291741</v>
      </c>
      <c r="I203" s="28">
        <f>(B17*0.1)^3*t*0.1/12</f>
        <v>2.0833333333333335</v>
      </c>
    </row>
    <row r="204" spans="1:9" x14ac:dyDescent="0.3">
      <c r="A204" s="1">
        <v>4</v>
      </c>
      <c r="B204" s="26">
        <f>B202</f>
        <v>0.47123889803846897</v>
      </c>
      <c r="C204" s="1">
        <v>2</v>
      </c>
      <c r="D204" s="26">
        <f t="shared" si="2"/>
        <v>0.94247779607693793</v>
      </c>
      <c r="E204" s="26">
        <f>B17*0.1-(0.363*1.5*t*0.1+t*0.5*0.1)</f>
        <v>4.7911000000000001</v>
      </c>
      <c r="F204" s="26">
        <f t="shared" si="3"/>
        <v>4.5155053687842175</v>
      </c>
      <c r="G204" s="26">
        <f t="shared" si="4"/>
        <v>3.1169511170087425</v>
      </c>
      <c r="H204" s="28">
        <f t="shared" si="5"/>
        <v>19.430768531644095</v>
      </c>
      <c r="I204" s="29">
        <v>0</v>
      </c>
    </row>
    <row r="205" spans="1:9" x14ac:dyDescent="0.3">
      <c r="A205" s="1">
        <v>5</v>
      </c>
      <c r="B205" s="1">
        <f>d/10</f>
        <v>1.1000000000000001</v>
      </c>
      <c r="C205" s="1">
        <v>2</v>
      </c>
      <c r="D205" s="26">
        <f t="shared" si="2"/>
        <v>2.2000000000000002</v>
      </c>
      <c r="E205" s="26">
        <f>B17*0.1-t*0.5*0.1</f>
        <v>4.9000000000000004</v>
      </c>
      <c r="F205" s="26">
        <f t="shared" si="3"/>
        <v>10.780000000000001</v>
      </c>
      <c r="G205" s="26">
        <f t="shared" si="4"/>
        <v>3.2258511170087427</v>
      </c>
      <c r="H205" s="28">
        <f t="shared" si="5"/>
        <v>20.812230858213105</v>
      </c>
      <c r="I205" s="29">
        <v>0</v>
      </c>
    </row>
    <row r="206" spans="1:9" x14ac:dyDescent="0.3">
      <c r="A206" s="1"/>
      <c r="B206" s="1"/>
      <c r="C206" s="1"/>
      <c r="D206" s="27">
        <f>SUM(D201:D205)</f>
        <v>22.389174113059443</v>
      </c>
      <c r="E206" s="1"/>
      <c r="F206" s="27">
        <f>SUM(F201:F205)</f>
        <v>37.482810832475252</v>
      </c>
      <c r="G206" s="1"/>
      <c r="H206" s="30">
        <f>SUM(H201:H205)</f>
        <v>48.378912808823259</v>
      </c>
      <c r="I206" s="30">
        <f>SUM(I201:I205)</f>
        <v>2.0833333333333335</v>
      </c>
    </row>
    <row r="207" spans="1:9" x14ac:dyDescent="0.3">
      <c r="A207" s="7" t="s">
        <v>64</v>
      </c>
      <c r="B207" s="19">
        <f>F206/D206</f>
        <v>1.6741488829912579</v>
      </c>
      <c r="C207" t="s">
        <v>5</v>
      </c>
    </row>
    <row r="208" spans="1:9" ht="16.2" x14ac:dyDescent="0.3">
      <c r="A208" s="7" t="s">
        <v>56</v>
      </c>
      <c r="B208" s="41">
        <f>(H206+I206)*t*0.1</f>
        <v>10.09244922843132</v>
      </c>
      <c r="C208" s="6" t="s">
        <v>65</v>
      </c>
    </row>
    <row r="209" spans="1:4" ht="16.2" x14ac:dyDescent="0.3">
      <c r="A209" s="7" t="s">
        <v>60</v>
      </c>
      <c r="B209" s="19">
        <f>B208/(B17*0.1-B207)</f>
        <v>3.0345463081066688</v>
      </c>
      <c r="C209" s="6" t="s">
        <v>66</v>
      </c>
    </row>
    <row r="211" spans="1:4" x14ac:dyDescent="0.3">
      <c r="A211" s="4" t="s">
        <v>101</v>
      </c>
    </row>
    <row r="212" spans="1:4" x14ac:dyDescent="0.3">
      <c r="A212" s="7" t="s">
        <v>102</v>
      </c>
      <c r="B212" s="19">
        <f>B184</f>
        <v>159.49</v>
      </c>
      <c r="C212" t="s">
        <v>22</v>
      </c>
    </row>
    <row r="213" spans="1:4" x14ac:dyDescent="0.3">
      <c r="A213" s="7" t="s">
        <v>103</v>
      </c>
      <c r="B213" s="19">
        <f>B212*(-2*t*0.1+B207)/B207</f>
        <v>121.38347276807691</v>
      </c>
      <c r="C213" t="s">
        <v>22</v>
      </c>
    </row>
    <row r="214" spans="1:4" x14ac:dyDescent="0.3">
      <c r="A214" s="7" t="s">
        <v>104</v>
      </c>
      <c r="B214" s="19">
        <f>fy*(b*0.1-(B207-2*t*0.1))/(B17*0.1-B207)</f>
        <v>206.73655804396222</v>
      </c>
      <c r="C214" t="s">
        <v>22</v>
      </c>
    </row>
    <row r="216" spans="1:4" x14ac:dyDescent="0.3">
      <c r="B216" s="19">
        <f>ABS(B214/B213)</f>
        <v>1.703168918547638</v>
      </c>
    </row>
    <row r="218" spans="1:4" x14ac:dyDescent="0.3">
      <c r="D218" s="18">
        <f>4+2*(1+B216)^3+2*(1+B216)</f>
        <v>48.911109079138924</v>
      </c>
    </row>
    <row r="221" spans="1:4" x14ac:dyDescent="0.3">
      <c r="C221" s="40">
        <f>D218*PI()^2*E*(t/b)^2/(12*(1-u^2))</f>
        <v>20048.229441480446</v>
      </c>
      <c r="D221" t="s">
        <v>22</v>
      </c>
    </row>
    <row r="224" spans="1:4" x14ac:dyDescent="0.3">
      <c r="B224" s="9">
        <f>SQRT(B213/C221)</f>
        <v>7.7811138047208836E-2</v>
      </c>
      <c r="C224" s="7" t="s">
        <v>25</v>
      </c>
      <c r="D224">
        <v>0.67300000000000004</v>
      </c>
    </row>
    <row r="226" spans="1:6" x14ac:dyDescent="0.3">
      <c r="A226" s="11" t="s">
        <v>32</v>
      </c>
    </row>
    <row r="228" spans="1:6" ht="15.6" x14ac:dyDescent="0.3">
      <c r="A228" s="23" t="s">
        <v>40</v>
      </c>
    </row>
    <row r="229" spans="1:6" x14ac:dyDescent="0.3">
      <c r="A229" s="17" t="s">
        <v>41</v>
      </c>
    </row>
    <row r="230" spans="1:6" x14ac:dyDescent="0.3">
      <c r="B230" s="9">
        <f>B209*fy*10^-3</f>
        <v>0.7131183824050672</v>
      </c>
      <c r="C230" t="s">
        <v>78</v>
      </c>
    </row>
    <row r="231" spans="1:6" x14ac:dyDescent="0.3">
      <c r="C231" s="9"/>
    </row>
    <row r="232" spans="1:6" x14ac:dyDescent="0.3">
      <c r="B232" s="39">
        <f>0.95*B230</f>
        <v>0.67746246328481385</v>
      </c>
      <c r="C232" t="s">
        <v>78</v>
      </c>
    </row>
    <row r="233" spans="1:6" x14ac:dyDescent="0.3">
      <c r="B233" s="20"/>
    </row>
    <row r="235" spans="1:6" ht="15.6" x14ac:dyDescent="0.3">
      <c r="C235" s="7" t="s">
        <v>35</v>
      </c>
      <c r="D235" s="19">
        <f>B31</f>
        <v>0</v>
      </c>
      <c r="E235" t="s">
        <v>78</v>
      </c>
      <c r="F235" s="34" t="str">
        <f>IF(B232&gt;D235,"Verifica","No Verifica")</f>
        <v>Verifica</v>
      </c>
    </row>
    <row r="238" spans="1:6" ht="18" x14ac:dyDescent="0.35">
      <c r="A238" s="24" t="s">
        <v>377</v>
      </c>
    </row>
    <row r="239" spans="1:6" ht="18" x14ac:dyDescent="0.35">
      <c r="A239" s="43" t="s">
        <v>382</v>
      </c>
    </row>
    <row r="240" spans="1:6" x14ac:dyDescent="0.3">
      <c r="A240" s="4"/>
    </row>
    <row r="241" spans="1:15" x14ac:dyDescent="0.3">
      <c r="K241" s="7"/>
      <c r="L241" s="7"/>
      <c r="M241" s="7"/>
      <c r="N241" s="7"/>
      <c r="O241" s="7"/>
    </row>
    <row r="242" spans="1:15" x14ac:dyDescent="0.3">
      <c r="B242" s="7"/>
    </row>
    <row r="243" spans="1:15" x14ac:dyDescent="0.3">
      <c r="A243" s="19">
        <f>B32/'Correas Compresion'!C158</f>
        <v>0</v>
      </c>
      <c r="B243" s="19">
        <f>D135/B132</f>
        <v>0.93067012419397699</v>
      </c>
      <c r="C243" s="19">
        <f>D235/B232</f>
        <v>0</v>
      </c>
    </row>
    <row r="244" spans="1:15" ht="15.6" x14ac:dyDescent="0.3">
      <c r="B244" s="19">
        <f>A243+B243+C243</f>
        <v>0.93067012419397699</v>
      </c>
      <c r="D244" s="7" t="s">
        <v>25</v>
      </c>
      <c r="E244" s="7">
        <v>1</v>
      </c>
      <c r="F244" s="34" t="str">
        <f>IF(B244&lt;E244,"Verifica","No Verifica")</f>
        <v>Verifica</v>
      </c>
    </row>
    <row r="246" spans="1:15" ht="5.4" customHeight="1" x14ac:dyDescent="0.3"/>
    <row r="249" spans="1:15" ht="18" x14ac:dyDescent="0.35">
      <c r="A249" s="24" t="s">
        <v>370</v>
      </c>
    </row>
    <row r="250" spans="1:15" x14ac:dyDescent="0.3">
      <c r="B250" s="7">
        <v>2.15</v>
      </c>
      <c r="C250" t="s">
        <v>83</v>
      </c>
    </row>
    <row r="251" spans="1:15" x14ac:dyDescent="0.3">
      <c r="B251" s="7">
        <v>2.15</v>
      </c>
      <c r="C251" t="s">
        <v>83</v>
      </c>
    </row>
    <row r="252" spans="1:15" x14ac:dyDescent="0.3">
      <c r="B252" s="7"/>
    </row>
    <row r="253" spans="1:15" x14ac:dyDescent="0.3">
      <c r="B253" s="7">
        <f>B27*100/200</f>
        <v>2</v>
      </c>
      <c r="C253" t="s">
        <v>5</v>
      </c>
    </row>
    <row r="255" spans="1:15" x14ac:dyDescent="0.3">
      <c r="B255" s="19">
        <f>B27*100/240</f>
        <v>1.6666666666666667</v>
      </c>
      <c r="C255" t="s">
        <v>5</v>
      </c>
    </row>
    <row r="257" spans="1:6" x14ac:dyDescent="0.3">
      <c r="A257" t="s">
        <v>372</v>
      </c>
    </row>
    <row r="259" spans="1:6" ht="15.6" x14ac:dyDescent="0.3">
      <c r="B259" s="9">
        <f>(5/384)*B250*(B27*100)^4/(E*E18*10)</f>
        <v>3.2721517060846805</v>
      </c>
      <c r="C259" t="s">
        <v>371</v>
      </c>
      <c r="D259" s="7">
        <f>B253</f>
        <v>2</v>
      </c>
      <c r="E259" t="s">
        <v>5</v>
      </c>
      <c r="F259" s="34" t="str">
        <f>IF(B259&lt;D259,"Verifica","No Verifica")</f>
        <v>No Verifica</v>
      </c>
    </row>
    <row r="261" spans="1:6" ht="15.6" x14ac:dyDescent="0.3">
      <c r="B261" s="9">
        <f>(5/384)*B251*(B27*100)^4/(E*E18*10)</f>
        <v>3.2721517060846805</v>
      </c>
      <c r="C261" t="s">
        <v>371</v>
      </c>
      <c r="D261" s="19">
        <f>B255</f>
        <v>1.6666666666666667</v>
      </c>
      <c r="E261" t="s">
        <v>5</v>
      </c>
      <c r="F261" s="34" t="str">
        <f>IF(B261&lt;D261,"Verifica","No Verifica")</f>
        <v>No Verifica</v>
      </c>
    </row>
    <row r="263" spans="1:6" x14ac:dyDescent="0.3">
      <c r="D263" s="9"/>
    </row>
    <row r="265" spans="1:6" x14ac:dyDescent="0.3">
      <c r="A265" t="s">
        <v>359</v>
      </c>
    </row>
    <row r="267" spans="1:6" x14ac:dyDescent="0.3">
      <c r="A267" t="s">
        <v>360</v>
      </c>
      <c r="B267">
        <v>2</v>
      </c>
      <c r="C267" t="s">
        <v>5</v>
      </c>
      <c r="E267" t="s">
        <v>361</v>
      </c>
    </row>
    <row r="268" spans="1:6" x14ac:dyDescent="0.3">
      <c r="A268" t="s">
        <v>44</v>
      </c>
      <c r="B268">
        <f>h/t</f>
        <v>56</v>
      </c>
      <c r="C268" t="s">
        <v>25</v>
      </c>
      <c r="D268">
        <v>200</v>
      </c>
    </row>
    <row r="269" spans="1:6" x14ac:dyDescent="0.3">
      <c r="A269" t="s">
        <v>362</v>
      </c>
      <c r="B269">
        <f>B267*10/t</f>
        <v>10</v>
      </c>
      <c r="C269" t="s">
        <v>25</v>
      </c>
      <c r="D269">
        <v>210</v>
      </c>
    </row>
    <row r="270" spans="1:6" x14ac:dyDescent="0.3">
      <c r="A270" t="s">
        <v>363</v>
      </c>
      <c r="B270">
        <f>B267*10/h</f>
        <v>0.17857142857142858</v>
      </c>
      <c r="C270" t="s">
        <v>25</v>
      </c>
      <c r="D270">
        <v>2</v>
      </c>
    </row>
    <row r="271" spans="1:6" x14ac:dyDescent="0.3">
      <c r="A271" t="s">
        <v>364</v>
      </c>
      <c r="B271">
        <v>90</v>
      </c>
    </row>
    <row r="273" spans="1:4" x14ac:dyDescent="0.3">
      <c r="A273" t="s">
        <v>0</v>
      </c>
      <c r="B273">
        <v>4</v>
      </c>
    </row>
    <row r="274" spans="1:4" x14ac:dyDescent="0.3">
      <c r="A274" t="s">
        <v>365</v>
      </c>
      <c r="B274">
        <v>0.14000000000000001</v>
      </c>
    </row>
    <row r="275" spans="1:4" x14ac:dyDescent="0.3">
      <c r="A275" t="s">
        <v>366</v>
      </c>
      <c r="B275">
        <v>0.35</v>
      </c>
    </row>
    <row r="276" spans="1:4" x14ac:dyDescent="0.3">
      <c r="A276" t="s">
        <v>367</v>
      </c>
      <c r="B276">
        <v>0.02</v>
      </c>
    </row>
    <row r="277" spans="1:4" x14ac:dyDescent="0.3">
      <c r="A277" t="s">
        <v>368</v>
      </c>
      <c r="B277">
        <v>0.85</v>
      </c>
    </row>
    <row r="279" spans="1:4" x14ac:dyDescent="0.3">
      <c r="A279" t="s">
        <v>12</v>
      </c>
      <c r="B279">
        <f>B273*(t/10)^2*fy*SIN(RADIANS(B271))*(1-B274)*(1+B275*SQRT(B269))*(1-B276*SQRT(B268))*0.1</f>
        <v>5.7929318352116113</v>
      </c>
    </row>
    <row r="280" spans="1:4" x14ac:dyDescent="0.3">
      <c r="A280" t="s">
        <v>11</v>
      </c>
      <c r="B280">
        <f>B277*B279</f>
        <v>4.9239920599298692</v>
      </c>
    </row>
    <row r="283" spans="1:4" x14ac:dyDescent="0.3">
      <c r="A283" t="s">
        <v>369</v>
      </c>
      <c r="B283">
        <v>9</v>
      </c>
    </row>
    <row r="284" spans="1:4" x14ac:dyDescent="0.3">
      <c r="B284">
        <f>1.07*B283/B280+B243</f>
        <v>2.8864003290345508</v>
      </c>
      <c r="C284" t="s">
        <v>25</v>
      </c>
      <c r="D284">
        <v>1.42</v>
      </c>
    </row>
  </sheetData>
  <mergeCells count="5">
    <mergeCell ref="C135:C136"/>
    <mergeCell ref="F135:F136"/>
    <mergeCell ref="D135:D136"/>
    <mergeCell ref="E135:E136"/>
    <mergeCell ref="B2:C2"/>
  </mergeCells>
  <phoneticPr fontId="1" type="noConversion"/>
  <conditionalFormatting sqref="G36 G38 G40 F135 F151 F158 G174 G176 F235 F244 F259 F261">
    <cfRule type="cellIs" dxfId="3" priority="21" operator="equal">
      <formula>$N$1</formula>
    </cfRule>
    <cfRule type="cellIs" dxfId="2" priority="22" operator="equal">
      <formula>#REF!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BBA44AE-4DEA-4F88-B84D-AE64A6C85D76}">
          <x14:formula1>
            <xm:f>'Perf C Ternium'!$A$6:$A$42</xm:f>
          </x14:formula1>
          <xm:sqref>B2:C2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A9C34-16E3-40E1-9D4C-E233FAC07E17}">
  <dimension ref="A1:Q42"/>
  <sheetViews>
    <sheetView workbookViewId="0">
      <selection activeCell="K4" sqref="K4"/>
    </sheetView>
  </sheetViews>
  <sheetFormatPr baseColWidth="10" defaultRowHeight="14.4" x14ac:dyDescent="0.3"/>
  <sheetData>
    <row r="1" spans="1:17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</row>
    <row r="2" spans="1:17" x14ac:dyDescent="0.3">
      <c r="A2" t="s">
        <v>422</v>
      </c>
      <c r="B2" t="s">
        <v>464</v>
      </c>
      <c r="C2" t="s">
        <v>475</v>
      </c>
      <c r="D2" t="s">
        <v>477</v>
      </c>
      <c r="E2" t="s">
        <v>423</v>
      </c>
      <c r="F2" t="s">
        <v>424</v>
      </c>
      <c r="G2" t="s">
        <v>425</v>
      </c>
      <c r="H2" t="s">
        <v>426</v>
      </c>
      <c r="I2" t="s">
        <v>427</v>
      </c>
      <c r="J2" t="s">
        <v>428</v>
      </c>
      <c r="K2" t="s">
        <v>429</v>
      </c>
      <c r="L2" t="s">
        <v>430</v>
      </c>
      <c r="M2" t="s">
        <v>431</v>
      </c>
      <c r="N2" t="s">
        <v>432</v>
      </c>
      <c r="O2" t="s">
        <v>433</v>
      </c>
    </row>
    <row r="3" spans="1:17" x14ac:dyDescent="0.3">
      <c r="I3" t="s">
        <v>434</v>
      </c>
    </row>
    <row r="4" spans="1:17" x14ac:dyDescent="0.3">
      <c r="A4" t="s">
        <v>435</v>
      </c>
      <c r="B4" t="s">
        <v>465</v>
      </c>
      <c r="C4" t="s">
        <v>476</v>
      </c>
      <c r="D4" t="s">
        <v>478</v>
      </c>
      <c r="E4" t="s">
        <v>436</v>
      </c>
      <c r="F4" t="s">
        <v>437</v>
      </c>
      <c r="G4" t="s">
        <v>438</v>
      </c>
      <c r="H4" t="s">
        <v>439</v>
      </c>
      <c r="I4" t="s">
        <v>440</v>
      </c>
      <c r="J4" t="s">
        <v>441</v>
      </c>
      <c r="K4" t="s">
        <v>442</v>
      </c>
      <c r="L4" t="s">
        <v>443</v>
      </c>
      <c r="M4" t="s">
        <v>444</v>
      </c>
      <c r="N4" t="s">
        <v>445</v>
      </c>
      <c r="O4" t="s">
        <v>446</v>
      </c>
    </row>
    <row r="5" spans="1:17" x14ac:dyDescent="0.3">
      <c r="A5" t="s">
        <v>447</v>
      </c>
      <c r="E5" t="s">
        <v>447</v>
      </c>
      <c r="F5" t="s">
        <v>447</v>
      </c>
      <c r="G5" t="s">
        <v>447</v>
      </c>
      <c r="H5" t="s">
        <v>447</v>
      </c>
      <c r="I5" t="s">
        <v>447</v>
      </c>
      <c r="J5" t="s">
        <v>447</v>
      </c>
      <c r="K5" t="s">
        <v>447</v>
      </c>
      <c r="L5" t="s">
        <v>447</v>
      </c>
      <c r="M5" t="s">
        <v>447</v>
      </c>
      <c r="N5" t="s">
        <v>447</v>
      </c>
      <c r="O5" t="s">
        <v>447</v>
      </c>
    </row>
    <row r="6" spans="1:17" x14ac:dyDescent="0.3">
      <c r="A6" t="s">
        <v>484</v>
      </c>
      <c r="B6" t="s">
        <v>466</v>
      </c>
      <c r="C6" t="s">
        <v>479</v>
      </c>
      <c r="D6" t="str">
        <f>MID(Table009__Page_4[[#This Row],[Column1]],7,2)</f>
        <v>15</v>
      </c>
      <c r="E6">
        <v>1.6</v>
      </c>
      <c r="F6">
        <v>2.23</v>
      </c>
      <c r="G6">
        <v>2.27</v>
      </c>
      <c r="H6">
        <v>2.84</v>
      </c>
      <c r="I6">
        <v>7.52</v>
      </c>
      <c r="J6">
        <v>30.08</v>
      </c>
      <c r="K6">
        <v>3.26</v>
      </c>
      <c r="L6">
        <v>1.48</v>
      </c>
      <c r="M6">
        <v>2.78</v>
      </c>
      <c r="N6">
        <v>7.02</v>
      </c>
      <c r="O6">
        <v>1.57</v>
      </c>
      <c r="Q6" t="str">
        <f>MID(Table009__Page_4[[#This Row],[Column1]],7,2)</f>
        <v>15</v>
      </c>
    </row>
    <row r="7" spans="1:17" x14ac:dyDescent="0.3">
      <c r="A7" t="s">
        <v>454</v>
      </c>
      <c r="B7" t="s">
        <v>466</v>
      </c>
      <c r="C7" t="s">
        <v>479</v>
      </c>
      <c r="D7" t="str">
        <f>MID(Table009__Page_4[[#This Row],[Column1]],7,2)</f>
        <v>15</v>
      </c>
      <c r="E7" t="s">
        <v>448</v>
      </c>
      <c r="F7">
        <v>2.77</v>
      </c>
      <c r="G7">
        <v>2.81</v>
      </c>
      <c r="H7">
        <v>3.48</v>
      </c>
      <c r="I7">
        <v>9.2200000000000006</v>
      </c>
      <c r="J7">
        <v>36.89</v>
      </c>
      <c r="K7">
        <v>3.26</v>
      </c>
      <c r="L7">
        <v>1.48</v>
      </c>
      <c r="M7">
        <v>3.38</v>
      </c>
      <c r="N7">
        <v>8.51</v>
      </c>
      <c r="O7">
        <v>1.56</v>
      </c>
      <c r="Q7" t="str">
        <f>MID(Table009__Page_4[[#This Row],[Column1]],7,2)</f>
        <v>15</v>
      </c>
    </row>
    <row r="8" spans="1:17" x14ac:dyDescent="0.3">
      <c r="A8" t="s">
        <v>485</v>
      </c>
      <c r="B8" t="s">
        <v>466</v>
      </c>
      <c r="C8" t="s">
        <v>479</v>
      </c>
      <c r="D8" t="str">
        <f>MID(Table009__Page_4[[#This Row],[Column1]],7,2)</f>
        <v>15</v>
      </c>
      <c r="E8">
        <v>2.5</v>
      </c>
      <c r="F8">
        <v>3.38</v>
      </c>
      <c r="G8">
        <v>3.42</v>
      </c>
      <c r="H8">
        <v>4.25</v>
      </c>
      <c r="I8">
        <v>11.25</v>
      </c>
      <c r="J8">
        <v>45.02</v>
      </c>
      <c r="K8">
        <v>3.25</v>
      </c>
      <c r="L8">
        <v>1.48</v>
      </c>
      <c r="M8">
        <v>4.07</v>
      </c>
      <c r="N8">
        <v>10.25</v>
      </c>
      <c r="O8">
        <v>1.55</v>
      </c>
      <c r="Q8" t="str">
        <f>MID(Table009__Page_4[[#This Row],[Column1]],7,2)</f>
        <v>15</v>
      </c>
    </row>
    <row r="9" spans="1:17" x14ac:dyDescent="0.3">
      <c r="A9" t="s">
        <v>486</v>
      </c>
      <c r="B9" t="s">
        <v>466</v>
      </c>
      <c r="C9" t="s">
        <v>479</v>
      </c>
      <c r="D9" t="str">
        <f>MID(Table009__Page_4[[#This Row],[Column1]],7,2)</f>
        <v>15</v>
      </c>
      <c r="E9">
        <v>3.2</v>
      </c>
      <c r="F9">
        <v>4.12</v>
      </c>
      <c r="G9" t="s">
        <v>449</v>
      </c>
      <c r="H9">
        <v>5.26</v>
      </c>
      <c r="I9">
        <v>13.93</v>
      </c>
      <c r="J9">
        <v>55.7</v>
      </c>
      <c r="K9">
        <v>3.25</v>
      </c>
      <c r="L9">
        <v>1.48</v>
      </c>
      <c r="M9">
        <v>4.9400000000000004</v>
      </c>
      <c r="N9">
        <v>12.44</v>
      </c>
      <c r="O9">
        <v>1.54</v>
      </c>
      <c r="Q9" t="str">
        <f>MID(Table009__Page_4[[#This Row],[Column1]],7,2)</f>
        <v>15</v>
      </c>
    </row>
    <row r="10" spans="1:17" x14ac:dyDescent="0.3">
      <c r="A10" t="s">
        <v>487</v>
      </c>
      <c r="B10" t="s">
        <v>466</v>
      </c>
      <c r="C10" t="s">
        <v>480</v>
      </c>
      <c r="D10" t="str">
        <f>MID(Table009__Page_4[[#This Row],[Column1]],7,2)</f>
        <v>15</v>
      </c>
      <c r="E10">
        <v>1.6</v>
      </c>
      <c r="F10">
        <v>2.48</v>
      </c>
      <c r="G10">
        <v>2.52</v>
      </c>
      <c r="H10">
        <v>3.16</v>
      </c>
      <c r="I10">
        <v>8.75</v>
      </c>
      <c r="J10" t="s">
        <v>450</v>
      </c>
      <c r="K10">
        <v>3.33</v>
      </c>
      <c r="L10">
        <v>1.91</v>
      </c>
      <c r="M10">
        <v>3.84</v>
      </c>
      <c r="N10">
        <v>11.89</v>
      </c>
      <c r="O10">
        <v>1.94</v>
      </c>
      <c r="Q10" t="str">
        <f>MID(Table009__Page_4[[#This Row],[Column1]],7,2)</f>
        <v>15</v>
      </c>
    </row>
    <row r="11" spans="1:17" x14ac:dyDescent="0.3">
      <c r="A11" t="s">
        <v>455</v>
      </c>
      <c r="B11" t="s">
        <v>466</v>
      </c>
      <c r="C11" t="s">
        <v>480</v>
      </c>
      <c r="D11" t="str">
        <f>MID(Table009__Page_4[[#This Row],[Column1]],7,2)</f>
        <v>15</v>
      </c>
      <c r="E11" t="s">
        <v>448</v>
      </c>
      <c r="F11">
        <v>3.08</v>
      </c>
      <c r="G11">
        <v>3.13</v>
      </c>
      <c r="H11">
        <v>3.88</v>
      </c>
      <c r="I11">
        <v>10.74</v>
      </c>
      <c r="J11">
        <v>42.98</v>
      </c>
      <c r="K11">
        <v>3.33</v>
      </c>
      <c r="L11">
        <v>1.91</v>
      </c>
      <c r="M11">
        <v>4.6900000000000004</v>
      </c>
      <c r="N11">
        <v>14.5</v>
      </c>
      <c r="O11">
        <v>1.93</v>
      </c>
      <c r="Q11" t="str">
        <f>MID(Table009__Page_4[[#This Row],[Column1]],7,2)</f>
        <v>15</v>
      </c>
    </row>
    <row r="12" spans="1:17" x14ac:dyDescent="0.3">
      <c r="A12" t="s">
        <v>488</v>
      </c>
      <c r="B12" t="s">
        <v>466</v>
      </c>
      <c r="C12" t="s">
        <v>480</v>
      </c>
      <c r="D12" t="str">
        <f>MID(Table009__Page_4[[#This Row],[Column1]],7,2)</f>
        <v>15</v>
      </c>
      <c r="E12">
        <v>2.5</v>
      </c>
      <c r="F12">
        <v>3.77</v>
      </c>
      <c r="G12">
        <v>3.82</v>
      </c>
      <c r="H12">
        <v>4.75</v>
      </c>
      <c r="I12">
        <v>13.13</v>
      </c>
      <c r="J12">
        <v>52.53</v>
      </c>
      <c r="K12">
        <v>3.33</v>
      </c>
      <c r="L12">
        <v>1.91</v>
      </c>
      <c r="M12">
        <v>5.68</v>
      </c>
      <c r="N12">
        <v>17.559999999999999</v>
      </c>
      <c r="O12">
        <v>1.92</v>
      </c>
      <c r="Q12" t="str">
        <f>MID(Table009__Page_4[[#This Row],[Column1]],7,2)</f>
        <v>15</v>
      </c>
    </row>
    <row r="13" spans="1:17" x14ac:dyDescent="0.3">
      <c r="A13" t="s">
        <v>489</v>
      </c>
      <c r="B13" t="s">
        <v>466</v>
      </c>
      <c r="C13" t="s">
        <v>480</v>
      </c>
      <c r="D13" t="str">
        <f>MID(Table009__Page_4[[#This Row],[Column1]],7,2)</f>
        <v>15</v>
      </c>
      <c r="E13">
        <v>3.2</v>
      </c>
      <c r="F13">
        <v>4.63</v>
      </c>
      <c r="G13" t="s">
        <v>447</v>
      </c>
      <c r="H13">
        <v>5.9</v>
      </c>
      <c r="I13">
        <v>16.29</v>
      </c>
      <c r="J13">
        <v>65.14</v>
      </c>
      <c r="K13">
        <v>3.32</v>
      </c>
      <c r="L13">
        <v>1.91</v>
      </c>
      <c r="M13">
        <v>6.95</v>
      </c>
      <c r="N13">
        <v>21.5</v>
      </c>
      <c r="O13">
        <v>1.91</v>
      </c>
      <c r="Q13" t="str">
        <f>MID(Table009__Page_4[[#This Row],[Column1]],7,2)</f>
        <v>15</v>
      </c>
    </row>
    <row r="14" spans="1:17" x14ac:dyDescent="0.3">
      <c r="A14" t="s">
        <v>490</v>
      </c>
      <c r="B14" t="s">
        <v>467</v>
      </c>
      <c r="C14" t="s">
        <v>481</v>
      </c>
      <c r="D14" t="str">
        <f>MID(Table009__Page_4[[#This Row],[Column1]],8,2)</f>
        <v>10</v>
      </c>
      <c r="E14">
        <v>1.6</v>
      </c>
      <c r="F14">
        <v>2.5</v>
      </c>
      <c r="G14">
        <v>2.5499999999999998</v>
      </c>
      <c r="H14">
        <v>3.32</v>
      </c>
      <c r="I14">
        <v>10.46</v>
      </c>
      <c r="J14">
        <v>52.29</v>
      </c>
      <c r="K14">
        <v>3.97</v>
      </c>
      <c r="L14">
        <v>1.46</v>
      </c>
      <c r="M14">
        <v>3.39</v>
      </c>
      <c r="N14">
        <v>8.6</v>
      </c>
      <c r="O14">
        <v>1.61</v>
      </c>
      <c r="Q14" t="str">
        <f>MID(Table009__Page_4[[#This Row],[Column1]],8,2)</f>
        <v>10</v>
      </c>
    </row>
    <row r="15" spans="1:17" x14ac:dyDescent="0.3">
      <c r="A15" t="s">
        <v>456</v>
      </c>
      <c r="B15" t="s">
        <v>467</v>
      </c>
      <c r="C15" t="s">
        <v>481</v>
      </c>
      <c r="D15" t="str">
        <f>MID(Table009__Page_4[[#This Row],[Column1]],8,2)</f>
        <v>10</v>
      </c>
      <c r="E15" t="s">
        <v>448</v>
      </c>
      <c r="F15">
        <v>3.11</v>
      </c>
      <c r="G15">
        <v>3.16</v>
      </c>
      <c r="H15">
        <v>4.08</v>
      </c>
      <c r="I15">
        <v>12.86</v>
      </c>
      <c r="J15">
        <v>64.31</v>
      </c>
      <c r="K15">
        <v>3.97</v>
      </c>
      <c r="L15">
        <v>1.46</v>
      </c>
      <c r="M15">
        <v>4.12</v>
      </c>
      <c r="N15">
        <v>10.45</v>
      </c>
      <c r="O15">
        <v>1.6</v>
      </c>
      <c r="Q15" t="str">
        <f>MID(Table009__Page_4[[#This Row],[Column1]],8,2)</f>
        <v>10</v>
      </c>
    </row>
    <row r="16" spans="1:17" x14ac:dyDescent="0.3">
      <c r="A16" t="s">
        <v>491</v>
      </c>
      <c r="B16" t="s">
        <v>467</v>
      </c>
      <c r="C16" t="s">
        <v>481</v>
      </c>
      <c r="D16" t="str">
        <f>MID(Table009__Page_4[[#This Row],[Column1]],8,2)</f>
        <v>10</v>
      </c>
      <c r="E16">
        <v>2.5</v>
      </c>
      <c r="F16">
        <v>3.81</v>
      </c>
      <c r="G16">
        <v>3.86</v>
      </c>
      <c r="H16" t="s">
        <v>451</v>
      </c>
      <c r="I16">
        <v>15.75</v>
      </c>
      <c r="J16">
        <v>78.77</v>
      </c>
      <c r="K16">
        <v>3.97</v>
      </c>
      <c r="L16">
        <v>1.46</v>
      </c>
      <c r="M16">
        <v>4.97</v>
      </c>
      <c r="N16">
        <v>12.6</v>
      </c>
      <c r="O16">
        <v>1.59</v>
      </c>
      <c r="Q16" t="str">
        <f>MID(Table009__Page_4[[#This Row],[Column1]],8,2)</f>
        <v>10</v>
      </c>
    </row>
    <row r="17" spans="1:17" x14ac:dyDescent="0.3">
      <c r="A17" t="s">
        <v>492</v>
      </c>
      <c r="B17" t="s">
        <v>467</v>
      </c>
      <c r="C17" t="s">
        <v>481</v>
      </c>
      <c r="D17" t="str">
        <f>MID(Table009__Page_4[[#This Row],[Column1]],8,2)</f>
        <v>10</v>
      </c>
      <c r="E17">
        <v>3.2</v>
      </c>
      <c r="F17">
        <v>4.7</v>
      </c>
      <c r="G17" t="s">
        <v>447</v>
      </c>
      <c r="H17">
        <v>6.22</v>
      </c>
      <c r="I17">
        <v>19.59</v>
      </c>
      <c r="J17">
        <v>97.97</v>
      </c>
      <c r="K17">
        <v>3.97</v>
      </c>
      <c r="L17">
        <v>1.47</v>
      </c>
      <c r="M17">
        <v>6.06</v>
      </c>
      <c r="N17">
        <v>15.35</v>
      </c>
      <c r="O17">
        <v>1.57</v>
      </c>
      <c r="Q17" t="str">
        <f>MID(Table009__Page_4[[#This Row],[Column1]],8,2)</f>
        <v>10</v>
      </c>
    </row>
    <row r="18" spans="1:17" x14ac:dyDescent="0.3">
      <c r="A18" t="s">
        <v>493</v>
      </c>
      <c r="B18" t="s">
        <v>467</v>
      </c>
      <c r="C18" t="s">
        <v>480</v>
      </c>
      <c r="D18" t="str">
        <f>MID(Table009__Page_4[[#This Row],[Column1]],8,2)</f>
        <v>15</v>
      </c>
      <c r="E18">
        <v>1.6</v>
      </c>
      <c r="F18">
        <v>2.73</v>
      </c>
      <c r="G18">
        <v>2.78</v>
      </c>
      <c r="H18">
        <v>3.48</v>
      </c>
      <c r="I18">
        <v>11.67</v>
      </c>
      <c r="J18">
        <v>58.35</v>
      </c>
      <c r="K18">
        <v>4.0999999999999996</v>
      </c>
      <c r="L18">
        <v>1.74</v>
      </c>
      <c r="M18">
        <v>3.95</v>
      </c>
      <c r="N18">
        <v>12.87</v>
      </c>
      <c r="O18">
        <v>1.92</v>
      </c>
      <c r="Q18" t="str">
        <f>MID(Table009__Page_4[[#This Row],[Column1]],8,2)</f>
        <v>15</v>
      </c>
    </row>
    <row r="19" spans="1:17" x14ac:dyDescent="0.3">
      <c r="A19" t="s">
        <v>457</v>
      </c>
      <c r="B19" t="s">
        <v>467</v>
      </c>
      <c r="C19" t="s">
        <v>480</v>
      </c>
      <c r="D19" t="str">
        <f>MID(Table009__Page_4[[#This Row],[Column1]],8,2)</f>
        <v>15</v>
      </c>
      <c r="E19" t="s">
        <v>448</v>
      </c>
      <c r="F19">
        <v>3.4</v>
      </c>
      <c r="G19">
        <v>3.45</v>
      </c>
      <c r="H19">
        <v>4.28</v>
      </c>
      <c r="I19">
        <v>14.36</v>
      </c>
      <c r="J19">
        <v>71.8</v>
      </c>
      <c r="K19">
        <v>4.0999999999999996</v>
      </c>
      <c r="L19">
        <v>1.74</v>
      </c>
      <c r="M19">
        <v>4.82</v>
      </c>
      <c r="N19">
        <v>15.69</v>
      </c>
      <c r="O19">
        <v>1.91</v>
      </c>
      <c r="Q19" t="str">
        <f>MID(Table009__Page_4[[#This Row],[Column1]],8,2)</f>
        <v>15</v>
      </c>
    </row>
    <row r="20" spans="1:17" x14ac:dyDescent="0.3">
      <c r="A20" t="s">
        <v>494</v>
      </c>
      <c r="B20" t="s">
        <v>467</v>
      </c>
      <c r="C20" t="s">
        <v>480</v>
      </c>
      <c r="D20" t="str">
        <f>MID(Table009__Page_4[[#This Row],[Column1]],8,2)</f>
        <v>15</v>
      </c>
      <c r="E20">
        <v>2.5</v>
      </c>
      <c r="F20">
        <v>4.17</v>
      </c>
      <c r="G20">
        <v>4.22</v>
      </c>
      <c r="H20">
        <v>5.25</v>
      </c>
      <c r="I20">
        <v>17.600000000000001</v>
      </c>
      <c r="J20">
        <v>88.01</v>
      </c>
      <c r="K20">
        <v>4.09</v>
      </c>
      <c r="L20">
        <v>1.74</v>
      </c>
      <c r="M20">
        <v>5.84</v>
      </c>
      <c r="N20">
        <v>19.010000000000002</v>
      </c>
      <c r="O20">
        <v>1.9</v>
      </c>
      <c r="Q20" t="str">
        <f>MID(Table009__Page_4[[#This Row],[Column1]],8,2)</f>
        <v>15</v>
      </c>
    </row>
    <row r="21" spans="1:17" x14ac:dyDescent="0.3">
      <c r="A21" t="s">
        <v>495</v>
      </c>
      <c r="B21" t="s">
        <v>467</v>
      </c>
      <c r="C21" t="s">
        <v>480</v>
      </c>
      <c r="D21" t="str">
        <f>MID(Table009__Page_4[[#This Row],[Column1]],8,2)</f>
        <v>15</v>
      </c>
      <c r="E21">
        <v>3.2</v>
      </c>
      <c r="F21">
        <v>5.18</v>
      </c>
      <c r="G21" t="s">
        <v>447</v>
      </c>
      <c r="H21">
        <v>6.54</v>
      </c>
      <c r="I21">
        <v>21.92</v>
      </c>
      <c r="J21">
        <v>109.58</v>
      </c>
      <c r="K21">
        <v>4.09</v>
      </c>
      <c r="L21">
        <v>1.75</v>
      </c>
      <c r="M21">
        <v>7.15</v>
      </c>
      <c r="N21">
        <v>23.28</v>
      </c>
      <c r="O21">
        <v>1.89</v>
      </c>
      <c r="Q21" t="str">
        <f>MID(Table009__Page_4[[#This Row],[Column1]],8,2)</f>
        <v>15</v>
      </c>
    </row>
    <row r="22" spans="1:17" x14ac:dyDescent="0.3">
      <c r="A22" t="s">
        <v>496</v>
      </c>
      <c r="B22" t="s">
        <v>468</v>
      </c>
      <c r="C22" t="s">
        <v>480</v>
      </c>
      <c r="D22" t="str">
        <f>MID(Table009__Page_4[[#This Row],[Column1]],8,2)</f>
        <v>15</v>
      </c>
      <c r="E22">
        <v>1.6</v>
      </c>
      <c r="F22">
        <v>2.98</v>
      </c>
      <c r="G22">
        <v>3.04</v>
      </c>
      <c r="H22">
        <v>3.8</v>
      </c>
      <c r="I22">
        <v>14.81</v>
      </c>
      <c r="J22">
        <v>88.85</v>
      </c>
      <c r="K22">
        <v>4.84</v>
      </c>
      <c r="L22">
        <v>1.61</v>
      </c>
      <c r="M22">
        <v>4.03</v>
      </c>
      <c r="N22">
        <v>13.68</v>
      </c>
      <c r="O22">
        <v>1.9</v>
      </c>
      <c r="Q22" t="str">
        <f>MID(Table009__Page_4[[#This Row],[Column1]],8,2)</f>
        <v>15</v>
      </c>
    </row>
    <row r="23" spans="1:17" x14ac:dyDescent="0.3">
      <c r="A23" t="s">
        <v>458</v>
      </c>
      <c r="B23" t="s">
        <v>468</v>
      </c>
      <c r="C23" t="s">
        <v>480</v>
      </c>
      <c r="D23" t="str">
        <f>MID(Table009__Page_4[[#This Row],[Column1]],8,2)</f>
        <v>15</v>
      </c>
      <c r="E23" t="s">
        <v>448</v>
      </c>
      <c r="F23">
        <v>3.71</v>
      </c>
      <c r="G23">
        <v>3.77</v>
      </c>
      <c r="H23">
        <v>4.68</v>
      </c>
      <c r="I23">
        <v>18.25</v>
      </c>
      <c r="J23">
        <v>109.51</v>
      </c>
      <c r="K23">
        <v>4.84</v>
      </c>
      <c r="L23">
        <v>1.61</v>
      </c>
      <c r="M23">
        <v>4.92</v>
      </c>
      <c r="N23">
        <v>16.68</v>
      </c>
      <c r="O23">
        <v>1.89</v>
      </c>
      <c r="Q23" t="str">
        <f>MID(Table009__Page_4[[#This Row],[Column1]],8,2)</f>
        <v>15</v>
      </c>
    </row>
    <row r="24" spans="1:17" x14ac:dyDescent="0.3">
      <c r="A24" t="s">
        <v>497</v>
      </c>
      <c r="B24" t="s">
        <v>468</v>
      </c>
      <c r="C24" t="s">
        <v>480</v>
      </c>
      <c r="D24" t="str">
        <f>MID(Table009__Page_4[[#This Row],[Column1]],8,2)</f>
        <v>15</v>
      </c>
      <c r="E24">
        <v>2.5</v>
      </c>
      <c r="F24">
        <v>4.5599999999999996</v>
      </c>
      <c r="G24">
        <v>4.6100000000000003</v>
      </c>
      <c r="H24">
        <v>5.75</v>
      </c>
      <c r="I24">
        <v>22.41</v>
      </c>
      <c r="J24">
        <v>134.47999999999999</v>
      </c>
      <c r="K24">
        <v>4.84</v>
      </c>
      <c r="L24">
        <v>1.61</v>
      </c>
      <c r="M24">
        <v>5.96</v>
      </c>
      <c r="N24">
        <v>20.21</v>
      </c>
      <c r="O24">
        <v>1.87</v>
      </c>
      <c r="Q24" t="str">
        <f>MID(Table009__Page_4[[#This Row],[Column1]],8,2)</f>
        <v>15</v>
      </c>
    </row>
    <row r="25" spans="1:17" x14ac:dyDescent="0.3">
      <c r="A25" t="s">
        <v>498</v>
      </c>
      <c r="B25" t="s">
        <v>468</v>
      </c>
      <c r="C25" t="s">
        <v>480</v>
      </c>
      <c r="D25" t="str">
        <f>MID(Table009__Page_4[[#This Row],[Column1]],8,2)</f>
        <v>15</v>
      </c>
      <c r="E25">
        <v>3.2</v>
      </c>
      <c r="F25">
        <v>5.68</v>
      </c>
      <c r="G25">
        <v>5.74</v>
      </c>
      <c r="H25">
        <v>7.18</v>
      </c>
      <c r="I25">
        <v>27.99</v>
      </c>
      <c r="J25">
        <v>167.91</v>
      </c>
      <c r="K25">
        <v>4.84</v>
      </c>
      <c r="L25">
        <v>1.61</v>
      </c>
      <c r="M25">
        <v>7.31</v>
      </c>
      <c r="N25">
        <v>24.76</v>
      </c>
      <c r="O25">
        <v>1.86</v>
      </c>
      <c r="Q25" t="str">
        <f>MID(Table009__Page_4[[#This Row],[Column1]],8,2)</f>
        <v>15</v>
      </c>
    </row>
    <row r="26" spans="1:17" x14ac:dyDescent="0.3">
      <c r="A26" t="s">
        <v>459</v>
      </c>
      <c r="B26" t="s">
        <v>469</v>
      </c>
      <c r="C26" t="s">
        <v>482</v>
      </c>
      <c r="D26" t="str">
        <f>MID(Table009__Page_4[[#This Row],[Column1]],8,2)</f>
        <v>20</v>
      </c>
      <c r="E26" t="s">
        <v>448</v>
      </c>
      <c r="F26">
        <v>4.5</v>
      </c>
      <c r="G26">
        <v>4.5599999999999996</v>
      </c>
      <c r="H26">
        <v>5.68</v>
      </c>
      <c r="I26">
        <v>25.92</v>
      </c>
      <c r="J26">
        <v>181.45</v>
      </c>
      <c r="K26">
        <v>5.65</v>
      </c>
      <c r="L26">
        <v>2.0099999999999998</v>
      </c>
      <c r="M26">
        <v>7.61</v>
      </c>
      <c r="N26">
        <v>30.38</v>
      </c>
      <c r="O26">
        <v>2.31</v>
      </c>
      <c r="Q26" t="str">
        <f>MID(Table009__Page_4[[#This Row],[Column1]],8,2)</f>
        <v>20</v>
      </c>
    </row>
    <row r="27" spans="1:17" x14ac:dyDescent="0.3">
      <c r="A27" t="s">
        <v>499</v>
      </c>
      <c r="B27" t="s">
        <v>469</v>
      </c>
      <c r="C27" t="s">
        <v>482</v>
      </c>
      <c r="D27" t="str">
        <f>MID(Table009__Page_4[[#This Row],[Column1]],8,2)</f>
        <v>20</v>
      </c>
      <c r="E27">
        <v>2.5</v>
      </c>
      <c r="F27">
        <v>5.5</v>
      </c>
      <c r="G27">
        <v>5.57</v>
      </c>
      <c r="H27" t="s">
        <v>452</v>
      </c>
      <c r="I27">
        <v>31.93</v>
      </c>
      <c r="J27">
        <v>223.49</v>
      </c>
      <c r="K27">
        <v>5.65</v>
      </c>
      <c r="L27">
        <v>2.0099999999999998</v>
      </c>
      <c r="M27">
        <v>9.2799999999999994</v>
      </c>
      <c r="N27">
        <v>37.03</v>
      </c>
      <c r="O27">
        <v>2.2999999999999998</v>
      </c>
      <c r="Q27" t="str">
        <f>MID(Table009__Page_4[[#This Row],[Column1]],8,2)</f>
        <v>20</v>
      </c>
    </row>
    <row r="28" spans="1:17" x14ac:dyDescent="0.3">
      <c r="A28" t="s">
        <v>500</v>
      </c>
      <c r="B28" t="s">
        <v>469</v>
      </c>
      <c r="C28" t="s">
        <v>482</v>
      </c>
      <c r="D28" t="str">
        <f>MID(Table009__Page_4[[#This Row],[Column1]],8,2)</f>
        <v>20</v>
      </c>
      <c r="E28">
        <v>3.2</v>
      </c>
      <c r="F28">
        <v>6.89</v>
      </c>
      <c r="G28">
        <v>6.96</v>
      </c>
      <c r="H28">
        <v>8.7799999999999994</v>
      </c>
      <c r="I28">
        <v>40.03</v>
      </c>
      <c r="J28">
        <v>280.2</v>
      </c>
      <c r="K28">
        <v>5.65</v>
      </c>
      <c r="L28">
        <v>2.0099999999999998</v>
      </c>
      <c r="M28">
        <v>11.47</v>
      </c>
      <c r="N28">
        <v>45.73</v>
      </c>
      <c r="O28">
        <v>2.2799999999999998</v>
      </c>
      <c r="Q28" t="str">
        <f>MID(Table009__Page_4[[#This Row],[Column1]],8,2)</f>
        <v>20</v>
      </c>
    </row>
    <row r="29" spans="1:17" x14ac:dyDescent="0.3">
      <c r="A29" t="s">
        <v>460</v>
      </c>
      <c r="B29" t="s">
        <v>470</v>
      </c>
      <c r="C29" t="s">
        <v>482</v>
      </c>
      <c r="D29" t="str">
        <f>MID(Table009__Page_4[[#This Row],[Column1]],8,2)</f>
        <v>20</v>
      </c>
      <c r="E29" t="s">
        <v>448</v>
      </c>
      <c r="F29">
        <v>4.8099999999999996</v>
      </c>
      <c r="G29">
        <v>4.88</v>
      </c>
      <c r="H29">
        <v>6.08</v>
      </c>
      <c r="I29">
        <v>30.94</v>
      </c>
      <c r="J29">
        <v>247.54</v>
      </c>
      <c r="K29">
        <v>6.38</v>
      </c>
      <c r="L29">
        <v>1.88</v>
      </c>
      <c r="M29">
        <v>7.71</v>
      </c>
      <c r="N29">
        <v>31.74</v>
      </c>
      <c r="O29">
        <v>2.2799999999999998</v>
      </c>
      <c r="Q29" t="str">
        <f>MID(Table009__Page_4[[#This Row],[Column1]],8,2)</f>
        <v>20</v>
      </c>
    </row>
    <row r="30" spans="1:17" x14ac:dyDescent="0.3">
      <c r="A30" t="s">
        <v>501</v>
      </c>
      <c r="B30" t="s">
        <v>470</v>
      </c>
      <c r="C30" t="s">
        <v>482</v>
      </c>
      <c r="D30" t="str">
        <f>MID(Table009__Page_4[[#This Row],[Column1]],8,2)</f>
        <v>20</v>
      </c>
      <c r="E30">
        <v>2.5</v>
      </c>
      <c r="F30">
        <v>5.93</v>
      </c>
      <c r="G30">
        <v>6.01</v>
      </c>
      <c r="H30">
        <v>7.5</v>
      </c>
      <c r="I30">
        <v>38.15</v>
      </c>
      <c r="J30">
        <v>305.22000000000003</v>
      </c>
      <c r="K30">
        <v>6.38</v>
      </c>
      <c r="L30">
        <v>1.89</v>
      </c>
      <c r="M30">
        <v>9.41</v>
      </c>
      <c r="N30">
        <v>38.69</v>
      </c>
      <c r="O30">
        <v>2.27</v>
      </c>
      <c r="Q30" t="str">
        <f>MID(Table009__Page_4[[#This Row],[Column1]],8,2)</f>
        <v>20</v>
      </c>
    </row>
    <row r="31" spans="1:17" x14ac:dyDescent="0.3">
      <c r="A31" t="s">
        <v>502</v>
      </c>
      <c r="B31" t="s">
        <v>470</v>
      </c>
      <c r="C31" t="s">
        <v>482</v>
      </c>
      <c r="D31" t="str">
        <f>MID(Table009__Page_4[[#This Row],[Column1]],8,2)</f>
        <v>20</v>
      </c>
      <c r="E31">
        <v>3.2</v>
      </c>
      <c r="F31">
        <v>7.44</v>
      </c>
      <c r="G31">
        <v>7.52</v>
      </c>
      <c r="H31">
        <v>9.42</v>
      </c>
      <c r="I31">
        <v>47.91</v>
      </c>
      <c r="J31">
        <v>383.25</v>
      </c>
      <c r="K31">
        <v>6.38</v>
      </c>
      <c r="L31">
        <v>1.89</v>
      </c>
      <c r="M31">
        <v>11.63</v>
      </c>
      <c r="N31">
        <v>47.79</v>
      </c>
      <c r="O31">
        <v>2.25</v>
      </c>
      <c r="Q31" t="str">
        <f>MID(Table009__Page_4[[#This Row],[Column1]],8,2)</f>
        <v>20</v>
      </c>
    </row>
    <row r="32" spans="1:17" x14ac:dyDescent="0.3">
      <c r="A32" t="s">
        <v>461</v>
      </c>
      <c r="B32" t="s">
        <v>471</v>
      </c>
      <c r="C32" t="s">
        <v>483</v>
      </c>
      <c r="D32" t="str">
        <f>MID(Table009__Page_4[[#This Row],[Column1]],8,2)</f>
        <v>20</v>
      </c>
      <c r="E32" t="s">
        <v>448</v>
      </c>
      <c r="F32">
        <v>5.41</v>
      </c>
      <c r="G32">
        <v>5.49</v>
      </c>
      <c r="H32">
        <v>6.88</v>
      </c>
      <c r="I32">
        <v>39.75</v>
      </c>
      <c r="J32">
        <v>357.79</v>
      </c>
      <c r="K32">
        <v>7.21</v>
      </c>
      <c r="L32">
        <v>2.15</v>
      </c>
      <c r="M32">
        <v>9.81</v>
      </c>
      <c r="N32">
        <v>47.59</v>
      </c>
      <c r="O32">
        <v>2.63</v>
      </c>
      <c r="Q32" t="str">
        <f>MID(Table009__Page_4[[#This Row],[Column1]],8,2)</f>
        <v>20</v>
      </c>
    </row>
    <row r="33" spans="1:17" x14ac:dyDescent="0.3">
      <c r="A33" t="s">
        <v>503</v>
      </c>
      <c r="B33" t="s">
        <v>471</v>
      </c>
      <c r="C33" t="s">
        <v>483</v>
      </c>
      <c r="D33" t="str">
        <f>MID(Table009__Page_4[[#This Row],[Column1]],8,2)</f>
        <v>20</v>
      </c>
      <c r="E33">
        <v>2.5</v>
      </c>
      <c r="F33">
        <v>6.68</v>
      </c>
      <c r="G33">
        <v>6.76</v>
      </c>
      <c r="H33">
        <v>8.5</v>
      </c>
      <c r="I33">
        <v>49.09</v>
      </c>
      <c r="J33">
        <v>441.84</v>
      </c>
      <c r="K33">
        <v>7.21</v>
      </c>
      <c r="L33">
        <v>2.15</v>
      </c>
      <c r="M33">
        <v>11.99</v>
      </c>
      <c r="N33">
        <v>58.17</v>
      </c>
      <c r="O33">
        <v>2.62</v>
      </c>
      <c r="Q33" t="str">
        <f>MID(Table009__Page_4[[#This Row],[Column1]],8,2)</f>
        <v>20</v>
      </c>
    </row>
    <row r="34" spans="1:17" x14ac:dyDescent="0.3">
      <c r="A34" t="s">
        <v>504</v>
      </c>
      <c r="B34" t="s">
        <v>471</v>
      </c>
      <c r="C34" t="s">
        <v>483</v>
      </c>
      <c r="D34" t="str">
        <f>MID(Table009__Page_4[[#This Row],[Column1]],8,2)</f>
        <v>20</v>
      </c>
      <c r="E34">
        <v>3.2</v>
      </c>
      <c r="F34">
        <v>8.4</v>
      </c>
      <c r="G34">
        <v>8.48</v>
      </c>
      <c r="H34">
        <v>10.7</v>
      </c>
      <c r="I34">
        <v>61.78</v>
      </c>
      <c r="J34">
        <v>555.99</v>
      </c>
      <c r="K34">
        <v>7.21</v>
      </c>
      <c r="L34">
        <v>2.15</v>
      </c>
      <c r="M34">
        <v>14.89</v>
      </c>
      <c r="N34">
        <v>72.16</v>
      </c>
      <c r="O34">
        <v>2.6</v>
      </c>
      <c r="Q34" t="str">
        <f>MID(Table009__Page_4[[#This Row],[Column1]],8,2)</f>
        <v>20</v>
      </c>
    </row>
    <row r="35" spans="1:17" x14ac:dyDescent="0.3">
      <c r="A35" t="s">
        <v>462</v>
      </c>
      <c r="B35" t="s">
        <v>472</v>
      </c>
      <c r="C35" t="s">
        <v>466</v>
      </c>
      <c r="D35" t="str">
        <f>MID(Table009__Page_4[[#This Row],[Column1]],8,2)</f>
        <v>20</v>
      </c>
      <c r="E35" t="s">
        <v>448</v>
      </c>
      <c r="F35">
        <v>5.88</v>
      </c>
      <c r="G35">
        <v>5.97</v>
      </c>
      <c r="H35">
        <v>7.68</v>
      </c>
      <c r="I35">
        <v>49.64</v>
      </c>
      <c r="J35">
        <v>496.36</v>
      </c>
      <c r="K35">
        <v>8.0399999999999991</v>
      </c>
      <c r="L35">
        <v>2.41</v>
      </c>
      <c r="M35">
        <v>12.12</v>
      </c>
      <c r="N35">
        <v>67.790000000000006</v>
      </c>
      <c r="O35">
        <v>2.97</v>
      </c>
      <c r="Q35" t="str">
        <f>MID(Table009__Page_4[[#This Row],[Column1]],8,2)</f>
        <v>20</v>
      </c>
    </row>
    <row r="36" spans="1:17" x14ac:dyDescent="0.3">
      <c r="A36" t="s">
        <v>505</v>
      </c>
      <c r="B36" t="s">
        <v>472</v>
      </c>
      <c r="C36" t="s">
        <v>466</v>
      </c>
      <c r="D36" t="str">
        <f>MID(Table009__Page_4[[#This Row],[Column1]],8,2)</f>
        <v>20</v>
      </c>
      <c r="E36">
        <v>2.5</v>
      </c>
      <c r="F36">
        <v>7.35</v>
      </c>
      <c r="G36">
        <v>7.44</v>
      </c>
      <c r="H36">
        <v>9.5</v>
      </c>
      <c r="I36">
        <v>61.37</v>
      </c>
      <c r="J36">
        <v>613.70000000000005</v>
      </c>
      <c r="K36">
        <v>8.0399999999999991</v>
      </c>
      <c r="L36">
        <v>2.41</v>
      </c>
      <c r="M36">
        <v>14.86</v>
      </c>
      <c r="N36">
        <v>83.06</v>
      </c>
      <c r="O36">
        <v>2.96</v>
      </c>
      <c r="Q36" t="str">
        <f>MID(Table009__Page_4[[#This Row],[Column1]],8,2)</f>
        <v>20</v>
      </c>
    </row>
    <row r="37" spans="1:17" x14ac:dyDescent="0.3">
      <c r="A37" t="s">
        <v>506</v>
      </c>
      <c r="B37" t="s">
        <v>472</v>
      </c>
      <c r="C37" t="s">
        <v>466</v>
      </c>
      <c r="D37" t="str">
        <f>MID(Table009__Page_4[[#This Row],[Column1]],8,2)</f>
        <v>20</v>
      </c>
      <c r="E37">
        <v>3.2</v>
      </c>
      <c r="F37">
        <v>9.41</v>
      </c>
      <c r="G37">
        <v>9.5</v>
      </c>
      <c r="H37">
        <v>11.98</v>
      </c>
      <c r="I37">
        <v>77.36</v>
      </c>
      <c r="J37">
        <v>773.57</v>
      </c>
      <c r="K37">
        <v>8.0399999999999991</v>
      </c>
      <c r="L37">
        <v>2.41</v>
      </c>
      <c r="M37">
        <v>18.5</v>
      </c>
      <c r="N37">
        <v>103.38</v>
      </c>
      <c r="O37">
        <v>2.94</v>
      </c>
      <c r="Q37" t="str">
        <f>MID(Table009__Page_4[[#This Row],[Column1]],8,2)</f>
        <v>20</v>
      </c>
    </row>
    <row r="38" spans="1:17" x14ac:dyDescent="0.3">
      <c r="A38" t="s">
        <v>463</v>
      </c>
      <c r="B38" t="s">
        <v>473</v>
      </c>
      <c r="C38" t="s">
        <v>466</v>
      </c>
      <c r="D38" t="str">
        <f>MID(Table009__Page_4[[#This Row],[Column1]],8,2)</f>
        <v>20</v>
      </c>
      <c r="E38" t="s">
        <v>448</v>
      </c>
      <c r="F38">
        <v>6.35</v>
      </c>
      <c r="G38">
        <v>6.45</v>
      </c>
      <c r="H38">
        <v>8.08</v>
      </c>
      <c r="I38">
        <v>56.27</v>
      </c>
      <c r="J38">
        <v>618.92999999999995</v>
      </c>
      <c r="K38">
        <v>8.75</v>
      </c>
      <c r="L38">
        <v>2.2999999999999998</v>
      </c>
      <c r="M38">
        <v>12.24</v>
      </c>
      <c r="N38">
        <v>69.819999999999993</v>
      </c>
      <c r="O38">
        <v>2.94</v>
      </c>
      <c r="Q38" t="str">
        <f>MID(Table009__Page_4[[#This Row],[Column1]],8,2)</f>
        <v>20</v>
      </c>
    </row>
    <row r="39" spans="1:17" x14ac:dyDescent="0.3">
      <c r="A39" t="s">
        <v>507</v>
      </c>
      <c r="B39" t="s">
        <v>473</v>
      </c>
      <c r="C39" t="s">
        <v>466</v>
      </c>
      <c r="D39" t="str">
        <f>MID(Table009__Page_4[[#This Row],[Column1]],8,2)</f>
        <v>20</v>
      </c>
      <c r="E39">
        <v>2.5</v>
      </c>
      <c r="F39">
        <v>7.86</v>
      </c>
      <c r="G39">
        <v>7.96</v>
      </c>
      <c r="H39" t="s">
        <v>453</v>
      </c>
      <c r="I39">
        <v>69.61</v>
      </c>
      <c r="J39">
        <v>765.68</v>
      </c>
      <c r="K39">
        <v>8.75</v>
      </c>
      <c r="L39">
        <v>2.2999999999999998</v>
      </c>
      <c r="M39">
        <v>15.01</v>
      </c>
      <c r="N39">
        <v>85.55</v>
      </c>
      <c r="O39">
        <v>2.92</v>
      </c>
      <c r="Q39" t="str">
        <f>MID(Table009__Page_4[[#This Row],[Column1]],8,2)</f>
        <v>20</v>
      </c>
    </row>
    <row r="40" spans="1:17" x14ac:dyDescent="0.3">
      <c r="A40" t="s">
        <v>508</v>
      </c>
      <c r="B40" t="s">
        <v>473</v>
      </c>
      <c r="C40" t="s">
        <v>466</v>
      </c>
      <c r="D40" t="str">
        <f>MID(Table009__Page_4[[#This Row],[Column1]],8,2)</f>
        <v>20</v>
      </c>
      <c r="E40">
        <v>3.2</v>
      </c>
      <c r="F40">
        <v>9.9600000000000009</v>
      </c>
      <c r="G40">
        <v>10.06</v>
      </c>
      <c r="H40">
        <v>12.62</v>
      </c>
      <c r="I40">
        <v>87.81</v>
      </c>
      <c r="J40">
        <v>965.91</v>
      </c>
      <c r="K40">
        <v>8.75</v>
      </c>
      <c r="L40">
        <v>2.2999999999999998</v>
      </c>
      <c r="M40">
        <v>18.690000000000001</v>
      </c>
      <c r="N40">
        <v>106.47</v>
      </c>
      <c r="O40">
        <v>2.9</v>
      </c>
      <c r="Q40" t="str">
        <f>MID(Table009__Page_4[[#This Row],[Column1]],8,2)</f>
        <v>20</v>
      </c>
    </row>
    <row r="41" spans="1:17" x14ac:dyDescent="0.3">
      <c r="A41" t="s">
        <v>509</v>
      </c>
      <c r="B41" t="s">
        <v>474</v>
      </c>
      <c r="C41" t="s">
        <v>466</v>
      </c>
      <c r="D41" t="str">
        <f>MID(Table009__Page_4[[#This Row],[Column1]],8,2)</f>
        <v>25</v>
      </c>
      <c r="E41">
        <v>2.5</v>
      </c>
      <c r="F41">
        <v>8.4499999999999993</v>
      </c>
      <c r="G41">
        <v>8.5500000000000007</v>
      </c>
      <c r="H41">
        <v>10.55</v>
      </c>
      <c r="I41">
        <v>76.25</v>
      </c>
      <c r="J41">
        <v>914.98</v>
      </c>
      <c r="K41">
        <v>9.31</v>
      </c>
      <c r="L41">
        <v>2.2799999999999998</v>
      </c>
      <c r="M41">
        <v>14.53</v>
      </c>
      <c r="N41">
        <v>85.68</v>
      </c>
      <c r="O41">
        <v>2.83</v>
      </c>
      <c r="Q41" t="str">
        <f>MID(Table009__Page_4[[#This Row],[Column1]],8,2)</f>
        <v>25</v>
      </c>
    </row>
    <row r="42" spans="1:17" x14ac:dyDescent="0.3">
      <c r="A42" t="s">
        <v>510</v>
      </c>
      <c r="B42" t="s">
        <v>474</v>
      </c>
      <c r="C42" t="s">
        <v>466</v>
      </c>
      <c r="D42" t="str">
        <f>MID(Table009__Page_4[[#This Row],[Column1]],8,2)</f>
        <v>25</v>
      </c>
      <c r="E42">
        <v>3.2</v>
      </c>
      <c r="F42">
        <v>10.71</v>
      </c>
      <c r="G42">
        <v>10.82</v>
      </c>
      <c r="H42">
        <v>13.41</v>
      </c>
      <c r="I42">
        <v>95.53</v>
      </c>
      <c r="J42" t="s">
        <v>511</v>
      </c>
      <c r="K42">
        <v>9.25</v>
      </c>
      <c r="L42">
        <v>2.2799999999999998</v>
      </c>
      <c r="M42">
        <v>17.850000000000001</v>
      </c>
      <c r="N42">
        <v>106.16</v>
      </c>
      <c r="O42">
        <v>2.79</v>
      </c>
      <c r="Q42" t="str">
        <f>MID(Table009__Page_4[[#This Row],[Column1]],8,2)</f>
        <v>25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DB8B6-0580-4360-9838-B5957651259D}">
  <dimension ref="A1:O206"/>
  <sheetViews>
    <sheetView workbookViewId="0">
      <pane ySplit="4" topLeftCell="A5" activePane="bottomLeft" state="frozen"/>
      <selection pane="bottomLeft" activeCell="A5" sqref="A5:O206"/>
    </sheetView>
  </sheetViews>
  <sheetFormatPr baseColWidth="10" defaultRowHeight="14.4" x14ac:dyDescent="0.3"/>
  <cols>
    <col min="1" max="1" width="18" customWidth="1"/>
    <col min="10" max="15" width="12.44140625" customWidth="1"/>
  </cols>
  <sheetData>
    <row r="1" spans="1:15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</row>
    <row r="2" spans="1:15" ht="43.2" x14ac:dyDescent="0.3">
      <c r="A2" s="57" t="s">
        <v>111</v>
      </c>
      <c r="B2" s="35" t="s">
        <v>112</v>
      </c>
      <c r="C2" s="35" t="s">
        <v>113</v>
      </c>
      <c r="D2" s="35" t="s">
        <v>114</v>
      </c>
      <c r="E2" s="35" t="s">
        <v>115</v>
      </c>
      <c r="F2" s="35" t="s">
        <v>116</v>
      </c>
      <c r="G2" s="35" t="s">
        <v>117</v>
      </c>
      <c r="H2" s="35" t="s">
        <v>118</v>
      </c>
      <c r="I2" s="35" t="s">
        <v>119</v>
      </c>
      <c r="J2" s="57" t="s">
        <v>120</v>
      </c>
      <c r="K2" s="57"/>
      <c r="L2" s="57" t="s">
        <v>121</v>
      </c>
      <c r="M2" s="57"/>
      <c r="N2" s="57" t="s">
        <v>122</v>
      </c>
      <c r="O2" s="57"/>
    </row>
    <row r="3" spans="1:15" ht="15.6" x14ac:dyDescent="0.3">
      <c r="A3" s="57"/>
      <c r="B3" s="36" t="s">
        <v>10</v>
      </c>
      <c r="C3" s="36" t="s">
        <v>9</v>
      </c>
      <c r="D3" s="36" t="s">
        <v>110</v>
      </c>
      <c r="E3" s="36" t="s">
        <v>123</v>
      </c>
      <c r="F3" s="36" t="s">
        <v>6</v>
      </c>
      <c r="G3" s="36" t="s">
        <v>124</v>
      </c>
      <c r="H3" s="36" t="s">
        <v>1</v>
      </c>
      <c r="I3" s="36" t="s">
        <v>125</v>
      </c>
      <c r="J3" s="36" t="s">
        <v>126</v>
      </c>
      <c r="K3" s="36" t="s">
        <v>127</v>
      </c>
      <c r="L3" s="36" t="s">
        <v>128</v>
      </c>
      <c r="M3" s="36" t="s">
        <v>129</v>
      </c>
      <c r="N3" s="36" t="s">
        <v>130</v>
      </c>
      <c r="O3" s="36" t="s">
        <v>131</v>
      </c>
    </row>
    <row r="4" spans="1:15" ht="16.2" x14ac:dyDescent="0.3">
      <c r="A4" s="57"/>
      <c r="B4" s="36" t="s">
        <v>13</v>
      </c>
      <c r="C4" s="36" t="s">
        <v>13</v>
      </c>
      <c r="D4" s="36" t="s">
        <v>13</v>
      </c>
      <c r="E4" s="36" t="s">
        <v>13</v>
      </c>
      <c r="F4" s="36" t="s">
        <v>13</v>
      </c>
      <c r="G4" s="36" t="s">
        <v>23</v>
      </c>
      <c r="H4" s="36" t="s">
        <v>132</v>
      </c>
      <c r="I4" s="36" t="s">
        <v>5</v>
      </c>
      <c r="J4" s="36" t="s">
        <v>65</v>
      </c>
      <c r="K4" s="36" t="s">
        <v>65</v>
      </c>
      <c r="L4" s="36" t="s">
        <v>133</v>
      </c>
      <c r="M4" s="36" t="s">
        <v>133</v>
      </c>
      <c r="N4" s="36" t="s">
        <v>5</v>
      </c>
      <c r="O4" s="36" t="s">
        <v>5</v>
      </c>
    </row>
    <row r="5" spans="1:15" x14ac:dyDescent="0.3">
      <c r="A5" t="s">
        <v>134</v>
      </c>
      <c r="B5">
        <v>80</v>
      </c>
      <c r="C5">
        <v>40</v>
      </c>
      <c r="D5">
        <v>15</v>
      </c>
      <c r="E5">
        <v>1.6</v>
      </c>
      <c r="F5">
        <v>1.6</v>
      </c>
      <c r="G5">
        <v>2.87</v>
      </c>
      <c r="H5">
        <v>2.25</v>
      </c>
      <c r="I5">
        <v>1.31</v>
      </c>
      <c r="J5">
        <v>29.03</v>
      </c>
      <c r="K5">
        <v>6.73</v>
      </c>
      <c r="L5">
        <v>7.26</v>
      </c>
      <c r="M5">
        <v>2.66</v>
      </c>
      <c r="N5">
        <v>3.18</v>
      </c>
      <c r="O5">
        <v>1.53</v>
      </c>
    </row>
    <row r="6" spans="1:15" x14ac:dyDescent="0.3">
      <c r="A6" t="s">
        <v>135</v>
      </c>
      <c r="B6">
        <v>80</v>
      </c>
      <c r="C6">
        <v>40</v>
      </c>
      <c r="D6">
        <v>15</v>
      </c>
      <c r="E6">
        <v>1.8</v>
      </c>
      <c r="F6">
        <v>1.8</v>
      </c>
      <c r="G6">
        <v>3.21</v>
      </c>
      <c r="H6">
        <v>2.52</v>
      </c>
      <c r="I6">
        <v>1.28</v>
      </c>
      <c r="J6">
        <v>32.21</v>
      </c>
      <c r="K6">
        <v>7.43</v>
      </c>
      <c r="L6">
        <v>8.0500000000000007</v>
      </c>
      <c r="M6">
        <v>2.93</v>
      </c>
      <c r="N6">
        <v>3.17</v>
      </c>
      <c r="O6">
        <v>1.52</v>
      </c>
    </row>
    <row r="7" spans="1:15" x14ac:dyDescent="0.3">
      <c r="A7" t="s">
        <v>136</v>
      </c>
      <c r="B7">
        <v>80</v>
      </c>
      <c r="C7">
        <v>40</v>
      </c>
      <c r="D7">
        <v>15</v>
      </c>
      <c r="E7">
        <v>2</v>
      </c>
      <c r="F7">
        <v>2</v>
      </c>
      <c r="G7">
        <v>3.54</v>
      </c>
      <c r="H7">
        <v>2.78</v>
      </c>
      <c r="I7">
        <v>1.26</v>
      </c>
      <c r="J7">
        <v>35.25</v>
      </c>
      <c r="K7">
        <v>8.07</v>
      </c>
      <c r="L7">
        <v>8.81</v>
      </c>
      <c r="M7">
        <v>3.18</v>
      </c>
      <c r="N7">
        <v>3.16</v>
      </c>
      <c r="O7">
        <v>1.51</v>
      </c>
    </row>
    <row r="8" spans="1:15" x14ac:dyDescent="0.3">
      <c r="A8" t="s">
        <v>137</v>
      </c>
      <c r="B8">
        <v>80</v>
      </c>
      <c r="C8">
        <v>50</v>
      </c>
      <c r="D8">
        <v>15</v>
      </c>
      <c r="E8">
        <v>1.6</v>
      </c>
      <c r="F8">
        <v>1.6</v>
      </c>
      <c r="G8">
        <v>3.19</v>
      </c>
      <c r="H8">
        <v>2.5099999999999998</v>
      </c>
      <c r="I8">
        <v>1.73</v>
      </c>
      <c r="J8">
        <v>33.950000000000003</v>
      </c>
      <c r="K8">
        <v>11.46</v>
      </c>
      <c r="L8">
        <v>8.49</v>
      </c>
      <c r="M8">
        <v>3.69</v>
      </c>
      <c r="N8">
        <v>3.26</v>
      </c>
      <c r="O8">
        <v>1.89</v>
      </c>
    </row>
    <row r="9" spans="1:15" x14ac:dyDescent="0.3">
      <c r="A9" t="s">
        <v>138</v>
      </c>
      <c r="B9">
        <v>80</v>
      </c>
      <c r="C9">
        <v>50</v>
      </c>
      <c r="D9">
        <v>15</v>
      </c>
      <c r="E9">
        <v>2</v>
      </c>
      <c r="F9">
        <v>2</v>
      </c>
      <c r="G9">
        <v>3.94</v>
      </c>
      <c r="H9">
        <v>3.09</v>
      </c>
      <c r="I9">
        <v>1.69</v>
      </c>
      <c r="J9">
        <v>41.33</v>
      </c>
      <c r="K9">
        <v>13.82</v>
      </c>
      <c r="L9">
        <v>10.33</v>
      </c>
      <c r="M9">
        <v>4.4400000000000004</v>
      </c>
      <c r="N9">
        <v>3.24</v>
      </c>
      <c r="O9">
        <v>1.87</v>
      </c>
    </row>
    <row r="10" spans="1:15" x14ac:dyDescent="0.3">
      <c r="A10" t="s">
        <v>139</v>
      </c>
      <c r="B10">
        <v>80</v>
      </c>
      <c r="C10">
        <v>50</v>
      </c>
      <c r="D10">
        <v>20</v>
      </c>
      <c r="E10">
        <v>1.6</v>
      </c>
      <c r="F10">
        <v>1.6</v>
      </c>
      <c r="G10">
        <v>3.35</v>
      </c>
      <c r="H10">
        <v>2.63</v>
      </c>
      <c r="I10">
        <v>1.88</v>
      </c>
      <c r="J10">
        <v>34.76</v>
      </c>
      <c r="K10">
        <v>12.85</v>
      </c>
      <c r="L10">
        <v>8.69</v>
      </c>
      <c r="M10">
        <v>4.34</v>
      </c>
      <c r="N10">
        <v>3.22</v>
      </c>
      <c r="O10">
        <v>1.96</v>
      </c>
    </row>
    <row r="11" spans="1:15" x14ac:dyDescent="0.3">
      <c r="A11" t="s">
        <v>140</v>
      </c>
      <c r="B11">
        <v>80</v>
      </c>
      <c r="C11">
        <v>50</v>
      </c>
      <c r="D11">
        <v>20</v>
      </c>
      <c r="E11">
        <v>2</v>
      </c>
      <c r="F11">
        <v>2</v>
      </c>
      <c r="G11">
        <v>4.1399999999999997</v>
      </c>
      <c r="H11">
        <v>3.25</v>
      </c>
      <c r="I11">
        <v>1.84</v>
      </c>
      <c r="J11">
        <v>42.35</v>
      </c>
      <c r="K11">
        <v>15.54</v>
      </c>
      <c r="L11">
        <v>10.59</v>
      </c>
      <c r="M11">
        <v>5.24</v>
      </c>
      <c r="N11">
        <v>3.2</v>
      </c>
      <c r="O11">
        <v>1.94</v>
      </c>
    </row>
    <row r="12" spans="1:15" x14ac:dyDescent="0.3">
      <c r="A12" t="s">
        <v>141</v>
      </c>
      <c r="B12">
        <v>100</v>
      </c>
      <c r="C12">
        <v>40</v>
      </c>
      <c r="D12">
        <v>15</v>
      </c>
      <c r="E12">
        <v>1.6</v>
      </c>
      <c r="F12">
        <v>1.6</v>
      </c>
      <c r="G12">
        <v>3.19</v>
      </c>
      <c r="H12">
        <v>2.5099999999999998</v>
      </c>
      <c r="I12">
        <v>1.17</v>
      </c>
      <c r="J12">
        <v>48.97</v>
      </c>
      <c r="K12">
        <v>7.3</v>
      </c>
      <c r="L12">
        <v>9.7899999999999991</v>
      </c>
      <c r="M12">
        <v>2.73</v>
      </c>
      <c r="N12">
        <v>3.92</v>
      </c>
      <c r="O12">
        <v>1.51</v>
      </c>
    </row>
    <row r="13" spans="1:15" x14ac:dyDescent="0.3">
      <c r="A13" t="s">
        <v>142</v>
      </c>
      <c r="B13">
        <v>100</v>
      </c>
      <c r="C13">
        <v>40</v>
      </c>
      <c r="D13">
        <v>15</v>
      </c>
      <c r="E13">
        <v>2</v>
      </c>
      <c r="F13">
        <v>2</v>
      </c>
      <c r="G13">
        <v>3.94</v>
      </c>
      <c r="H13">
        <v>3.09</v>
      </c>
      <c r="I13">
        <v>1.1200000000000001</v>
      </c>
      <c r="J13">
        <v>59.66</v>
      </c>
      <c r="K13">
        <v>8.76</v>
      </c>
      <c r="L13">
        <v>11.93</v>
      </c>
      <c r="M13">
        <v>3.27</v>
      </c>
      <c r="N13">
        <v>3.89</v>
      </c>
      <c r="O13">
        <v>1.49</v>
      </c>
    </row>
    <row r="14" spans="1:15" x14ac:dyDescent="0.3">
      <c r="A14" t="s">
        <v>143</v>
      </c>
      <c r="B14">
        <v>100</v>
      </c>
      <c r="C14">
        <v>45</v>
      </c>
      <c r="D14">
        <v>10</v>
      </c>
      <c r="E14">
        <v>1.6</v>
      </c>
      <c r="F14">
        <v>1.6</v>
      </c>
      <c r="G14">
        <v>3.19</v>
      </c>
      <c r="H14">
        <v>2.5099999999999998</v>
      </c>
      <c r="I14">
        <v>1.22</v>
      </c>
      <c r="J14">
        <v>50.59</v>
      </c>
      <c r="K14">
        <v>8.25</v>
      </c>
      <c r="L14">
        <v>10.119999999999999</v>
      </c>
      <c r="M14">
        <v>2.52</v>
      </c>
      <c r="N14">
        <v>3.98</v>
      </c>
      <c r="O14">
        <v>1.61</v>
      </c>
    </row>
    <row r="15" spans="1:15" x14ac:dyDescent="0.3">
      <c r="A15" t="s">
        <v>144</v>
      </c>
      <c r="B15">
        <v>100</v>
      </c>
      <c r="C15">
        <v>45</v>
      </c>
      <c r="D15">
        <v>10</v>
      </c>
      <c r="E15">
        <v>2</v>
      </c>
      <c r="F15">
        <v>2</v>
      </c>
      <c r="G15">
        <v>3.94</v>
      </c>
      <c r="H15">
        <v>3.09</v>
      </c>
      <c r="I15">
        <v>1.18</v>
      </c>
      <c r="J15">
        <v>61.65</v>
      </c>
      <c r="K15">
        <v>9.89</v>
      </c>
      <c r="L15">
        <v>12.33</v>
      </c>
      <c r="M15">
        <v>3.47</v>
      </c>
      <c r="N15">
        <v>3.96</v>
      </c>
      <c r="O15">
        <v>1.58</v>
      </c>
    </row>
    <row r="16" spans="1:15" x14ac:dyDescent="0.3">
      <c r="A16" t="s">
        <v>145</v>
      </c>
      <c r="B16">
        <v>100</v>
      </c>
      <c r="C16">
        <v>45</v>
      </c>
      <c r="D16">
        <v>15</v>
      </c>
      <c r="E16">
        <v>1.6</v>
      </c>
      <c r="F16">
        <v>1.6</v>
      </c>
      <c r="G16">
        <v>3.35</v>
      </c>
      <c r="H16">
        <v>2.63</v>
      </c>
      <c r="I16">
        <v>1.36</v>
      </c>
      <c r="J16">
        <v>52.85</v>
      </c>
      <c r="K16">
        <v>9.66</v>
      </c>
      <c r="L16">
        <v>10.57</v>
      </c>
      <c r="M16">
        <v>3.08</v>
      </c>
      <c r="N16">
        <v>3.97</v>
      </c>
      <c r="O16">
        <v>1.7</v>
      </c>
    </row>
    <row r="17" spans="1:15" x14ac:dyDescent="0.3">
      <c r="A17" t="s">
        <v>146</v>
      </c>
      <c r="B17">
        <v>100</v>
      </c>
      <c r="C17">
        <v>45</v>
      </c>
      <c r="D17">
        <v>15</v>
      </c>
      <c r="E17">
        <v>2</v>
      </c>
      <c r="F17">
        <v>2</v>
      </c>
      <c r="G17">
        <v>4.1399999999999997</v>
      </c>
      <c r="H17">
        <v>3.25</v>
      </c>
      <c r="I17">
        <v>1.32</v>
      </c>
      <c r="J17">
        <v>64.459999999999994</v>
      </c>
      <c r="K17">
        <v>11.63</v>
      </c>
      <c r="L17">
        <v>12.89</v>
      </c>
      <c r="M17">
        <v>3.66</v>
      </c>
      <c r="N17">
        <v>3.95</v>
      </c>
      <c r="O17">
        <v>1.68</v>
      </c>
    </row>
    <row r="18" spans="1:15" x14ac:dyDescent="0.3">
      <c r="A18" t="s">
        <v>147</v>
      </c>
      <c r="B18">
        <v>100</v>
      </c>
      <c r="C18">
        <v>50</v>
      </c>
      <c r="D18">
        <v>15</v>
      </c>
      <c r="E18">
        <v>1.6</v>
      </c>
      <c r="F18">
        <v>1.6</v>
      </c>
      <c r="G18">
        <v>3.51</v>
      </c>
      <c r="H18">
        <v>2.76</v>
      </c>
      <c r="I18">
        <v>1.57</v>
      </c>
      <c r="J18">
        <v>56.7</v>
      </c>
      <c r="K18">
        <v>12.41</v>
      </c>
      <c r="L18">
        <v>11.34</v>
      </c>
      <c r="M18">
        <v>3.79</v>
      </c>
      <c r="N18">
        <v>4.0199999999999996</v>
      </c>
      <c r="O18">
        <v>1.88</v>
      </c>
    </row>
    <row r="19" spans="1:15" x14ac:dyDescent="0.3">
      <c r="A19" t="s">
        <v>148</v>
      </c>
      <c r="B19">
        <v>100</v>
      </c>
      <c r="C19">
        <v>50</v>
      </c>
      <c r="D19">
        <v>15</v>
      </c>
      <c r="E19">
        <v>1.8</v>
      </c>
      <c r="F19">
        <v>1.8</v>
      </c>
      <c r="G19">
        <v>3.93</v>
      </c>
      <c r="H19">
        <v>3.08</v>
      </c>
      <c r="I19">
        <v>1.55</v>
      </c>
      <c r="J19">
        <v>63.07</v>
      </c>
      <c r="K19">
        <v>13.74</v>
      </c>
      <c r="L19">
        <v>12.61</v>
      </c>
      <c r="M19">
        <v>4.2</v>
      </c>
      <c r="N19">
        <v>4.01</v>
      </c>
      <c r="O19">
        <v>1.87</v>
      </c>
    </row>
    <row r="20" spans="1:15" x14ac:dyDescent="0.3">
      <c r="A20" t="s">
        <v>149</v>
      </c>
      <c r="B20">
        <v>100</v>
      </c>
      <c r="C20">
        <v>50</v>
      </c>
      <c r="D20">
        <v>15</v>
      </c>
      <c r="E20">
        <v>2</v>
      </c>
      <c r="F20">
        <v>2</v>
      </c>
      <c r="G20">
        <v>4.34</v>
      </c>
      <c r="H20">
        <v>3.4</v>
      </c>
      <c r="I20">
        <v>1.53</v>
      </c>
      <c r="J20">
        <v>69.23</v>
      </c>
      <c r="K20">
        <v>14.98</v>
      </c>
      <c r="L20">
        <v>13.85</v>
      </c>
      <c r="M20">
        <v>4.57</v>
      </c>
      <c r="N20">
        <v>4</v>
      </c>
      <c r="O20">
        <v>1.86</v>
      </c>
    </row>
    <row r="21" spans="1:15" x14ac:dyDescent="0.3">
      <c r="A21" t="s">
        <v>150</v>
      </c>
      <c r="B21">
        <v>100</v>
      </c>
      <c r="C21">
        <v>50</v>
      </c>
      <c r="D21">
        <v>15</v>
      </c>
      <c r="E21">
        <v>2.5</v>
      </c>
      <c r="F21">
        <v>2.5</v>
      </c>
      <c r="G21">
        <v>5.34</v>
      </c>
      <c r="H21">
        <v>4.1900000000000004</v>
      </c>
      <c r="I21">
        <v>1.47</v>
      </c>
      <c r="J21">
        <v>83.99</v>
      </c>
      <c r="K21">
        <v>17.899999999999999</v>
      </c>
      <c r="L21">
        <v>16.8</v>
      </c>
      <c r="M21">
        <v>5.46</v>
      </c>
      <c r="N21">
        <v>3.97</v>
      </c>
      <c r="O21">
        <v>1.83</v>
      </c>
    </row>
    <row r="22" spans="1:15" x14ac:dyDescent="0.3">
      <c r="A22" t="s">
        <v>151</v>
      </c>
      <c r="B22">
        <v>100</v>
      </c>
      <c r="C22">
        <v>50</v>
      </c>
      <c r="D22">
        <v>20</v>
      </c>
      <c r="E22">
        <v>1.6</v>
      </c>
      <c r="F22">
        <v>1.6</v>
      </c>
      <c r="G22">
        <v>3.67</v>
      </c>
      <c r="H22">
        <v>2.88</v>
      </c>
      <c r="I22">
        <v>1.71</v>
      </c>
      <c r="J22">
        <v>58.39</v>
      </c>
      <c r="K22">
        <v>13.97</v>
      </c>
      <c r="L22">
        <v>11.68</v>
      </c>
      <c r="M22">
        <v>4.46</v>
      </c>
      <c r="N22">
        <v>3.99</v>
      </c>
      <c r="O22">
        <v>1.95</v>
      </c>
    </row>
    <row r="23" spans="1:15" x14ac:dyDescent="0.3">
      <c r="A23" t="s">
        <v>152</v>
      </c>
      <c r="B23">
        <v>100</v>
      </c>
      <c r="C23">
        <v>50</v>
      </c>
      <c r="D23">
        <v>20</v>
      </c>
      <c r="E23">
        <v>2</v>
      </c>
      <c r="F23">
        <v>2</v>
      </c>
      <c r="G23">
        <v>4.54</v>
      </c>
      <c r="H23">
        <v>3.56</v>
      </c>
      <c r="I23">
        <v>1.67</v>
      </c>
      <c r="J23">
        <v>71.349999999999994</v>
      </c>
      <c r="K23">
        <v>16.91</v>
      </c>
      <c r="L23">
        <v>14.27</v>
      </c>
      <c r="M23">
        <v>5.39</v>
      </c>
      <c r="N23">
        <v>3.97</v>
      </c>
      <c r="O23">
        <v>1.93</v>
      </c>
    </row>
    <row r="24" spans="1:15" x14ac:dyDescent="0.3">
      <c r="A24" t="s">
        <v>153</v>
      </c>
      <c r="B24">
        <v>100</v>
      </c>
      <c r="C24">
        <v>50</v>
      </c>
      <c r="D24">
        <v>20</v>
      </c>
      <c r="E24">
        <v>2.5</v>
      </c>
      <c r="F24">
        <v>2.5</v>
      </c>
      <c r="G24">
        <v>5.59</v>
      </c>
      <c r="H24">
        <v>4.3899999999999997</v>
      </c>
      <c r="I24">
        <v>1.61</v>
      </c>
      <c r="J24">
        <v>86.64</v>
      </c>
      <c r="K24">
        <v>20.28</v>
      </c>
      <c r="L24">
        <v>17.329999999999998</v>
      </c>
      <c r="M24">
        <v>6.46</v>
      </c>
      <c r="N24">
        <v>3.94</v>
      </c>
      <c r="O24">
        <v>1.9</v>
      </c>
    </row>
    <row r="25" spans="1:15" x14ac:dyDescent="0.3">
      <c r="A25" t="s">
        <v>154</v>
      </c>
      <c r="B25">
        <v>120</v>
      </c>
      <c r="C25">
        <v>50</v>
      </c>
      <c r="D25">
        <v>15</v>
      </c>
      <c r="E25">
        <v>1.6</v>
      </c>
      <c r="F25">
        <v>1.6</v>
      </c>
      <c r="G25">
        <v>3.83</v>
      </c>
      <c r="H25">
        <v>3.01</v>
      </c>
      <c r="I25">
        <v>1.43</v>
      </c>
      <c r="J25">
        <v>86.48</v>
      </c>
      <c r="K25">
        <v>13.21</v>
      </c>
      <c r="L25">
        <v>14.41</v>
      </c>
      <c r="M25">
        <v>3.87</v>
      </c>
      <c r="N25">
        <v>4.75</v>
      </c>
      <c r="O25">
        <v>1.86</v>
      </c>
    </row>
    <row r="26" spans="1:15" x14ac:dyDescent="0.3">
      <c r="A26" t="s">
        <v>155</v>
      </c>
      <c r="B26">
        <v>120</v>
      </c>
      <c r="C26">
        <v>50</v>
      </c>
      <c r="D26">
        <v>15</v>
      </c>
      <c r="E26">
        <v>1.8</v>
      </c>
      <c r="F26">
        <v>1.8</v>
      </c>
      <c r="G26">
        <v>4.29</v>
      </c>
      <c r="H26">
        <v>3.37</v>
      </c>
      <c r="I26">
        <v>1.41</v>
      </c>
      <c r="J26">
        <v>96.28</v>
      </c>
      <c r="K26">
        <v>14.62</v>
      </c>
      <c r="L26">
        <v>16.05</v>
      </c>
      <c r="M26">
        <v>4.29</v>
      </c>
      <c r="N26">
        <v>4.74</v>
      </c>
      <c r="O26">
        <v>1.85</v>
      </c>
    </row>
    <row r="27" spans="1:15" x14ac:dyDescent="0.3">
      <c r="A27" t="s">
        <v>156</v>
      </c>
      <c r="B27">
        <v>120</v>
      </c>
      <c r="C27">
        <v>50</v>
      </c>
      <c r="D27">
        <v>15</v>
      </c>
      <c r="E27">
        <v>2</v>
      </c>
      <c r="F27">
        <v>2</v>
      </c>
      <c r="G27">
        <v>4.74</v>
      </c>
      <c r="H27">
        <v>3.72</v>
      </c>
      <c r="I27">
        <v>1.39</v>
      </c>
      <c r="J27">
        <v>105.8</v>
      </c>
      <c r="K27">
        <v>15.95</v>
      </c>
      <c r="L27">
        <v>17.63</v>
      </c>
      <c r="M27">
        <v>4.67</v>
      </c>
      <c r="N27">
        <v>4.7300000000000004</v>
      </c>
      <c r="O27">
        <v>1.83</v>
      </c>
    </row>
    <row r="28" spans="1:15" x14ac:dyDescent="0.3">
      <c r="A28" t="s">
        <v>157</v>
      </c>
      <c r="B28">
        <v>120</v>
      </c>
      <c r="C28">
        <v>50</v>
      </c>
      <c r="D28">
        <v>15</v>
      </c>
      <c r="E28">
        <v>2.5</v>
      </c>
      <c r="F28">
        <v>2.5</v>
      </c>
      <c r="G28">
        <v>5.84</v>
      </c>
      <c r="H28">
        <v>4.58</v>
      </c>
      <c r="I28">
        <v>1.39</v>
      </c>
      <c r="J28">
        <v>128.78</v>
      </c>
      <c r="K28">
        <v>19.11</v>
      </c>
      <c r="L28">
        <v>21.46</v>
      </c>
      <c r="M28">
        <v>5.6</v>
      </c>
      <c r="N28">
        <v>4.7</v>
      </c>
      <c r="O28">
        <v>1.81</v>
      </c>
    </row>
    <row r="29" spans="1:15" x14ac:dyDescent="0.3">
      <c r="A29" t="s">
        <v>158</v>
      </c>
      <c r="B29">
        <v>120</v>
      </c>
      <c r="C29">
        <v>50</v>
      </c>
      <c r="D29">
        <v>15</v>
      </c>
      <c r="E29">
        <v>3.2</v>
      </c>
      <c r="F29">
        <v>3.2</v>
      </c>
      <c r="G29">
        <v>7.33</v>
      </c>
      <c r="H29">
        <v>5.75</v>
      </c>
      <c r="I29">
        <v>1.26</v>
      </c>
      <c r="J29">
        <v>158.61000000000001</v>
      </c>
      <c r="K29">
        <v>22.98</v>
      </c>
      <c r="L29">
        <v>26.44</v>
      </c>
      <c r="M29">
        <v>6.72</v>
      </c>
      <c r="N29">
        <v>4.6500000000000004</v>
      </c>
      <c r="O29">
        <v>1.77</v>
      </c>
    </row>
    <row r="30" spans="1:15" x14ac:dyDescent="0.3">
      <c r="A30" t="s">
        <v>159</v>
      </c>
      <c r="B30">
        <v>120</v>
      </c>
      <c r="C30">
        <v>50</v>
      </c>
      <c r="D30">
        <v>20</v>
      </c>
      <c r="E30">
        <v>1.6</v>
      </c>
      <c r="F30">
        <v>1.6</v>
      </c>
      <c r="G30">
        <v>3.99</v>
      </c>
      <c r="H30">
        <v>3.13</v>
      </c>
      <c r="I30">
        <v>1.56</v>
      </c>
      <c r="J30">
        <v>89.37</v>
      </c>
      <c r="K30">
        <v>14.91</v>
      </c>
      <c r="L30">
        <v>14.89</v>
      </c>
      <c r="M30">
        <v>4.55</v>
      </c>
      <c r="N30">
        <v>4.7300000000000004</v>
      </c>
      <c r="O30">
        <v>1.93</v>
      </c>
    </row>
    <row r="31" spans="1:15" x14ac:dyDescent="0.3">
      <c r="A31" t="s">
        <v>160</v>
      </c>
      <c r="B31">
        <v>120</v>
      </c>
      <c r="C31">
        <v>50</v>
      </c>
      <c r="D31">
        <v>20</v>
      </c>
      <c r="E31">
        <v>2</v>
      </c>
      <c r="F31">
        <v>2</v>
      </c>
      <c r="G31">
        <v>4.9400000000000004</v>
      </c>
      <c r="H31">
        <v>3.88</v>
      </c>
      <c r="I31">
        <v>1.52</v>
      </c>
      <c r="J31">
        <v>109.42</v>
      </c>
      <c r="K31">
        <v>18.05</v>
      </c>
      <c r="L31">
        <v>18.239999999999998</v>
      </c>
      <c r="M31">
        <v>5.51</v>
      </c>
      <c r="N31">
        <v>4.71</v>
      </c>
      <c r="O31">
        <v>1.91</v>
      </c>
    </row>
    <row r="32" spans="1:15" x14ac:dyDescent="0.3">
      <c r="A32" t="s">
        <v>161</v>
      </c>
      <c r="B32">
        <v>120</v>
      </c>
      <c r="C32">
        <v>50</v>
      </c>
      <c r="D32">
        <v>20</v>
      </c>
      <c r="E32">
        <v>2.5</v>
      </c>
      <c r="F32">
        <v>2.5</v>
      </c>
      <c r="G32">
        <v>6.09</v>
      </c>
      <c r="H32">
        <v>4.78</v>
      </c>
      <c r="I32">
        <v>1.47</v>
      </c>
      <c r="J32">
        <v>133.22</v>
      </c>
      <c r="K32">
        <v>21.66</v>
      </c>
      <c r="L32">
        <v>22.2</v>
      </c>
      <c r="M32">
        <v>6.6</v>
      </c>
      <c r="N32">
        <v>4.68</v>
      </c>
      <c r="O32">
        <v>1.89</v>
      </c>
    </row>
    <row r="33" spans="1:15" x14ac:dyDescent="0.3">
      <c r="A33" t="s">
        <v>162</v>
      </c>
      <c r="B33">
        <v>120</v>
      </c>
      <c r="C33">
        <v>50</v>
      </c>
      <c r="D33">
        <v>20</v>
      </c>
      <c r="E33">
        <v>3.2</v>
      </c>
      <c r="F33">
        <v>3.2</v>
      </c>
      <c r="G33">
        <v>7.65</v>
      </c>
      <c r="H33">
        <v>6</v>
      </c>
      <c r="I33">
        <v>1.4</v>
      </c>
      <c r="J33">
        <v>164.23</v>
      </c>
      <c r="K33">
        <v>26.15</v>
      </c>
      <c r="L33">
        <v>27.37</v>
      </c>
      <c r="M33">
        <v>7.96</v>
      </c>
      <c r="N33">
        <v>4.63</v>
      </c>
      <c r="O33">
        <v>1.85</v>
      </c>
    </row>
    <row r="34" spans="1:15" x14ac:dyDescent="0.3">
      <c r="A34" t="s">
        <v>163</v>
      </c>
      <c r="B34">
        <v>120</v>
      </c>
      <c r="C34">
        <v>60</v>
      </c>
      <c r="D34">
        <v>20</v>
      </c>
      <c r="E34">
        <v>1.8</v>
      </c>
      <c r="F34">
        <v>1.8</v>
      </c>
      <c r="G34">
        <v>4.83</v>
      </c>
      <c r="H34">
        <v>3.79</v>
      </c>
      <c r="I34">
        <v>1.95</v>
      </c>
      <c r="J34">
        <v>112.11</v>
      </c>
      <c r="K34">
        <v>25.41</v>
      </c>
      <c r="L34">
        <v>18.690000000000001</v>
      </c>
      <c r="M34">
        <v>6.57</v>
      </c>
      <c r="N34">
        <v>4.82</v>
      </c>
      <c r="O34">
        <v>2.29</v>
      </c>
    </row>
    <row r="35" spans="1:15" x14ac:dyDescent="0.3">
      <c r="A35" t="s">
        <v>164</v>
      </c>
      <c r="B35">
        <v>120</v>
      </c>
      <c r="C35">
        <v>60</v>
      </c>
      <c r="D35">
        <v>20</v>
      </c>
      <c r="E35">
        <v>2</v>
      </c>
      <c r="F35">
        <v>2</v>
      </c>
      <c r="G35">
        <v>5.34</v>
      </c>
      <c r="H35">
        <v>4.1900000000000004</v>
      </c>
      <c r="I35">
        <v>1.93</v>
      </c>
      <c r="J35">
        <v>123.39</v>
      </c>
      <c r="K35">
        <v>27.84</v>
      </c>
      <c r="L35">
        <v>20.56</v>
      </c>
      <c r="M35">
        <v>7.19</v>
      </c>
      <c r="N35">
        <v>4.8099999999999996</v>
      </c>
      <c r="O35">
        <v>2.2799999999999998</v>
      </c>
    </row>
    <row r="36" spans="1:15" x14ac:dyDescent="0.3">
      <c r="A36" t="s">
        <v>165</v>
      </c>
      <c r="B36">
        <v>120</v>
      </c>
      <c r="C36">
        <v>60</v>
      </c>
      <c r="D36">
        <v>20</v>
      </c>
      <c r="E36">
        <v>3.2</v>
      </c>
      <c r="F36">
        <v>3.2</v>
      </c>
      <c r="G36">
        <v>8.2899999999999991</v>
      </c>
      <c r="H36">
        <v>6.51</v>
      </c>
      <c r="I36">
        <v>1.8</v>
      </c>
      <c r="J36">
        <v>186.23</v>
      </c>
      <c r="K36">
        <v>40.9</v>
      </c>
      <c r="L36">
        <v>31.04</v>
      </c>
      <c r="M36">
        <v>10.55</v>
      </c>
      <c r="N36">
        <v>4.74</v>
      </c>
      <c r="O36">
        <v>2.2200000000000002</v>
      </c>
    </row>
    <row r="37" spans="1:15" x14ac:dyDescent="0.3">
      <c r="A37" t="s">
        <v>166</v>
      </c>
      <c r="B37">
        <v>140</v>
      </c>
      <c r="C37">
        <v>50</v>
      </c>
      <c r="D37">
        <v>10</v>
      </c>
      <c r="E37">
        <v>1.6</v>
      </c>
      <c r="F37">
        <v>1.6</v>
      </c>
      <c r="G37">
        <v>3.99</v>
      </c>
      <c r="H37">
        <v>3.13</v>
      </c>
      <c r="I37">
        <v>1.18</v>
      </c>
      <c r="J37">
        <v>118.65</v>
      </c>
      <c r="K37">
        <v>11.92</v>
      </c>
      <c r="L37">
        <v>16.95</v>
      </c>
      <c r="M37">
        <v>3.25</v>
      </c>
      <c r="N37">
        <v>5.45</v>
      </c>
      <c r="O37">
        <v>1.73</v>
      </c>
    </row>
    <row r="38" spans="1:15" x14ac:dyDescent="0.3">
      <c r="A38" t="s">
        <v>167</v>
      </c>
      <c r="B38">
        <v>140</v>
      </c>
      <c r="C38">
        <v>50</v>
      </c>
      <c r="D38">
        <v>10</v>
      </c>
      <c r="E38">
        <v>2</v>
      </c>
      <c r="F38">
        <v>2</v>
      </c>
      <c r="G38">
        <v>4.9400000000000004</v>
      </c>
      <c r="H38">
        <v>3.88</v>
      </c>
      <c r="I38">
        <v>1.1299999999999999</v>
      </c>
      <c r="J38">
        <v>145.28</v>
      </c>
      <c r="K38">
        <v>14.34</v>
      </c>
      <c r="L38">
        <v>20.75</v>
      </c>
      <c r="M38">
        <v>3.91</v>
      </c>
      <c r="N38">
        <v>5.42</v>
      </c>
      <c r="O38">
        <v>1.72</v>
      </c>
    </row>
    <row r="39" spans="1:15" x14ac:dyDescent="0.3">
      <c r="A39" t="s">
        <v>168</v>
      </c>
      <c r="B39">
        <v>140</v>
      </c>
      <c r="C39">
        <v>50</v>
      </c>
      <c r="D39">
        <v>10</v>
      </c>
      <c r="E39">
        <v>2.5</v>
      </c>
      <c r="F39">
        <v>2.5</v>
      </c>
      <c r="G39">
        <v>6.09</v>
      </c>
      <c r="H39">
        <v>4.78</v>
      </c>
      <c r="I39">
        <v>1.08</v>
      </c>
      <c r="J39">
        <v>176.91</v>
      </c>
      <c r="K39">
        <v>17.079999999999998</v>
      </c>
      <c r="L39">
        <v>25.27</v>
      </c>
      <c r="M39">
        <v>4.6500000000000004</v>
      </c>
      <c r="N39">
        <v>5.39</v>
      </c>
      <c r="O39">
        <v>1.67</v>
      </c>
    </row>
    <row r="40" spans="1:15" x14ac:dyDescent="0.3">
      <c r="A40" t="s">
        <v>169</v>
      </c>
      <c r="B40">
        <v>140</v>
      </c>
      <c r="C40">
        <v>50</v>
      </c>
      <c r="D40">
        <v>15</v>
      </c>
      <c r="E40">
        <v>1.6</v>
      </c>
      <c r="F40">
        <v>1.6</v>
      </c>
      <c r="G40">
        <v>4.1500000000000004</v>
      </c>
      <c r="H40">
        <v>3.26</v>
      </c>
      <c r="I40">
        <v>1.31</v>
      </c>
      <c r="J40">
        <v>123.94</v>
      </c>
      <c r="K40">
        <v>13.9</v>
      </c>
      <c r="L40">
        <v>17.71</v>
      </c>
      <c r="M40">
        <v>3.94</v>
      </c>
      <c r="N40">
        <v>5.46</v>
      </c>
      <c r="O40">
        <v>1.83</v>
      </c>
    </row>
    <row r="41" spans="1:15" x14ac:dyDescent="0.3">
      <c r="A41" t="s">
        <v>170</v>
      </c>
      <c r="B41">
        <v>140</v>
      </c>
      <c r="C41">
        <v>50</v>
      </c>
      <c r="D41">
        <v>15</v>
      </c>
      <c r="E41">
        <v>2</v>
      </c>
      <c r="F41">
        <v>2</v>
      </c>
      <c r="G41">
        <v>5.14</v>
      </c>
      <c r="H41">
        <v>4.03</v>
      </c>
      <c r="I41">
        <v>1.27</v>
      </c>
      <c r="J41">
        <v>151.85</v>
      </c>
      <c r="K41">
        <v>16.760000000000002</v>
      </c>
      <c r="L41">
        <v>21.69</v>
      </c>
      <c r="M41">
        <v>4.75</v>
      </c>
      <c r="N41">
        <v>5.44</v>
      </c>
      <c r="O41">
        <v>1.81</v>
      </c>
    </row>
    <row r="42" spans="1:15" x14ac:dyDescent="0.3">
      <c r="A42" t="s">
        <v>171</v>
      </c>
      <c r="B42">
        <v>140</v>
      </c>
      <c r="C42">
        <v>50</v>
      </c>
      <c r="D42">
        <v>15</v>
      </c>
      <c r="E42">
        <v>2.5</v>
      </c>
      <c r="F42">
        <v>2.5</v>
      </c>
      <c r="G42">
        <v>6.34</v>
      </c>
      <c r="H42">
        <v>4.9800000000000004</v>
      </c>
      <c r="I42">
        <v>1.22</v>
      </c>
      <c r="J42">
        <v>185.18</v>
      </c>
      <c r="K42">
        <v>20.09</v>
      </c>
      <c r="L42">
        <v>26.45</v>
      </c>
      <c r="M42">
        <v>5.69</v>
      </c>
      <c r="N42">
        <v>5.4</v>
      </c>
      <c r="O42">
        <v>1.78</v>
      </c>
    </row>
    <row r="43" spans="1:15" x14ac:dyDescent="0.3">
      <c r="A43" t="s">
        <v>172</v>
      </c>
      <c r="B43">
        <v>140</v>
      </c>
      <c r="C43">
        <v>50</v>
      </c>
      <c r="D43">
        <v>20</v>
      </c>
      <c r="E43">
        <v>1.6</v>
      </c>
      <c r="F43">
        <v>1.6</v>
      </c>
      <c r="G43">
        <v>4.3099999999999996</v>
      </c>
      <c r="H43">
        <v>3.38</v>
      </c>
      <c r="I43">
        <v>1.44</v>
      </c>
      <c r="J43">
        <v>128.36000000000001</v>
      </c>
      <c r="K43">
        <v>15.73</v>
      </c>
      <c r="L43">
        <v>18.34</v>
      </c>
      <c r="M43">
        <v>4.63</v>
      </c>
      <c r="N43">
        <v>5.46</v>
      </c>
      <c r="O43">
        <v>1.91</v>
      </c>
    </row>
    <row r="44" spans="1:15" x14ac:dyDescent="0.3">
      <c r="A44" t="s">
        <v>173</v>
      </c>
      <c r="B44">
        <v>140</v>
      </c>
      <c r="C44">
        <v>50</v>
      </c>
      <c r="D44">
        <v>20</v>
      </c>
      <c r="E44">
        <v>2</v>
      </c>
      <c r="F44">
        <v>2</v>
      </c>
      <c r="G44">
        <v>5.34</v>
      </c>
      <c r="H44">
        <v>4.1900000000000004</v>
      </c>
      <c r="I44">
        <v>1.4</v>
      </c>
      <c r="J44">
        <v>157.36000000000001</v>
      </c>
      <c r="K44">
        <v>19.03</v>
      </c>
      <c r="L44">
        <v>22.48</v>
      </c>
      <c r="M44">
        <v>5.6</v>
      </c>
      <c r="N44">
        <v>5.43</v>
      </c>
      <c r="O44">
        <v>1.89</v>
      </c>
    </row>
    <row r="45" spans="1:15" x14ac:dyDescent="0.3">
      <c r="A45" t="s">
        <v>174</v>
      </c>
      <c r="B45">
        <v>140</v>
      </c>
      <c r="C45">
        <v>50</v>
      </c>
      <c r="D45">
        <v>20</v>
      </c>
      <c r="E45">
        <v>2.5</v>
      </c>
      <c r="F45">
        <v>2.5</v>
      </c>
      <c r="G45">
        <v>6.59</v>
      </c>
      <c r="H45">
        <v>5.17</v>
      </c>
      <c r="I45">
        <v>1.35</v>
      </c>
      <c r="J45">
        <v>191.98</v>
      </c>
      <c r="K45">
        <v>22.84</v>
      </c>
      <c r="L45">
        <v>27.43</v>
      </c>
      <c r="M45">
        <v>6.71</v>
      </c>
      <c r="N45">
        <v>5.4</v>
      </c>
      <c r="O45">
        <v>1.86</v>
      </c>
    </row>
    <row r="46" spans="1:15" x14ac:dyDescent="0.3">
      <c r="A46" t="s">
        <v>175</v>
      </c>
      <c r="B46">
        <v>140</v>
      </c>
      <c r="C46">
        <v>50</v>
      </c>
      <c r="D46">
        <v>20</v>
      </c>
      <c r="E46">
        <v>3.2</v>
      </c>
      <c r="F46">
        <v>3.2</v>
      </c>
      <c r="G46">
        <v>5.14</v>
      </c>
      <c r="H46">
        <v>6.51</v>
      </c>
      <c r="I46">
        <v>1.27</v>
      </c>
      <c r="J46">
        <v>151.85</v>
      </c>
      <c r="K46">
        <v>16.760000000000002</v>
      </c>
      <c r="L46">
        <v>21.69</v>
      </c>
      <c r="M46">
        <v>4.75</v>
      </c>
      <c r="N46">
        <v>5.44</v>
      </c>
      <c r="O46">
        <v>1.81</v>
      </c>
    </row>
    <row r="47" spans="1:15" x14ac:dyDescent="0.3">
      <c r="A47" t="s">
        <v>176</v>
      </c>
      <c r="B47">
        <v>140</v>
      </c>
      <c r="C47">
        <v>60</v>
      </c>
      <c r="D47">
        <v>15</v>
      </c>
      <c r="E47">
        <v>2</v>
      </c>
      <c r="F47">
        <v>2</v>
      </c>
      <c r="G47">
        <v>5.54</v>
      </c>
      <c r="H47">
        <v>4.3499999999999996</v>
      </c>
      <c r="I47">
        <v>1.65</v>
      </c>
      <c r="J47">
        <v>170.89</v>
      </c>
      <c r="K47">
        <v>26.18</v>
      </c>
      <c r="L47">
        <v>24.41</v>
      </c>
      <c r="M47">
        <v>6.3</v>
      </c>
      <c r="N47">
        <v>5.56</v>
      </c>
      <c r="O47">
        <v>2.17</v>
      </c>
    </row>
    <row r="48" spans="1:15" x14ac:dyDescent="0.3">
      <c r="A48" t="s">
        <v>177</v>
      </c>
      <c r="B48">
        <v>140</v>
      </c>
      <c r="C48">
        <v>60</v>
      </c>
      <c r="D48">
        <v>20</v>
      </c>
      <c r="E48">
        <v>1.6</v>
      </c>
      <c r="F48">
        <v>1.6</v>
      </c>
      <c r="G48">
        <v>4.63</v>
      </c>
      <c r="H48">
        <v>3.64</v>
      </c>
      <c r="I48">
        <v>1.83</v>
      </c>
      <c r="J48">
        <v>143.65</v>
      </c>
      <c r="K48">
        <v>24.14</v>
      </c>
      <c r="L48">
        <v>20.52</v>
      </c>
      <c r="M48">
        <v>6.02</v>
      </c>
      <c r="N48">
        <v>5.57</v>
      </c>
      <c r="O48">
        <v>2.2799999999999998</v>
      </c>
    </row>
    <row r="49" spans="1:15" x14ac:dyDescent="0.3">
      <c r="A49" t="s">
        <v>178</v>
      </c>
      <c r="B49">
        <v>140</v>
      </c>
      <c r="C49">
        <v>60</v>
      </c>
      <c r="D49">
        <v>20</v>
      </c>
      <c r="E49">
        <v>1.8</v>
      </c>
      <c r="F49">
        <v>1.8</v>
      </c>
      <c r="G49">
        <v>5.19</v>
      </c>
      <c r="H49">
        <v>4.07</v>
      </c>
      <c r="I49">
        <v>1.81</v>
      </c>
      <c r="J49">
        <v>160.22</v>
      </c>
      <c r="K49">
        <v>26.8</v>
      </c>
      <c r="L49">
        <v>22.89</v>
      </c>
      <c r="M49">
        <v>6.68</v>
      </c>
      <c r="N49">
        <v>5.56</v>
      </c>
      <c r="O49">
        <v>2.27</v>
      </c>
    </row>
    <row r="50" spans="1:15" x14ac:dyDescent="0.3">
      <c r="A50" t="s">
        <v>179</v>
      </c>
      <c r="B50">
        <v>140</v>
      </c>
      <c r="C50">
        <v>60</v>
      </c>
      <c r="D50">
        <v>20</v>
      </c>
      <c r="E50">
        <v>2</v>
      </c>
      <c r="F50">
        <v>2</v>
      </c>
      <c r="G50">
        <v>5.74</v>
      </c>
      <c r="H50">
        <v>4.5</v>
      </c>
      <c r="I50">
        <v>1.79</v>
      </c>
      <c r="J50">
        <v>176.41</v>
      </c>
      <c r="K50">
        <v>29.35</v>
      </c>
      <c r="L50">
        <v>25.2</v>
      </c>
      <c r="M50">
        <v>7.32</v>
      </c>
      <c r="N50">
        <v>5.55</v>
      </c>
      <c r="O50">
        <v>2.2599999999999998</v>
      </c>
    </row>
    <row r="51" spans="1:15" x14ac:dyDescent="0.3">
      <c r="A51" t="s">
        <v>180</v>
      </c>
      <c r="B51">
        <v>140</v>
      </c>
      <c r="C51">
        <v>60</v>
      </c>
      <c r="D51">
        <v>20</v>
      </c>
      <c r="E51">
        <v>2.5</v>
      </c>
      <c r="F51">
        <v>2.5</v>
      </c>
      <c r="G51">
        <v>7.09</v>
      </c>
      <c r="H51">
        <v>5.56</v>
      </c>
      <c r="I51">
        <v>1.74</v>
      </c>
      <c r="J51">
        <v>215.62</v>
      </c>
      <c r="K51">
        <v>35.409999999999997</v>
      </c>
      <c r="L51">
        <v>30.8</v>
      </c>
      <c r="M51">
        <v>8.82</v>
      </c>
      <c r="N51">
        <v>5.52</v>
      </c>
      <c r="O51">
        <v>2.23</v>
      </c>
    </row>
    <row r="52" spans="1:15" x14ac:dyDescent="0.3">
      <c r="A52" t="s">
        <v>181</v>
      </c>
      <c r="B52">
        <v>140</v>
      </c>
      <c r="C52">
        <v>60</v>
      </c>
      <c r="D52">
        <v>20</v>
      </c>
      <c r="E52">
        <v>3.2</v>
      </c>
      <c r="F52">
        <v>3.2</v>
      </c>
      <c r="G52">
        <v>8.93</v>
      </c>
      <c r="H52">
        <v>7.01</v>
      </c>
      <c r="I52">
        <v>1.66</v>
      </c>
      <c r="J52">
        <v>267.31</v>
      </c>
      <c r="K52">
        <v>43.08</v>
      </c>
      <c r="L52">
        <v>38.19</v>
      </c>
      <c r="M52">
        <v>10.72</v>
      </c>
      <c r="N52">
        <v>5.47</v>
      </c>
      <c r="O52">
        <v>2.2000000000000002</v>
      </c>
    </row>
    <row r="53" spans="1:15" x14ac:dyDescent="0.3">
      <c r="A53" t="s">
        <v>182</v>
      </c>
      <c r="B53">
        <v>150</v>
      </c>
      <c r="C53">
        <v>100</v>
      </c>
      <c r="D53">
        <v>30</v>
      </c>
      <c r="E53">
        <v>3.2</v>
      </c>
      <c r="F53">
        <v>3.2</v>
      </c>
      <c r="G53">
        <v>12.45</v>
      </c>
      <c r="H53">
        <v>9.77</v>
      </c>
      <c r="I53">
        <v>3.56</v>
      </c>
      <c r="J53">
        <v>468.75</v>
      </c>
      <c r="K53">
        <v>179.17</v>
      </c>
      <c r="L53">
        <v>62.5</v>
      </c>
      <c r="M53">
        <v>29.28</v>
      </c>
      <c r="N53">
        <v>6.14</v>
      </c>
      <c r="O53">
        <v>3.79</v>
      </c>
    </row>
    <row r="54" spans="1:15" x14ac:dyDescent="0.3">
      <c r="A54" t="s">
        <v>183</v>
      </c>
      <c r="B54">
        <v>150</v>
      </c>
      <c r="C54">
        <v>100</v>
      </c>
      <c r="D54">
        <v>30</v>
      </c>
      <c r="E54">
        <v>4.75</v>
      </c>
      <c r="F54">
        <v>4.75</v>
      </c>
      <c r="G54">
        <v>17.989999999999998</v>
      </c>
      <c r="H54">
        <v>14.12</v>
      </c>
      <c r="I54">
        <v>3.39</v>
      </c>
      <c r="J54">
        <v>660.06</v>
      </c>
      <c r="K54">
        <v>248.07</v>
      </c>
      <c r="L54">
        <v>88.01</v>
      </c>
      <c r="M54">
        <v>40.46</v>
      </c>
      <c r="N54">
        <v>6.06</v>
      </c>
      <c r="O54">
        <v>3.71</v>
      </c>
    </row>
    <row r="55" spans="1:15" x14ac:dyDescent="0.3">
      <c r="A55" t="s">
        <v>184</v>
      </c>
      <c r="B55">
        <v>150</v>
      </c>
      <c r="C55">
        <v>100</v>
      </c>
      <c r="D55">
        <v>40</v>
      </c>
      <c r="E55">
        <v>3.2</v>
      </c>
      <c r="F55">
        <v>3.2</v>
      </c>
      <c r="G55">
        <v>13.09</v>
      </c>
      <c r="H55">
        <v>10.27</v>
      </c>
      <c r="I55">
        <v>3.85</v>
      </c>
      <c r="J55">
        <v>479.05</v>
      </c>
      <c r="K55">
        <v>200.8</v>
      </c>
      <c r="L55">
        <v>63.87</v>
      </c>
      <c r="M55">
        <v>34.450000000000003</v>
      </c>
      <c r="N55">
        <v>6.05</v>
      </c>
      <c r="O55">
        <v>3.92</v>
      </c>
    </row>
    <row r="56" spans="1:15" x14ac:dyDescent="0.3">
      <c r="A56" t="s">
        <v>185</v>
      </c>
      <c r="B56">
        <v>150</v>
      </c>
      <c r="C56">
        <v>100</v>
      </c>
      <c r="D56">
        <v>40</v>
      </c>
      <c r="E56">
        <v>4.75</v>
      </c>
      <c r="F56">
        <v>4.75</v>
      </c>
      <c r="G56">
        <v>18.940000000000001</v>
      </c>
      <c r="H56">
        <v>14.87</v>
      </c>
      <c r="I56">
        <v>3.69</v>
      </c>
      <c r="J56">
        <v>675.34</v>
      </c>
      <c r="K56">
        <v>279.44</v>
      </c>
      <c r="L56">
        <v>90.05</v>
      </c>
      <c r="M56">
        <v>47.88</v>
      </c>
      <c r="N56">
        <v>5.97</v>
      </c>
      <c r="O56">
        <v>3.84</v>
      </c>
    </row>
    <row r="57" spans="1:15" x14ac:dyDescent="0.3">
      <c r="A57" t="s">
        <v>186</v>
      </c>
      <c r="B57">
        <v>160</v>
      </c>
      <c r="C57">
        <v>50</v>
      </c>
      <c r="D57">
        <v>15</v>
      </c>
      <c r="E57">
        <v>2</v>
      </c>
      <c r="F57">
        <v>2</v>
      </c>
      <c r="G57">
        <v>5.54</v>
      </c>
      <c r="H57">
        <v>4.3499999999999996</v>
      </c>
      <c r="I57">
        <v>1.17</v>
      </c>
      <c r="J57">
        <v>208.23</v>
      </c>
      <c r="K57">
        <v>17.489999999999998</v>
      </c>
      <c r="L57">
        <v>26.03</v>
      </c>
      <c r="M57">
        <v>4.82</v>
      </c>
      <c r="N57">
        <v>6.13</v>
      </c>
      <c r="O57">
        <v>1.78</v>
      </c>
    </row>
    <row r="58" spans="1:15" x14ac:dyDescent="0.3">
      <c r="A58" t="s">
        <v>187</v>
      </c>
      <c r="B58">
        <v>160</v>
      </c>
      <c r="C58">
        <v>50</v>
      </c>
      <c r="D58">
        <v>20</v>
      </c>
      <c r="E58">
        <v>2</v>
      </c>
      <c r="F58">
        <v>2</v>
      </c>
      <c r="G58">
        <v>5.74</v>
      </c>
      <c r="H58">
        <v>4.5</v>
      </c>
      <c r="I58">
        <v>1.3</v>
      </c>
      <c r="J58">
        <v>216.04</v>
      </c>
      <c r="K58">
        <v>19.89</v>
      </c>
      <c r="L58">
        <v>27.01</v>
      </c>
      <c r="M58">
        <v>5.68</v>
      </c>
      <c r="N58">
        <v>6.14</v>
      </c>
      <c r="O58">
        <v>1.86</v>
      </c>
    </row>
    <row r="59" spans="1:15" x14ac:dyDescent="0.3">
      <c r="A59" t="s">
        <v>381</v>
      </c>
      <c r="B59">
        <v>160</v>
      </c>
      <c r="C59">
        <v>50</v>
      </c>
      <c r="D59">
        <v>20</v>
      </c>
      <c r="E59">
        <v>2.5</v>
      </c>
      <c r="F59">
        <v>2.5</v>
      </c>
      <c r="G59">
        <v>7.09</v>
      </c>
      <c r="H59">
        <v>4.75</v>
      </c>
      <c r="I59">
        <v>1.63</v>
      </c>
      <c r="J59">
        <v>264</v>
      </c>
      <c r="K59">
        <v>23.85</v>
      </c>
      <c r="L59">
        <v>33</v>
      </c>
      <c r="M59">
        <v>6.8</v>
      </c>
      <c r="N59">
        <v>6.1</v>
      </c>
      <c r="O59">
        <v>1.83</v>
      </c>
    </row>
    <row r="60" spans="1:15" x14ac:dyDescent="0.3">
      <c r="A60" t="s">
        <v>188</v>
      </c>
      <c r="B60">
        <v>160</v>
      </c>
      <c r="C60">
        <v>60</v>
      </c>
      <c r="D60">
        <v>15</v>
      </c>
      <c r="E60">
        <v>1.6</v>
      </c>
      <c r="F60">
        <v>1.6</v>
      </c>
      <c r="G60">
        <v>4.79</v>
      </c>
      <c r="H60">
        <v>3.76</v>
      </c>
      <c r="I60">
        <v>1.57</v>
      </c>
      <c r="J60">
        <v>189.76</v>
      </c>
      <c r="K60">
        <v>22.53</v>
      </c>
      <c r="L60">
        <v>23.72</v>
      </c>
      <c r="M60">
        <v>5.28</v>
      </c>
      <c r="N60">
        <v>6.29</v>
      </c>
      <c r="O60">
        <v>2.17</v>
      </c>
    </row>
    <row r="61" spans="1:15" x14ac:dyDescent="0.3">
      <c r="A61" t="s">
        <v>189</v>
      </c>
      <c r="B61">
        <v>160</v>
      </c>
      <c r="C61">
        <v>60</v>
      </c>
      <c r="D61">
        <v>15</v>
      </c>
      <c r="E61">
        <v>2</v>
      </c>
      <c r="F61">
        <v>2</v>
      </c>
      <c r="G61">
        <v>5.94</v>
      </c>
      <c r="H61">
        <v>4.66</v>
      </c>
      <c r="I61">
        <v>1.53</v>
      </c>
      <c r="J61">
        <v>233.19</v>
      </c>
      <c r="K61">
        <v>27.35</v>
      </c>
      <c r="L61">
        <v>29.15</v>
      </c>
      <c r="M61">
        <v>6.49</v>
      </c>
      <c r="N61">
        <v>6.27</v>
      </c>
      <c r="O61">
        <v>2.15</v>
      </c>
    </row>
    <row r="62" spans="1:15" x14ac:dyDescent="0.3">
      <c r="A62" t="s">
        <v>190</v>
      </c>
      <c r="B62">
        <v>160</v>
      </c>
      <c r="C62">
        <v>60</v>
      </c>
      <c r="D62">
        <v>20</v>
      </c>
      <c r="E62">
        <v>1.6</v>
      </c>
      <c r="F62">
        <v>1.6</v>
      </c>
      <c r="G62">
        <v>4.95</v>
      </c>
      <c r="H62">
        <v>3.89</v>
      </c>
      <c r="I62">
        <v>1.71</v>
      </c>
      <c r="J62">
        <v>195.98</v>
      </c>
      <c r="K62">
        <v>25.23</v>
      </c>
      <c r="L62">
        <v>24.5</v>
      </c>
      <c r="M62">
        <v>6.11</v>
      </c>
      <c r="N62">
        <v>6.29</v>
      </c>
      <c r="O62">
        <v>2.2599999999999998</v>
      </c>
    </row>
    <row r="63" spans="1:15" x14ac:dyDescent="0.3">
      <c r="A63" t="s">
        <v>191</v>
      </c>
      <c r="B63">
        <v>160</v>
      </c>
      <c r="C63">
        <v>60</v>
      </c>
      <c r="D63">
        <v>20</v>
      </c>
      <c r="E63">
        <v>2</v>
      </c>
      <c r="F63">
        <v>2</v>
      </c>
      <c r="G63">
        <v>6.14</v>
      </c>
      <c r="H63">
        <v>4.82</v>
      </c>
      <c r="I63">
        <v>1.67</v>
      </c>
      <c r="J63">
        <v>240.95</v>
      </c>
      <c r="K63">
        <v>30.68</v>
      </c>
      <c r="L63">
        <v>30.12</v>
      </c>
      <c r="M63">
        <v>7.42</v>
      </c>
      <c r="N63">
        <v>6.27</v>
      </c>
      <c r="O63">
        <v>2.2400000000000002</v>
      </c>
    </row>
    <row r="64" spans="1:15" x14ac:dyDescent="0.3">
      <c r="A64" t="s">
        <v>192</v>
      </c>
      <c r="B64">
        <v>160</v>
      </c>
      <c r="C64">
        <v>60</v>
      </c>
      <c r="D64">
        <v>20</v>
      </c>
      <c r="E64">
        <v>2.5</v>
      </c>
      <c r="F64">
        <v>2.5</v>
      </c>
      <c r="G64">
        <v>7.59</v>
      </c>
      <c r="H64">
        <v>5.96</v>
      </c>
      <c r="I64">
        <v>1.61</v>
      </c>
      <c r="J64">
        <v>294.93</v>
      </c>
      <c r="K64">
        <v>37.03</v>
      </c>
      <c r="L64">
        <v>36.869999999999997</v>
      </c>
      <c r="M64">
        <v>8.9499999999999993</v>
      </c>
      <c r="N64">
        <v>6.23</v>
      </c>
      <c r="O64">
        <v>2.21</v>
      </c>
    </row>
    <row r="65" spans="1:15" x14ac:dyDescent="0.3">
      <c r="A65" t="s">
        <v>193</v>
      </c>
      <c r="B65">
        <v>160</v>
      </c>
      <c r="C65">
        <v>60</v>
      </c>
      <c r="D65">
        <v>20</v>
      </c>
      <c r="E65">
        <v>3.2</v>
      </c>
      <c r="F65">
        <v>3.2</v>
      </c>
      <c r="G65">
        <v>9.57</v>
      </c>
      <c r="H65">
        <v>7.51</v>
      </c>
      <c r="I65">
        <v>1.54</v>
      </c>
      <c r="J65">
        <v>366.41</v>
      </c>
      <c r="K65">
        <v>45.06</v>
      </c>
      <c r="L65">
        <v>45.8</v>
      </c>
      <c r="M65">
        <v>10.89</v>
      </c>
      <c r="N65">
        <v>6.19</v>
      </c>
      <c r="O65">
        <v>2.17</v>
      </c>
    </row>
    <row r="66" spans="1:15" x14ac:dyDescent="0.3">
      <c r="A66" t="s">
        <v>194</v>
      </c>
      <c r="B66">
        <v>160</v>
      </c>
      <c r="C66">
        <v>60</v>
      </c>
      <c r="D66">
        <v>25</v>
      </c>
      <c r="E66">
        <v>1.6</v>
      </c>
      <c r="F66">
        <v>1.6</v>
      </c>
      <c r="G66">
        <v>5.1100000000000003</v>
      </c>
      <c r="H66">
        <v>4.01</v>
      </c>
      <c r="I66">
        <v>1.83</v>
      </c>
      <c r="J66">
        <v>201.31</v>
      </c>
      <c r="K66">
        <v>27.79</v>
      </c>
      <c r="L66">
        <v>25.16</v>
      </c>
      <c r="M66">
        <v>6.94</v>
      </c>
      <c r="N66">
        <v>6.28</v>
      </c>
      <c r="O66">
        <v>2.33</v>
      </c>
    </row>
    <row r="67" spans="1:15" x14ac:dyDescent="0.3">
      <c r="A67" t="s">
        <v>195</v>
      </c>
      <c r="B67">
        <v>160</v>
      </c>
      <c r="C67">
        <v>60</v>
      </c>
      <c r="D67">
        <v>25</v>
      </c>
      <c r="E67">
        <v>2.5</v>
      </c>
      <c r="F67">
        <v>2.5</v>
      </c>
      <c r="G67">
        <v>7.84</v>
      </c>
      <c r="H67">
        <v>6.15</v>
      </c>
      <c r="I67">
        <v>1.74</v>
      </c>
      <c r="J67">
        <v>303.32</v>
      </c>
      <c r="K67">
        <v>40.98</v>
      </c>
      <c r="L67">
        <v>37.909999999999997</v>
      </c>
      <c r="M67">
        <v>10.220000000000001</v>
      </c>
      <c r="N67">
        <v>6.22</v>
      </c>
      <c r="O67">
        <v>2.29</v>
      </c>
    </row>
    <row r="68" spans="1:15" x14ac:dyDescent="0.3">
      <c r="A68" t="s">
        <v>196</v>
      </c>
      <c r="B68">
        <v>160</v>
      </c>
      <c r="C68">
        <v>60</v>
      </c>
      <c r="D68">
        <v>25</v>
      </c>
      <c r="E68">
        <v>4.75</v>
      </c>
      <c r="F68">
        <v>4.75</v>
      </c>
      <c r="G68">
        <v>14.19</v>
      </c>
      <c r="H68">
        <v>11.14</v>
      </c>
      <c r="I68">
        <v>1.51</v>
      </c>
      <c r="J68">
        <v>524.4</v>
      </c>
      <c r="K68">
        <v>66.91</v>
      </c>
      <c r="L68">
        <v>65.55</v>
      </c>
      <c r="M68">
        <v>16.66</v>
      </c>
      <c r="N68">
        <v>6.08</v>
      </c>
      <c r="O68">
        <v>2.17</v>
      </c>
    </row>
    <row r="69" spans="1:15" x14ac:dyDescent="0.3">
      <c r="A69" t="s">
        <v>197</v>
      </c>
      <c r="B69">
        <v>160</v>
      </c>
      <c r="C69">
        <v>60</v>
      </c>
      <c r="D69">
        <v>25</v>
      </c>
      <c r="E69">
        <v>3.2</v>
      </c>
      <c r="F69">
        <v>3.2</v>
      </c>
      <c r="G69">
        <v>9.89</v>
      </c>
      <c r="H69">
        <v>7.76</v>
      </c>
      <c r="I69">
        <v>1.67</v>
      </c>
      <c r="J69">
        <v>376.99</v>
      </c>
      <c r="K69">
        <v>49.97</v>
      </c>
      <c r="L69">
        <v>47.12</v>
      </c>
      <c r="M69">
        <v>12.46</v>
      </c>
      <c r="N69">
        <v>6.18</v>
      </c>
      <c r="O69">
        <v>2.25</v>
      </c>
    </row>
    <row r="70" spans="1:15" x14ac:dyDescent="0.3">
      <c r="A70" t="s">
        <v>198</v>
      </c>
      <c r="B70">
        <v>180</v>
      </c>
      <c r="C70">
        <v>60</v>
      </c>
      <c r="D70">
        <v>20</v>
      </c>
      <c r="E70">
        <v>2</v>
      </c>
      <c r="F70">
        <v>2</v>
      </c>
      <c r="G70">
        <v>6.54</v>
      </c>
      <c r="H70">
        <v>5.13</v>
      </c>
      <c r="I70">
        <v>1.56</v>
      </c>
      <c r="J70">
        <v>317.83</v>
      </c>
      <c r="K70">
        <v>31.88</v>
      </c>
      <c r="L70">
        <v>35.31</v>
      </c>
      <c r="M70">
        <v>7.52</v>
      </c>
      <c r="N70">
        <v>6.97</v>
      </c>
      <c r="O70">
        <v>2.21</v>
      </c>
    </row>
    <row r="71" spans="1:15" x14ac:dyDescent="0.3">
      <c r="A71" t="s">
        <v>199</v>
      </c>
      <c r="B71">
        <v>180</v>
      </c>
      <c r="C71">
        <v>60</v>
      </c>
      <c r="D71">
        <v>20</v>
      </c>
      <c r="E71">
        <v>2.5</v>
      </c>
      <c r="F71">
        <v>2.5</v>
      </c>
      <c r="G71">
        <v>8.09</v>
      </c>
      <c r="H71">
        <v>6.35</v>
      </c>
      <c r="I71">
        <v>1.51</v>
      </c>
      <c r="J71">
        <v>389.55</v>
      </c>
      <c r="K71">
        <v>38.5</v>
      </c>
      <c r="L71">
        <v>43.28</v>
      </c>
      <c r="M71">
        <v>9.07</v>
      </c>
      <c r="N71">
        <v>6.94</v>
      </c>
      <c r="O71">
        <v>2.1800000000000002</v>
      </c>
    </row>
    <row r="72" spans="1:15" x14ac:dyDescent="0.3">
      <c r="A72" t="s">
        <v>200</v>
      </c>
      <c r="B72">
        <v>180</v>
      </c>
      <c r="C72">
        <v>60</v>
      </c>
      <c r="D72">
        <v>20</v>
      </c>
      <c r="E72">
        <v>3.2</v>
      </c>
      <c r="F72">
        <v>3.2</v>
      </c>
      <c r="G72">
        <v>10.210000000000001</v>
      </c>
      <c r="H72">
        <v>8.01</v>
      </c>
      <c r="I72">
        <v>1.43</v>
      </c>
      <c r="J72">
        <v>484.89</v>
      </c>
      <c r="K72">
        <v>46.92</v>
      </c>
      <c r="L72">
        <v>53.88</v>
      </c>
      <c r="M72">
        <v>11.05</v>
      </c>
      <c r="N72">
        <v>6.89</v>
      </c>
      <c r="O72">
        <v>2.14</v>
      </c>
    </row>
    <row r="73" spans="1:15" x14ac:dyDescent="0.3">
      <c r="A73" t="s">
        <v>201</v>
      </c>
      <c r="B73">
        <v>180</v>
      </c>
      <c r="C73">
        <v>70</v>
      </c>
      <c r="D73">
        <v>15</v>
      </c>
      <c r="E73">
        <v>1.6</v>
      </c>
      <c r="F73">
        <v>1.6</v>
      </c>
      <c r="G73">
        <v>5.43</v>
      </c>
      <c r="H73">
        <v>4.26</v>
      </c>
      <c r="I73">
        <v>1.83</v>
      </c>
      <c r="J73">
        <v>275.3</v>
      </c>
      <c r="K73">
        <v>34.06</v>
      </c>
      <c r="L73">
        <v>30.59</v>
      </c>
      <c r="M73">
        <v>6.8</v>
      </c>
      <c r="N73">
        <v>7.12</v>
      </c>
      <c r="O73">
        <v>2.5</v>
      </c>
    </row>
    <row r="74" spans="1:15" x14ac:dyDescent="0.3">
      <c r="A74" t="s">
        <v>202</v>
      </c>
      <c r="B74">
        <v>180</v>
      </c>
      <c r="C74">
        <v>70</v>
      </c>
      <c r="D74">
        <v>15</v>
      </c>
      <c r="E74">
        <v>2</v>
      </c>
      <c r="F74">
        <v>2</v>
      </c>
      <c r="G74">
        <v>6.74</v>
      </c>
      <c r="H74">
        <v>5.29</v>
      </c>
      <c r="I74">
        <v>1.79</v>
      </c>
      <c r="J74">
        <v>339</v>
      </c>
      <c r="K74">
        <v>41.47</v>
      </c>
      <c r="L74">
        <v>37.67</v>
      </c>
      <c r="M74">
        <v>8.27</v>
      </c>
      <c r="N74">
        <v>7.09</v>
      </c>
      <c r="O74">
        <v>2.48</v>
      </c>
    </row>
    <row r="75" spans="1:15" x14ac:dyDescent="0.3">
      <c r="A75" t="s">
        <v>203</v>
      </c>
      <c r="B75">
        <v>180</v>
      </c>
      <c r="C75">
        <v>70</v>
      </c>
      <c r="D75">
        <v>20</v>
      </c>
      <c r="E75">
        <v>2</v>
      </c>
      <c r="F75">
        <v>2</v>
      </c>
      <c r="G75">
        <v>6.94</v>
      </c>
      <c r="H75">
        <v>5.45</v>
      </c>
      <c r="I75">
        <v>1.93</v>
      </c>
      <c r="J75">
        <v>349.45</v>
      </c>
      <c r="K75">
        <v>46.13</v>
      </c>
      <c r="L75">
        <v>38.83</v>
      </c>
      <c r="M75">
        <v>9.4700000000000006</v>
      </c>
      <c r="N75">
        <v>7.1</v>
      </c>
      <c r="O75">
        <v>2.58</v>
      </c>
    </row>
    <row r="76" spans="1:15" x14ac:dyDescent="0.3">
      <c r="A76" t="s">
        <v>204</v>
      </c>
      <c r="B76">
        <v>180</v>
      </c>
      <c r="C76">
        <v>70</v>
      </c>
      <c r="D76">
        <v>20</v>
      </c>
      <c r="E76">
        <v>2.5</v>
      </c>
      <c r="F76">
        <v>2.5</v>
      </c>
      <c r="G76">
        <v>8.59</v>
      </c>
      <c r="H76">
        <v>6.74</v>
      </c>
      <c r="I76">
        <v>1.87</v>
      </c>
      <c r="J76">
        <v>428.81</v>
      </c>
      <c r="K76">
        <v>55.89</v>
      </c>
      <c r="L76">
        <v>47.65</v>
      </c>
      <c r="M76">
        <v>11.46</v>
      </c>
      <c r="N76">
        <v>7.07</v>
      </c>
      <c r="O76">
        <v>2.5499999999999998</v>
      </c>
    </row>
    <row r="77" spans="1:15" x14ac:dyDescent="0.3">
      <c r="A77" t="s">
        <v>205</v>
      </c>
      <c r="B77">
        <v>180</v>
      </c>
      <c r="C77">
        <v>70</v>
      </c>
      <c r="D77">
        <v>20</v>
      </c>
      <c r="E77">
        <v>3.2</v>
      </c>
      <c r="F77">
        <v>3.2</v>
      </c>
      <c r="G77">
        <v>10.85</v>
      </c>
      <c r="H77">
        <v>8.51</v>
      </c>
      <c r="I77">
        <v>1.8</v>
      </c>
      <c r="J77">
        <v>534.65</v>
      </c>
      <c r="K77">
        <v>68.42</v>
      </c>
      <c r="L77">
        <v>59.41</v>
      </c>
      <c r="M77">
        <v>14.02</v>
      </c>
      <c r="N77">
        <v>7.02</v>
      </c>
      <c r="O77">
        <v>2.5099999999999998</v>
      </c>
    </row>
    <row r="78" spans="1:15" x14ac:dyDescent="0.3">
      <c r="A78" t="s">
        <v>206</v>
      </c>
      <c r="B78">
        <v>180</v>
      </c>
      <c r="C78">
        <v>70</v>
      </c>
      <c r="D78">
        <v>25</v>
      </c>
      <c r="E78">
        <v>2</v>
      </c>
      <c r="F78">
        <v>2</v>
      </c>
      <c r="G78">
        <v>7.14</v>
      </c>
      <c r="H78">
        <v>5.6</v>
      </c>
      <c r="I78">
        <v>2.06</v>
      </c>
      <c r="J78">
        <v>358.56</v>
      </c>
      <c r="K78">
        <v>50.56</v>
      </c>
      <c r="L78">
        <v>39.840000000000003</v>
      </c>
      <c r="M78">
        <v>10.67</v>
      </c>
      <c r="N78">
        <v>7.09</v>
      </c>
      <c r="O78">
        <v>2.66</v>
      </c>
    </row>
    <row r="79" spans="1:15" x14ac:dyDescent="0.3">
      <c r="A79" t="s">
        <v>207</v>
      </c>
      <c r="B79">
        <v>180</v>
      </c>
      <c r="C79">
        <v>70</v>
      </c>
      <c r="D79">
        <v>25</v>
      </c>
      <c r="E79">
        <v>2.5</v>
      </c>
      <c r="F79">
        <v>2.5</v>
      </c>
      <c r="G79">
        <v>8.84</v>
      </c>
      <c r="H79">
        <v>6.94</v>
      </c>
      <c r="I79">
        <v>2.0099999999999998</v>
      </c>
      <c r="J79">
        <v>440.2</v>
      </c>
      <c r="K79">
        <v>61.37</v>
      </c>
      <c r="L79">
        <v>48.91</v>
      </c>
      <c r="M79">
        <v>12.95</v>
      </c>
      <c r="N79">
        <v>7.06</v>
      </c>
      <c r="O79">
        <v>2.64</v>
      </c>
    </row>
    <row r="80" spans="1:15" x14ac:dyDescent="0.3">
      <c r="A80" t="s">
        <v>208</v>
      </c>
      <c r="B80">
        <v>180</v>
      </c>
      <c r="C80">
        <v>70</v>
      </c>
      <c r="D80">
        <v>25</v>
      </c>
      <c r="E80">
        <v>3.2</v>
      </c>
      <c r="F80">
        <v>3.2</v>
      </c>
      <c r="G80">
        <v>11.17</v>
      </c>
      <c r="H80">
        <v>8.77</v>
      </c>
      <c r="I80">
        <v>1.94</v>
      </c>
      <c r="J80">
        <v>549.24</v>
      </c>
      <c r="K80">
        <v>75.349999999999994</v>
      </c>
      <c r="L80">
        <v>61.03</v>
      </c>
      <c r="M80">
        <v>15.88</v>
      </c>
      <c r="N80">
        <v>7.01</v>
      </c>
      <c r="O80">
        <v>2.6</v>
      </c>
    </row>
    <row r="81" spans="1:15" x14ac:dyDescent="0.3">
      <c r="A81" t="s">
        <v>209</v>
      </c>
      <c r="B81">
        <v>180</v>
      </c>
      <c r="C81">
        <v>70</v>
      </c>
      <c r="D81">
        <v>25</v>
      </c>
      <c r="E81">
        <v>4.75</v>
      </c>
      <c r="F81">
        <v>4.75</v>
      </c>
      <c r="G81">
        <v>19.09</v>
      </c>
      <c r="H81">
        <v>12.63</v>
      </c>
      <c r="I81">
        <v>1.77</v>
      </c>
      <c r="J81">
        <v>770.02</v>
      </c>
      <c r="K81">
        <v>102.05</v>
      </c>
      <c r="L81">
        <v>85.56</v>
      </c>
      <c r="M81">
        <v>21.48</v>
      </c>
      <c r="N81">
        <v>6.92</v>
      </c>
      <c r="O81">
        <v>2.52</v>
      </c>
    </row>
    <row r="82" spans="1:15" x14ac:dyDescent="0.3">
      <c r="A82" t="s">
        <v>210</v>
      </c>
      <c r="B82">
        <v>200</v>
      </c>
      <c r="C82">
        <v>60</v>
      </c>
      <c r="D82">
        <v>20</v>
      </c>
      <c r="E82">
        <v>2</v>
      </c>
      <c r="F82">
        <v>2</v>
      </c>
      <c r="G82">
        <v>6.94</v>
      </c>
      <c r="H82">
        <v>5.45</v>
      </c>
      <c r="I82">
        <v>1.46</v>
      </c>
      <c r="J82">
        <v>407.73</v>
      </c>
      <c r="K82">
        <v>32.92</v>
      </c>
      <c r="L82">
        <v>40.770000000000003</v>
      </c>
      <c r="M82">
        <v>7.59</v>
      </c>
      <c r="N82">
        <v>7.67</v>
      </c>
      <c r="O82">
        <v>2.1800000000000002</v>
      </c>
    </row>
    <row r="83" spans="1:15" x14ac:dyDescent="0.3">
      <c r="A83" t="s">
        <v>211</v>
      </c>
      <c r="B83">
        <v>200</v>
      </c>
      <c r="C83">
        <v>60</v>
      </c>
      <c r="D83">
        <v>20</v>
      </c>
      <c r="E83">
        <v>2.5</v>
      </c>
      <c r="F83">
        <v>2.5</v>
      </c>
      <c r="G83">
        <v>8.59</v>
      </c>
      <c r="H83">
        <v>6.74</v>
      </c>
      <c r="I83">
        <v>1.4</v>
      </c>
      <c r="J83">
        <v>500.24</v>
      </c>
      <c r="K83">
        <v>39.76</v>
      </c>
      <c r="L83">
        <v>50.02</v>
      </c>
      <c r="M83">
        <v>9.16</v>
      </c>
      <c r="N83">
        <v>7.63</v>
      </c>
      <c r="O83">
        <v>2.15</v>
      </c>
    </row>
    <row r="84" spans="1:15" x14ac:dyDescent="0.3">
      <c r="A84" t="s">
        <v>212</v>
      </c>
      <c r="B84">
        <v>200</v>
      </c>
      <c r="C84">
        <v>60</v>
      </c>
      <c r="D84">
        <v>20</v>
      </c>
      <c r="E84">
        <v>3.2</v>
      </c>
      <c r="F84">
        <v>3.2</v>
      </c>
      <c r="G84">
        <v>10.85</v>
      </c>
      <c r="H84">
        <v>8.51</v>
      </c>
      <c r="I84">
        <v>1.34</v>
      </c>
      <c r="J84">
        <v>623.57000000000005</v>
      </c>
      <c r="K84">
        <v>48.45</v>
      </c>
      <c r="L84">
        <v>62.36</v>
      </c>
      <c r="M84">
        <v>11.16</v>
      </c>
      <c r="N84">
        <v>7.58</v>
      </c>
      <c r="O84">
        <v>2.11</v>
      </c>
    </row>
    <row r="85" spans="1:15" x14ac:dyDescent="0.3">
      <c r="A85" t="s">
        <v>213</v>
      </c>
      <c r="B85">
        <v>200</v>
      </c>
      <c r="C85">
        <v>70</v>
      </c>
      <c r="D85">
        <v>25</v>
      </c>
      <c r="E85">
        <v>2</v>
      </c>
      <c r="F85">
        <v>2</v>
      </c>
      <c r="G85">
        <v>7.54</v>
      </c>
      <c r="H85">
        <v>5.92</v>
      </c>
      <c r="I85">
        <v>1.95</v>
      </c>
      <c r="J85">
        <v>458.87</v>
      </c>
      <c r="K85">
        <v>52.33</v>
      </c>
      <c r="L85">
        <v>45.89</v>
      </c>
      <c r="M85">
        <v>10.78</v>
      </c>
      <c r="N85">
        <v>7.8</v>
      </c>
      <c r="O85">
        <v>2.63</v>
      </c>
    </row>
    <row r="86" spans="1:15" x14ac:dyDescent="0.3">
      <c r="A86" t="s">
        <v>214</v>
      </c>
      <c r="B86">
        <v>200</v>
      </c>
      <c r="C86">
        <v>70</v>
      </c>
      <c r="D86">
        <v>25</v>
      </c>
      <c r="E86">
        <v>2.5</v>
      </c>
      <c r="F86">
        <v>2.5</v>
      </c>
      <c r="G86">
        <v>9.34</v>
      </c>
      <c r="H86">
        <v>7.33</v>
      </c>
      <c r="I86">
        <v>1.89</v>
      </c>
      <c r="J86">
        <v>563.87</v>
      </c>
      <c r="K86">
        <v>63.53</v>
      </c>
      <c r="L86">
        <v>56.39</v>
      </c>
      <c r="M86">
        <v>13.08</v>
      </c>
      <c r="N86">
        <v>7.77</v>
      </c>
      <c r="O86">
        <v>2.61</v>
      </c>
    </row>
    <row r="87" spans="1:15" x14ac:dyDescent="0.3">
      <c r="A87" t="s">
        <v>215</v>
      </c>
      <c r="B87">
        <v>200</v>
      </c>
      <c r="C87">
        <v>70</v>
      </c>
      <c r="D87">
        <v>25</v>
      </c>
      <c r="E87">
        <v>3.2</v>
      </c>
      <c r="F87">
        <v>3.2</v>
      </c>
      <c r="G87">
        <v>11.81</v>
      </c>
      <c r="H87">
        <v>9.27</v>
      </c>
      <c r="I87">
        <v>1.82</v>
      </c>
      <c r="J87">
        <v>704.48</v>
      </c>
      <c r="K87">
        <v>78.010000000000005</v>
      </c>
      <c r="L87">
        <v>70.45</v>
      </c>
      <c r="M87">
        <v>16.059999999999999</v>
      </c>
      <c r="N87">
        <v>7.72</v>
      </c>
      <c r="O87">
        <v>2.57</v>
      </c>
    </row>
    <row r="88" spans="1:15" x14ac:dyDescent="0.3">
      <c r="A88" t="s">
        <v>216</v>
      </c>
      <c r="B88">
        <v>200</v>
      </c>
      <c r="C88">
        <v>80</v>
      </c>
      <c r="D88">
        <v>15</v>
      </c>
      <c r="E88">
        <v>1.6</v>
      </c>
      <c r="F88">
        <v>1.6</v>
      </c>
      <c r="G88">
        <v>6.07</v>
      </c>
      <c r="H88">
        <v>4.7699999999999996</v>
      </c>
      <c r="I88">
        <v>2.08</v>
      </c>
      <c r="J88">
        <v>383.12</v>
      </c>
      <c r="K88">
        <v>48.87</v>
      </c>
      <c r="L88">
        <v>38.31</v>
      </c>
      <c r="M88">
        <v>8.49</v>
      </c>
      <c r="N88">
        <v>7.94</v>
      </c>
      <c r="O88">
        <v>2.84</v>
      </c>
    </row>
    <row r="89" spans="1:15" x14ac:dyDescent="0.3">
      <c r="A89" t="s">
        <v>217</v>
      </c>
      <c r="B89">
        <v>200</v>
      </c>
      <c r="C89">
        <v>80</v>
      </c>
      <c r="D89">
        <v>15</v>
      </c>
      <c r="E89">
        <v>2</v>
      </c>
      <c r="F89">
        <v>2</v>
      </c>
      <c r="G89">
        <v>7.54</v>
      </c>
      <c r="H89">
        <v>5.92</v>
      </c>
      <c r="I89">
        <v>2.04</v>
      </c>
      <c r="J89">
        <v>472.52</v>
      </c>
      <c r="K89">
        <v>59.67</v>
      </c>
      <c r="L89">
        <v>47.25</v>
      </c>
      <c r="M89">
        <v>10.36</v>
      </c>
      <c r="N89">
        <v>7.92</v>
      </c>
      <c r="O89">
        <v>2.81</v>
      </c>
    </row>
    <row r="90" spans="1:15" x14ac:dyDescent="0.3">
      <c r="A90" t="s">
        <v>218</v>
      </c>
      <c r="B90">
        <v>200</v>
      </c>
      <c r="C90">
        <v>80</v>
      </c>
      <c r="D90">
        <v>20</v>
      </c>
      <c r="E90">
        <v>2</v>
      </c>
      <c r="F90">
        <v>2</v>
      </c>
      <c r="G90">
        <v>7.74</v>
      </c>
      <c r="H90">
        <v>6.07</v>
      </c>
      <c r="I90">
        <v>2.19</v>
      </c>
      <c r="J90">
        <v>486.14</v>
      </c>
      <c r="K90">
        <v>65.91</v>
      </c>
      <c r="L90">
        <v>48.61</v>
      </c>
      <c r="M90">
        <v>11.74</v>
      </c>
      <c r="N90">
        <v>7.93</v>
      </c>
      <c r="O90">
        <v>2.92</v>
      </c>
    </row>
    <row r="91" spans="1:15" x14ac:dyDescent="0.3">
      <c r="A91" t="s">
        <v>219</v>
      </c>
      <c r="B91">
        <v>200</v>
      </c>
      <c r="C91">
        <v>80</v>
      </c>
      <c r="D91">
        <v>20</v>
      </c>
      <c r="E91">
        <v>2.5</v>
      </c>
      <c r="F91">
        <v>2.5</v>
      </c>
      <c r="G91">
        <v>9.59</v>
      </c>
      <c r="H91">
        <v>7.53</v>
      </c>
      <c r="I91">
        <v>2.13</v>
      </c>
      <c r="J91">
        <v>597.76</v>
      </c>
      <c r="K91">
        <v>80.13</v>
      </c>
      <c r="L91">
        <v>59.78</v>
      </c>
      <c r="M91">
        <v>14.27</v>
      </c>
      <c r="N91">
        <v>7.9</v>
      </c>
      <c r="O91">
        <v>2.89</v>
      </c>
    </row>
    <row r="92" spans="1:15" x14ac:dyDescent="0.3">
      <c r="A92" t="s">
        <v>220</v>
      </c>
      <c r="B92">
        <v>200</v>
      </c>
      <c r="C92">
        <v>80</v>
      </c>
      <c r="D92">
        <v>20</v>
      </c>
      <c r="E92">
        <v>3.2</v>
      </c>
      <c r="F92">
        <v>3.2</v>
      </c>
      <c r="G92">
        <v>12.13</v>
      </c>
      <c r="H92">
        <v>9.52</v>
      </c>
      <c r="I92">
        <v>2.06</v>
      </c>
      <c r="J92">
        <v>747.52</v>
      </c>
      <c r="K92">
        <v>98.61</v>
      </c>
      <c r="L92">
        <v>74.75</v>
      </c>
      <c r="M92">
        <v>17.54</v>
      </c>
      <c r="N92">
        <v>7.85</v>
      </c>
      <c r="O92">
        <v>2.85</v>
      </c>
    </row>
    <row r="93" spans="1:15" x14ac:dyDescent="0.3">
      <c r="A93" t="s">
        <v>221</v>
      </c>
      <c r="B93">
        <v>200</v>
      </c>
      <c r="C93">
        <v>80</v>
      </c>
      <c r="D93">
        <v>25</v>
      </c>
      <c r="E93">
        <v>2</v>
      </c>
      <c r="F93">
        <v>2</v>
      </c>
      <c r="G93">
        <v>7.94</v>
      </c>
      <c r="H93">
        <v>6.23</v>
      </c>
      <c r="I93">
        <v>2.33</v>
      </c>
      <c r="J93">
        <v>498.07</v>
      </c>
      <c r="K93">
        <v>71.8</v>
      </c>
      <c r="L93">
        <v>49.81</v>
      </c>
      <c r="M93">
        <v>13.12</v>
      </c>
      <c r="N93">
        <v>7.92</v>
      </c>
      <c r="O93">
        <v>3.01</v>
      </c>
    </row>
    <row r="94" spans="1:15" x14ac:dyDescent="0.3">
      <c r="A94" t="s">
        <v>222</v>
      </c>
      <c r="B94">
        <v>200</v>
      </c>
      <c r="C94">
        <v>80</v>
      </c>
      <c r="D94">
        <v>25</v>
      </c>
      <c r="E94">
        <v>2.5</v>
      </c>
      <c r="F94">
        <v>2.5</v>
      </c>
      <c r="G94">
        <v>9.84</v>
      </c>
      <c r="H94">
        <v>7.72</v>
      </c>
      <c r="I94">
        <v>2.27</v>
      </c>
      <c r="J94">
        <v>612.63</v>
      </c>
      <c r="K94">
        <v>87.41</v>
      </c>
      <c r="L94">
        <v>61.26</v>
      </c>
      <c r="M94">
        <v>15.96</v>
      </c>
      <c r="N94">
        <v>7.89</v>
      </c>
      <c r="O94">
        <v>2.98</v>
      </c>
    </row>
    <row r="95" spans="1:15" x14ac:dyDescent="0.3">
      <c r="A95" t="s">
        <v>223</v>
      </c>
      <c r="B95">
        <v>200</v>
      </c>
      <c r="C95">
        <v>80</v>
      </c>
      <c r="D95">
        <v>25</v>
      </c>
      <c r="E95">
        <v>3.2</v>
      </c>
      <c r="F95">
        <v>3.2</v>
      </c>
      <c r="G95">
        <v>12.45</v>
      </c>
      <c r="H95">
        <v>9.77</v>
      </c>
      <c r="I95">
        <v>2.2000000000000002</v>
      </c>
      <c r="J95">
        <v>766.45</v>
      </c>
      <c r="K95">
        <v>107.76</v>
      </c>
      <c r="L95">
        <v>76.64</v>
      </c>
      <c r="M95">
        <v>19.66</v>
      </c>
      <c r="N95">
        <v>7.85</v>
      </c>
      <c r="O95">
        <v>2.94</v>
      </c>
    </row>
    <row r="96" spans="1:15" x14ac:dyDescent="0.3">
      <c r="A96" t="s">
        <v>224</v>
      </c>
      <c r="B96">
        <v>200</v>
      </c>
      <c r="C96">
        <v>80</v>
      </c>
      <c r="D96">
        <v>25</v>
      </c>
      <c r="E96">
        <v>4.75</v>
      </c>
      <c r="F96">
        <v>4.75</v>
      </c>
      <c r="G96">
        <v>17.989999999999998</v>
      </c>
      <c r="H96">
        <v>14.12</v>
      </c>
      <c r="I96">
        <v>2.0299999999999998</v>
      </c>
      <c r="J96">
        <v>1081.1199999999999</v>
      </c>
      <c r="K96">
        <v>147.25</v>
      </c>
      <c r="L96">
        <v>108.11</v>
      </c>
      <c r="M96">
        <v>26.82</v>
      </c>
      <c r="N96">
        <v>7.75</v>
      </c>
      <c r="O96">
        <v>2.86</v>
      </c>
    </row>
    <row r="97" spans="1:15" x14ac:dyDescent="0.3">
      <c r="A97" t="s">
        <v>225</v>
      </c>
      <c r="B97">
        <v>200</v>
      </c>
      <c r="C97">
        <v>100</v>
      </c>
      <c r="D97">
        <v>25</v>
      </c>
      <c r="E97">
        <v>3.2</v>
      </c>
      <c r="F97">
        <v>3.2</v>
      </c>
      <c r="G97">
        <v>13.73</v>
      </c>
      <c r="H97">
        <v>10.78</v>
      </c>
      <c r="I97">
        <v>2.99</v>
      </c>
      <c r="J97">
        <v>890.69</v>
      </c>
      <c r="K97">
        <v>185.46</v>
      </c>
      <c r="L97">
        <v>89.07</v>
      </c>
      <c r="M97">
        <v>27.71</v>
      </c>
      <c r="N97">
        <v>8.06</v>
      </c>
      <c r="O97">
        <v>3.68</v>
      </c>
    </row>
    <row r="98" spans="1:15" x14ac:dyDescent="0.3">
      <c r="A98" t="s">
        <v>226</v>
      </c>
      <c r="B98">
        <v>200</v>
      </c>
      <c r="C98">
        <v>100</v>
      </c>
      <c r="D98">
        <v>25</v>
      </c>
      <c r="E98">
        <v>4.75</v>
      </c>
      <c r="F98">
        <v>4.75</v>
      </c>
      <c r="G98">
        <v>19.89</v>
      </c>
      <c r="H98">
        <v>15.61</v>
      </c>
      <c r="I98">
        <v>2.82</v>
      </c>
      <c r="J98">
        <v>1262.24</v>
      </c>
      <c r="K98">
        <v>256.36</v>
      </c>
      <c r="L98">
        <v>126.22</v>
      </c>
      <c r="M98">
        <v>38.229999999999997</v>
      </c>
      <c r="N98">
        <v>7.97</v>
      </c>
      <c r="O98">
        <v>3.59</v>
      </c>
    </row>
    <row r="99" spans="1:15" x14ac:dyDescent="0.3">
      <c r="A99" t="s">
        <v>227</v>
      </c>
      <c r="B99">
        <v>200</v>
      </c>
      <c r="C99">
        <v>100</v>
      </c>
      <c r="D99">
        <v>30</v>
      </c>
      <c r="E99">
        <v>4.75</v>
      </c>
      <c r="F99">
        <v>4.75</v>
      </c>
      <c r="G99">
        <v>20.37</v>
      </c>
      <c r="H99">
        <v>15.99</v>
      </c>
      <c r="I99">
        <v>2.97</v>
      </c>
      <c r="J99">
        <v>1287.22</v>
      </c>
      <c r="K99">
        <v>275.77999999999997</v>
      </c>
      <c r="L99">
        <v>128.72</v>
      </c>
      <c r="M99">
        <v>42.07</v>
      </c>
      <c r="N99">
        <v>7.95</v>
      </c>
      <c r="O99">
        <v>3.68</v>
      </c>
    </row>
    <row r="100" spans="1:15" x14ac:dyDescent="0.3">
      <c r="A100" t="s">
        <v>228</v>
      </c>
      <c r="B100">
        <v>220</v>
      </c>
      <c r="C100">
        <v>60</v>
      </c>
      <c r="D100">
        <v>20</v>
      </c>
      <c r="E100">
        <v>2</v>
      </c>
      <c r="F100">
        <v>2</v>
      </c>
      <c r="G100">
        <v>7.34</v>
      </c>
      <c r="H100">
        <v>5.76</v>
      </c>
      <c r="I100">
        <v>1.38</v>
      </c>
      <c r="J100">
        <v>511.5</v>
      </c>
      <c r="K100">
        <v>33.840000000000003</v>
      </c>
      <c r="L100">
        <v>46.5</v>
      </c>
      <c r="M100">
        <v>7.65</v>
      </c>
      <c r="N100">
        <v>8.35</v>
      </c>
      <c r="O100">
        <v>2.15</v>
      </c>
    </row>
    <row r="101" spans="1:15" x14ac:dyDescent="0.3">
      <c r="A101" t="s">
        <v>229</v>
      </c>
      <c r="B101">
        <v>220</v>
      </c>
      <c r="C101">
        <v>60</v>
      </c>
      <c r="D101">
        <v>20</v>
      </c>
      <c r="E101">
        <v>2.5</v>
      </c>
      <c r="F101">
        <v>2.5</v>
      </c>
      <c r="G101">
        <v>9.09</v>
      </c>
      <c r="H101">
        <v>7.13</v>
      </c>
      <c r="I101">
        <v>1.33</v>
      </c>
      <c r="J101">
        <v>628.1</v>
      </c>
      <c r="K101">
        <v>40.869999999999997</v>
      </c>
      <c r="L101">
        <v>57.1</v>
      </c>
      <c r="M101">
        <v>9.24</v>
      </c>
      <c r="N101">
        <v>8.31</v>
      </c>
      <c r="O101">
        <v>2.12</v>
      </c>
    </row>
    <row r="102" spans="1:15" x14ac:dyDescent="0.3">
      <c r="A102" t="s">
        <v>230</v>
      </c>
      <c r="B102">
        <v>220</v>
      </c>
      <c r="C102">
        <v>60</v>
      </c>
      <c r="D102">
        <v>20</v>
      </c>
      <c r="E102">
        <v>3.2</v>
      </c>
      <c r="F102">
        <v>3.2</v>
      </c>
      <c r="G102">
        <v>11.49</v>
      </c>
      <c r="H102">
        <v>9.02</v>
      </c>
      <c r="I102">
        <v>1.26</v>
      </c>
      <c r="J102">
        <v>783.94</v>
      </c>
      <c r="K102">
        <v>49.82</v>
      </c>
      <c r="L102">
        <v>71.27</v>
      </c>
      <c r="M102">
        <v>11.26</v>
      </c>
      <c r="N102">
        <v>8.26</v>
      </c>
      <c r="O102">
        <v>2.08</v>
      </c>
    </row>
    <row r="103" spans="1:15" x14ac:dyDescent="0.3">
      <c r="A103" t="s">
        <v>231</v>
      </c>
      <c r="B103">
        <v>220</v>
      </c>
      <c r="C103">
        <v>70</v>
      </c>
      <c r="D103">
        <v>25</v>
      </c>
      <c r="E103">
        <v>2</v>
      </c>
      <c r="F103">
        <v>2</v>
      </c>
      <c r="G103">
        <v>7.94</v>
      </c>
      <c r="H103">
        <v>6.23</v>
      </c>
      <c r="I103">
        <v>1.84</v>
      </c>
      <c r="J103">
        <v>574.34</v>
      </c>
      <c r="K103">
        <v>53.95</v>
      </c>
      <c r="L103">
        <v>52.21</v>
      </c>
      <c r="M103">
        <v>10.89</v>
      </c>
      <c r="N103">
        <v>8.51</v>
      </c>
      <c r="O103">
        <v>2.61</v>
      </c>
    </row>
    <row r="104" spans="1:15" x14ac:dyDescent="0.3">
      <c r="A104" t="s">
        <v>232</v>
      </c>
      <c r="B104">
        <v>220</v>
      </c>
      <c r="C104">
        <v>70</v>
      </c>
      <c r="D104">
        <v>25</v>
      </c>
      <c r="E104">
        <v>2.5</v>
      </c>
      <c r="F104">
        <v>2.5</v>
      </c>
      <c r="G104">
        <v>9.84</v>
      </c>
      <c r="H104">
        <v>7.72</v>
      </c>
      <c r="I104">
        <v>1.79</v>
      </c>
      <c r="J104">
        <v>706.38</v>
      </c>
      <c r="K104">
        <v>65.540000000000006</v>
      </c>
      <c r="L104">
        <v>64.22</v>
      </c>
      <c r="M104">
        <v>13.22</v>
      </c>
      <c r="N104">
        <v>8.4700000000000006</v>
      </c>
      <c r="O104">
        <v>2.58</v>
      </c>
    </row>
    <row r="105" spans="1:15" x14ac:dyDescent="0.3">
      <c r="A105" t="s">
        <v>233</v>
      </c>
      <c r="B105">
        <v>220</v>
      </c>
      <c r="C105">
        <v>70</v>
      </c>
      <c r="D105">
        <v>25</v>
      </c>
      <c r="E105">
        <v>3.2</v>
      </c>
      <c r="F105">
        <v>3.2</v>
      </c>
      <c r="G105">
        <v>12.45</v>
      </c>
      <c r="H105">
        <v>9.77</v>
      </c>
      <c r="I105">
        <v>1.72</v>
      </c>
      <c r="J105">
        <v>883.65</v>
      </c>
      <c r="K105">
        <v>80.540000000000006</v>
      </c>
      <c r="L105">
        <v>80.33</v>
      </c>
      <c r="M105">
        <v>16.239999999999998</v>
      </c>
      <c r="N105">
        <v>8.43</v>
      </c>
      <c r="O105">
        <v>2.54</v>
      </c>
    </row>
    <row r="106" spans="1:15" x14ac:dyDescent="0.3">
      <c r="A106" t="s">
        <v>234</v>
      </c>
      <c r="B106">
        <v>220</v>
      </c>
      <c r="C106">
        <v>80</v>
      </c>
      <c r="D106">
        <v>25</v>
      </c>
      <c r="E106">
        <v>2</v>
      </c>
      <c r="F106">
        <v>2</v>
      </c>
      <c r="G106">
        <v>8.34</v>
      </c>
      <c r="H106">
        <v>6.54</v>
      </c>
      <c r="I106">
        <v>2.21</v>
      </c>
      <c r="J106">
        <v>621.77</v>
      </c>
      <c r="K106">
        <v>74.040000000000006</v>
      </c>
      <c r="L106">
        <v>56.52</v>
      </c>
      <c r="M106">
        <v>13.24</v>
      </c>
      <c r="N106">
        <v>8.64</v>
      </c>
      <c r="O106">
        <v>2.98</v>
      </c>
    </row>
    <row r="107" spans="1:15" x14ac:dyDescent="0.3">
      <c r="A107" t="s">
        <v>235</v>
      </c>
      <c r="B107">
        <v>220</v>
      </c>
      <c r="C107">
        <v>80</v>
      </c>
      <c r="D107">
        <v>25</v>
      </c>
      <c r="E107">
        <v>2.5</v>
      </c>
      <c r="F107">
        <v>2.5</v>
      </c>
      <c r="G107">
        <v>10.34</v>
      </c>
      <c r="H107">
        <v>8.1199999999999992</v>
      </c>
      <c r="I107">
        <v>2.16</v>
      </c>
      <c r="J107">
        <v>765.36</v>
      </c>
      <c r="K107">
        <v>90.14</v>
      </c>
      <c r="L107">
        <v>69.58</v>
      </c>
      <c r="M107">
        <v>16.12</v>
      </c>
      <c r="N107">
        <v>8.6</v>
      </c>
      <c r="O107">
        <v>2.95</v>
      </c>
    </row>
    <row r="108" spans="1:15" x14ac:dyDescent="0.3">
      <c r="A108" t="s">
        <v>236</v>
      </c>
      <c r="B108">
        <v>220</v>
      </c>
      <c r="C108">
        <v>80</v>
      </c>
      <c r="D108">
        <v>25</v>
      </c>
      <c r="E108">
        <v>3.2</v>
      </c>
      <c r="F108">
        <v>3.2</v>
      </c>
      <c r="G108">
        <v>13.09</v>
      </c>
      <c r="H108">
        <v>10.27</v>
      </c>
      <c r="I108">
        <v>2.08</v>
      </c>
      <c r="J108">
        <v>958.53</v>
      </c>
      <c r="K108">
        <v>111.14</v>
      </c>
      <c r="L108">
        <v>87.14</v>
      </c>
      <c r="M108">
        <v>19.86</v>
      </c>
      <c r="N108">
        <v>8.56</v>
      </c>
      <c r="O108">
        <v>2.91</v>
      </c>
    </row>
    <row r="109" spans="1:15" x14ac:dyDescent="0.3">
      <c r="A109" t="s">
        <v>237</v>
      </c>
      <c r="B109">
        <v>220</v>
      </c>
      <c r="C109">
        <v>80</v>
      </c>
      <c r="D109">
        <v>25</v>
      </c>
      <c r="E109">
        <v>4.75</v>
      </c>
      <c r="F109">
        <v>4.75</v>
      </c>
      <c r="G109">
        <v>18.940000000000001</v>
      </c>
      <c r="H109">
        <v>14.87</v>
      </c>
      <c r="I109">
        <v>1.92</v>
      </c>
      <c r="J109">
        <v>1355.24</v>
      </c>
      <c r="K109">
        <v>151.93</v>
      </c>
      <c r="L109">
        <v>123.2</v>
      </c>
      <c r="M109">
        <v>27.11</v>
      </c>
      <c r="N109">
        <v>8.4600000000000009</v>
      </c>
      <c r="O109">
        <v>2.83</v>
      </c>
    </row>
    <row r="110" spans="1:15" x14ac:dyDescent="0.3">
      <c r="A110" t="s">
        <v>238</v>
      </c>
      <c r="B110">
        <v>220</v>
      </c>
      <c r="C110">
        <v>90</v>
      </c>
      <c r="D110">
        <v>25</v>
      </c>
      <c r="E110">
        <v>2</v>
      </c>
      <c r="F110">
        <v>2</v>
      </c>
      <c r="G110">
        <v>8.74</v>
      </c>
      <c r="H110">
        <v>6.86</v>
      </c>
      <c r="I110">
        <v>2.59</v>
      </c>
      <c r="J110">
        <v>669.39</v>
      </c>
      <c r="K110">
        <v>98.1</v>
      </c>
      <c r="L110">
        <v>60.85</v>
      </c>
      <c r="M110">
        <v>15.79</v>
      </c>
      <c r="N110">
        <v>8.75</v>
      </c>
      <c r="O110">
        <v>3.35</v>
      </c>
    </row>
    <row r="111" spans="1:15" x14ac:dyDescent="0.3">
      <c r="A111" t="s">
        <v>239</v>
      </c>
      <c r="B111">
        <v>220</v>
      </c>
      <c r="C111">
        <v>90</v>
      </c>
      <c r="D111">
        <v>25</v>
      </c>
      <c r="E111">
        <v>2.5</v>
      </c>
      <c r="F111">
        <v>2.5</v>
      </c>
      <c r="G111">
        <v>10.84</v>
      </c>
      <c r="H111">
        <v>8.51</v>
      </c>
      <c r="I111">
        <v>2.5299999999999998</v>
      </c>
      <c r="J111">
        <v>824.66</v>
      </c>
      <c r="K111">
        <v>119.74</v>
      </c>
      <c r="L111">
        <v>74.97</v>
      </c>
      <c r="M111">
        <v>19.260000000000002</v>
      </c>
      <c r="N111">
        <v>8.7200000000000006</v>
      </c>
      <c r="O111">
        <v>3.32</v>
      </c>
    </row>
    <row r="112" spans="1:15" x14ac:dyDescent="0.3">
      <c r="A112" t="s">
        <v>240</v>
      </c>
      <c r="B112">
        <v>220</v>
      </c>
      <c r="C112">
        <v>90</v>
      </c>
      <c r="D112">
        <v>25</v>
      </c>
      <c r="E112">
        <v>3.2</v>
      </c>
      <c r="F112">
        <v>3.2</v>
      </c>
      <c r="G112">
        <v>13.73</v>
      </c>
      <c r="H112">
        <v>10.78</v>
      </c>
      <c r="I112">
        <v>2.46</v>
      </c>
      <c r="J112">
        <v>1034.07</v>
      </c>
      <c r="K112">
        <v>148.16999999999999</v>
      </c>
      <c r="L112">
        <v>94.01</v>
      </c>
      <c r="M112">
        <v>23.82</v>
      </c>
      <c r="N112">
        <v>8.68</v>
      </c>
      <c r="O112">
        <v>3.29</v>
      </c>
    </row>
    <row r="113" spans="1:15" x14ac:dyDescent="0.3">
      <c r="A113" t="s">
        <v>241</v>
      </c>
      <c r="B113">
        <v>240</v>
      </c>
      <c r="C113">
        <v>80</v>
      </c>
      <c r="D113">
        <v>20</v>
      </c>
      <c r="E113">
        <v>2</v>
      </c>
      <c r="F113">
        <v>2</v>
      </c>
      <c r="G113">
        <v>8.5399999999999991</v>
      </c>
      <c r="H113">
        <v>6.7</v>
      </c>
      <c r="I113">
        <v>1.97</v>
      </c>
      <c r="J113">
        <v>743.13</v>
      </c>
      <c r="K113">
        <v>69.66</v>
      </c>
      <c r="L113">
        <v>61.93</v>
      </c>
      <c r="M113">
        <v>11.95</v>
      </c>
      <c r="N113">
        <v>9.33</v>
      </c>
      <c r="O113">
        <v>2.86</v>
      </c>
    </row>
    <row r="114" spans="1:15" x14ac:dyDescent="0.3">
      <c r="A114" t="s">
        <v>242</v>
      </c>
      <c r="B114">
        <v>240</v>
      </c>
      <c r="C114">
        <v>80</v>
      </c>
      <c r="D114">
        <v>20</v>
      </c>
      <c r="E114">
        <v>2.5</v>
      </c>
      <c r="F114">
        <v>2.5</v>
      </c>
      <c r="G114">
        <v>10.59</v>
      </c>
      <c r="H114">
        <v>8.31</v>
      </c>
      <c r="I114">
        <v>1.92</v>
      </c>
      <c r="J114">
        <v>914.98</v>
      </c>
      <c r="K114">
        <v>84.68</v>
      </c>
      <c r="L114">
        <v>76.25</v>
      </c>
      <c r="M114">
        <v>14.53</v>
      </c>
      <c r="N114">
        <v>9.3000000000000007</v>
      </c>
      <c r="O114">
        <v>2.83</v>
      </c>
    </row>
    <row r="115" spans="1:15" x14ac:dyDescent="0.3">
      <c r="A115" t="s">
        <v>243</v>
      </c>
      <c r="B115">
        <v>240</v>
      </c>
      <c r="C115">
        <v>80</v>
      </c>
      <c r="D115">
        <v>20</v>
      </c>
      <c r="E115">
        <v>3.2</v>
      </c>
      <c r="F115">
        <v>3.2</v>
      </c>
      <c r="G115">
        <v>13.41</v>
      </c>
      <c r="H115">
        <v>10.52</v>
      </c>
      <c r="I115">
        <v>1.85</v>
      </c>
      <c r="J115">
        <v>1146.3699999999999</v>
      </c>
      <c r="K115">
        <v>104.16</v>
      </c>
      <c r="L115">
        <v>95.53</v>
      </c>
      <c r="M115">
        <v>17.86</v>
      </c>
      <c r="N115">
        <v>9.25</v>
      </c>
      <c r="O115">
        <v>2.79</v>
      </c>
    </row>
    <row r="116" spans="1:15" x14ac:dyDescent="0.3">
      <c r="A116" t="s">
        <v>244</v>
      </c>
      <c r="B116">
        <v>240</v>
      </c>
      <c r="C116">
        <v>80</v>
      </c>
      <c r="D116">
        <v>25</v>
      </c>
      <c r="E116">
        <v>2</v>
      </c>
      <c r="F116">
        <v>2</v>
      </c>
      <c r="G116">
        <v>8.74</v>
      </c>
      <c r="H116">
        <v>6.86</v>
      </c>
      <c r="I116">
        <v>2.1</v>
      </c>
      <c r="J116">
        <v>762.25</v>
      </c>
      <c r="K116">
        <v>76.11</v>
      </c>
      <c r="L116">
        <v>63.52</v>
      </c>
      <c r="M116">
        <v>13.36</v>
      </c>
      <c r="N116">
        <v>9.34</v>
      </c>
      <c r="O116">
        <v>2.95</v>
      </c>
    </row>
    <row r="117" spans="1:15" x14ac:dyDescent="0.3">
      <c r="A117" t="s">
        <v>245</v>
      </c>
      <c r="B117">
        <v>240</v>
      </c>
      <c r="C117">
        <v>80</v>
      </c>
      <c r="D117">
        <v>25</v>
      </c>
      <c r="E117">
        <v>2.5</v>
      </c>
      <c r="F117">
        <v>2.5</v>
      </c>
      <c r="G117">
        <v>10.84</v>
      </c>
      <c r="H117">
        <v>8.51</v>
      </c>
      <c r="I117">
        <v>2.0499999999999998</v>
      </c>
      <c r="J117">
        <v>938.94</v>
      </c>
      <c r="K117">
        <v>92.71</v>
      </c>
      <c r="L117">
        <v>78.239999999999995</v>
      </c>
      <c r="M117">
        <v>16.27</v>
      </c>
      <c r="N117">
        <v>9.31</v>
      </c>
      <c r="O117">
        <v>2.92</v>
      </c>
    </row>
    <row r="118" spans="1:15" x14ac:dyDescent="0.3">
      <c r="A118" t="s">
        <v>246</v>
      </c>
      <c r="B118">
        <v>240</v>
      </c>
      <c r="C118">
        <v>80</v>
      </c>
      <c r="D118">
        <v>25</v>
      </c>
      <c r="E118">
        <v>3.2</v>
      </c>
      <c r="F118">
        <v>3.2</v>
      </c>
      <c r="G118">
        <v>13.73</v>
      </c>
      <c r="H118">
        <v>10.78</v>
      </c>
      <c r="I118">
        <v>1.98</v>
      </c>
      <c r="J118">
        <v>1177.1500000000001</v>
      </c>
      <c r="K118">
        <v>114.38</v>
      </c>
      <c r="L118">
        <v>98.1</v>
      </c>
      <c r="M118">
        <v>20.059999999999999</v>
      </c>
      <c r="N118">
        <v>9.26</v>
      </c>
      <c r="O118">
        <v>2.89</v>
      </c>
    </row>
    <row r="119" spans="1:15" x14ac:dyDescent="0.3">
      <c r="A119" t="s">
        <v>247</v>
      </c>
      <c r="B119">
        <v>240</v>
      </c>
      <c r="C119">
        <v>80</v>
      </c>
      <c r="D119">
        <v>25</v>
      </c>
      <c r="E119">
        <v>4.75</v>
      </c>
      <c r="F119">
        <v>4.75</v>
      </c>
      <c r="G119">
        <v>19.89</v>
      </c>
      <c r="H119">
        <v>15.61</v>
      </c>
      <c r="I119">
        <v>1.82</v>
      </c>
      <c r="J119">
        <v>1667.25</v>
      </c>
      <c r="K119">
        <v>156.16</v>
      </c>
      <c r="L119">
        <v>138.94</v>
      </c>
      <c r="M119">
        <v>27.36</v>
      </c>
      <c r="N119">
        <v>9.16</v>
      </c>
      <c r="O119">
        <v>2.8</v>
      </c>
    </row>
    <row r="120" spans="1:15" x14ac:dyDescent="0.3">
      <c r="A120" t="s">
        <v>248</v>
      </c>
      <c r="B120">
        <v>240</v>
      </c>
      <c r="C120">
        <v>90</v>
      </c>
      <c r="D120">
        <v>25</v>
      </c>
      <c r="E120">
        <v>2</v>
      </c>
      <c r="F120">
        <v>2</v>
      </c>
      <c r="G120">
        <v>9.14</v>
      </c>
      <c r="H120">
        <v>7.17</v>
      </c>
      <c r="I120">
        <v>2.4700000000000002</v>
      </c>
      <c r="J120">
        <v>818.89</v>
      </c>
      <c r="K120">
        <v>100.86</v>
      </c>
      <c r="L120">
        <v>68.239999999999995</v>
      </c>
      <c r="M120">
        <v>15.93</v>
      </c>
      <c r="N120">
        <v>9.4700000000000006</v>
      </c>
      <c r="O120">
        <v>3.32</v>
      </c>
    </row>
    <row r="121" spans="1:15" x14ac:dyDescent="0.3">
      <c r="A121" t="s">
        <v>249</v>
      </c>
      <c r="B121">
        <v>240</v>
      </c>
      <c r="C121">
        <v>90</v>
      </c>
      <c r="D121">
        <v>25</v>
      </c>
      <c r="E121">
        <v>2.5</v>
      </c>
      <c r="F121">
        <v>2.5</v>
      </c>
      <c r="G121">
        <v>11.34</v>
      </c>
      <c r="H121">
        <v>8.9</v>
      </c>
      <c r="I121">
        <v>2.42</v>
      </c>
      <c r="J121">
        <v>1009.45</v>
      </c>
      <c r="K121">
        <v>123.12</v>
      </c>
      <c r="L121">
        <v>84.12</v>
      </c>
      <c r="M121">
        <v>19.440000000000001</v>
      </c>
      <c r="N121">
        <v>9.44</v>
      </c>
      <c r="O121">
        <v>3.3</v>
      </c>
    </row>
    <row r="122" spans="1:15" x14ac:dyDescent="0.3">
      <c r="A122" t="s">
        <v>250</v>
      </c>
      <c r="B122">
        <v>240</v>
      </c>
      <c r="C122">
        <v>90</v>
      </c>
      <c r="D122">
        <v>25</v>
      </c>
      <c r="E122">
        <v>3.2</v>
      </c>
      <c r="F122">
        <v>3.2</v>
      </c>
      <c r="G122">
        <v>14.37</v>
      </c>
      <c r="H122">
        <v>11.28</v>
      </c>
      <c r="I122">
        <v>2.34</v>
      </c>
      <c r="J122">
        <v>1266.8800000000001</v>
      </c>
      <c r="K122">
        <v>152.37</v>
      </c>
      <c r="L122">
        <v>105.57</v>
      </c>
      <c r="M122">
        <v>24.05</v>
      </c>
      <c r="N122">
        <v>9.39</v>
      </c>
      <c r="O122">
        <v>3.26</v>
      </c>
    </row>
    <row r="123" spans="1:15" x14ac:dyDescent="0.3">
      <c r="A123" t="s">
        <v>251</v>
      </c>
      <c r="B123">
        <v>240</v>
      </c>
      <c r="C123">
        <v>90</v>
      </c>
      <c r="D123">
        <v>30</v>
      </c>
      <c r="E123">
        <v>2.5</v>
      </c>
      <c r="F123">
        <v>2.5</v>
      </c>
      <c r="G123">
        <v>11.59</v>
      </c>
      <c r="H123">
        <v>9.1</v>
      </c>
      <c r="I123">
        <v>2.5499999999999998</v>
      </c>
      <c r="J123">
        <v>1030.8399999999999</v>
      </c>
      <c r="K123">
        <v>132.55000000000001</v>
      </c>
      <c r="L123">
        <v>85.9</v>
      </c>
      <c r="M123">
        <v>21.38</v>
      </c>
      <c r="N123">
        <v>9.43</v>
      </c>
      <c r="O123">
        <v>3.38</v>
      </c>
    </row>
    <row r="124" spans="1:15" x14ac:dyDescent="0.3">
      <c r="A124" t="s">
        <v>252</v>
      </c>
      <c r="B124">
        <v>240</v>
      </c>
      <c r="C124">
        <v>90</v>
      </c>
      <c r="D124">
        <v>30</v>
      </c>
      <c r="E124">
        <v>3.2</v>
      </c>
      <c r="F124">
        <v>3.2</v>
      </c>
      <c r="G124">
        <v>14.69</v>
      </c>
      <c r="H124">
        <v>11.53</v>
      </c>
      <c r="I124">
        <v>2.48</v>
      </c>
      <c r="J124">
        <v>1294.26</v>
      </c>
      <c r="K124">
        <v>164.32</v>
      </c>
      <c r="L124">
        <v>107.86</v>
      </c>
      <c r="M124">
        <v>26.49</v>
      </c>
      <c r="N124">
        <v>9.39</v>
      </c>
      <c r="O124">
        <v>3.34</v>
      </c>
    </row>
    <row r="125" spans="1:15" x14ac:dyDescent="0.3">
      <c r="A125" t="s">
        <v>253</v>
      </c>
      <c r="B125">
        <v>240</v>
      </c>
      <c r="C125">
        <v>100</v>
      </c>
      <c r="D125">
        <v>25</v>
      </c>
      <c r="E125">
        <v>2</v>
      </c>
      <c r="F125">
        <v>2</v>
      </c>
      <c r="G125">
        <v>9.5399999999999991</v>
      </c>
      <c r="H125">
        <v>7.49</v>
      </c>
      <c r="I125">
        <v>2.85</v>
      </c>
      <c r="J125">
        <v>875.54</v>
      </c>
      <c r="K125">
        <v>129.88</v>
      </c>
      <c r="L125">
        <v>72.959999999999994</v>
      </c>
      <c r="M125">
        <v>18.68</v>
      </c>
      <c r="N125">
        <v>9.58</v>
      </c>
      <c r="O125">
        <v>3.69</v>
      </c>
    </row>
    <row r="126" spans="1:15" x14ac:dyDescent="0.3">
      <c r="A126" t="s">
        <v>254</v>
      </c>
      <c r="B126">
        <v>240</v>
      </c>
      <c r="C126">
        <v>100</v>
      </c>
      <c r="D126">
        <v>25</v>
      </c>
      <c r="E126">
        <v>2.5</v>
      </c>
      <c r="F126">
        <v>2.5</v>
      </c>
      <c r="G126">
        <v>11.84</v>
      </c>
      <c r="H126">
        <v>9.2899999999999991</v>
      </c>
      <c r="I126">
        <v>2.79</v>
      </c>
      <c r="J126">
        <v>1079.96</v>
      </c>
      <c r="K126">
        <v>158.82</v>
      </c>
      <c r="L126">
        <v>90</v>
      </c>
      <c r="M126">
        <v>22.83</v>
      </c>
      <c r="N126">
        <v>9.5500000000000007</v>
      </c>
      <c r="O126">
        <v>3.66</v>
      </c>
    </row>
    <row r="127" spans="1:15" x14ac:dyDescent="0.3">
      <c r="A127" t="s">
        <v>255</v>
      </c>
      <c r="B127">
        <v>240</v>
      </c>
      <c r="C127">
        <v>100</v>
      </c>
      <c r="D127">
        <v>25</v>
      </c>
      <c r="E127">
        <v>3.2</v>
      </c>
      <c r="F127">
        <v>3.2</v>
      </c>
      <c r="G127">
        <v>15.01</v>
      </c>
      <c r="H127">
        <v>11.78</v>
      </c>
      <c r="I127">
        <v>2.72</v>
      </c>
      <c r="J127">
        <v>1356.6</v>
      </c>
      <c r="K127">
        <v>197.07</v>
      </c>
      <c r="L127">
        <v>113.05</v>
      </c>
      <c r="M127">
        <v>28.31</v>
      </c>
      <c r="N127">
        <v>9.51</v>
      </c>
      <c r="O127">
        <v>3.62</v>
      </c>
    </row>
    <row r="128" spans="1:15" x14ac:dyDescent="0.3">
      <c r="A128" t="s">
        <v>256</v>
      </c>
      <c r="B128">
        <v>260</v>
      </c>
      <c r="C128">
        <v>80</v>
      </c>
      <c r="D128">
        <v>15</v>
      </c>
      <c r="E128">
        <v>1.6</v>
      </c>
      <c r="F128">
        <v>1.6</v>
      </c>
      <c r="G128">
        <v>7.03</v>
      </c>
      <c r="H128">
        <v>5.52</v>
      </c>
      <c r="I128">
        <v>1.79</v>
      </c>
      <c r="J128">
        <v>705.62</v>
      </c>
      <c r="K128">
        <v>52.76</v>
      </c>
      <c r="L128">
        <v>54.28</v>
      </c>
      <c r="M128">
        <v>8.7200000000000006</v>
      </c>
      <c r="N128">
        <v>10.02</v>
      </c>
      <c r="O128">
        <v>2.74</v>
      </c>
    </row>
    <row r="129" spans="1:15" x14ac:dyDescent="0.3">
      <c r="A129" t="s">
        <v>257</v>
      </c>
      <c r="B129">
        <v>260</v>
      </c>
      <c r="C129">
        <v>80</v>
      </c>
      <c r="D129">
        <v>15</v>
      </c>
      <c r="E129">
        <v>2</v>
      </c>
      <c r="F129">
        <v>2</v>
      </c>
      <c r="G129">
        <v>8.74</v>
      </c>
      <c r="H129">
        <v>6.86</v>
      </c>
      <c r="I129">
        <v>1.75</v>
      </c>
      <c r="J129">
        <v>871.67</v>
      </c>
      <c r="K129">
        <v>64.42</v>
      </c>
      <c r="L129">
        <v>67.05</v>
      </c>
      <c r="M129">
        <v>10.64</v>
      </c>
      <c r="N129">
        <v>9.99</v>
      </c>
      <c r="O129">
        <v>2.72</v>
      </c>
    </row>
    <row r="130" spans="1:15" x14ac:dyDescent="0.3">
      <c r="A130" t="s">
        <v>258</v>
      </c>
      <c r="B130">
        <v>260</v>
      </c>
      <c r="C130">
        <v>80</v>
      </c>
      <c r="D130">
        <v>20</v>
      </c>
      <c r="E130">
        <v>1.6</v>
      </c>
      <c r="F130">
        <v>1.6</v>
      </c>
      <c r="G130">
        <v>7.19</v>
      </c>
      <c r="H130">
        <v>5.65</v>
      </c>
      <c r="I130">
        <v>1.92</v>
      </c>
      <c r="J130">
        <v>725.87</v>
      </c>
      <c r="K130">
        <v>58.34</v>
      </c>
      <c r="L130">
        <v>55.84</v>
      </c>
      <c r="M130">
        <v>9.86</v>
      </c>
      <c r="N130">
        <v>10.050000000000001</v>
      </c>
      <c r="O130">
        <v>2.85</v>
      </c>
    </row>
    <row r="131" spans="1:15" x14ac:dyDescent="0.3">
      <c r="A131" t="s">
        <v>259</v>
      </c>
      <c r="B131">
        <v>260</v>
      </c>
      <c r="C131">
        <v>80</v>
      </c>
      <c r="D131">
        <v>20</v>
      </c>
      <c r="E131">
        <v>2</v>
      </c>
      <c r="F131">
        <v>2</v>
      </c>
      <c r="G131">
        <v>8.94</v>
      </c>
      <c r="H131">
        <v>7.02</v>
      </c>
      <c r="I131">
        <v>1.88</v>
      </c>
      <c r="J131">
        <v>896.88</v>
      </c>
      <c r="K131">
        <v>71.3</v>
      </c>
      <c r="L131">
        <v>68.989999999999995</v>
      </c>
      <c r="M131">
        <v>12.04</v>
      </c>
      <c r="N131">
        <v>10.02</v>
      </c>
      <c r="O131">
        <v>2.82</v>
      </c>
    </row>
    <row r="132" spans="1:15" x14ac:dyDescent="0.3">
      <c r="A132" t="s">
        <v>260</v>
      </c>
      <c r="B132">
        <v>260</v>
      </c>
      <c r="C132">
        <v>80</v>
      </c>
      <c r="D132">
        <v>20</v>
      </c>
      <c r="E132">
        <v>2.5</v>
      </c>
      <c r="F132">
        <v>2.5</v>
      </c>
      <c r="G132">
        <v>11.09</v>
      </c>
      <c r="H132">
        <v>8.6999999999999993</v>
      </c>
      <c r="I132">
        <v>1.83</v>
      </c>
      <c r="J132">
        <v>1104.94</v>
      </c>
      <c r="K132">
        <v>86.68</v>
      </c>
      <c r="L132">
        <v>85</v>
      </c>
      <c r="M132">
        <v>14.64</v>
      </c>
      <c r="N132">
        <v>9.98</v>
      </c>
      <c r="O132">
        <v>2.8</v>
      </c>
    </row>
    <row r="133" spans="1:15" x14ac:dyDescent="0.3">
      <c r="A133" t="s">
        <v>261</v>
      </c>
      <c r="B133">
        <v>260</v>
      </c>
      <c r="C133">
        <v>80</v>
      </c>
      <c r="D133">
        <v>20</v>
      </c>
      <c r="E133">
        <v>3.2</v>
      </c>
      <c r="F133">
        <v>3.2</v>
      </c>
      <c r="G133">
        <v>14.05</v>
      </c>
      <c r="H133">
        <v>11.03</v>
      </c>
      <c r="I133">
        <v>1.76</v>
      </c>
      <c r="J133">
        <v>1385.52</v>
      </c>
      <c r="K133">
        <v>106.62</v>
      </c>
      <c r="L133">
        <v>106.58</v>
      </c>
      <c r="M133">
        <v>18</v>
      </c>
      <c r="N133">
        <v>9.93</v>
      </c>
      <c r="O133">
        <v>2.76</v>
      </c>
    </row>
    <row r="134" spans="1:15" x14ac:dyDescent="0.3">
      <c r="A134" t="s">
        <v>262</v>
      </c>
      <c r="B134">
        <v>260</v>
      </c>
      <c r="C134">
        <v>80</v>
      </c>
      <c r="D134">
        <v>20</v>
      </c>
      <c r="E134">
        <v>4.75</v>
      </c>
      <c r="F134">
        <v>4.75</v>
      </c>
      <c r="G134">
        <v>20.37</v>
      </c>
      <c r="H134">
        <v>15.99</v>
      </c>
      <c r="I134">
        <v>1.59</v>
      </c>
      <c r="J134">
        <v>1964.13</v>
      </c>
      <c r="K134">
        <v>144.96</v>
      </c>
      <c r="L134">
        <v>151.09</v>
      </c>
      <c r="M134">
        <v>24.44</v>
      </c>
      <c r="N134">
        <v>9.82</v>
      </c>
      <c r="O134">
        <v>2.67</v>
      </c>
    </row>
    <row r="135" spans="1:15" x14ac:dyDescent="0.3">
      <c r="A135" t="s">
        <v>263</v>
      </c>
      <c r="B135">
        <v>260</v>
      </c>
      <c r="C135">
        <v>80</v>
      </c>
      <c r="D135">
        <v>40</v>
      </c>
      <c r="E135">
        <v>2.5</v>
      </c>
      <c r="F135">
        <v>2.5</v>
      </c>
      <c r="G135">
        <v>12.09</v>
      </c>
      <c r="H135">
        <v>9.49</v>
      </c>
      <c r="I135">
        <v>2.31</v>
      </c>
      <c r="J135">
        <v>1205.47</v>
      </c>
      <c r="K135">
        <v>117.59</v>
      </c>
      <c r="L135">
        <v>92.73</v>
      </c>
      <c r="M135">
        <v>21.61</v>
      </c>
      <c r="N135">
        <v>9.99</v>
      </c>
      <c r="O135">
        <v>3.12</v>
      </c>
    </row>
    <row r="136" spans="1:15" x14ac:dyDescent="0.3">
      <c r="A136" t="s">
        <v>264</v>
      </c>
      <c r="B136">
        <v>260</v>
      </c>
      <c r="C136">
        <v>80</v>
      </c>
      <c r="D136">
        <v>40</v>
      </c>
      <c r="E136">
        <v>3.2</v>
      </c>
      <c r="F136">
        <v>3.2</v>
      </c>
      <c r="G136">
        <v>15.33</v>
      </c>
      <c r="H136">
        <v>12.03</v>
      </c>
      <c r="I136">
        <v>2.2400000000000002</v>
      </c>
      <c r="J136">
        <v>1514.34</v>
      </c>
      <c r="K136">
        <v>145.78</v>
      </c>
      <c r="L136">
        <v>116.49</v>
      </c>
      <c r="M136">
        <v>26.78</v>
      </c>
      <c r="N136">
        <v>9.94</v>
      </c>
      <c r="O136">
        <v>3.08</v>
      </c>
    </row>
    <row r="137" spans="1:15" x14ac:dyDescent="0.3">
      <c r="A137" t="s">
        <v>265</v>
      </c>
      <c r="B137">
        <v>260</v>
      </c>
      <c r="C137">
        <v>80</v>
      </c>
      <c r="D137">
        <v>40</v>
      </c>
      <c r="E137">
        <v>4.75</v>
      </c>
      <c r="F137">
        <v>4.75</v>
      </c>
      <c r="G137">
        <v>22.27</v>
      </c>
      <c r="H137">
        <v>17.48</v>
      </c>
      <c r="I137">
        <v>2.08</v>
      </c>
      <c r="J137">
        <v>2154.77</v>
      </c>
      <c r="K137">
        <v>201.32</v>
      </c>
      <c r="L137">
        <v>165.75</v>
      </c>
      <c r="M137">
        <v>36.97</v>
      </c>
      <c r="N137">
        <v>9.84</v>
      </c>
      <c r="O137">
        <v>3.01</v>
      </c>
    </row>
    <row r="138" spans="1:15" x14ac:dyDescent="0.3">
      <c r="A138" t="s">
        <v>266</v>
      </c>
      <c r="B138">
        <v>260</v>
      </c>
      <c r="C138">
        <v>90</v>
      </c>
      <c r="D138">
        <v>25</v>
      </c>
      <c r="E138">
        <v>2</v>
      </c>
      <c r="F138">
        <v>2</v>
      </c>
      <c r="G138">
        <v>9.5399999999999991</v>
      </c>
      <c r="H138">
        <v>7.49</v>
      </c>
      <c r="I138">
        <v>2.36</v>
      </c>
      <c r="J138">
        <v>986.67</v>
      </c>
      <c r="K138">
        <v>103.39</v>
      </c>
      <c r="L138">
        <v>75.900000000000006</v>
      </c>
      <c r="M138">
        <v>16.059999999999999</v>
      </c>
      <c r="N138">
        <v>10.17</v>
      </c>
      <c r="O138">
        <v>3.29</v>
      </c>
    </row>
    <row r="139" spans="1:15" x14ac:dyDescent="0.3">
      <c r="A139" t="s">
        <v>267</v>
      </c>
      <c r="B139">
        <v>260</v>
      </c>
      <c r="C139">
        <v>90</v>
      </c>
      <c r="D139">
        <v>25</v>
      </c>
      <c r="E139">
        <v>2.5</v>
      </c>
      <c r="F139">
        <v>2.5</v>
      </c>
      <c r="G139">
        <v>11.84</v>
      </c>
      <c r="H139">
        <v>9.2899999999999991</v>
      </c>
      <c r="I139">
        <v>2.31</v>
      </c>
      <c r="J139">
        <v>1216.92</v>
      </c>
      <c r="K139">
        <v>126.22</v>
      </c>
      <c r="L139">
        <v>93.61</v>
      </c>
      <c r="M139">
        <v>19.600000000000001</v>
      </c>
      <c r="N139">
        <v>10.14</v>
      </c>
      <c r="O139">
        <v>3.27</v>
      </c>
    </row>
    <row r="140" spans="1:15" x14ac:dyDescent="0.3">
      <c r="A140" t="s">
        <v>268</v>
      </c>
      <c r="B140">
        <v>260</v>
      </c>
      <c r="C140">
        <v>90</v>
      </c>
      <c r="D140">
        <v>25</v>
      </c>
      <c r="E140">
        <v>3.2</v>
      </c>
      <c r="F140">
        <v>3.2</v>
      </c>
      <c r="G140">
        <v>15.13</v>
      </c>
      <c r="H140">
        <v>11.88</v>
      </c>
      <c r="I140">
        <v>2.31</v>
      </c>
      <c r="J140">
        <v>1549.52</v>
      </c>
      <c r="K140">
        <v>164.84</v>
      </c>
      <c r="L140">
        <v>119.19</v>
      </c>
      <c r="M140">
        <v>25.08</v>
      </c>
      <c r="N140">
        <v>10.119999999999999</v>
      </c>
      <c r="O140">
        <v>3.3</v>
      </c>
    </row>
    <row r="141" spans="1:15" x14ac:dyDescent="0.3">
      <c r="A141" t="s">
        <v>269</v>
      </c>
      <c r="B141">
        <v>260</v>
      </c>
      <c r="C141">
        <v>100</v>
      </c>
      <c r="D141">
        <v>25</v>
      </c>
      <c r="E141">
        <v>2</v>
      </c>
      <c r="F141">
        <v>2</v>
      </c>
      <c r="G141">
        <v>9.94</v>
      </c>
      <c r="H141">
        <v>7.8</v>
      </c>
      <c r="I141">
        <v>2.73</v>
      </c>
      <c r="J141">
        <v>1053.24</v>
      </c>
      <c r="K141">
        <v>133.22</v>
      </c>
      <c r="L141">
        <v>81.02</v>
      </c>
      <c r="M141">
        <v>18.84</v>
      </c>
      <c r="N141">
        <v>10.3</v>
      </c>
      <c r="O141">
        <v>3.66</v>
      </c>
    </row>
    <row r="142" spans="1:15" x14ac:dyDescent="0.3">
      <c r="A142" t="s">
        <v>270</v>
      </c>
      <c r="B142">
        <v>260</v>
      </c>
      <c r="C142">
        <v>100</v>
      </c>
      <c r="D142">
        <v>25</v>
      </c>
      <c r="E142">
        <v>2.5</v>
      </c>
      <c r="F142">
        <v>2.5</v>
      </c>
      <c r="G142">
        <v>12.34</v>
      </c>
      <c r="H142">
        <v>9.69</v>
      </c>
      <c r="I142">
        <v>2.68</v>
      </c>
      <c r="J142">
        <v>1299.8</v>
      </c>
      <c r="K142">
        <v>162.91</v>
      </c>
      <c r="L142">
        <v>99.98</v>
      </c>
      <c r="M142">
        <v>23.03</v>
      </c>
      <c r="N142">
        <v>10.26</v>
      </c>
      <c r="O142">
        <v>3.63</v>
      </c>
    </row>
    <row r="143" spans="1:15" x14ac:dyDescent="0.3">
      <c r="A143" t="s">
        <v>271</v>
      </c>
      <c r="B143">
        <v>260</v>
      </c>
      <c r="C143">
        <v>100</v>
      </c>
      <c r="D143">
        <v>25</v>
      </c>
      <c r="E143">
        <v>3.2</v>
      </c>
      <c r="F143">
        <v>3.2</v>
      </c>
      <c r="G143">
        <v>15.65</v>
      </c>
      <c r="H143">
        <v>12.28</v>
      </c>
      <c r="I143">
        <v>2.6</v>
      </c>
      <c r="J143">
        <v>1633.94</v>
      </c>
      <c r="K143">
        <v>202.16</v>
      </c>
      <c r="L143">
        <v>125.69</v>
      </c>
      <c r="M143">
        <v>28.56</v>
      </c>
      <c r="N143">
        <v>10.220000000000001</v>
      </c>
      <c r="O143">
        <v>3.59</v>
      </c>
    </row>
    <row r="144" spans="1:15" x14ac:dyDescent="0.3">
      <c r="A144" t="s">
        <v>272</v>
      </c>
      <c r="B144">
        <v>260</v>
      </c>
      <c r="C144">
        <v>100</v>
      </c>
      <c r="D144">
        <v>30</v>
      </c>
      <c r="E144">
        <v>2.5</v>
      </c>
      <c r="F144">
        <v>2.5</v>
      </c>
      <c r="G144">
        <v>12.59</v>
      </c>
      <c r="H144">
        <v>9.8800000000000008</v>
      </c>
      <c r="I144">
        <v>2.81</v>
      </c>
      <c r="J144">
        <v>1326.07</v>
      </c>
      <c r="K144">
        <v>174.75</v>
      </c>
      <c r="L144">
        <v>102.01</v>
      </c>
      <c r="M144">
        <v>25.19</v>
      </c>
      <c r="N144">
        <v>10.26</v>
      </c>
      <c r="O144">
        <v>3.73</v>
      </c>
    </row>
    <row r="145" spans="1:15" x14ac:dyDescent="0.3">
      <c r="A145" t="s">
        <v>273</v>
      </c>
      <c r="B145">
        <v>260</v>
      </c>
      <c r="C145">
        <v>100</v>
      </c>
      <c r="D145">
        <v>30</v>
      </c>
      <c r="E145">
        <v>3.2</v>
      </c>
      <c r="F145">
        <v>3.2</v>
      </c>
      <c r="G145">
        <v>15.97</v>
      </c>
      <c r="H145">
        <v>12.53</v>
      </c>
      <c r="I145">
        <v>2.74</v>
      </c>
      <c r="J145">
        <v>1667.56</v>
      </c>
      <c r="K145">
        <v>217.17</v>
      </c>
      <c r="L145">
        <v>128.27000000000001</v>
      </c>
      <c r="M145">
        <v>31.29</v>
      </c>
      <c r="N145">
        <v>10.220000000000001</v>
      </c>
      <c r="O145">
        <v>3.69</v>
      </c>
    </row>
    <row r="146" spans="1:15" x14ac:dyDescent="0.3">
      <c r="A146" t="s">
        <v>274</v>
      </c>
      <c r="B146">
        <v>280</v>
      </c>
      <c r="C146">
        <v>80</v>
      </c>
      <c r="D146">
        <v>20</v>
      </c>
      <c r="E146">
        <v>2</v>
      </c>
      <c r="F146">
        <v>2</v>
      </c>
      <c r="G146">
        <v>9.34</v>
      </c>
      <c r="H146">
        <v>7.33</v>
      </c>
      <c r="I146">
        <v>1.8</v>
      </c>
      <c r="J146">
        <v>1068.6199999999999</v>
      </c>
      <c r="K146">
        <v>72.849999999999994</v>
      </c>
      <c r="L146">
        <v>76.33</v>
      </c>
      <c r="M146">
        <v>12.13</v>
      </c>
      <c r="N146">
        <v>10.7</v>
      </c>
      <c r="O146">
        <v>2.79</v>
      </c>
    </row>
    <row r="147" spans="1:15" x14ac:dyDescent="0.3">
      <c r="A147" t="s">
        <v>275</v>
      </c>
      <c r="B147">
        <v>280</v>
      </c>
      <c r="C147">
        <v>80</v>
      </c>
      <c r="D147">
        <v>20</v>
      </c>
      <c r="E147">
        <v>2.5</v>
      </c>
      <c r="F147">
        <v>2.5</v>
      </c>
      <c r="G147">
        <v>11.59</v>
      </c>
      <c r="H147">
        <v>9.1</v>
      </c>
      <c r="I147">
        <v>1.74</v>
      </c>
      <c r="J147">
        <v>1317.29</v>
      </c>
      <c r="K147">
        <v>88.59</v>
      </c>
      <c r="L147">
        <v>94.09</v>
      </c>
      <c r="M147">
        <v>14.75</v>
      </c>
      <c r="N147">
        <v>10.66</v>
      </c>
      <c r="O147">
        <v>2.76</v>
      </c>
    </row>
    <row r="148" spans="1:15" x14ac:dyDescent="0.3">
      <c r="A148" t="s">
        <v>276</v>
      </c>
      <c r="B148">
        <v>280</v>
      </c>
      <c r="C148">
        <v>80</v>
      </c>
      <c r="D148">
        <v>20</v>
      </c>
      <c r="E148">
        <v>3.2</v>
      </c>
      <c r="F148">
        <v>3.2</v>
      </c>
      <c r="G148">
        <v>14.69</v>
      </c>
      <c r="H148">
        <v>11.53</v>
      </c>
      <c r="I148">
        <v>1.67</v>
      </c>
      <c r="J148">
        <v>1653.19</v>
      </c>
      <c r="K148">
        <v>109.04</v>
      </c>
      <c r="L148">
        <v>118.08</v>
      </c>
      <c r="M148">
        <v>18.149999999999999</v>
      </c>
      <c r="N148">
        <v>10.61</v>
      </c>
      <c r="O148">
        <v>2.72</v>
      </c>
    </row>
    <row r="149" spans="1:15" x14ac:dyDescent="0.3">
      <c r="A149" t="s">
        <v>277</v>
      </c>
      <c r="B149">
        <v>280</v>
      </c>
      <c r="C149">
        <v>90</v>
      </c>
      <c r="D149">
        <v>25</v>
      </c>
      <c r="E149">
        <v>2</v>
      </c>
      <c r="F149">
        <v>2</v>
      </c>
      <c r="G149">
        <v>9.94</v>
      </c>
      <c r="H149">
        <v>7.8</v>
      </c>
      <c r="I149">
        <v>2.2599999999999998</v>
      </c>
      <c r="J149">
        <v>1173.52</v>
      </c>
      <c r="K149">
        <v>105.72</v>
      </c>
      <c r="L149">
        <v>83.82</v>
      </c>
      <c r="M149">
        <v>16.170000000000002</v>
      </c>
      <c r="N149">
        <v>10.87</v>
      </c>
      <c r="O149">
        <v>2.2599999999999998</v>
      </c>
    </row>
    <row r="150" spans="1:15" x14ac:dyDescent="0.3">
      <c r="A150" t="s">
        <v>278</v>
      </c>
      <c r="B150">
        <v>280</v>
      </c>
      <c r="C150">
        <v>90</v>
      </c>
      <c r="D150">
        <v>25</v>
      </c>
      <c r="E150">
        <v>2.5</v>
      </c>
      <c r="F150">
        <v>2.5</v>
      </c>
      <c r="G150">
        <v>12.34</v>
      </c>
      <c r="H150">
        <v>9.69</v>
      </c>
      <c r="I150">
        <v>2.21</v>
      </c>
      <c r="J150">
        <v>1448.07</v>
      </c>
      <c r="K150">
        <v>129.06</v>
      </c>
      <c r="L150">
        <v>103.43</v>
      </c>
      <c r="M150">
        <v>19.739999999999998</v>
      </c>
      <c r="N150">
        <v>10.83</v>
      </c>
      <c r="O150">
        <v>3.23</v>
      </c>
    </row>
    <row r="151" spans="1:15" x14ac:dyDescent="0.3">
      <c r="A151" t="s">
        <v>279</v>
      </c>
      <c r="B151">
        <v>280</v>
      </c>
      <c r="C151">
        <v>90</v>
      </c>
      <c r="D151">
        <v>25</v>
      </c>
      <c r="E151">
        <v>3.2</v>
      </c>
      <c r="F151">
        <v>3.2</v>
      </c>
      <c r="G151">
        <v>15.65</v>
      </c>
      <c r="H151">
        <v>12.28</v>
      </c>
      <c r="I151">
        <v>2.14</v>
      </c>
      <c r="J151">
        <v>1819.97</v>
      </c>
      <c r="K151">
        <v>159.75</v>
      </c>
      <c r="L151">
        <v>130</v>
      </c>
      <c r="M151">
        <v>24.42</v>
      </c>
      <c r="N151">
        <v>10.79</v>
      </c>
      <c r="O151">
        <v>3.2</v>
      </c>
    </row>
    <row r="152" spans="1:15" x14ac:dyDescent="0.3">
      <c r="A152" t="s">
        <v>280</v>
      </c>
      <c r="B152">
        <v>280</v>
      </c>
      <c r="C152">
        <v>100</v>
      </c>
      <c r="D152">
        <v>25</v>
      </c>
      <c r="E152">
        <v>2</v>
      </c>
      <c r="F152">
        <v>2</v>
      </c>
      <c r="G152">
        <v>10.34</v>
      </c>
      <c r="H152">
        <v>8.11</v>
      </c>
      <c r="I152">
        <v>2.62</v>
      </c>
      <c r="J152">
        <v>1250.81</v>
      </c>
      <c r="K152">
        <v>136.29</v>
      </c>
      <c r="L152">
        <v>89.34</v>
      </c>
      <c r="M152">
        <v>18.98</v>
      </c>
      <c r="N152">
        <v>11</v>
      </c>
      <c r="O152">
        <v>3.63</v>
      </c>
    </row>
    <row r="153" spans="1:15" x14ac:dyDescent="0.3">
      <c r="A153" t="s">
        <v>281</v>
      </c>
      <c r="B153">
        <v>280</v>
      </c>
      <c r="C153">
        <v>100</v>
      </c>
      <c r="D153">
        <v>25</v>
      </c>
      <c r="E153">
        <v>2.5</v>
      </c>
      <c r="F153">
        <v>2.5</v>
      </c>
      <c r="G153">
        <v>12.84</v>
      </c>
      <c r="H153">
        <v>10.08</v>
      </c>
      <c r="I153">
        <v>2.57</v>
      </c>
      <c r="J153">
        <v>1544.33</v>
      </c>
      <c r="K153">
        <v>166.69</v>
      </c>
      <c r="L153">
        <v>110.31</v>
      </c>
      <c r="M153">
        <v>23.2</v>
      </c>
      <c r="N153">
        <v>10.97</v>
      </c>
      <c r="O153">
        <v>3.6</v>
      </c>
    </row>
    <row r="154" spans="1:15" x14ac:dyDescent="0.3">
      <c r="A154" t="s">
        <v>282</v>
      </c>
      <c r="B154">
        <v>280</v>
      </c>
      <c r="C154">
        <v>100</v>
      </c>
      <c r="D154">
        <v>25</v>
      </c>
      <c r="E154">
        <v>3.2</v>
      </c>
      <c r="F154">
        <v>3.2</v>
      </c>
      <c r="G154">
        <v>16.29</v>
      </c>
      <c r="H154">
        <v>12.79</v>
      </c>
      <c r="I154">
        <v>2.4900000000000002</v>
      </c>
      <c r="J154">
        <v>1942.57</v>
      </c>
      <c r="K154">
        <v>206.85</v>
      </c>
      <c r="L154">
        <v>138.75</v>
      </c>
      <c r="M154">
        <v>28.78</v>
      </c>
      <c r="N154">
        <v>10.92</v>
      </c>
      <c r="O154">
        <v>3.56</v>
      </c>
    </row>
    <row r="155" spans="1:15" x14ac:dyDescent="0.3">
      <c r="A155" t="s">
        <v>283</v>
      </c>
      <c r="B155">
        <v>300</v>
      </c>
      <c r="C155">
        <v>80</v>
      </c>
      <c r="D155">
        <v>20</v>
      </c>
      <c r="E155">
        <v>2</v>
      </c>
      <c r="F155">
        <v>2</v>
      </c>
      <c r="G155">
        <v>9.74</v>
      </c>
      <c r="H155">
        <v>7.64</v>
      </c>
      <c r="I155">
        <v>1.72</v>
      </c>
      <c r="J155">
        <v>1258.8</v>
      </c>
      <c r="K155">
        <v>74.180000000000007</v>
      </c>
      <c r="L155">
        <v>83.92</v>
      </c>
      <c r="M155">
        <v>12.2</v>
      </c>
      <c r="N155">
        <v>11.37</v>
      </c>
      <c r="O155">
        <v>2.76</v>
      </c>
    </row>
    <row r="156" spans="1:15" x14ac:dyDescent="0.3">
      <c r="A156" t="s">
        <v>284</v>
      </c>
      <c r="B156">
        <v>300</v>
      </c>
      <c r="C156">
        <v>80</v>
      </c>
      <c r="D156">
        <v>20</v>
      </c>
      <c r="E156">
        <v>2.5</v>
      </c>
      <c r="F156">
        <v>2.5</v>
      </c>
      <c r="G156">
        <v>12.09</v>
      </c>
      <c r="H156">
        <v>9.49</v>
      </c>
      <c r="I156">
        <v>1.67</v>
      </c>
      <c r="J156">
        <v>1552.38</v>
      </c>
      <c r="K156">
        <v>90.18</v>
      </c>
      <c r="L156">
        <v>103.49</v>
      </c>
      <c r="M156">
        <v>14.82</v>
      </c>
      <c r="N156">
        <v>11.33</v>
      </c>
      <c r="O156">
        <v>2.73</v>
      </c>
    </row>
    <row r="157" spans="1:15" x14ac:dyDescent="0.3">
      <c r="A157" t="s">
        <v>285</v>
      </c>
      <c r="B157">
        <v>300</v>
      </c>
      <c r="C157">
        <v>80</v>
      </c>
      <c r="D157">
        <v>20</v>
      </c>
      <c r="E157">
        <v>3.2</v>
      </c>
      <c r="F157">
        <v>3.2</v>
      </c>
      <c r="G157">
        <v>15.33</v>
      </c>
      <c r="H157">
        <v>12.03</v>
      </c>
      <c r="I157">
        <v>1.6</v>
      </c>
      <c r="J157">
        <v>1949.38</v>
      </c>
      <c r="K157">
        <v>110.92</v>
      </c>
      <c r="L157">
        <v>129.96</v>
      </c>
      <c r="M157">
        <v>18.23</v>
      </c>
      <c r="N157">
        <v>11.28</v>
      </c>
      <c r="O157">
        <v>2.69</v>
      </c>
    </row>
    <row r="158" spans="1:15" x14ac:dyDescent="0.3">
      <c r="A158" t="s">
        <v>286</v>
      </c>
      <c r="B158">
        <v>300</v>
      </c>
      <c r="C158">
        <v>80</v>
      </c>
      <c r="D158">
        <v>30</v>
      </c>
      <c r="E158">
        <v>3.2</v>
      </c>
      <c r="F158">
        <v>3.2</v>
      </c>
      <c r="G158">
        <v>15.97</v>
      </c>
      <c r="H158">
        <v>12.53</v>
      </c>
      <c r="I158">
        <v>1.83</v>
      </c>
      <c r="J158">
        <v>2049.89</v>
      </c>
      <c r="K158">
        <v>132.66999999999999</v>
      </c>
      <c r="L158">
        <v>136.66</v>
      </c>
      <c r="M158">
        <v>22.69</v>
      </c>
      <c r="N158">
        <v>11.33</v>
      </c>
      <c r="O158">
        <v>2.88</v>
      </c>
    </row>
    <row r="159" spans="1:15" x14ac:dyDescent="0.3">
      <c r="A159" t="s">
        <v>287</v>
      </c>
      <c r="B159">
        <v>300</v>
      </c>
      <c r="C159">
        <v>90</v>
      </c>
      <c r="D159">
        <v>20</v>
      </c>
      <c r="E159">
        <v>3.2</v>
      </c>
      <c r="F159">
        <v>3.2</v>
      </c>
      <c r="G159">
        <v>15.97</v>
      </c>
      <c r="H159">
        <v>12.53</v>
      </c>
      <c r="I159">
        <v>1.92</v>
      </c>
      <c r="J159">
        <v>2090.79</v>
      </c>
      <c r="K159">
        <v>149.33000000000001</v>
      </c>
      <c r="L159">
        <v>139.38999999999999</v>
      </c>
      <c r="M159">
        <v>22.09</v>
      </c>
      <c r="N159">
        <v>11.44</v>
      </c>
      <c r="O159">
        <v>3.06</v>
      </c>
    </row>
    <row r="160" spans="1:15" x14ac:dyDescent="0.3">
      <c r="A160" t="s">
        <v>288</v>
      </c>
      <c r="B160">
        <v>300</v>
      </c>
      <c r="C160">
        <v>90</v>
      </c>
      <c r="D160">
        <v>20</v>
      </c>
      <c r="E160">
        <v>4.75</v>
      </c>
      <c r="F160">
        <v>4.75</v>
      </c>
      <c r="G160">
        <v>23.22</v>
      </c>
      <c r="H160">
        <v>18.22</v>
      </c>
      <c r="I160">
        <v>1.76</v>
      </c>
      <c r="J160">
        <v>2979.39</v>
      </c>
      <c r="K160">
        <v>204.38</v>
      </c>
      <c r="L160">
        <v>198.63</v>
      </c>
      <c r="M160">
        <v>30.2</v>
      </c>
      <c r="N160">
        <v>11.33</v>
      </c>
      <c r="O160">
        <v>2.97</v>
      </c>
    </row>
    <row r="161" spans="1:15" x14ac:dyDescent="0.3">
      <c r="A161" t="s">
        <v>289</v>
      </c>
      <c r="B161">
        <v>300</v>
      </c>
      <c r="C161">
        <v>90</v>
      </c>
      <c r="D161">
        <v>25</v>
      </c>
      <c r="E161">
        <v>2</v>
      </c>
      <c r="F161">
        <v>2</v>
      </c>
      <c r="G161">
        <v>10.34</v>
      </c>
      <c r="H161">
        <v>8.11</v>
      </c>
      <c r="I161">
        <v>2.17</v>
      </c>
      <c r="J161">
        <v>1380.25</v>
      </c>
      <c r="K161">
        <v>107.87</v>
      </c>
      <c r="L161">
        <v>92.02</v>
      </c>
      <c r="M161">
        <v>16.27</v>
      </c>
      <c r="N161">
        <v>11.56</v>
      </c>
      <c r="O161">
        <v>3.23</v>
      </c>
    </row>
    <row r="162" spans="1:15" x14ac:dyDescent="0.3">
      <c r="A162" t="s">
        <v>290</v>
      </c>
      <c r="B162">
        <v>300</v>
      </c>
      <c r="C162">
        <v>90</v>
      </c>
      <c r="D162">
        <v>25</v>
      </c>
      <c r="E162">
        <v>2.5</v>
      </c>
      <c r="F162">
        <v>2.5</v>
      </c>
      <c r="G162">
        <v>12.84</v>
      </c>
      <c r="H162">
        <v>10.08</v>
      </c>
      <c r="I162">
        <v>2.12</v>
      </c>
      <c r="J162">
        <v>1703.89</v>
      </c>
      <c r="K162">
        <v>139.69</v>
      </c>
      <c r="L162">
        <v>113.59</v>
      </c>
      <c r="M162">
        <v>19.86</v>
      </c>
      <c r="N162">
        <v>11.52</v>
      </c>
      <c r="O162">
        <v>3.49</v>
      </c>
    </row>
    <row r="163" spans="1:15" x14ac:dyDescent="0.3">
      <c r="A163" t="s">
        <v>291</v>
      </c>
      <c r="B163">
        <v>300</v>
      </c>
      <c r="C163">
        <v>90</v>
      </c>
      <c r="D163">
        <v>25</v>
      </c>
      <c r="E163">
        <v>3.2</v>
      </c>
      <c r="F163">
        <v>3.2</v>
      </c>
      <c r="G163">
        <v>16.29</v>
      </c>
      <c r="H163">
        <v>12.79</v>
      </c>
      <c r="I163">
        <v>2.0499999999999998</v>
      </c>
      <c r="J163">
        <v>2142.8200000000002</v>
      </c>
      <c r="K163">
        <v>163</v>
      </c>
      <c r="L163">
        <v>142.85</v>
      </c>
      <c r="M163">
        <v>24.85</v>
      </c>
      <c r="N163">
        <v>11.47</v>
      </c>
      <c r="O163">
        <v>3.16</v>
      </c>
    </row>
    <row r="164" spans="1:15" x14ac:dyDescent="0.3">
      <c r="A164" t="s">
        <v>292</v>
      </c>
      <c r="B164">
        <v>300</v>
      </c>
      <c r="C164">
        <v>90</v>
      </c>
      <c r="D164">
        <v>25</v>
      </c>
      <c r="E164">
        <v>4.75</v>
      </c>
      <c r="F164">
        <v>4.75</v>
      </c>
      <c r="G164">
        <v>23.69</v>
      </c>
      <c r="H164">
        <v>18.600000000000001</v>
      </c>
      <c r="I164">
        <v>1.89</v>
      </c>
      <c r="J164">
        <v>3056.61</v>
      </c>
      <c r="K164">
        <v>224.23</v>
      </c>
      <c r="L164">
        <v>203.77</v>
      </c>
      <c r="M164">
        <v>33.79</v>
      </c>
      <c r="N164">
        <v>11.36</v>
      </c>
      <c r="O164">
        <v>3.08</v>
      </c>
    </row>
    <row r="165" spans="1:15" x14ac:dyDescent="0.3">
      <c r="A165" t="s">
        <v>293</v>
      </c>
      <c r="B165">
        <v>300</v>
      </c>
      <c r="C165">
        <v>90</v>
      </c>
      <c r="D165">
        <v>30</v>
      </c>
      <c r="E165">
        <v>2.5</v>
      </c>
      <c r="F165">
        <v>2.5</v>
      </c>
      <c r="G165">
        <v>13.09</v>
      </c>
      <c r="H165">
        <v>10.27</v>
      </c>
      <c r="I165">
        <v>2.2400000000000002</v>
      </c>
      <c r="J165">
        <v>1741.41</v>
      </c>
      <c r="K165">
        <v>142.07</v>
      </c>
      <c r="L165">
        <v>116.09</v>
      </c>
      <c r="M165">
        <v>21.84</v>
      </c>
      <c r="N165">
        <v>11.53</v>
      </c>
      <c r="O165">
        <v>3.29</v>
      </c>
    </row>
    <row r="166" spans="1:15" x14ac:dyDescent="0.3">
      <c r="A166" t="s">
        <v>294</v>
      </c>
      <c r="B166">
        <v>300</v>
      </c>
      <c r="C166">
        <v>90</v>
      </c>
      <c r="D166">
        <v>30</v>
      </c>
      <c r="E166">
        <v>3.2</v>
      </c>
      <c r="F166">
        <v>3.2</v>
      </c>
      <c r="G166">
        <v>16.61</v>
      </c>
      <c r="H166">
        <v>13.04</v>
      </c>
      <c r="I166">
        <v>2.17</v>
      </c>
      <c r="J166">
        <v>2190.84</v>
      </c>
      <c r="K166">
        <v>176.15</v>
      </c>
      <c r="L166">
        <v>146.06</v>
      </c>
      <c r="M166">
        <v>27.07</v>
      </c>
      <c r="N166">
        <v>11.49</v>
      </c>
      <c r="O166">
        <v>3.26</v>
      </c>
    </row>
    <row r="167" spans="1:15" x14ac:dyDescent="0.3">
      <c r="A167" t="s">
        <v>295</v>
      </c>
      <c r="B167">
        <v>300</v>
      </c>
      <c r="C167">
        <v>90</v>
      </c>
      <c r="D167">
        <v>30</v>
      </c>
      <c r="E167">
        <v>4.75</v>
      </c>
      <c r="F167">
        <v>4.75</v>
      </c>
      <c r="G167">
        <v>24.17</v>
      </c>
      <c r="H167">
        <v>18.97</v>
      </c>
      <c r="I167">
        <v>2.0099999999999998</v>
      </c>
      <c r="J167">
        <v>3127.9</v>
      </c>
      <c r="K167">
        <v>243.31</v>
      </c>
      <c r="L167">
        <v>208.53</v>
      </c>
      <c r="M167">
        <v>37.369999999999997</v>
      </c>
      <c r="N167">
        <v>11.38</v>
      </c>
      <c r="O167">
        <v>3.17</v>
      </c>
    </row>
    <row r="168" spans="1:15" x14ac:dyDescent="0.3">
      <c r="A168" t="s">
        <v>296</v>
      </c>
      <c r="B168">
        <v>300</v>
      </c>
      <c r="C168">
        <v>90</v>
      </c>
      <c r="D168">
        <v>40</v>
      </c>
      <c r="E168">
        <v>3.2</v>
      </c>
      <c r="F168">
        <v>3.2</v>
      </c>
      <c r="G168">
        <v>17.25</v>
      </c>
      <c r="H168">
        <v>13.54</v>
      </c>
      <c r="I168">
        <v>2.41</v>
      </c>
      <c r="J168">
        <v>2275.54</v>
      </c>
      <c r="K168">
        <v>200.98</v>
      </c>
      <c r="L168">
        <v>151.69999999999999</v>
      </c>
      <c r="M168">
        <v>32.049999999999997</v>
      </c>
      <c r="N168">
        <v>11.49</v>
      </c>
      <c r="O168">
        <v>3.41</v>
      </c>
    </row>
    <row r="169" spans="1:15" x14ac:dyDescent="0.3">
      <c r="A169" t="s">
        <v>297</v>
      </c>
      <c r="B169">
        <v>300</v>
      </c>
      <c r="C169">
        <v>90</v>
      </c>
      <c r="D169">
        <v>40</v>
      </c>
      <c r="E169">
        <v>4.75</v>
      </c>
      <c r="F169">
        <v>4.75</v>
      </c>
      <c r="G169">
        <v>25.12</v>
      </c>
      <c r="H169">
        <v>19.72</v>
      </c>
      <c r="I169">
        <v>2.25</v>
      </c>
      <c r="J169">
        <v>3252.62</v>
      </c>
      <c r="K169">
        <v>279.3</v>
      </c>
      <c r="L169">
        <v>216.91</v>
      </c>
      <c r="M169">
        <v>44.52</v>
      </c>
      <c r="N169">
        <v>11.38</v>
      </c>
      <c r="O169">
        <v>3.33</v>
      </c>
    </row>
    <row r="170" spans="1:15" x14ac:dyDescent="0.3">
      <c r="A170" t="s">
        <v>298</v>
      </c>
      <c r="B170">
        <v>300</v>
      </c>
      <c r="C170">
        <v>100</v>
      </c>
      <c r="D170">
        <v>25</v>
      </c>
      <c r="E170">
        <v>2</v>
      </c>
      <c r="F170">
        <v>2</v>
      </c>
      <c r="G170">
        <v>10.74</v>
      </c>
      <c r="H170">
        <v>8.43</v>
      </c>
      <c r="I170">
        <v>2.52</v>
      </c>
      <c r="J170">
        <v>1469.05</v>
      </c>
      <c r="K170">
        <v>139.13999999999999</v>
      </c>
      <c r="L170">
        <v>97.14</v>
      </c>
      <c r="M170">
        <v>19.11</v>
      </c>
      <c r="N170">
        <v>11.7</v>
      </c>
      <c r="O170">
        <v>3.6</v>
      </c>
    </row>
    <row r="171" spans="1:15" x14ac:dyDescent="0.3">
      <c r="A171" t="s">
        <v>299</v>
      </c>
      <c r="B171">
        <v>300</v>
      </c>
      <c r="C171">
        <v>100</v>
      </c>
      <c r="D171">
        <v>25</v>
      </c>
      <c r="E171">
        <v>2.5</v>
      </c>
      <c r="F171">
        <v>2.5</v>
      </c>
      <c r="G171">
        <v>13.34</v>
      </c>
      <c r="H171">
        <v>10.47</v>
      </c>
      <c r="I171">
        <v>2.4700000000000002</v>
      </c>
      <c r="J171">
        <v>1814.53</v>
      </c>
      <c r="K171">
        <v>170.18</v>
      </c>
      <c r="L171">
        <v>120.97</v>
      </c>
      <c r="M171">
        <v>23.36</v>
      </c>
      <c r="N171">
        <v>11.66</v>
      </c>
      <c r="O171">
        <v>3.57</v>
      </c>
    </row>
    <row r="172" spans="1:15" x14ac:dyDescent="0.3">
      <c r="A172" t="s">
        <v>300</v>
      </c>
      <c r="B172">
        <v>300</v>
      </c>
      <c r="C172">
        <v>100</v>
      </c>
      <c r="D172">
        <v>25</v>
      </c>
      <c r="E172">
        <v>3.2</v>
      </c>
      <c r="F172">
        <v>3.2</v>
      </c>
      <c r="G172">
        <v>16.93</v>
      </c>
      <c r="H172">
        <v>13.29</v>
      </c>
      <c r="I172">
        <v>2.39</v>
      </c>
      <c r="J172">
        <v>2283.77</v>
      </c>
      <c r="K172">
        <v>211.19</v>
      </c>
      <c r="L172">
        <v>152.25</v>
      </c>
      <c r="M172">
        <v>28.98</v>
      </c>
      <c r="N172">
        <v>11.62</v>
      </c>
      <c r="O172">
        <v>3.53</v>
      </c>
    </row>
    <row r="173" spans="1:15" x14ac:dyDescent="0.3">
      <c r="A173" t="s">
        <v>301</v>
      </c>
      <c r="B173">
        <v>300</v>
      </c>
      <c r="C173">
        <v>100</v>
      </c>
      <c r="D173">
        <v>30</v>
      </c>
      <c r="E173">
        <v>2</v>
      </c>
      <c r="F173">
        <v>2</v>
      </c>
      <c r="G173">
        <v>10.94</v>
      </c>
      <c r="H173">
        <v>8.59</v>
      </c>
      <c r="I173">
        <v>2.65</v>
      </c>
      <c r="J173">
        <v>1499.07</v>
      </c>
      <c r="K173">
        <v>149.27000000000001</v>
      </c>
      <c r="L173">
        <v>99.94</v>
      </c>
      <c r="M173">
        <v>20.88</v>
      </c>
      <c r="N173">
        <v>11.71</v>
      </c>
      <c r="O173">
        <v>3.69</v>
      </c>
    </row>
    <row r="174" spans="1:15" x14ac:dyDescent="0.3">
      <c r="A174" t="s">
        <v>302</v>
      </c>
      <c r="B174">
        <v>300</v>
      </c>
      <c r="C174">
        <v>100</v>
      </c>
      <c r="D174">
        <v>30</v>
      </c>
      <c r="E174">
        <v>3.2</v>
      </c>
      <c r="F174">
        <v>3.2</v>
      </c>
      <c r="G174">
        <v>17.25</v>
      </c>
      <c r="H174">
        <v>13.54</v>
      </c>
      <c r="I174">
        <v>2.52</v>
      </c>
      <c r="J174">
        <v>2331.79</v>
      </c>
      <c r="K174">
        <v>227.15</v>
      </c>
      <c r="L174">
        <v>155.44999999999999</v>
      </c>
      <c r="M174">
        <v>31.75</v>
      </c>
      <c r="N174">
        <v>11.63</v>
      </c>
      <c r="O174">
        <v>3.63</v>
      </c>
    </row>
    <row r="175" spans="1:15" x14ac:dyDescent="0.3">
      <c r="A175" t="s">
        <v>303</v>
      </c>
      <c r="B175">
        <v>320</v>
      </c>
      <c r="C175">
        <v>80</v>
      </c>
      <c r="D175">
        <v>20</v>
      </c>
      <c r="E175">
        <v>2</v>
      </c>
      <c r="F175">
        <v>2</v>
      </c>
      <c r="G175">
        <v>10.14</v>
      </c>
      <c r="H175">
        <v>7.96</v>
      </c>
      <c r="I175">
        <v>1.65</v>
      </c>
      <c r="J175">
        <v>1468.57</v>
      </c>
      <c r="K175">
        <v>75.45</v>
      </c>
      <c r="L175">
        <v>91.79</v>
      </c>
      <c r="M175">
        <v>12.26</v>
      </c>
      <c r="N175">
        <v>12.04</v>
      </c>
      <c r="O175">
        <v>2.73</v>
      </c>
    </row>
    <row r="176" spans="1:15" x14ac:dyDescent="0.3">
      <c r="A176" t="s">
        <v>304</v>
      </c>
      <c r="B176">
        <v>320</v>
      </c>
      <c r="C176">
        <v>80</v>
      </c>
      <c r="D176">
        <v>20</v>
      </c>
      <c r="E176">
        <v>2.5</v>
      </c>
      <c r="F176">
        <v>2.5</v>
      </c>
      <c r="G176">
        <v>12.59</v>
      </c>
      <c r="H176">
        <v>9.8800000000000008</v>
      </c>
      <c r="I176">
        <v>1.6</v>
      </c>
      <c r="J176">
        <v>1811.86</v>
      </c>
      <c r="K176">
        <v>91.72</v>
      </c>
      <c r="L176">
        <v>113.24</v>
      </c>
      <c r="M176">
        <v>14.9</v>
      </c>
      <c r="N176">
        <v>12</v>
      </c>
      <c r="O176">
        <v>2.7</v>
      </c>
    </row>
    <row r="177" spans="1:15" x14ac:dyDescent="0.3">
      <c r="A177" t="s">
        <v>305</v>
      </c>
      <c r="B177">
        <v>320</v>
      </c>
      <c r="C177">
        <v>80</v>
      </c>
      <c r="D177">
        <v>20</v>
      </c>
      <c r="E177">
        <v>3.2</v>
      </c>
      <c r="F177">
        <v>3.2</v>
      </c>
      <c r="G177">
        <v>15.97</v>
      </c>
      <c r="H177">
        <v>12.53</v>
      </c>
      <c r="I177">
        <v>1.53</v>
      </c>
      <c r="J177">
        <v>2276.65</v>
      </c>
      <c r="K177">
        <v>112.81</v>
      </c>
      <c r="L177">
        <v>142.29</v>
      </c>
      <c r="M177">
        <v>18.329999999999998</v>
      </c>
      <c r="N177">
        <v>11.94</v>
      </c>
      <c r="O177">
        <v>2.66</v>
      </c>
    </row>
    <row r="178" spans="1:15" x14ac:dyDescent="0.3">
      <c r="A178" t="s">
        <v>306</v>
      </c>
      <c r="B178">
        <v>320</v>
      </c>
      <c r="C178">
        <v>90</v>
      </c>
      <c r="D178">
        <v>25</v>
      </c>
      <c r="E178">
        <v>2</v>
      </c>
      <c r="F178">
        <v>2</v>
      </c>
      <c r="G178">
        <v>10.74</v>
      </c>
      <c r="H178">
        <v>8.43</v>
      </c>
      <c r="I178">
        <v>2.09</v>
      </c>
      <c r="J178">
        <v>1607.65</v>
      </c>
      <c r="K178">
        <v>109.86</v>
      </c>
      <c r="L178">
        <v>100.48</v>
      </c>
      <c r="M178">
        <v>16.37</v>
      </c>
      <c r="N178">
        <v>12.24</v>
      </c>
      <c r="O178">
        <v>3.2</v>
      </c>
    </row>
    <row r="179" spans="1:15" x14ac:dyDescent="0.3">
      <c r="A179" t="s">
        <v>307</v>
      </c>
      <c r="B179">
        <v>320</v>
      </c>
      <c r="C179">
        <v>90</v>
      </c>
      <c r="D179">
        <v>25</v>
      </c>
      <c r="E179">
        <v>2.5</v>
      </c>
      <c r="F179">
        <v>2.5</v>
      </c>
      <c r="G179">
        <v>13.34</v>
      </c>
      <c r="H179">
        <v>10.47</v>
      </c>
      <c r="I179">
        <v>2.04</v>
      </c>
      <c r="J179">
        <v>1985.4</v>
      </c>
      <c r="K179">
        <v>134.12</v>
      </c>
      <c r="L179">
        <v>124.09</v>
      </c>
      <c r="M179">
        <v>19.98</v>
      </c>
      <c r="N179">
        <v>12.2</v>
      </c>
      <c r="O179">
        <v>3.17</v>
      </c>
    </row>
    <row r="180" spans="1:15" x14ac:dyDescent="0.3">
      <c r="A180" t="s">
        <v>308</v>
      </c>
      <c r="B180">
        <v>320</v>
      </c>
      <c r="C180">
        <v>90</v>
      </c>
      <c r="D180">
        <v>25</v>
      </c>
      <c r="E180">
        <v>3.2</v>
      </c>
      <c r="F180">
        <v>3.2</v>
      </c>
      <c r="G180">
        <v>16.93</v>
      </c>
      <c r="H180">
        <v>13.29</v>
      </c>
      <c r="I180">
        <v>1.96</v>
      </c>
      <c r="J180">
        <v>2498.2399999999998</v>
      </c>
      <c r="K180">
        <v>166.08</v>
      </c>
      <c r="L180">
        <v>156.13999999999999</v>
      </c>
      <c r="M180">
        <v>24.72</v>
      </c>
      <c r="N180">
        <v>12.15</v>
      </c>
      <c r="O180">
        <v>3.13</v>
      </c>
    </row>
    <row r="181" spans="1:15" x14ac:dyDescent="0.3">
      <c r="A181" t="s">
        <v>309</v>
      </c>
      <c r="B181">
        <v>320</v>
      </c>
      <c r="C181">
        <v>100</v>
      </c>
      <c r="D181">
        <v>25</v>
      </c>
      <c r="E181">
        <v>2</v>
      </c>
      <c r="F181">
        <v>2</v>
      </c>
      <c r="G181">
        <v>11.14</v>
      </c>
      <c r="H181">
        <v>8.74</v>
      </c>
      <c r="I181">
        <v>2.42</v>
      </c>
      <c r="J181">
        <v>1708.77</v>
      </c>
      <c r="K181">
        <v>141.79</v>
      </c>
      <c r="L181">
        <v>106.8</v>
      </c>
      <c r="M181">
        <v>19.22</v>
      </c>
      <c r="N181">
        <v>12.39</v>
      </c>
      <c r="O181">
        <v>3.57</v>
      </c>
    </row>
    <row r="182" spans="1:15" x14ac:dyDescent="0.3">
      <c r="A182" t="s">
        <v>310</v>
      </c>
      <c r="B182">
        <v>320</v>
      </c>
      <c r="C182">
        <v>100</v>
      </c>
      <c r="D182">
        <v>25</v>
      </c>
      <c r="E182">
        <v>2.5</v>
      </c>
      <c r="F182">
        <v>2.5</v>
      </c>
      <c r="G182">
        <v>13.84</v>
      </c>
      <c r="H182">
        <v>10.86</v>
      </c>
      <c r="I182">
        <v>2.37</v>
      </c>
      <c r="J182">
        <v>2111.41</v>
      </c>
      <c r="K182">
        <v>173.41</v>
      </c>
      <c r="L182">
        <v>131.96</v>
      </c>
      <c r="M182">
        <v>23.5</v>
      </c>
      <c r="N182">
        <v>12.35</v>
      </c>
      <c r="O182">
        <v>3.54</v>
      </c>
    </row>
    <row r="183" spans="1:15" x14ac:dyDescent="0.3">
      <c r="A183" t="s">
        <v>311</v>
      </c>
      <c r="B183">
        <v>320</v>
      </c>
      <c r="C183">
        <v>100</v>
      </c>
      <c r="D183">
        <v>25</v>
      </c>
      <c r="E183">
        <v>3.2</v>
      </c>
      <c r="F183">
        <v>3.2</v>
      </c>
      <c r="G183">
        <v>17.57</v>
      </c>
      <c r="H183">
        <v>13.79</v>
      </c>
      <c r="I183">
        <v>2.2999999999999998</v>
      </c>
      <c r="J183">
        <v>2658.82</v>
      </c>
      <c r="K183">
        <v>215.22</v>
      </c>
      <c r="L183">
        <v>166.18</v>
      </c>
      <c r="M183">
        <v>29.16</v>
      </c>
      <c r="N183">
        <v>12.3</v>
      </c>
      <c r="O183">
        <v>3.5</v>
      </c>
    </row>
    <row r="184" spans="1:15" x14ac:dyDescent="0.3">
      <c r="A184" t="s">
        <v>312</v>
      </c>
      <c r="B184">
        <v>340</v>
      </c>
      <c r="C184">
        <v>90</v>
      </c>
      <c r="D184">
        <v>25</v>
      </c>
      <c r="E184">
        <v>2</v>
      </c>
      <c r="F184">
        <v>2</v>
      </c>
      <c r="G184">
        <v>11.14</v>
      </c>
      <c r="H184">
        <v>8.74</v>
      </c>
      <c r="I184">
        <v>2.0099999999999998</v>
      </c>
      <c r="J184">
        <v>1856.52</v>
      </c>
      <c r="K184">
        <v>111.71</v>
      </c>
      <c r="L184">
        <v>109.21</v>
      </c>
      <c r="M184">
        <v>16.45</v>
      </c>
      <c r="N184">
        <v>12.91</v>
      </c>
      <c r="O184">
        <v>3.17</v>
      </c>
    </row>
    <row r="185" spans="1:15" x14ac:dyDescent="0.3">
      <c r="A185" t="s">
        <v>313</v>
      </c>
      <c r="B185">
        <v>340</v>
      </c>
      <c r="C185">
        <v>90</v>
      </c>
      <c r="D185">
        <v>25</v>
      </c>
      <c r="E185">
        <v>2.5</v>
      </c>
      <c r="F185">
        <v>2.5</v>
      </c>
      <c r="G185">
        <v>13.84</v>
      </c>
      <c r="H185">
        <v>10.86</v>
      </c>
      <c r="I185">
        <v>1.96</v>
      </c>
      <c r="J185">
        <v>2293.58</v>
      </c>
      <c r="K185">
        <v>136.37</v>
      </c>
      <c r="L185">
        <v>134.91999999999999</v>
      </c>
      <c r="M185">
        <v>20.079999999999998</v>
      </c>
      <c r="N185">
        <v>12.87</v>
      </c>
      <c r="O185">
        <v>3.14</v>
      </c>
    </row>
    <row r="186" spans="1:15" x14ac:dyDescent="0.3">
      <c r="A186" t="s">
        <v>314</v>
      </c>
      <c r="B186">
        <v>340</v>
      </c>
      <c r="C186">
        <v>90</v>
      </c>
      <c r="D186">
        <v>25</v>
      </c>
      <c r="E186">
        <v>3.2</v>
      </c>
      <c r="F186">
        <v>3.2</v>
      </c>
      <c r="G186">
        <v>17.57</v>
      </c>
      <c r="H186">
        <v>13.79</v>
      </c>
      <c r="I186">
        <v>1.89</v>
      </c>
      <c r="J186">
        <v>2887.51</v>
      </c>
      <c r="K186">
        <v>168.8</v>
      </c>
      <c r="L186">
        <v>169.85</v>
      </c>
      <c r="M186">
        <v>24.85</v>
      </c>
      <c r="N186">
        <v>12.82</v>
      </c>
      <c r="O186">
        <v>3.1</v>
      </c>
    </row>
    <row r="187" spans="1:15" x14ac:dyDescent="0.3">
      <c r="A187" t="s">
        <v>315</v>
      </c>
      <c r="B187">
        <v>340</v>
      </c>
      <c r="C187">
        <v>100</v>
      </c>
      <c r="D187">
        <v>25</v>
      </c>
      <c r="E187">
        <v>2</v>
      </c>
      <c r="F187">
        <v>2</v>
      </c>
      <c r="G187">
        <v>11.54</v>
      </c>
      <c r="H187">
        <v>9.06</v>
      </c>
      <c r="I187">
        <v>2.34</v>
      </c>
      <c r="J187">
        <v>1970.77</v>
      </c>
      <c r="K187">
        <v>144.25</v>
      </c>
      <c r="L187">
        <v>115.93</v>
      </c>
      <c r="M187">
        <v>19.329999999999998</v>
      </c>
      <c r="N187">
        <v>13.07</v>
      </c>
      <c r="O187">
        <v>3.54</v>
      </c>
    </row>
    <row r="188" spans="1:15" x14ac:dyDescent="0.3">
      <c r="A188" t="s">
        <v>316</v>
      </c>
      <c r="B188">
        <v>340</v>
      </c>
      <c r="C188">
        <v>100</v>
      </c>
      <c r="D188">
        <v>25</v>
      </c>
      <c r="E188">
        <v>2.5</v>
      </c>
      <c r="F188">
        <v>2.5</v>
      </c>
      <c r="G188">
        <v>14.34</v>
      </c>
      <c r="H188">
        <v>11.26</v>
      </c>
      <c r="I188">
        <v>2.29</v>
      </c>
      <c r="J188">
        <v>2435.9699999999998</v>
      </c>
      <c r="K188">
        <v>174.42</v>
      </c>
      <c r="L188">
        <v>143.29</v>
      </c>
      <c r="M188">
        <v>23.63</v>
      </c>
      <c r="N188">
        <v>13.03</v>
      </c>
      <c r="O188">
        <v>3.51</v>
      </c>
    </row>
    <row r="189" spans="1:15" x14ac:dyDescent="0.3">
      <c r="A189" t="s">
        <v>317</v>
      </c>
      <c r="B189">
        <v>340</v>
      </c>
      <c r="C189">
        <v>100</v>
      </c>
      <c r="D189">
        <v>25</v>
      </c>
      <c r="E189">
        <v>3.2</v>
      </c>
      <c r="F189">
        <v>3.2</v>
      </c>
      <c r="G189">
        <v>18.21</v>
      </c>
      <c r="H189">
        <v>14.29</v>
      </c>
      <c r="I189">
        <v>2.21</v>
      </c>
      <c r="J189">
        <v>3069.01</v>
      </c>
      <c r="K189">
        <v>218.96</v>
      </c>
      <c r="L189">
        <v>180.53</v>
      </c>
      <c r="M189">
        <v>29.32</v>
      </c>
      <c r="N189">
        <v>12.98</v>
      </c>
      <c r="O189">
        <v>3.47</v>
      </c>
    </row>
    <row r="190" spans="1:15" x14ac:dyDescent="0.3">
      <c r="A190" t="s">
        <v>318</v>
      </c>
      <c r="B190">
        <v>340</v>
      </c>
      <c r="C190">
        <v>80</v>
      </c>
      <c r="D190">
        <v>20</v>
      </c>
      <c r="E190">
        <v>2</v>
      </c>
      <c r="F190">
        <v>2</v>
      </c>
      <c r="G190">
        <v>10.54</v>
      </c>
      <c r="H190">
        <v>8.27</v>
      </c>
      <c r="I190">
        <v>1.58</v>
      </c>
      <c r="J190">
        <v>1698.76</v>
      </c>
      <c r="K190">
        <v>76.67</v>
      </c>
      <c r="L190">
        <v>99.93</v>
      </c>
      <c r="M190">
        <v>12.33</v>
      </c>
      <c r="N190">
        <v>12.7</v>
      </c>
      <c r="O190">
        <v>2.7</v>
      </c>
    </row>
    <row r="191" spans="1:15" x14ac:dyDescent="0.3">
      <c r="A191" t="s">
        <v>319</v>
      </c>
      <c r="B191">
        <v>340</v>
      </c>
      <c r="C191">
        <v>80</v>
      </c>
      <c r="D191">
        <v>20</v>
      </c>
      <c r="E191">
        <v>2.5</v>
      </c>
      <c r="F191">
        <v>2.5</v>
      </c>
      <c r="G191">
        <v>13.09</v>
      </c>
      <c r="H191">
        <v>10.27</v>
      </c>
      <c r="I191">
        <v>1.53</v>
      </c>
      <c r="J191">
        <v>2096.8000000000002</v>
      </c>
      <c r="K191">
        <v>93.23</v>
      </c>
      <c r="L191">
        <v>123.34</v>
      </c>
      <c r="M191">
        <v>14.99</v>
      </c>
      <c r="N191">
        <v>11.66</v>
      </c>
      <c r="O191">
        <v>2.67</v>
      </c>
    </row>
    <row r="192" spans="1:15" x14ac:dyDescent="0.3">
      <c r="A192" t="s">
        <v>320</v>
      </c>
      <c r="B192">
        <v>340</v>
      </c>
      <c r="C192">
        <v>80</v>
      </c>
      <c r="D192">
        <v>20</v>
      </c>
      <c r="E192">
        <v>3.2</v>
      </c>
      <c r="F192">
        <v>3.2</v>
      </c>
      <c r="G192">
        <v>16.61</v>
      </c>
      <c r="H192">
        <v>13.04</v>
      </c>
      <c r="I192">
        <v>1.49</v>
      </c>
      <c r="J192">
        <v>2636.39</v>
      </c>
      <c r="K192">
        <v>114.75</v>
      </c>
      <c r="L192">
        <v>155.08000000000001</v>
      </c>
      <c r="M192">
        <v>18.45</v>
      </c>
      <c r="N192">
        <v>12.6</v>
      </c>
      <c r="O192">
        <v>2.63</v>
      </c>
    </row>
    <row r="193" spans="1:15" x14ac:dyDescent="0.3">
      <c r="A193" t="s">
        <v>312</v>
      </c>
      <c r="B193">
        <v>340</v>
      </c>
      <c r="C193">
        <v>90</v>
      </c>
      <c r="D193">
        <v>25</v>
      </c>
      <c r="E193">
        <v>2</v>
      </c>
      <c r="F193">
        <v>2</v>
      </c>
      <c r="G193">
        <v>11.14</v>
      </c>
      <c r="H193">
        <v>8.74</v>
      </c>
      <c r="I193">
        <v>2.0099999999999998</v>
      </c>
      <c r="J193">
        <v>1856.52</v>
      </c>
      <c r="K193">
        <v>111.71</v>
      </c>
      <c r="L193">
        <v>109.21</v>
      </c>
      <c r="M193">
        <v>16.45</v>
      </c>
      <c r="N193">
        <v>12.91</v>
      </c>
      <c r="O193">
        <v>3.17</v>
      </c>
    </row>
    <row r="194" spans="1:15" x14ac:dyDescent="0.3">
      <c r="A194" t="s">
        <v>313</v>
      </c>
      <c r="B194">
        <v>340</v>
      </c>
      <c r="C194">
        <v>90</v>
      </c>
      <c r="D194">
        <v>25</v>
      </c>
      <c r="E194">
        <v>2.5</v>
      </c>
      <c r="F194">
        <v>2.5</v>
      </c>
      <c r="G194">
        <v>13.84</v>
      </c>
      <c r="H194">
        <v>10.86</v>
      </c>
      <c r="I194">
        <v>1.96</v>
      </c>
      <c r="J194">
        <v>2293.58</v>
      </c>
      <c r="K194">
        <v>136.37</v>
      </c>
      <c r="L194">
        <v>134.91999999999999</v>
      </c>
      <c r="M194">
        <v>20.079999999999998</v>
      </c>
      <c r="N194">
        <v>12.87</v>
      </c>
      <c r="O194">
        <v>3.14</v>
      </c>
    </row>
    <row r="195" spans="1:15" x14ac:dyDescent="0.3">
      <c r="A195" t="s">
        <v>314</v>
      </c>
      <c r="B195">
        <v>340</v>
      </c>
      <c r="C195">
        <v>90</v>
      </c>
      <c r="D195">
        <v>25</v>
      </c>
      <c r="E195">
        <v>3.2</v>
      </c>
      <c r="F195">
        <v>3.2</v>
      </c>
      <c r="G195">
        <v>17.57</v>
      </c>
      <c r="H195">
        <v>13.79</v>
      </c>
      <c r="I195">
        <v>1.89</v>
      </c>
      <c r="J195">
        <v>2887.51</v>
      </c>
      <c r="K195">
        <v>168.8</v>
      </c>
      <c r="L195">
        <v>169.85</v>
      </c>
      <c r="M195">
        <v>24.85</v>
      </c>
      <c r="N195">
        <v>12.82</v>
      </c>
      <c r="O195">
        <v>3.1</v>
      </c>
    </row>
    <row r="196" spans="1:15" x14ac:dyDescent="0.3">
      <c r="A196" t="s">
        <v>321</v>
      </c>
      <c r="B196">
        <v>350</v>
      </c>
      <c r="C196">
        <v>100</v>
      </c>
      <c r="D196">
        <v>25</v>
      </c>
      <c r="E196">
        <v>2</v>
      </c>
      <c r="F196">
        <v>2</v>
      </c>
      <c r="G196">
        <v>11.74</v>
      </c>
      <c r="H196">
        <v>9.2100000000000009</v>
      </c>
      <c r="I196">
        <v>2.2999999999999998</v>
      </c>
      <c r="J196">
        <v>2110.37</v>
      </c>
      <c r="K196">
        <v>145.41999999999999</v>
      </c>
      <c r="L196">
        <v>120.59</v>
      </c>
      <c r="M196">
        <v>19.38</v>
      </c>
      <c r="N196">
        <v>13.41</v>
      </c>
      <c r="O196">
        <v>3.52</v>
      </c>
    </row>
    <row r="197" spans="1:15" x14ac:dyDescent="0.3">
      <c r="A197" t="s">
        <v>322</v>
      </c>
      <c r="B197">
        <v>350</v>
      </c>
      <c r="C197">
        <v>100</v>
      </c>
      <c r="D197">
        <v>25</v>
      </c>
      <c r="E197">
        <v>2.5</v>
      </c>
      <c r="F197">
        <v>2.5</v>
      </c>
      <c r="G197">
        <v>14.59</v>
      </c>
      <c r="H197">
        <v>11.45</v>
      </c>
      <c r="I197">
        <v>2.2400000000000002</v>
      </c>
      <c r="J197">
        <v>2608.94</v>
      </c>
      <c r="K197">
        <v>177.85</v>
      </c>
      <c r="L197">
        <v>149.08000000000001</v>
      </c>
      <c r="M197">
        <v>23.69</v>
      </c>
      <c r="N197">
        <v>13.37</v>
      </c>
      <c r="O197">
        <v>3.49</v>
      </c>
    </row>
    <row r="198" spans="1:15" x14ac:dyDescent="0.3">
      <c r="A198" t="s">
        <v>323</v>
      </c>
      <c r="B198">
        <v>350</v>
      </c>
      <c r="C198">
        <v>100</v>
      </c>
      <c r="D198">
        <v>25</v>
      </c>
      <c r="E198">
        <v>3.2</v>
      </c>
      <c r="F198">
        <v>3.2</v>
      </c>
      <c r="G198">
        <v>18.53</v>
      </c>
      <c r="H198">
        <v>14.54</v>
      </c>
      <c r="I198">
        <v>2.17</v>
      </c>
      <c r="J198">
        <v>3287.68</v>
      </c>
      <c r="K198">
        <v>220.73</v>
      </c>
      <c r="L198">
        <v>187.87</v>
      </c>
      <c r="M198">
        <v>29.4</v>
      </c>
      <c r="N198">
        <v>13.32</v>
      </c>
      <c r="O198">
        <v>3.45</v>
      </c>
    </row>
    <row r="199" spans="1:15" x14ac:dyDescent="0.3">
      <c r="A199" t="s">
        <v>324</v>
      </c>
      <c r="B199">
        <v>360</v>
      </c>
      <c r="C199">
        <v>100</v>
      </c>
      <c r="D199">
        <v>20</v>
      </c>
      <c r="E199">
        <v>3.2</v>
      </c>
      <c r="F199">
        <v>3.2</v>
      </c>
      <c r="G199">
        <v>18.53</v>
      </c>
      <c r="H199">
        <v>14.54</v>
      </c>
      <c r="I199">
        <v>2</v>
      </c>
      <c r="J199">
        <v>3436.23</v>
      </c>
      <c r="K199">
        <v>204.67</v>
      </c>
      <c r="L199">
        <v>190.9</v>
      </c>
      <c r="M199">
        <v>26.67</v>
      </c>
      <c r="N199">
        <v>13.62</v>
      </c>
      <c r="O199">
        <v>3.32</v>
      </c>
    </row>
    <row r="200" spans="1:15" x14ac:dyDescent="0.3">
      <c r="A200" t="s">
        <v>325</v>
      </c>
      <c r="B200">
        <v>360</v>
      </c>
      <c r="C200">
        <v>100</v>
      </c>
      <c r="D200">
        <v>20</v>
      </c>
      <c r="E200">
        <v>4.75</v>
      </c>
      <c r="F200">
        <v>4.75</v>
      </c>
      <c r="G200">
        <v>27.02</v>
      </c>
      <c r="H200">
        <v>21.21</v>
      </c>
      <c r="I200">
        <v>1.85</v>
      </c>
      <c r="J200">
        <v>4922.88</v>
      </c>
      <c r="K200">
        <v>282.02</v>
      </c>
      <c r="L200">
        <v>273.49</v>
      </c>
      <c r="M200">
        <v>36.72</v>
      </c>
      <c r="N200">
        <v>13.5</v>
      </c>
      <c r="O200">
        <v>3.23</v>
      </c>
    </row>
    <row r="201" spans="1:15" x14ac:dyDescent="0.3">
      <c r="A201" t="s">
        <v>326</v>
      </c>
      <c r="B201">
        <v>360</v>
      </c>
      <c r="C201">
        <v>100</v>
      </c>
      <c r="D201">
        <v>25</v>
      </c>
      <c r="E201">
        <v>3.2</v>
      </c>
      <c r="F201">
        <v>3.2</v>
      </c>
      <c r="G201">
        <v>18.850000000000001</v>
      </c>
      <c r="H201">
        <v>14.79</v>
      </c>
      <c r="I201">
        <v>2.13</v>
      </c>
      <c r="J201">
        <v>3515.62</v>
      </c>
      <c r="K201">
        <v>222.44</v>
      </c>
      <c r="L201">
        <v>195.31</v>
      </c>
      <c r="M201">
        <v>29.47</v>
      </c>
      <c r="N201">
        <v>13.66</v>
      </c>
      <c r="O201">
        <v>3.44</v>
      </c>
    </row>
    <row r="202" spans="1:15" x14ac:dyDescent="0.3">
      <c r="A202" t="s">
        <v>327</v>
      </c>
      <c r="B202">
        <v>360</v>
      </c>
      <c r="C202">
        <v>100</v>
      </c>
      <c r="D202">
        <v>25</v>
      </c>
      <c r="E202">
        <v>4.75</v>
      </c>
      <c r="F202">
        <v>4.75</v>
      </c>
      <c r="G202">
        <v>27.49</v>
      </c>
      <c r="H202">
        <v>21.58</v>
      </c>
      <c r="I202">
        <v>1.97</v>
      </c>
      <c r="J202">
        <v>5040.72</v>
      </c>
      <c r="K202">
        <v>307.88</v>
      </c>
      <c r="L202">
        <v>280.04000000000002</v>
      </c>
      <c r="M202">
        <v>40.770000000000003</v>
      </c>
      <c r="N202">
        <v>13.54</v>
      </c>
      <c r="O202">
        <v>3.35</v>
      </c>
    </row>
    <row r="203" spans="1:15" x14ac:dyDescent="0.3">
      <c r="A203" t="s">
        <v>328</v>
      </c>
      <c r="B203">
        <v>360</v>
      </c>
      <c r="C203">
        <v>100</v>
      </c>
      <c r="D203">
        <v>30</v>
      </c>
      <c r="E203">
        <v>3.2</v>
      </c>
      <c r="F203">
        <v>3.2</v>
      </c>
      <c r="G203">
        <v>19.170000000000002</v>
      </c>
      <c r="H203">
        <v>15.05</v>
      </c>
      <c r="I203">
        <v>2.2599999999999998</v>
      </c>
      <c r="J203">
        <v>3590.04</v>
      </c>
      <c r="K203">
        <v>236.62</v>
      </c>
      <c r="L203">
        <v>199.45</v>
      </c>
      <c r="M203">
        <v>32.28</v>
      </c>
      <c r="N203">
        <v>13.69</v>
      </c>
      <c r="O203">
        <v>3.54</v>
      </c>
    </row>
    <row r="204" spans="1:15" x14ac:dyDescent="0.3">
      <c r="A204" t="s">
        <v>329</v>
      </c>
      <c r="B204">
        <v>360</v>
      </c>
      <c r="C204">
        <v>100</v>
      </c>
      <c r="D204">
        <v>30</v>
      </c>
      <c r="E204">
        <v>4.75</v>
      </c>
      <c r="F204">
        <v>4.75</v>
      </c>
      <c r="G204">
        <v>27.97</v>
      </c>
      <c r="H204">
        <v>21.95</v>
      </c>
      <c r="I204">
        <v>2.1</v>
      </c>
      <c r="J204">
        <v>5151.2</v>
      </c>
      <c r="K204">
        <v>332.86</v>
      </c>
      <c r="L204">
        <v>286.18</v>
      </c>
      <c r="M204">
        <v>44.82</v>
      </c>
      <c r="N204">
        <v>13.57</v>
      </c>
      <c r="O204">
        <v>3.45</v>
      </c>
    </row>
    <row r="205" spans="1:15" x14ac:dyDescent="0.3">
      <c r="A205" t="s">
        <v>330</v>
      </c>
      <c r="B205">
        <v>360</v>
      </c>
      <c r="C205">
        <v>100</v>
      </c>
      <c r="D205">
        <v>40</v>
      </c>
      <c r="E205">
        <v>3.2</v>
      </c>
      <c r="F205">
        <v>3.2</v>
      </c>
      <c r="G205">
        <v>19.809999999999999</v>
      </c>
      <c r="H205">
        <v>15.55</v>
      </c>
      <c r="I205">
        <v>2.4900000000000002</v>
      </c>
      <c r="J205">
        <v>3724.66</v>
      </c>
      <c r="K205">
        <v>272.3</v>
      </c>
      <c r="L205">
        <v>206.93</v>
      </c>
      <c r="M205">
        <v>37.880000000000003</v>
      </c>
      <c r="N205">
        <v>13.71</v>
      </c>
      <c r="O205">
        <v>3.71</v>
      </c>
    </row>
    <row r="206" spans="1:15" x14ac:dyDescent="0.3">
      <c r="A206" t="s">
        <v>331</v>
      </c>
      <c r="B206">
        <v>360</v>
      </c>
      <c r="C206">
        <v>100</v>
      </c>
      <c r="D206">
        <v>40</v>
      </c>
      <c r="E206">
        <v>4.75</v>
      </c>
      <c r="F206">
        <v>4.75</v>
      </c>
      <c r="G206">
        <v>28.92</v>
      </c>
      <c r="H206">
        <v>22.7</v>
      </c>
      <c r="I206">
        <v>2.33</v>
      </c>
      <c r="J206">
        <v>5351.01</v>
      </c>
      <c r="K206">
        <v>380.37</v>
      </c>
      <c r="L206">
        <v>297.27999999999997</v>
      </c>
      <c r="M206">
        <v>52.9</v>
      </c>
      <c r="N206">
        <v>13.6</v>
      </c>
      <c r="O206">
        <v>3.63</v>
      </c>
    </row>
  </sheetData>
  <mergeCells count="4">
    <mergeCell ref="A2:A4"/>
    <mergeCell ref="J2:K2"/>
    <mergeCell ref="L2:M2"/>
    <mergeCell ref="N2:O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E A A B Q S w M E F A A C A A g A 2 o u Z V v Y / g / 6 l A A A A 9 g A A A B I A H A B D b 2 5 m a W c v U G F j a 2 F n Z S 5 4 b W w g o h g A K K A U A A A A A A A A A A A A A A A A A A A A A A A A A A A A h Y 9 B D o I w F E S v Q r q n L U U T Q z 4 l x q 0 k R h P j t i k V G q E Y W i x 3 c + G R v I I Y R d 2 5 n D d v M X O / 3 i A b m j q 4 q M 7 q 1 q Q o w h Q F y s i 2 0 K Z M U e + O 4 Q J l H D Z C n k S p g l E 2 N h l s k a L K u X N C i P c e + x i 3 X U k Y p R E 5 5 O u d r F Q j 0 E f W / + V Q G + u E k Q p x 2 L / G c I a j a I 7 Z L M Y U y A Q h 1 + Y r s H H v s / 2 B s O p r 1 3 e K K x s u t 0 C m C O T 9 g T 8 A U E s D B B Q A A g A I A N q L m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i 5 l W N O 4 t h y 8 B A A C K A g A A E w A c A E Z v c m 1 1 b G F z L 1 N l Y 3 R p b 2 4 x L m 0 g o h g A K K A U A A A A A A A A A A A A A A A A A A A A A A A A A A A A d Z B N a s M w E E b 3 B t 9 h U D c x G B M 3 S d s 0 e J U Q y C J t o O k q z m I i j 1 O B L B l L L g 0 h h + l Z e r E q v 1 C o t J F 4 8 z E z T 4 a 4 F V r B 2 / l O R 2 E Q B u Y D G y r g j i 1 x I 6 n b H U J n g V u C f s Q g A 0 k 2 D M C d 1 0 Z s S T m y K M r k F D W d q Z C U j L W y p K z p s M l z P k X e S o t F P r A 6 d x V j m 5 Z z N 4 s M z M n + f E v B 0 e Q v + E k w U 0 X r 6 g J l P k d L x w d w X d W S K t c P G 6 H z B T W l m 2 F g D D t 4 T + q i Z F E M q 9 k t d N T I W J r 0 2 D q K z 4 v e N L L L z v v V r M h u d m x 9 W E 3 Q 4 v o S d 9 6 i 1 s C x 2 g g s 9 N H 5 F E 2 W D S p T 6 q Y a a 9 l W a r m r n f G 1 S 7 z f s z N P W Q z W 1 c D S l z 3 E c O X 3 H t 7 z 8 L 6 H D z z 8 w c M f P f z J w 4 c e n n Z 9 B Z 9 x + l f 5 E I W B U P 9 / 8 u g X U E s B A i 0 A F A A C A A g A 2 o u Z V v Y / g / 6 l A A A A 9 g A A A B I A A A A A A A A A A A A A A A A A A A A A A E N v b m Z p Z y 9 Q Y W N r Y W d l L n h t b F B L A Q I t A B Q A A g A I A N q L m V Y P y u m r p A A A A O k A A A A T A A A A A A A A A A A A A A A A A P E A A A B b Q 2 9 u d G V u d F 9 U e X B l c 1 0 u e G 1 s U E s B A i 0 A F A A C A A g A 2 o u Z V j T u L Y c v A Q A A i g I A A B M A A A A A A A A A A A A A A A A A 4 g E A A E Z v c m 1 1 b G F z L 1 N l Y 3 R p b 2 4 x L m 1 Q S w U G A A A A A A M A A w D C A A A A X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Q 8 A A A A A A A C 3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F i b G U w M D l f X 1 B h Z 2 V f N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k g K F B h Z 2 U g N C k v Q X V 0 b 1 J l b W 9 2 Z W R D b 2 x 1 b W 5 z M S 5 7 Q 2 9 s d W 1 u M S w w f S Z x d W 9 0 O y w m c X V v d D t T Z W N 0 a W 9 u M S 9 U Y W J s Z T A w O S A o U G F n Z S A 0 K S 9 B d X R v U m V t b 3 Z l Z E N v b H V t b n M x L n t D b 2 x 1 b W 4 y L D F 9 J n F 1 b 3 Q 7 L C Z x d W 9 0 O 1 N l Y 3 R p b 2 4 x L 1 R h Y m x l M D A 5 I C h Q Y W d l I D Q p L 0 F 1 d G 9 S Z W 1 v d m V k Q 2 9 s d W 1 u c z E u e 0 N v b H V t b j M s M n 0 m c X V v d D s s J n F 1 b 3 Q 7 U 2 V j d G l v b j E v V G F i b G U w M D k g K F B h Z 2 U g N C k v Q X V 0 b 1 J l b W 9 2 Z W R D b 2 x 1 b W 5 z M S 5 7 Q 2 9 s d W 1 u N C w z f S Z x d W 9 0 O y w m c X V v d D t T Z W N 0 a W 9 u M S 9 U Y W J s Z T A w O S A o U G F n Z S A 0 K S 9 B d X R v U m V t b 3 Z l Z E N v b H V t b n M x L n t D b 2 x 1 b W 4 1 L D R 9 J n F 1 b 3 Q 7 L C Z x d W 9 0 O 1 N l Y 3 R p b 2 4 x L 1 R h Y m x l M D A 5 I C h Q Y W d l I D Q p L 0 F 1 d G 9 S Z W 1 v d m V k Q 2 9 s d W 1 u c z E u e 0 N v b H V t b j Y s N X 0 m c X V v d D s s J n F 1 b 3 Q 7 U 2 V j d G l v b j E v V G F i b G U w M D k g K F B h Z 2 U g N C k v Q X V 0 b 1 J l b W 9 2 Z W R D b 2 x 1 b W 5 z M S 5 7 Q 2 9 s d W 1 u N y w 2 f S Z x d W 9 0 O y w m c X V v d D t T Z W N 0 a W 9 u M S 9 U Y W J s Z T A w O S A o U G F n Z S A 0 K S 9 B d X R v U m V t b 3 Z l Z E N v b H V t b n M x L n t D b 2 x 1 b W 4 4 L D d 9 J n F 1 b 3 Q 7 L C Z x d W 9 0 O 1 N l Y 3 R p b 2 4 x L 1 R h Y m x l M D A 5 I C h Q Y W d l I D Q p L 0 F 1 d G 9 S Z W 1 v d m V k Q 2 9 s d W 1 u c z E u e 0 N v b H V t b j k s O H 0 m c X V v d D s s J n F 1 b 3 Q 7 U 2 V j d G l v b j E v V G F i b G U w M D k g K F B h Z 2 U g N C k v Q X V 0 b 1 J l b W 9 2 Z W R D b 2 x 1 b W 5 z M S 5 7 Q 2 9 s d W 1 u M T A s O X 0 m c X V v d D s s J n F 1 b 3 Q 7 U 2 V j d G l v b j E v V G F i b G U w M D k g K F B h Z 2 U g N C k v Q X V 0 b 1 J l b W 9 2 Z W R D b 2 x 1 b W 5 z M S 5 7 Q 2 9 s d W 1 u M T E s M T B 9 J n F 1 b 3 Q 7 L C Z x d W 9 0 O 1 N l Y 3 R p b 2 4 x L 1 R h Y m x l M D A 5 I C h Q Y W d l I D Q p L 0 F 1 d G 9 S Z W 1 v d m V k Q 2 9 s d W 1 u c z E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U w M D k g K F B h Z 2 U g N C k v Q X V 0 b 1 J l b W 9 2 Z W R D b 2 x 1 b W 5 z M S 5 7 Q 2 9 s d W 1 u M S w w f S Z x d W 9 0 O y w m c X V v d D t T Z W N 0 a W 9 u M S 9 U Y W J s Z T A w O S A o U G F n Z S A 0 K S 9 B d X R v U m V t b 3 Z l Z E N v b H V t b n M x L n t D b 2 x 1 b W 4 y L D F 9 J n F 1 b 3 Q 7 L C Z x d W 9 0 O 1 N l Y 3 R p b 2 4 x L 1 R h Y m x l M D A 5 I C h Q Y W d l I D Q p L 0 F 1 d G 9 S Z W 1 v d m V k Q 2 9 s d W 1 u c z E u e 0 N v b H V t b j M s M n 0 m c X V v d D s s J n F 1 b 3 Q 7 U 2 V j d G l v b j E v V G F i b G U w M D k g K F B h Z 2 U g N C k v Q X V 0 b 1 J l b W 9 2 Z W R D b 2 x 1 b W 5 z M S 5 7 Q 2 9 s d W 1 u N C w z f S Z x d W 9 0 O y w m c X V v d D t T Z W N 0 a W 9 u M S 9 U Y W J s Z T A w O S A o U G F n Z S A 0 K S 9 B d X R v U m V t b 3 Z l Z E N v b H V t b n M x L n t D b 2 x 1 b W 4 1 L D R 9 J n F 1 b 3 Q 7 L C Z x d W 9 0 O 1 N l Y 3 R p b 2 4 x L 1 R h Y m x l M D A 5 I C h Q Y W d l I D Q p L 0 F 1 d G 9 S Z W 1 v d m V k Q 2 9 s d W 1 u c z E u e 0 N v b H V t b j Y s N X 0 m c X V v d D s s J n F 1 b 3 Q 7 U 2 V j d G l v b j E v V G F i b G U w M D k g K F B h Z 2 U g N C k v Q X V 0 b 1 J l b W 9 2 Z W R D b 2 x 1 b W 5 z M S 5 7 Q 2 9 s d W 1 u N y w 2 f S Z x d W 9 0 O y w m c X V v d D t T Z W N 0 a W 9 u M S 9 U Y W J s Z T A w O S A o U G F n Z S A 0 K S 9 B d X R v U m V t b 3 Z l Z E N v b H V t b n M x L n t D b 2 x 1 b W 4 4 L D d 9 J n F 1 b 3 Q 7 L C Z x d W 9 0 O 1 N l Y 3 R p b 2 4 x L 1 R h Y m x l M D A 5 I C h Q Y W d l I D Q p L 0 F 1 d G 9 S Z W 1 v d m V k Q 2 9 s d W 1 u c z E u e 0 N v b H V t b j k s O H 0 m c X V v d D s s J n F 1 b 3 Q 7 U 2 V j d G l v b j E v V G F i b G U w M D k g K F B h Z 2 U g N C k v Q X V 0 b 1 J l b W 9 2 Z W R D b 2 x 1 b W 5 z M S 5 7 Q 2 9 s d W 1 u M T A s O X 0 m c X V v d D s s J n F 1 b 3 Q 7 U 2 V j d G l v b j E v V G F i b G U w M D k g K F B h Z 2 U g N C k v Q X V 0 b 1 J l b W 9 2 Z W R D b 2 x 1 b W 5 z M S 5 7 Q 2 9 s d W 1 u M T E s M T B 9 J n F 1 b 3 Q 7 L C Z x d W 9 0 O 1 N l Y 3 R p b 2 4 x L 1 R h Y m x l M D A 5 I C h Q Y W d l I D Q p L 0 F 1 d G 9 S Z W 1 v d m V k Q 2 9 s d W 1 u c z E u e 0 N v b H V t b j E y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Q 2 9 s d W 1 u V H l w Z X M i I F Z h b H V l P S J z Q m d Z R 0 J n W U d C Z 1 l H Q m d Z R y I g L z 4 8 R W 5 0 c n k g V H l w Z T 0 i R m l s b E x h c 3 R V c G R h d G V k I i B W Y W x 1 Z T 0 i Z D I w M j M t M D Q t M j V U M j A 6 M z A 6 M T M u O T U 5 O T A w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k l M j A o U G F n Z S U y M D Q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0 K S 9 U Y W J s Z T A w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0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T 9 o + 4 J e N U q D F 3 O g h + G z p A A A A A A C A A A A A A A Q Z g A A A A E A A C A A A A A d i S 6 w q w 3 U 7 n u W I t N y F O c P k n U V S b j V / v a 8 Y Q P 4 r B M s F w A A A A A O g A A A A A I A A C A A A A D o P K Y e E M S M a T J v j D d j I D v t 8 E D t E t K 0 P j U w n s C B h D + N k F A A A A D u c w g p f F 7 G U m t h 0 C n J c c N L F h l x 1 A S n G 1 O R 0 B B n e F X e x U q j n f r V f x 1 4 z q A 5 2 B U w u S I G 6 E g t O z z D P 0 X M j + W 1 y m g / W D Y E S N H 2 L N l r K X a / i V u 2 i k A A A A D A 4 A O q V L M T s p p p 4 7 G l k V W 6 9 p D 0 h z H m V a s 0 4 C w Y O c + r C 0 Z l W f m M s T 6 h f Q X y I w R j 4 T u E Y t V C w 2 9 O P O w S S I C O u a w x < / D a t a M a s h u p > 
</file>

<file path=customXml/itemProps1.xml><?xml version="1.0" encoding="utf-8"?>
<ds:datastoreItem xmlns:ds="http://schemas.openxmlformats.org/officeDocument/2006/customXml" ds:itemID="{8DFB77B5-C375-4B1F-BEE6-C63A8FAFF1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43</vt:i4>
      </vt:variant>
    </vt:vector>
  </HeadingPairs>
  <TitlesOfParts>
    <vt:vector size="50" baseType="lpstr">
      <vt:lpstr>Correas Flexion Cajon</vt:lpstr>
      <vt:lpstr>Correas Compresion Cajon</vt:lpstr>
      <vt:lpstr>Correas Compresion</vt:lpstr>
      <vt:lpstr>Correas Flexion (2)</vt:lpstr>
      <vt:lpstr>Correas Flexion</vt:lpstr>
      <vt:lpstr>Perf C Ternium</vt:lpstr>
      <vt:lpstr>Perfiles C</vt:lpstr>
      <vt:lpstr>'Correas Compresion'!Área_de_impresión</vt:lpstr>
      <vt:lpstr>'Correas Compresion Cajon'!Área_de_impresión</vt:lpstr>
      <vt:lpstr>'Correas Compresion'!b</vt:lpstr>
      <vt:lpstr>'Correas Compresion Cajon'!b</vt:lpstr>
      <vt:lpstr>'Correas Flexion (2)'!b</vt:lpstr>
      <vt:lpstr>'Correas Flexion Cajon'!b</vt:lpstr>
      <vt:lpstr>b</vt:lpstr>
      <vt:lpstr>CTernium</vt:lpstr>
      <vt:lpstr>'Correas Compresion'!d</vt:lpstr>
      <vt:lpstr>'Correas Compresion Cajon'!d</vt:lpstr>
      <vt:lpstr>'Correas Flexion (2)'!d</vt:lpstr>
      <vt:lpstr>'Correas Flexion Cajon'!d</vt:lpstr>
      <vt:lpstr>d</vt:lpstr>
      <vt:lpstr>'Correas Compresion'!E</vt:lpstr>
      <vt:lpstr>'Correas Compresion Cajon'!E</vt:lpstr>
      <vt:lpstr>'Correas Flexion (2)'!E</vt:lpstr>
      <vt:lpstr>E</vt:lpstr>
      <vt:lpstr>'Correas Compresion'!fu</vt:lpstr>
      <vt:lpstr>'Correas Compresion Cajon'!fu</vt:lpstr>
      <vt:lpstr>'Correas Flexion (2)'!fu</vt:lpstr>
      <vt:lpstr>'Correas Flexion Cajon'!fu</vt:lpstr>
      <vt:lpstr>fu</vt:lpstr>
      <vt:lpstr>'Correas Compresion'!fy</vt:lpstr>
      <vt:lpstr>'Correas Compresion Cajon'!fy</vt:lpstr>
      <vt:lpstr>'Correas Flexion (2)'!fy</vt:lpstr>
      <vt:lpstr>'Correas Flexion Cajon'!fy</vt:lpstr>
      <vt:lpstr>fy</vt:lpstr>
      <vt:lpstr>'Correas Compresion Cajon'!g</vt:lpstr>
      <vt:lpstr>g</vt:lpstr>
      <vt:lpstr>'Correas Compresion'!h</vt:lpstr>
      <vt:lpstr>'Correas Compresion Cajon'!h</vt:lpstr>
      <vt:lpstr>'Correas Flexion (2)'!h</vt:lpstr>
      <vt:lpstr>'Correas Flexion Cajon'!h</vt:lpstr>
      <vt:lpstr>h</vt:lpstr>
      <vt:lpstr>'Correas Compresion'!t</vt:lpstr>
      <vt:lpstr>'Correas Compresion Cajon'!t</vt:lpstr>
      <vt:lpstr>'Correas Flexion (2)'!t</vt:lpstr>
      <vt:lpstr>'Correas Flexion Cajon'!t</vt:lpstr>
      <vt:lpstr>t</vt:lpstr>
      <vt:lpstr>'Correas Compresion'!u</vt:lpstr>
      <vt:lpstr>'Correas Compresion Cajon'!u</vt:lpstr>
      <vt:lpstr>'Correas Flexion (2)'!u</vt:lpstr>
      <vt:lpstr>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Cabrera</dc:creator>
  <cp:lastModifiedBy>Andrés Romero</cp:lastModifiedBy>
  <dcterms:created xsi:type="dcterms:W3CDTF">2020-04-11T15:38:33Z</dcterms:created>
  <dcterms:modified xsi:type="dcterms:W3CDTF">2023-04-26T01:23:38Z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2023-04-25T21:00:07Z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a7900d88-f2a9-4340-b322-e683e4cb0cdc</vt:lpwstr>
  </property>
  <property fmtid="{D5CDD505-2E9C-101B-9397-08002B2CF9AE}" pid="7" name="MSIP_Label_defa4170-0d19-0005-0004-bc88714345d2_ActionId">
    <vt:lpwstr>3d8265d6-702b-4aff-b90b-e9b2697a7394</vt:lpwstr>
  </property>
  <property fmtid="{D5CDD505-2E9C-101B-9397-08002B2CF9AE}" pid="8" name="MSIP_Label_defa4170-0d19-0005-0004-bc88714345d2_ContentBits">
    <vt:lpwstr>0</vt:lpwstr>
  </property>
</Properties>
</file>