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16ABB7BB-51B7-4CBF-A846-6505A5A8B0FB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sin pp correa" sheetId="2" r:id="rId1"/>
    <sheet name="con pp correa" sheetId="1" r:id="rId2"/>
  </sheets>
  <definedNames>
    <definedName name="b" localSheetId="0">'sin pp correa'!$B$3</definedName>
    <definedName name="b">'con pp correa'!$B$3</definedName>
    <definedName name="d" localSheetId="0">'sin pp correa'!$E$8</definedName>
    <definedName name="d">'con pp correa'!$E$8</definedName>
    <definedName name="diamcord" localSheetId="0">'sin pp correa'!$E$3</definedName>
    <definedName name="diamcord">'con pp correa'!$E$3</definedName>
    <definedName name="diamdiag" localSheetId="0">'sin pp correa'!$E$4</definedName>
    <definedName name="diamdiag">'con pp correa'!$E$4</definedName>
    <definedName name="diamdiagl" localSheetId="0">'sin pp correa'!$E$4</definedName>
    <definedName name="diamdiagl">'con pp correa'!$E$4</definedName>
    <definedName name="diamdiags" localSheetId="0">'sin pp correa'!$E$5</definedName>
    <definedName name="diamdiags">'con pp correa'!$E$5</definedName>
    <definedName name="dy" localSheetId="0">'sin pp correa'!$E$8</definedName>
    <definedName name="dy">'con pp correa'!$E$8</definedName>
    <definedName name="E" localSheetId="0">'sin pp correa'!$L$1</definedName>
    <definedName name="E">'con pp correa'!$L$1</definedName>
    <definedName name="fycord" localSheetId="0">'sin pp correa'!$H$3</definedName>
    <definedName name="fycord">'con pp correa'!$H$3</definedName>
    <definedName name="fydiag" localSheetId="0">'sin pp correa'!$H$4</definedName>
    <definedName name="fydiag">'con pp correa'!$H$4</definedName>
    <definedName name="h" localSheetId="0">'sin pp correa'!$B$4</definedName>
    <definedName name="h">'con pp correa'!$B$4</definedName>
    <definedName name="n" localSheetId="0">'sin pp correa'!$B$7</definedName>
    <definedName name="n">'con pp correa'!$B$7</definedName>
    <definedName name="ncero" localSheetId="0">'sin pp correa'!$B$9</definedName>
    <definedName name="ncero">'con pp correa'!$B$9</definedName>
    <definedName name="nuno" localSheetId="0">'sin pp correa'!$B$8</definedName>
    <definedName name="nuno">'con pp correa'!$B$8</definedName>
    <definedName name="s" localSheetId="0">'sin pp correa'!$B$5</definedName>
    <definedName name="s">'con pp correa'!$B$5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1" l="1"/>
  <c r="E27" i="1" l="1"/>
  <c r="B27" i="1"/>
  <c r="B23" i="1"/>
  <c r="B22" i="1"/>
  <c r="E8" i="1"/>
  <c r="B63" i="1" s="1"/>
  <c r="E7" i="1"/>
  <c r="B92" i="2"/>
  <c r="B93" i="2" s="1"/>
  <c r="B48" i="2"/>
  <c r="B49" i="2" s="1"/>
  <c r="E49" i="2" s="1"/>
  <c r="B50" i="2" s="1"/>
  <c r="B51" i="2" s="1"/>
  <c r="B53" i="2" s="1"/>
  <c r="E33" i="2"/>
  <c r="E31" i="2"/>
  <c r="B31" i="2"/>
  <c r="B33" i="2" s="1"/>
  <c r="E27" i="2"/>
  <c r="B27" i="2"/>
  <c r="B23" i="2"/>
  <c r="B22" i="2"/>
  <c r="E8" i="2"/>
  <c r="B79" i="2" s="1"/>
  <c r="B80" i="2" s="1"/>
  <c r="E80" i="2" s="1"/>
  <c r="B81" i="2" s="1"/>
  <c r="B82" i="2" s="1"/>
  <c r="B84" i="2" s="1"/>
  <c r="E7" i="2"/>
  <c r="E63" i="2" s="1"/>
  <c r="L5" i="2"/>
  <c r="L4" i="2"/>
  <c r="L3" i="2"/>
  <c r="B58" i="2" s="1"/>
  <c r="E58" i="2" l="1"/>
  <c r="F58" i="2" s="1"/>
  <c r="H58" i="2" s="1"/>
  <c r="L7" i="2"/>
  <c r="B63" i="2"/>
  <c r="B92" i="1"/>
  <c r="B93" i="1" s="1"/>
  <c r="E31" i="1"/>
  <c r="E33" i="1" s="1"/>
  <c r="B31" i="1"/>
  <c r="B33" i="1" s="1"/>
  <c r="E63" i="1"/>
  <c r="L5" i="1"/>
  <c r="L4" i="1"/>
  <c r="L3" i="1"/>
  <c r="B49" i="1" l="1"/>
  <c r="E49" i="1" s="1"/>
  <c r="B50" i="1" s="1"/>
  <c r="B51" i="1" s="1"/>
  <c r="B53" i="1" s="1"/>
  <c r="L7" i="1"/>
  <c r="B58" i="1"/>
  <c r="E58" i="1" s="1"/>
  <c r="F58" i="1" s="1"/>
  <c r="H58" i="1" s="1"/>
  <c r="B29" i="2"/>
  <c r="B35" i="2" s="1"/>
  <c r="B37" i="2" s="1"/>
  <c r="E37" i="2"/>
  <c r="E29" i="2"/>
  <c r="E35" i="2" s="1"/>
  <c r="B79" i="1"/>
  <c r="B80" i="1" s="1"/>
  <c r="E80" i="1" s="1"/>
  <c r="B81" i="1" s="1"/>
  <c r="E29" i="1" l="1"/>
  <c r="E35" i="1" s="1"/>
  <c r="E37" i="1" s="1"/>
  <c r="B29" i="1"/>
  <c r="B35" i="1" s="1"/>
  <c r="B37" i="1" s="1"/>
  <c r="B67" i="2"/>
  <c r="B69" i="2" s="1"/>
  <c r="B71" i="2" s="1"/>
  <c r="B75" i="2" s="1"/>
  <c r="E84" i="2" s="1"/>
  <c r="F84" i="2" s="1"/>
  <c r="H84" i="2" s="1"/>
  <c r="B39" i="2"/>
  <c r="E67" i="2"/>
  <c r="E69" i="2" s="1"/>
  <c r="E71" i="2" s="1"/>
  <c r="E39" i="2"/>
  <c r="B82" i="1"/>
  <c r="B84" i="1" s="1"/>
  <c r="B39" i="1" l="1"/>
  <c r="B67" i="1"/>
  <c r="B69" i="1" s="1"/>
  <c r="B71" i="1" s="1"/>
  <c r="E39" i="1"/>
  <c r="E67" i="1"/>
  <c r="E69" i="1" s="1"/>
  <c r="E71" i="1" s="1"/>
  <c r="B41" i="2"/>
  <c r="B44" i="2" s="1"/>
  <c r="E53" i="2" s="1"/>
  <c r="F53" i="2" s="1"/>
  <c r="H53" i="2" s="1"/>
  <c r="B75" i="1" l="1"/>
  <c r="E84" i="1" s="1"/>
  <c r="F84" i="1" s="1"/>
  <c r="H84" i="1" s="1"/>
  <c r="B41" i="1"/>
  <c r="B44" i="1" s="1"/>
  <c r="E53" i="1" s="1"/>
  <c r="F53" i="1" s="1"/>
  <c r="H53" i="1" s="1"/>
</calcChain>
</file>

<file path=xl/sharedStrings.xml><?xml version="1.0" encoding="utf-8"?>
<sst xmlns="http://schemas.openxmlformats.org/spreadsheetml/2006/main" count="228" uniqueCount="82">
  <si>
    <t>diam cord</t>
  </si>
  <si>
    <t>Fy cord</t>
  </si>
  <si>
    <t>Fy diag</t>
  </si>
  <si>
    <t>Solicitaciones</t>
  </si>
  <si>
    <t>Muy</t>
  </si>
  <si>
    <t>b</t>
  </si>
  <si>
    <t>h</t>
  </si>
  <si>
    <t>Características</t>
  </si>
  <si>
    <t>kNm</t>
  </si>
  <si>
    <t>kN</t>
  </si>
  <si>
    <t>Verificación de los cordones</t>
  </si>
  <si>
    <t>Flexo tracción</t>
  </si>
  <si>
    <t>Flexo compresión</t>
  </si>
  <si>
    <t>Tu</t>
  </si>
  <si>
    <t>n</t>
  </si>
  <si>
    <t>n1</t>
  </si>
  <si>
    <t>Tu1</t>
  </si>
  <si>
    <t>Mux</t>
  </si>
  <si>
    <t>Pu1</t>
  </si>
  <si>
    <t>cm</t>
  </si>
  <si>
    <t>Acord</t>
  </si>
  <si>
    <t>Ag</t>
  </si>
  <si>
    <t>s</t>
  </si>
  <si>
    <t>n0</t>
  </si>
  <si>
    <t>diam diag lat</t>
  </si>
  <si>
    <t>diam diag sup</t>
  </si>
  <si>
    <t>Adiaglat</t>
  </si>
  <si>
    <t>Adiaglsup</t>
  </si>
  <si>
    <t>Lamda1y</t>
  </si>
  <si>
    <t>dy</t>
  </si>
  <si>
    <t>dx</t>
  </si>
  <si>
    <t>Lamda1x</t>
  </si>
  <si>
    <t>ry</t>
  </si>
  <si>
    <t>kLy</t>
  </si>
  <si>
    <t>kLx</t>
  </si>
  <si>
    <t>lambda0y</t>
  </si>
  <si>
    <t>lambda0x</t>
  </si>
  <si>
    <t>lambdamy</t>
  </si>
  <si>
    <t>lambdamx</t>
  </si>
  <si>
    <t>e0x</t>
  </si>
  <si>
    <t>e0y</t>
  </si>
  <si>
    <t>rx</t>
  </si>
  <si>
    <t>Pcmy</t>
  </si>
  <si>
    <t>E</t>
  </si>
  <si>
    <t>Pcmx</t>
  </si>
  <si>
    <t>Msy</t>
  </si>
  <si>
    <t>Msx</t>
  </si>
  <si>
    <t>Pu</t>
  </si>
  <si>
    <t>Traccion</t>
  </si>
  <si>
    <t>Compresion</t>
  </si>
  <si>
    <t>fic</t>
  </si>
  <si>
    <t>kL</t>
  </si>
  <si>
    <t>lambdac</t>
  </si>
  <si>
    <t>delta</t>
  </si>
  <si>
    <t>chi</t>
  </si>
  <si>
    <t>Fcr</t>
  </si>
  <si>
    <t>Pd1</t>
  </si>
  <si>
    <t>eta</t>
  </si>
  <si>
    <t>Verificacion Compresion</t>
  </si>
  <si>
    <t>Verificacion Traccion</t>
  </si>
  <si>
    <t>Td1</t>
  </si>
  <si>
    <t>fi</t>
  </si>
  <si>
    <t>Verificacion de las diagonales</t>
  </si>
  <si>
    <t>Du1</t>
  </si>
  <si>
    <t>Du2</t>
  </si>
  <si>
    <t>betay</t>
  </si>
  <si>
    <t>betax</t>
  </si>
  <si>
    <t>Vux</t>
  </si>
  <si>
    <t>Vuy</t>
  </si>
  <si>
    <t>Vsuy</t>
  </si>
  <si>
    <t>Vsux</t>
  </si>
  <si>
    <t>Verificacion a compresion de la diagonal</t>
  </si>
  <si>
    <t>Du</t>
  </si>
  <si>
    <t>kLd</t>
  </si>
  <si>
    <t>k</t>
  </si>
  <si>
    <t>controlar seccion diag</t>
  </si>
  <si>
    <t>Presillas Extremas</t>
  </si>
  <si>
    <t>I1</t>
  </si>
  <si>
    <t>Ipmin</t>
  </si>
  <si>
    <t>ver si no es 0.8</t>
  </si>
  <si>
    <t>para Fy &gt; 250MPa</t>
  </si>
  <si>
    <t>para Fy &lt; 250MPa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</si>
</sst>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99B188-081F-4E74-B00D-6E6E57AA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A08CE1-1E77-481E-972D-C2D06E17D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2AC0E38-5864-4ADC-A207-5FBD5E98D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11430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3719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B94D-A101-4A7A-81D2-811CDA3861C8}">
  <dimension ref="A1:L93"/>
  <sheetViews>
    <sheetView topLeftCell="A41" workbookViewId="0">
      <selection activeCell="B18" sqref="B18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</row>
    <row r="4" spans="1:12" x14ac:dyDescent="0.25">
      <c r="A4" t="s">
        <v>6</v>
      </c>
      <c r="B4" s="2">
        <v>40</v>
      </c>
      <c r="C4" t="s">
        <v>19</v>
      </c>
      <c r="D4" t="s">
        <v>24</v>
      </c>
      <c r="E4" s="2">
        <v>12</v>
      </c>
      <c r="G4" t="s">
        <v>2</v>
      </c>
      <c r="H4" s="2">
        <v>220</v>
      </c>
      <c r="K4" t="s">
        <v>26</v>
      </c>
      <c r="L4">
        <f>PI()*(diamdiagl/10)^2/4</f>
        <v>1.1309733552923256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12</v>
      </c>
      <c r="K5" t="s">
        <v>27</v>
      </c>
      <c r="L5">
        <f>PI()*(diamdiags/10)^2/4</f>
        <v>1.1309733552923256</v>
      </c>
    </row>
    <row r="7" spans="1:12" x14ac:dyDescent="0.25">
      <c r="A7" t="s">
        <v>14</v>
      </c>
      <c r="B7" s="2">
        <v>4</v>
      </c>
      <c r="D7" t="s">
        <v>30</v>
      </c>
      <c r="E7">
        <f>SQRT((B5/2)^2+b^2)</f>
        <v>25</v>
      </c>
      <c r="K7" t="s">
        <v>21</v>
      </c>
      <c r="L7">
        <f>4*L3</f>
        <v>12.566370614359172</v>
      </c>
    </row>
    <row r="8" spans="1:12" x14ac:dyDescent="0.25">
      <c r="A8" t="s">
        <v>15</v>
      </c>
      <c r="B8" s="2">
        <v>2</v>
      </c>
      <c r="D8" t="s">
        <v>29</v>
      </c>
      <c r="E8">
        <f>SQRT((B5/2)^2+h^2)</f>
        <v>42.720018726587654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50.04</v>
      </c>
      <c r="C14" t="s">
        <v>8</v>
      </c>
      <c r="E14" t="s">
        <v>4</v>
      </c>
      <c r="F14">
        <v>41.89</v>
      </c>
      <c r="G14" t="s">
        <v>8</v>
      </c>
    </row>
    <row r="15" spans="1:12" x14ac:dyDescent="0.25">
      <c r="A15" t="s">
        <v>13</v>
      </c>
      <c r="B15">
        <v>32.659999999999997</v>
      </c>
      <c r="C15" t="s">
        <v>9</v>
      </c>
      <c r="E15" t="s">
        <v>47</v>
      </c>
      <c r="F15">
        <v>27.64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12.81</v>
      </c>
      <c r="C17" t="s">
        <v>9</v>
      </c>
      <c r="E17" t="s">
        <v>68</v>
      </c>
      <c r="F17">
        <v>9.85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B15/n+B14*100/(nuno*h)+B13*100/(nuno*b)</f>
        <v>70.715000000000003</v>
      </c>
      <c r="C22" t="s">
        <v>9</v>
      </c>
      <c r="D22" t="s">
        <v>48</v>
      </c>
    </row>
    <row r="23" spans="1:7" x14ac:dyDescent="0.25">
      <c r="A23" t="s">
        <v>18</v>
      </c>
      <c r="B23">
        <f>ABS(B15/n-B14*100/(nuno*h)-B13*100/(nuno*b))</f>
        <v>54.384999999999998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660</v>
      </c>
      <c r="D26" t="s">
        <v>34</v>
      </c>
      <c r="E26" s="2">
        <v>660</v>
      </c>
    </row>
    <row r="27" spans="1:7" x14ac:dyDescent="0.25">
      <c r="A27" t="s">
        <v>40</v>
      </c>
      <c r="B27">
        <f>B26/500</f>
        <v>1.32</v>
      </c>
      <c r="D27" t="s">
        <v>39</v>
      </c>
      <c r="E27">
        <f>E26/500</f>
        <v>1.32</v>
      </c>
    </row>
    <row r="29" spans="1:7" x14ac:dyDescent="0.25">
      <c r="A29" t="s">
        <v>28</v>
      </c>
      <c r="B29">
        <f>PI()*SQRT(2*L7*d^3/(ncero*L4*s*h^2))</f>
        <v>13.346123854942697</v>
      </c>
      <c r="D29" t="s">
        <v>31</v>
      </c>
      <c r="E29">
        <f>PI()*SQRT(2*L7*E7^3/(ncero*L5*s*b^2))</f>
        <v>11.949452519886409</v>
      </c>
      <c r="G29" t="s">
        <v>75</v>
      </c>
    </row>
    <row r="31" spans="1:7" x14ac:dyDescent="0.25">
      <c r="A31" t="s">
        <v>32</v>
      </c>
      <c r="B31">
        <f>h/2</f>
        <v>20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33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SQRT(B33^2+B29^2)</f>
        <v>35.596615315946408</v>
      </c>
      <c r="D35" t="s">
        <v>38</v>
      </c>
      <c r="E35">
        <f>SQRT(E33^2+E29^2)</f>
        <v>67.073015554133391</v>
      </c>
    </row>
    <row r="37" spans="1:5" x14ac:dyDescent="0.25">
      <c r="A37" t="s">
        <v>42</v>
      </c>
      <c r="B37">
        <f>PI()^2*E*L7*0.1/B35^2</f>
        <v>1957.592058403324</v>
      </c>
      <c r="D37" t="s">
        <v>44</v>
      </c>
      <c r="E37">
        <f>PI()^2*E*L7*0.1/E35^2</f>
        <v>551.37102569503247</v>
      </c>
    </row>
    <row r="39" spans="1:5" x14ac:dyDescent="0.25">
      <c r="A39" t="s">
        <v>45</v>
      </c>
      <c r="B39">
        <f>F15*B27*0.01+F14/(1-F15/B37)</f>
        <v>42.854779793620771</v>
      </c>
      <c r="D39" t="s">
        <v>46</v>
      </c>
      <c r="E39">
        <f>F15*E27*0.01+F13/(1-F15/E37)</f>
        <v>0.36484800000000001</v>
      </c>
    </row>
    <row r="41" spans="1:5" x14ac:dyDescent="0.25">
      <c r="A41" t="s">
        <v>18</v>
      </c>
      <c r="B41">
        <f>F15/n+B39*100/(nuno*h)+E39*100/(nuno*b)</f>
        <v>61.390594742025968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61.390594742025968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</f>
        <v>30</v>
      </c>
    </row>
    <row r="49" spans="1:8" x14ac:dyDescent="0.25">
      <c r="A49" t="s">
        <v>52</v>
      </c>
      <c r="B49">
        <f>4*B48*SQRT(fycord/E)/(PI()*diamcord*0.1)</f>
        <v>0.85411505210061256</v>
      </c>
      <c r="D49" t="s">
        <v>53</v>
      </c>
      <c r="E49">
        <f>0.451+0.245*B49+0.5*B49^2</f>
        <v>1.0250144488770661</v>
      </c>
    </row>
    <row r="50" spans="1:8" x14ac:dyDescent="0.25">
      <c r="A50" t="s">
        <v>54</v>
      </c>
      <c r="B50">
        <f>1/(E49+SQRT(E49^2-B49^2))</f>
        <v>0.62825575623999663</v>
      </c>
    </row>
    <row r="51" spans="1:8" x14ac:dyDescent="0.25">
      <c r="A51" t="s">
        <v>55</v>
      </c>
      <c r="B51">
        <f>B50*fycord</f>
        <v>251.30230249599865</v>
      </c>
    </row>
    <row r="53" spans="1:8" x14ac:dyDescent="0.25">
      <c r="A53" t="s">
        <v>56</v>
      </c>
      <c r="B53">
        <f>B46*B51*L3*0.1</f>
        <v>63.159157388130353</v>
      </c>
      <c r="D53" t="s">
        <v>57</v>
      </c>
      <c r="E53">
        <f>B44/B53</f>
        <v>0.97199831791237989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B57*fycord*L3/10</f>
        <v>113.09733552923255</v>
      </c>
      <c r="D58" t="s">
        <v>57</v>
      </c>
      <c r="E58">
        <f>B22/B58</f>
        <v>0.6252578778190766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B17/(2*h/d)</f>
        <v>6.8405429985948487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7.9664632116477913E-3</v>
      </c>
      <c r="D67" t="s">
        <v>66</v>
      </c>
      <c r="E67">
        <f>PI()*(1/(1-F15/E37))/400</f>
        <v>8.268476941131371E-3</v>
      </c>
    </row>
    <row r="69" spans="1:5" x14ac:dyDescent="0.25">
      <c r="A69" t="s">
        <v>69</v>
      </c>
      <c r="B69">
        <f>F17+B67*F15</f>
        <v>10.070193043169944</v>
      </c>
      <c r="D69" t="s">
        <v>70</v>
      </c>
      <c r="E69">
        <f>F16+E67*F15</f>
        <v>0.2285407026528711</v>
      </c>
    </row>
    <row r="71" spans="1:5" x14ac:dyDescent="0.25">
      <c r="A71" t="s">
        <v>63</v>
      </c>
      <c r="B71">
        <f>B69/(2*h/d)</f>
        <v>5.377485442307159</v>
      </c>
      <c r="D71" t="s">
        <v>64</v>
      </c>
      <c r="E71">
        <f>E69/(2*b/E7)</f>
        <v>0.14283793915804444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6.8405429985948487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36.312015917599503</v>
      </c>
    </row>
    <row r="80" spans="1:5" x14ac:dyDescent="0.25">
      <c r="A80" t="s">
        <v>52</v>
      </c>
      <c r="B80">
        <f>4*B79*SQRT(fydiag/E)/(PI()*diamdiag*0.1)</f>
        <v>1.2778373419659743</v>
      </c>
      <c r="D80" t="s">
        <v>53</v>
      </c>
      <c r="E80">
        <f>0.451+0.245*B80+0.5*B80^2</f>
        <v>1.5805042850429969</v>
      </c>
    </row>
    <row r="81" spans="1:10" x14ac:dyDescent="0.25">
      <c r="A81" t="s">
        <v>54</v>
      </c>
      <c r="B81">
        <f>1/(E80+SQRT(E80^2-B80^2))</f>
        <v>0.39830711100548188</v>
      </c>
    </row>
    <row r="82" spans="1:10" x14ac:dyDescent="0.25">
      <c r="A82" t="s">
        <v>55</v>
      </c>
      <c r="B82">
        <f>B81*fydiag</f>
        <v>87.627564421206017</v>
      </c>
    </row>
    <row r="84" spans="1:10" x14ac:dyDescent="0.25">
      <c r="A84" t="s">
        <v>56</v>
      </c>
      <c r="B84">
        <f>B77*B82*L4*0.1</f>
        <v>8.4238774467113924</v>
      </c>
      <c r="D84" t="s">
        <v>57</v>
      </c>
      <c r="E84">
        <f>B75/B84</f>
        <v>0.81204208416699331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10.471975511965978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>
      <selection activeCell="G46" sqref="G4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</row>
    <row r="4" spans="1:12" x14ac:dyDescent="0.25">
      <c r="A4" t="s">
        <v>6</v>
      </c>
      <c r="B4" s="2">
        <v>40</v>
      </c>
      <c r="C4" t="s">
        <v>19</v>
      </c>
      <c r="D4" t="s">
        <v>24</v>
      </c>
      <c r="E4" s="2">
        <v>12</v>
      </c>
      <c r="G4" t="s">
        <v>2</v>
      </c>
      <c r="H4" s="2">
        <v>220</v>
      </c>
      <c r="K4" t="s">
        <v>26</v>
      </c>
      <c r="L4">
        <f>PI()*(diamdiagl/10)^2/4</f>
        <v>1.1309733552923256</v>
      </c>
    </row>
    <row r="5" spans="1:12" x14ac:dyDescent="0.25">
      <c r="A5" t="s">
        <v>22</v>
      </c>
      <c r="B5" s="2">
        <v>28</v>
      </c>
      <c r="C5" t="s">
        <v>19</v>
      </c>
      <c r="D5" t="s">
        <v>25</v>
      </c>
      <c r="E5" s="2">
        <v>12</v>
      </c>
      <c r="K5" t="s">
        <v>27</v>
      </c>
      <c r="L5">
        <f>PI()*(diamdiags/10)^2/4</f>
        <v>1.1309733552923256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24.41</v>
      </c>
      <c r="K7" t="s">
        <v>21</v>
      </c>
      <c r="L7">
        <f>4*L3</f>
        <v>12.566370614359172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42.38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48.27</v>
      </c>
      <c r="C14" t="s">
        <v>8</v>
      </c>
      <c r="E14" t="s">
        <v>4</v>
      </c>
      <c r="F14">
        <v>44.2</v>
      </c>
      <c r="G14" t="s">
        <v>8</v>
      </c>
    </row>
    <row r="15" spans="1:12" x14ac:dyDescent="0.25">
      <c r="A15" t="s">
        <v>13</v>
      </c>
      <c r="B15">
        <v>31.49</v>
      </c>
      <c r="C15" t="s">
        <v>9</v>
      </c>
      <c r="E15" t="s">
        <v>47</v>
      </c>
      <c r="F15">
        <v>29.16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12.4</v>
      </c>
      <c r="C17" t="s">
        <v>9</v>
      </c>
      <c r="E17" t="s">
        <v>68</v>
      </c>
      <c r="F17">
        <v>10.39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68.209999999999994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52.47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660</v>
      </c>
      <c r="D26" t="s">
        <v>34</v>
      </c>
      <c r="E26" s="2">
        <v>660</v>
      </c>
    </row>
    <row r="27" spans="1:7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7" x14ac:dyDescent="0.25">
      <c r="A29" t="s">
        <v>28</v>
      </c>
      <c r="B29">
        <f>ROUND(PI()*SQRT(2*L7*d^3/(ncero*L4*s*h^2)),2)</f>
        <v>13.65</v>
      </c>
      <c r="D29" t="s">
        <v>31</v>
      </c>
      <c r="E29">
        <f>ROUND(PI()*SQRT(2*L7*E7^3/(ncero*L5*s*b^2)),2)</f>
        <v>11.93</v>
      </c>
      <c r="G29" t="s">
        <v>75</v>
      </c>
    </row>
    <row r="31" spans="1:7" x14ac:dyDescent="0.25">
      <c r="A31" t="s">
        <v>32</v>
      </c>
      <c r="B31">
        <f>h/2</f>
        <v>20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33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35.71</v>
      </c>
      <c r="D35" t="s">
        <v>38</v>
      </c>
      <c r="E35">
        <f>ROUND(SQRT(E33^2+E29^2),2)</f>
        <v>67.069999999999993</v>
      </c>
    </row>
    <row r="37" spans="1:5" x14ac:dyDescent="0.25">
      <c r="A37" t="s">
        <v>42</v>
      </c>
      <c r="B37">
        <f>ROUND(PI()^2*E*L7*0.1/B35^2,2)</f>
        <v>1945.18</v>
      </c>
      <c r="D37" t="s">
        <v>44</v>
      </c>
      <c r="E37">
        <f>ROUND(PI()^2*E*L7*0.1/E35^2,2)</f>
        <v>551.41999999999996</v>
      </c>
    </row>
    <row r="39" spans="1:5" x14ac:dyDescent="0.25">
      <c r="A39" t="s">
        <v>45</v>
      </c>
      <c r="B39">
        <f>ROUND(F15*B27*0.01+F14/(1-F15/B37),2)</f>
        <v>45.26</v>
      </c>
      <c r="D39" t="s">
        <v>46</v>
      </c>
      <c r="E39">
        <f>ROUND(F15*E27*0.01+F13/(1-F15/E37),2)</f>
        <v>0.38</v>
      </c>
    </row>
    <row r="41" spans="1:5" x14ac:dyDescent="0.25">
      <c r="A41" t="s">
        <v>18</v>
      </c>
      <c r="B41">
        <f>ROUND(F15/n+B39*100/(nuno*h)+E39*100/(nuno*b),2)</f>
        <v>64.819999999999993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64.819999999999993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28</v>
      </c>
    </row>
    <row r="49" spans="1:8" x14ac:dyDescent="0.25">
      <c r="A49" t="s">
        <v>52</v>
      </c>
      <c r="B49">
        <f>ROUND(4*B48*SQRT(fycord/E)/(PI()*diamcord*0.1),3)</f>
        <v>0.79700000000000004</v>
      </c>
      <c r="D49" t="s">
        <v>53</v>
      </c>
      <c r="E49">
        <f>0.451+0.245*B49+0.5*B49^2</f>
        <v>0.96386949999999993</v>
      </c>
    </row>
    <row r="50" spans="1:8" x14ac:dyDescent="0.25">
      <c r="A50" t="s">
        <v>54</v>
      </c>
      <c r="B50">
        <f>ROUND(1/(E49+SQRT(E49^2-B49^2)),3)</f>
        <v>0.66400000000000003</v>
      </c>
    </row>
    <row r="51" spans="1:8" x14ac:dyDescent="0.25">
      <c r="A51" t="s">
        <v>55</v>
      </c>
      <c r="B51">
        <f>ROUND(B50*fycord,2)</f>
        <v>265.60000000000002</v>
      </c>
    </row>
    <row r="53" spans="1:8" x14ac:dyDescent="0.25">
      <c r="A53" t="s">
        <v>56</v>
      </c>
      <c r="B53">
        <f>ROUND(B46*B51*L3*0.1,2)</f>
        <v>66.75</v>
      </c>
      <c r="D53" t="s">
        <v>57</v>
      </c>
      <c r="E53">
        <f>B44/B53</f>
        <v>0.97108614232209722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0.60309460654288238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6.57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7.9735117560226325E-3</v>
      </c>
      <c r="D67" t="s">
        <v>66</v>
      </c>
      <c r="E67">
        <f>PI()*(1/(1-F15/E37))/400</f>
        <v>8.2925028771229058E-3</v>
      </c>
    </row>
    <row r="69" spans="1:5" x14ac:dyDescent="0.25">
      <c r="A69" t="s">
        <v>69</v>
      </c>
      <c r="B69">
        <f>F17+B67*F15</f>
        <v>10.622507602805621</v>
      </c>
      <c r="D69" t="s">
        <v>70</v>
      </c>
      <c r="E69">
        <f>F16+E67*F15</f>
        <v>0.24180938389690393</v>
      </c>
    </row>
    <row r="71" spans="1:5" x14ac:dyDescent="0.25">
      <c r="A71" t="s">
        <v>63</v>
      </c>
      <c r="B71">
        <f>B69/(2*h/d)</f>
        <v>5.6272734025862778</v>
      </c>
      <c r="D71" t="s">
        <v>64</v>
      </c>
      <c r="E71">
        <f>E69/(2*b/E7)</f>
        <v>0.14756417652308562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6.57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36.023000000000003</v>
      </c>
    </row>
    <row r="80" spans="1:5" x14ac:dyDescent="0.25">
      <c r="A80" t="s">
        <v>52</v>
      </c>
      <c r="B80">
        <f>4*B79*SQRT(fydiag/E)/(PI()*diamdiag*0.1)</f>
        <v>1.2676667325244806</v>
      </c>
      <c r="D80" t="s">
        <v>53</v>
      </c>
      <c r="E80">
        <f>0.451+0.245*B80+0.5*B80^2</f>
        <v>1.5650678218431442</v>
      </c>
    </row>
    <row r="81" spans="1:10" x14ac:dyDescent="0.25">
      <c r="A81" t="s">
        <v>54</v>
      </c>
      <c r="B81">
        <f>1/(E80+SQRT(E80^2-B80^2))</f>
        <v>0.40275109337498116</v>
      </c>
    </row>
    <row r="82" spans="1:10" x14ac:dyDescent="0.25">
      <c r="A82" t="s">
        <v>55</v>
      </c>
      <c r="B82">
        <f>B81*fydiag</f>
        <v>88.605240542495849</v>
      </c>
    </row>
    <row r="84" spans="1:10" x14ac:dyDescent="0.25">
      <c r="A84" t="s">
        <v>56</v>
      </c>
      <c r="B84">
        <f>B77*B82*L4*0.1</f>
        <v>8.5178641263905615</v>
      </c>
      <c r="D84" t="s">
        <v>57</v>
      </c>
      <c r="E84">
        <f>B75/B84</f>
        <v>0.77132012233494418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11.21997376282069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30</vt:i4>
      </vt:variant>
    </vt:vector>
  </HeadingPairs>
  <TitlesOfParts>
    <vt:vector size="32" baseType="lpstr">
      <vt:lpstr>sin pp correa</vt:lpstr>
      <vt:lpstr>con pp correa</vt:lpstr>
      <vt:lpstr>'sin pp correa'!b</vt:lpstr>
      <vt:lpstr>b</vt:lpstr>
      <vt:lpstr>'sin pp correa'!d</vt:lpstr>
      <vt:lpstr>d</vt:lpstr>
      <vt:lpstr>'sin pp correa'!diamcord</vt:lpstr>
      <vt:lpstr>diamcord</vt:lpstr>
      <vt:lpstr>'sin pp correa'!diamdiag</vt:lpstr>
      <vt:lpstr>diamdiag</vt:lpstr>
      <vt:lpstr>'sin pp correa'!diamdiagl</vt:lpstr>
      <vt:lpstr>diamdiagl</vt:lpstr>
      <vt:lpstr>'sin pp correa'!diamdiags</vt:lpstr>
      <vt:lpstr>diamdiags</vt:lpstr>
      <vt:lpstr>'sin pp correa'!dy</vt:lpstr>
      <vt:lpstr>dy</vt:lpstr>
      <vt:lpstr>'sin pp correa'!E</vt:lpstr>
      <vt:lpstr>E</vt:lpstr>
      <vt:lpstr>'sin pp correa'!fycord</vt:lpstr>
      <vt:lpstr>fycord</vt:lpstr>
      <vt:lpstr>'sin pp correa'!fydiag</vt:lpstr>
      <vt:lpstr>fydiag</vt:lpstr>
      <vt:lpstr>'sin pp correa'!h</vt:lpstr>
      <vt:lpstr>h</vt:lpstr>
      <vt:lpstr>'sin pp correa'!n</vt:lpstr>
      <vt:lpstr>n</vt:lpstr>
      <vt:lpstr>'sin pp correa'!ncero</vt:lpstr>
      <vt:lpstr>ncero</vt:lpstr>
      <vt:lpstr>'sin pp correa'!nuno</vt:lpstr>
      <vt:lpstr>nuno</vt:lpstr>
      <vt:lpstr>'sin pp correa'!s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2023-04-28T16:11:46Z</dcterms:modified>
</cp:coreProperties>
</file>