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royectos\23-011_ILAG_Viviendas\01_Hojas de calculo\"/>
    </mc:Choice>
  </mc:AlternateContent>
  <xr:revisionPtr revIDLastSave="0" documentId="13_ncr:1_{052CC3AF-68F0-4777-BCCB-82A8307B28FC}" xr6:coauthVersionLast="45" xr6:coauthVersionMax="46" xr10:uidLastSave="{00000000-0000-0000-0000-000000000000}"/>
  <bookViews>
    <workbookView xWindow="1470" yWindow="1470" windowWidth="18000" windowHeight="9360" xr2:uid="{00000000-000D-0000-FFFF-FFFF00000000}"/>
  </bookViews>
  <sheets>
    <sheet name="LOSAS VIGUETAS" sheetId="1" r:id="rId1"/>
    <sheet name="VIGA 100-101 Arm Inf" sheetId="7" r:id="rId2"/>
    <sheet name="VIGA 100-101 Arm Sup" sheetId="5" r:id="rId3"/>
    <sheet name="VIGA 102" sheetId="6" r:id="rId4"/>
    <sheet name="VIGA 103" sheetId="8" r:id="rId5"/>
    <sheet name="VIGA 104-105 Arm Inf" sheetId="10" r:id="rId6"/>
    <sheet name="VIGA 104-105 Arm Sup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6" l="1"/>
  <c r="E22" i="8"/>
  <c r="E20" i="8"/>
  <c r="K19" i="1" l="1"/>
  <c r="I19" i="1"/>
  <c r="B48" i="10" l="1"/>
  <c r="E43" i="10"/>
  <c r="E42" i="10"/>
  <c r="E33" i="10"/>
  <c r="B33" i="10"/>
  <c r="B37" i="10" s="1"/>
  <c r="C20" i="10"/>
  <c r="E20" i="10" s="1"/>
  <c r="C19" i="10"/>
  <c r="E19" i="10" s="1"/>
  <c r="E18" i="10"/>
  <c r="C14" i="10"/>
  <c r="E14" i="10" s="1"/>
  <c r="C13" i="10"/>
  <c r="E13" i="10" s="1"/>
  <c r="C23" i="9"/>
  <c r="E23" i="9" s="1"/>
  <c r="C20" i="9"/>
  <c r="E20" i="9" s="1"/>
  <c r="C19" i="9"/>
  <c r="C22" i="9" s="1"/>
  <c r="E22" i="9" s="1"/>
  <c r="B48" i="9"/>
  <c r="E43" i="9"/>
  <c r="E44" i="9" s="1"/>
  <c r="E42" i="9"/>
  <c r="E33" i="9"/>
  <c r="B33" i="9"/>
  <c r="B37" i="9" s="1"/>
  <c r="E19" i="9"/>
  <c r="E18" i="9"/>
  <c r="C14" i="9"/>
  <c r="E14" i="9" s="1"/>
  <c r="C13" i="9"/>
  <c r="E13" i="9" s="1"/>
  <c r="B47" i="8"/>
  <c r="E42" i="8"/>
  <c r="E41" i="8"/>
  <c r="E43" i="8" s="1"/>
  <c r="E32" i="8"/>
  <c r="B32" i="8"/>
  <c r="B36" i="8" s="1"/>
  <c r="E21" i="8"/>
  <c r="E19" i="8"/>
  <c r="E18" i="8"/>
  <c r="C13" i="8"/>
  <c r="E13" i="8" s="1"/>
  <c r="B46" i="7"/>
  <c r="E41" i="7"/>
  <c r="E40" i="7"/>
  <c r="E42" i="7" s="1"/>
  <c r="E31" i="7"/>
  <c r="B31" i="7"/>
  <c r="B35" i="7" s="1"/>
  <c r="C21" i="7"/>
  <c r="E21" i="7" s="1"/>
  <c r="E19" i="7"/>
  <c r="E18" i="7"/>
  <c r="C14" i="7"/>
  <c r="E14" i="7" s="1"/>
  <c r="C13" i="7"/>
  <c r="E13" i="7" s="1"/>
  <c r="E15" i="7" s="1"/>
  <c r="E14" i="6"/>
  <c r="B46" i="6"/>
  <c r="E41" i="6"/>
  <c r="E40" i="6"/>
  <c r="E31" i="6"/>
  <c r="B31" i="6"/>
  <c r="B35" i="6" s="1"/>
  <c r="B53" i="6" s="1"/>
  <c r="C21" i="6"/>
  <c r="E21" i="6" s="1"/>
  <c r="E19" i="6"/>
  <c r="E18" i="6"/>
  <c r="C13" i="6"/>
  <c r="E13" i="6" s="1"/>
  <c r="C14" i="5"/>
  <c r="K21" i="1"/>
  <c r="B37" i="6" l="1"/>
  <c r="E44" i="10"/>
  <c r="E15" i="10"/>
  <c r="B55" i="10"/>
  <c r="E34" i="10"/>
  <c r="B40" i="10"/>
  <c r="B49" i="10"/>
  <c r="B39" i="10"/>
  <c r="C23" i="10"/>
  <c r="E23" i="10" s="1"/>
  <c r="C22" i="10"/>
  <c r="E22" i="10" s="1"/>
  <c r="E15" i="9"/>
  <c r="B39" i="9"/>
  <c r="B29" i="9"/>
  <c r="G28" i="9"/>
  <c r="B49" i="9"/>
  <c r="B55" i="9"/>
  <c r="E34" i="9"/>
  <c r="B40" i="9"/>
  <c r="E15" i="8"/>
  <c r="B28" i="8" s="1"/>
  <c r="B38" i="8"/>
  <c r="B48" i="8"/>
  <c r="B54" i="8"/>
  <c r="B39" i="8"/>
  <c r="E33" i="8"/>
  <c r="E42" i="6"/>
  <c r="B47" i="7"/>
  <c r="B38" i="7"/>
  <c r="B53" i="7"/>
  <c r="E32" i="7"/>
  <c r="B27" i="7"/>
  <c r="G26" i="7"/>
  <c r="B37" i="7"/>
  <c r="E15" i="6"/>
  <c r="G26" i="6" s="1"/>
  <c r="B38" i="6"/>
  <c r="E38" i="6" s="1"/>
  <c r="B47" i="6"/>
  <c r="E32" i="6"/>
  <c r="E14" i="5"/>
  <c r="C21" i="5"/>
  <c r="E21" i="5" s="1"/>
  <c r="E21" i="1"/>
  <c r="E40" i="9" l="1"/>
  <c r="D44" i="9" s="1"/>
  <c r="B27" i="6"/>
  <c r="C50" i="10"/>
  <c r="B50" i="10"/>
  <c r="C55" i="10" s="1"/>
  <c r="E40" i="10"/>
  <c r="D44" i="10" s="1"/>
  <c r="B29" i="10"/>
  <c r="G28" i="10"/>
  <c r="C50" i="9"/>
  <c r="B50" i="9"/>
  <c r="C55" i="9" s="1"/>
  <c r="E39" i="8"/>
  <c r="D43" i="8" s="1"/>
  <c r="G27" i="8"/>
  <c r="C49" i="8"/>
  <c r="B49" i="8"/>
  <c r="C54" i="8" s="1"/>
  <c r="D42" i="6"/>
  <c r="E38" i="7"/>
  <c r="D42" i="7" s="1"/>
  <c r="C48" i="7"/>
  <c r="B48" i="7"/>
  <c r="C53" i="7" s="1"/>
  <c r="C48" i="6"/>
  <c r="B48" i="6"/>
  <c r="C53" i="6" s="1"/>
  <c r="E19" i="5"/>
  <c r="E18" i="5"/>
  <c r="B31" i="5" l="1"/>
  <c r="E41" i="5"/>
  <c r="E40" i="5"/>
  <c r="C13" i="5"/>
  <c r="E13" i="5" s="1"/>
  <c r="H40" i="1"/>
  <c r="K16" i="1"/>
  <c r="K15" i="1"/>
  <c r="K14" i="1"/>
  <c r="B40" i="1"/>
  <c r="E15" i="1"/>
  <c r="E19" i="1"/>
  <c r="E14" i="1"/>
  <c r="E42" i="5" l="1"/>
  <c r="B35" i="5"/>
  <c r="E15" i="5"/>
  <c r="K20" i="1"/>
  <c r="H39" i="1" s="1"/>
  <c r="G26" i="5" l="1"/>
  <c r="B47" i="5"/>
  <c r="B53" i="5"/>
  <c r="B46" i="5"/>
  <c r="B27" i="5"/>
  <c r="B38" i="5"/>
  <c r="I24" i="1"/>
  <c r="G33" i="1" s="1"/>
  <c r="C48" i="5" l="1"/>
  <c r="B48" i="5"/>
  <c r="C53" i="5" s="1"/>
  <c r="E16" i="1" l="1"/>
  <c r="E20" i="1" l="1"/>
  <c r="B24" i="1" l="1"/>
  <c r="B39" i="1"/>
  <c r="C40" i="1" l="1"/>
  <c r="I40" i="1"/>
  <c r="C24" i="1"/>
  <c r="A33" i="1" s="1"/>
  <c r="E31" i="5"/>
  <c r="B37" i="5" l="1"/>
  <c r="E38" i="5" s="1"/>
  <c r="D42" i="5" s="1"/>
  <c r="E32" i="5"/>
</calcChain>
</file>

<file path=xl/sharedStrings.xml><?xml version="1.0" encoding="utf-8"?>
<sst xmlns="http://schemas.openxmlformats.org/spreadsheetml/2006/main" count="412" uniqueCount="102">
  <si>
    <t>Luz</t>
  </si>
  <si>
    <t>Ancho</t>
  </si>
  <si>
    <t>Destino</t>
  </si>
  <si>
    <t>Sobrecarga de uso</t>
  </si>
  <si>
    <t>Peso propio</t>
  </si>
  <si>
    <t>Analisis de Carga</t>
  </si>
  <si>
    <t>Dimension</t>
  </si>
  <si>
    <t>Peso</t>
  </si>
  <si>
    <t>Carga</t>
  </si>
  <si>
    <t>Contrapiso HºPº</t>
  </si>
  <si>
    <t>Carpeta de Nivelacion</t>
  </si>
  <si>
    <t>Pegamento</t>
  </si>
  <si>
    <t>Piso Cermico</t>
  </si>
  <si>
    <t>Paredes internas</t>
  </si>
  <si>
    <t>Serie Adoptada</t>
  </si>
  <si>
    <t>Longitud</t>
  </si>
  <si>
    <t>Bobedilla</t>
  </si>
  <si>
    <t>Capa de compresion</t>
  </si>
  <si>
    <t>Residencial</t>
  </si>
  <si>
    <t>CÁLCULO DE LOSAS PARA PLANTA ALTA</t>
  </si>
  <si>
    <t>L</t>
  </si>
  <si>
    <t>ELS</t>
  </si>
  <si>
    <t>ELU</t>
  </si>
  <si>
    <t>h</t>
  </si>
  <si>
    <t>db Long</t>
  </si>
  <si>
    <t>d</t>
  </si>
  <si>
    <t>Mn</t>
  </si>
  <si>
    <t>kd</t>
  </si>
  <si>
    <t>f´c</t>
  </si>
  <si>
    <t>Fy</t>
  </si>
  <si>
    <t>kd tabla</t>
  </si>
  <si>
    <t>ke</t>
  </si>
  <si>
    <t>As</t>
  </si>
  <si>
    <t>As mín</t>
  </si>
  <si>
    <t>ARMADURA INFERIOR</t>
  </si>
  <si>
    <t>b</t>
  </si>
  <si>
    <t>Cc</t>
  </si>
  <si>
    <t>Designación</t>
  </si>
  <si>
    <t>-</t>
  </si>
  <si>
    <t>LV 17</t>
  </si>
  <si>
    <t>A eje de viga</t>
  </si>
  <si>
    <t>VIGUETAS VIGUETEC</t>
  </si>
  <si>
    <t>→ Según catálogo</t>
  </si>
  <si>
    <t>1 SIMPLE</t>
  </si>
  <si>
    <t>s/catálogo</t>
  </si>
  <si>
    <t>Dimensionado por flexión</t>
  </si>
  <si>
    <t>Dimensionado por corte</t>
  </si>
  <si>
    <t>Total Sobrecargas</t>
  </si>
  <si>
    <t>Total Cargas Permanentes</t>
  </si>
  <si>
    <t>Momento Admisible</t>
  </si>
  <si>
    <t>Momento Total</t>
  </si>
  <si>
    <t>Vu</t>
  </si>
  <si>
    <t>Vc</t>
  </si>
  <si>
    <t>f'c</t>
  </si>
  <si>
    <t>Características</t>
  </si>
  <si>
    <t>Ancho de calc.</t>
  </si>
  <si>
    <t>LV 17 - BAJO MURO DE 0.20 m</t>
  </si>
  <si>
    <t>1 DOBLE</t>
  </si>
  <si>
    <t>Armadura en capa de compresión</t>
  </si>
  <si>
    <t>Malla Electrosoldada  ф 6 mm 0.15 x 0.15 m</t>
  </si>
  <si>
    <t>Carga de mampostería</t>
  </si>
  <si>
    <t>Peso propio viga</t>
  </si>
  <si>
    <t>Carga de losa ELS</t>
  </si>
  <si>
    <t>Carga de losa ELU</t>
  </si>
  <si>
    <t>db Estrubo</t>
  </si>
  <si>
    <t>As nec</t>
  </si>
  <si>
    <t>Análisis de cargas</t>
  </si>
  <si>
    <t>VIGA 100 - 101</t>
  </si>
  <si>
    <t>Solicitaciones</t>
  </si>
  <si>
    <t>Mu</t>
  </si>
  <si>
    <t>ARMADURA TRANSVERSAL</t>
  </si>
  <si>
    <t>Malla Electrosoldada  Ø 6 mm 0.15 x 0.15 m</t>
  </si>
  <si>
    <t>Estribos cerrados en 2 ramas</t>
  </si>
  <si>
    <t>Simplemente apoyada</t>
  </si>
  <si>
    <t>Vn</t>
  </si>
  <si>
    <t>M</t>
  </si>
  <si>
    <t>V</t>
  </si>
  <si>
    <t>Vs</t>
  </si>
  <si>
    <r>
      <t>Vs</t>
    </r>
    <r>
      <rPr>
        <b/>
        <vertAlign val="subscript"/>
        <sz val="11"/>
        <color theme="1"/>
        <rFont val="Calibri"/>
        <family val="2"/>
        <scheme val="minor"/>
      </rPr>
      <t>real</t>
    </r>
  </si>
  <si>
    <t>Bovedilla</t>
  </si>
  <si>
    <t>Dimensión</t>
  </si>
  <si>
    <t>Apoyos continuos</t>
  </si>
  <si>
    <t>CÁLCULO DE VIGA</t>
  </si>
  <si>
    <t>Ref.: Ingresar valores</t>
  </si>
  <si>
    <t>TABLA Kd</t>
  </si>
  <si>
    <t>Sobrecarga</t>
  </si>
  <si>
    <t>Viga continua</t>
  </si>
  <si>
    <t>o 2fi12</t>
  </si>
  <si>
    <t>o 3fi12</t>
  </si>
  <si>
    <t>Carga de escalera</t>
  </si>
  <si>
    <t>2 fi 8</t>
  </si>
  <si>
    <t>VIGA 102</t>
  </si>
  <si>
    <t>VIGA 103</t>
  </si>
  <si>
    <t>Simplemente Apoyada</t>
  </si>
  <si>
    <t>VIGA 104 - 105</t>
  </si>
  <si>
    <t>o 2fi10 + 1fi12</t>
  </si>
  <si>
    <t>Simplemente apoyado</t>
  </si>
  <si>
    <t>Continuo</t>
  </si>
  <si>
    <t>Carga de losa D</t>
  </si>
  <si>
    <t>Carga de losa L</t>
  </si>
  <si>
    <t>Carga escalera D</t>
  </si>
  <si>
    <t>Carga escalera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</si>
</sst>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#0.00\ &quot;m&quot;"/>
    <numFmt numFmtId="165" formatCode="#0.00\ &quot;KN/m²&quot;"/>
    <numFmt numFmtId="166" formatCode="#0.00\ &quot;Kg/m²&quot;"/>
    <numFmt numFmtId="167" formatCode="#0.00\ &quot;KN/m³&quot;"/>
    <numFmt numFmtId="168" formatCode="#0.00\ &quot;m³&quot;"/>
    <numFmt numFmtId="169" formatCode="#0.00\ &quot;KN&quot;"/>
    <numFmt numFmtId="170" formatCode="#0.000\ &quot;m&quot;"/>
    <numFmt numFmtId="171" formatCode="0.0000"/>
    <numFmt numFmtId="172" formatCode="0.00\ &quot;MPa&quot;"/>
    <numFmt numFmtId="173" formatCode="0.000\ &quot;cm²/MN&quot;"/>
    <numFmt numFmtId="174" formatCode="&quot;Ø&quot;\ 0"/>
    <numFmt numFmtId="175" formatCode="&quot;c/&quot;0\ &quot;cm&quot;"/>
    <numFmt numFmtId="176" formatCode="#0.00\ &quot;kN/m²&quot;"/>
    <numFmt numFmtId="177" formatCode="#0.00\ &quot;kg/m²&quot;"/>
    <numFmt numFmtId="178" formatCode="#0.00\ &quot;kNm/m&quot;"/>
    <numFmt numFmtId="179" formatCode="#0.00\ &quot;kgm/m&quot;"/>
    <numFmt numFmtId="180" formatCode="#0.00\ &quot;kN/m&quot;"/>
    <numFmt numFmtId="181" formatCode="#0.00\ &quot;MPa&quot;"/>
    <numFmt numFmtId="182" formatCode="#0.00\ &quot;m²&quot;"/>
    <numFmt numFmtId="183" formatCode="#0.00\ &quot;KN/m&quot;"/>
    <numFmt numFmtId="184" formatCode="0.00\ &quot;kNm&quot;"/>
    <numFmt numFmtId="185" formatCode="0.0000\ &quot;MNm&quot;"/>
    <numFmt numFmtId="186" formatCode="0.000\ &quot;cm²&quot;"/>
    <numFmt numFmtId="187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6">
    <xf numFmtId="0" fontId="0" fillId="0" borderId="0" xfId="0"/>
    <xf numFmtId="0" fontId="0" fillId="2" borderId="2" xfId="0" applyFill="1" applyBorder="1"/>
    <xf numFmtId="0" fontId="0" fillId="2" borderId="0" xfId="0" applyFill="1"/>
    <xf numFmtId="164" fontId="0" fillId="2" borderId="0" xfId="0" applyNumberFormat="1" applyFill="1" applyAlignment="1">
      <alignment horizontal="right" vertical="center"/>
    </xf>
    <xf numFmtId="170" fontId="0" fillId="2" borderId="0" xfId="0" applyNumberFormat="1" applyFill="1" applyAlignment="1">
      <alignment horizontal="right" vertical="center"/>
    </xf>
    <xf numFmtId="169" fontId="0" fillId="2" borderId="0" xfId="0" applyNumberFormat="1" applyFill="1" applyAlignment="1">
      <alignment horizontal="right"/>
    </xf>
    <xf numFmtId="0" fontId="2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  <xf numFmtId="0" fontId="2" fillId="0" borderId="0" xfId="0" applyFont="1"/>
    <xf numFmtId="0" fontId="0" fillId="2" borderId="2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0" fontId="0" fillId="2" borderId="3" xfId="0" applyFill="1" applyBorder="1"/>
    <xf numFmtId="0" fontId="0" fillId="0" borderId="2" xfId="0" applyBorder="1"/>
    <xf numFmtId="0" fontId="2" fillId="3" borderId="8" xfId="0" applyFont="1" applyFill="1" applyBorder="1" applyAlignment="1">
      <alignment horizontal="center" vertical="center"/>
    </xf>
    <xf numFmtId="2" fontId="0" fillId="2" borderId="3" xfId="0" applyNumberForma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6" fontId="3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vertical="center" wrapText="1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0" fillId="0" borderId="5" xfId="0" applyBorder="1"/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0" fillId="2" borderId="11" xfId="0" applyFill="1" applyBorder="1" applyAlignment="1">
      <alignment horizontal="left"/>
    </xf>
    <xf numFmtId="168" fontId="0" fillId="2" borderId="11" xfId="0" applyNumberFormat="1" applyFill="1" applyBorder="1" applyAlignment="1">
      <alignment horizontal="center" vertical="center"/>
    </xf>
    <xf numFmtId="167" fontId="0" fillId="2" borderId="1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176" fontId="0" fillId="2" borderId="3" xfId="0" applyNumberFormat="1" applyFill="1" applyBorder="1" applyAlignment="1">
      <alignment horizontal="right"/>
    </xf>
    <xf numFmtId="176" fontId="2" fillId="2" borderId="3" xfId="0" applyNumberFormat="1" applyFont="1" applyFill="1" applyBorder="1" applyAlignment="1">
      <alignment horizontal="right"/>
    </xf>
    <xf numFmtId="176" fontId="0" fillId="2" borderId="7" xfId="0" applyNumberFormat="1" applyFill="1" applyBorder="1" applyAlignment="1">
      <alignment horizontal="right"/>
    </xf>
    <xf numFmtId="177" fontId="0" fillId="2" borderId="0" xfId="0" applyNumberFormat="1" applyFill="1"/>
    <xf numFmtId="179" fontId="2" fillId="2" borderId="8" xfId="0" applyNumberFormat="1" applyFont="1" applyFill="1" applyBorder="1"/>
    <xf numFmtId="178" fontId="2" fillId="2" borderId="0" xfId="0" applyNumberFormat="1" applyFont="1" applyFill="1" applyAlignment="1">
      <alignment horizontal="right"/>
    </xf>
    <xf numFmtId="179" fontId="2" fillId="2" borderId="0" xfId="0" applyNumberFormat="1" applyFont="1" applyFill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80" fontId="2" fillId="2" borderId="0" xfId="0" applyNumberFormat="1" applyFont="1" applyFill="1" applyAlignment="1">
      <alignment horizontal="center"/>
    </xf>
    <xf numFmtId="181" fontId="0" fillId="2" borderId="0" xfId="0" applyNumberFormat="1" applyFill="1"/>
    <xf numFmtId="0" fontId="0" fillId="2" borderId="0" xfId="0" applyFill="1" applyAlignment="1">
      <alignment horizontal="center"/>
    </xf>
    <xf numFmtId="182" fontId="0" fillId="2" borderId="0" xfId="0" applyNumberFormat="1" applyFill="1" applyAlignment="1">
      <alignment horizontal="center" vertical="center"/>
    </xf>
    <xf numFmtId="184" fontId="0" fillId="2" borderId="0" xfId="0" applyNumberFormat="1" applyFill="1" applyAlignment="1">
      <alignment horizontal="right" vertical="center"/>
    </xf>
    <xf numFmtId="186" fontId="4" fillId="2" borderId="0" xfId="0" applyNumberFormat="1" applyFont="1" applyFill="1" applyAlignment="1">
      <alignment horizontal="center" vertical="center"/>
    </xf>
    <xf numFmtId="172" fontId="0" fillId="2" borderId="0" xfId="0" applyNumberForma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80" fontId="2" fillId="2" borderId="6" xfId="0" applyNumberFormat="1" applyFont="1" applyFill="1" applyBorder="1" applyAlignment="1">
      <alignment horizontal="center"/>
    </xf>
    <xf numFmtId="1" fontId="5" fillId="2" borderId="0" xfId="0" applyNumberFormat="1" applyFont="1" applyFill="1" applyAlignment="1">
      <alignment horizontal="center" vertical="center"/>
    </xf>
    <xf numFmtId="174" fontId="5" fillId="2" borderId="0" xfId="0" applyNumberFormat="1" applyFont="1" applyFill="1" applyAlignment="1">
      <alignment horizontal="center" vertical="center"/>
    </xf>
    <xf numFmtId="175" fontId="5" fillId="2" borderId="0" xfId="0" applyNumberFormat="1" applyFont="1" applyFill="1" applyAlignment="1">
      <alignment horizontal="center" vertical="center"/>
    </xf>
    <xf numFmtId="169" fontId="2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/>
    <xf numFmtId="179" fontId="9" fillId="2" borderId="8" xfId="0" applyNumberFormat="1" applyFont="1" applyFill="1" applyBorder="1"/>
    <xf numFmtId="0" fontId="2" fillId="0" borderId="0" xfId="0" applyFont="1" applyAlignment="1">
      <alignment horizontal="center"/>
    </xf>
    <xf numFmtId="183" fontId="0" fillId="2" borderId="0" xfId="0" applyNumberFormat="1" applyFill="1" applyAlignment="1">
      <alignment horizontal="right"/>
    </xf>
    <xf numFmtId="0" fontId="2" fillId="2" borderId="0" xfId="0" applyFont="1" applyFill="1" applyAlignment="1">
      <alignment vertical="center"/>
    </xf>
    <xf numFmtId="183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185" fontId="4" fillId="2" borderId="0" xfId="0" applyNumberFormat="1" applyFont="1" applyFill="1" applyAlignment="1">
      <alignment horizontal="center" vertical="center"/>
    </xf>
    <xf numFmtId="171" fontId="4" fillId="2" borderId="0" xfId="0" applyNumberFormat="1" applyFont="1" applyFill="1" applyAlignment="1">
      <alignment horizontal="center" vertical="center"/>
    </xf>
    <xf numFmtId="173" fontId="0" fillId="2" borderId="0" xfId="0" applyNumberFormat="1" applyFill="1" applyAlignment="1">
      <alignment horizontal="center"/>
    </xf>
    <xf numFmtId="186" fontId="6" fillId="2" borderId="0" xfId="0" applyNumberFormat="1" applyFont="1" applyFill="1" applyAlignment="1">
      <alignment horizontal="center" vertical="center"/>
    </xf>
    <xf numFmtId="187" fontId="0" fillId="2" borderId="0" xfId="0" applyNumberFormat="1" applyFill="1" applyAlignment="1">
      <alignment horizontal="center"/>
    </xf>
    <xf numFmtId="174" fontId="10" fillId="5" borderId="0" xfId="0" applyNumberFormat="1" applyFont="1" applyFill="1" applyAlignment="1">
      <alignment horizontal="center" vertical="center"/>
    </xf>
    <xf numFmtId="186" fontId="4" fillId="5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72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8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76" fontId="0" fillId="2" borderId="0" xfId="0" applyNumberFormat="1" applyFill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176" fontId="2" fillId="2" borderId="3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2657ADDD-791F-49FF-9B1F-72C12C4315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68</xdr:row>
      <xdr:rowOff>0</xdr:rowOff>
    </xdr:from>
    <xdr:to>
      <xdr:col>24</xdr:col>
      <xdr:colOff>198286</xdr:colOff>
      <xdr:row>82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344AD1-C152-4626-8401-69E660D83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30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24</xdr:col>
      <xdr:colOff>112571</xdr:colOff>
      <xdr:row>93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5C749F-48CA-4115-9F8C-BCA050085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887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24</xdr:col>
      <xdr:colOff>160190</xdr:colOff>
      <xdr:row>107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CBF10D-1726-4314-A918-D291A0710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173700"/>
          <a:ext cx="13876190" cy="2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68</xdr:row>
      <xdr:rowOff>0</xdr:rowOff>
    </xdr:from>
    <xdr:to>
      <xdr:col>24</xdr:col>
      <xdr:colOff>198286</xdr:colOff>
      <xdr:row>82</xdr:row>
      <xdr:rowOff>9190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EF6D552-EB2E-45B4-887D-1FAC3AD47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59808" y="12792808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24</xdr:col>
      <xdr:colOff>112571</xdr:colOff>
      <xdr:row>93</xdr:row>
      <xdr:rowOff>75952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B8014BC-78D9-452F-A2B9-BB0053BB2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59808" y="15650308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24</xdr:col>
      <xdr:colOff>160190</xdr:colOff>
      <xdr:row>107</xdr:row>
      <xdr:rowOff>47333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8C26059-1F03-458A-9E58-4CD7E58A6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59808" y="17936308"/>
          <a:ext cx="13876190" cy="2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68</xdr:row>
      <xdr:rowOff>0</xdr:rowOff>
    </xdr:from>
    <xdr:to>
      <xdr:col>24</xdr:col>
      <xdr:colOff>198286</xdr:colOff>
      <xdr:row>82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C45261-5F7F-4192-B725-0A661670B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30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24</xdr:col>
      <xdr:colOff>112571</xdr:colOff>
      <xdr:row>93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588834-92AA-4D98-AF5D-B3CBD4FC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887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24</xdr:col>
      <xdr:colOff>160190</xdr:colOff>
      <xdr:row>107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33453C-9EA5-44E8-9B2C-5BFEF872E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173700"/>
          <a:ext cx="13876190" cy="2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69</xdr:row>
      <xdr:rowOff>0</xdr:rowOff>
    </xdr:from>
    <xdr:to>
      <xdr:col>24</xdr:col>
      <xdr:colOff>198286</xdr:colOff>
      <xdr:row>83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856034-D05A-4982-8E18-4E44424F7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30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24</xdr:col>
      <xdr:colOff>112571</xdr:colOff>
      <xdr:row>94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144B23-CD8C-407A-A9F7-35F840456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887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24</xdr:col>
      <xdr:colOff>160190</xdr:colOff>
      <xdr:row>108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3B060BA-9D24-4C2D-8F62-30E1462CB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173700"/>
          <a:ext cx="13876190" cy="23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70</xdr:row>
      <xdr:rowOff>0</xdr:rowOff>
    </xdr:from>
    <xdr:to>
      <xdr:col>24</xdr:col>
      <xdr:colOff>198286</xdr:colOff>
      <xdr:row>84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FC4663-DE99-4295-BBB7-E96B3A5E5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411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24</xdr:col>
      <xdr:colOff>112571</xdr:colOff>
      <xdr:row>95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950324-64AE-41A0-83A9-201B10A6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6268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24</xdr:col>
      <xdr:colOff>160190</xdr:colOff>
      <xdr:row>109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FAF5CD6-3688-4C39-AE50-C26937689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554700"/>
          <a:ext cx="13876190" cy="23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70</xdr:row>
      <xdr:rowOff>0</xdr:rowOff>
    </xdr:from>
    <xdr:to>
      <xdr:col>24</xdr:col>
      <xdr:colOff>198286</xdr:colOff>
      <xdr:row>84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746501-A3BB-4DA1-9B59-E2084841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30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24</xdr:col>
      <xdr:colOff>112571</xdr:colOff>
      <xdr:row>95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E9D7FD-0EE2-415F-B395-DEEBDC372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887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24</xdr:col>
      <xdr:colOff>160190</xdr:colOff>
      <xdr:row>109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6A5D13F-EEF2-43F7-ACB0-5B7635CD8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173700"/>
          <a:ext cx="13876190" cy="2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tabSelected="1" zoomScale="130" zoomScaleNormal="130" workbookViewId="0">
      <selection activeCell="E19" sqref="E19"/>
    </sheetView>
  </sheetViews>
  <sheetFormatPr baseColWidth="10" defaultColWidth="9.140625" defaultRowHeight="15" x14ac:dyDescent="0.25"/>
  <cols>
    <col min="1" max="1" width="18.42578125" customWidth="1"/>
    <col min="2" max="2" width="12.85546875" bestFit="1" customWidth="1"/>
    <col min="3" max="3" width="14.7109375" bestFit="1" customWidth="1"/>
    <col min="4" max="4" width="16" customWidth="1"/>
    <col min="5" max="5" width="12.7109375" bestFit="1" customWidth="1"/>
    <col min="7" max="7" width="21.42578125" customWidth="1"/>
    <col min="8" max="8" width="15.140625" customWidth="1"/>
    <col min="9" max="9" width="16.5703125" customWidth="1"/>
    <col min="10" max="10" width="14.7109375" customWidth="1"/>
    <col min="11" max="11" width="14.140625" customWidth="1"/>
  </cols>
  <sheetData>
    <row r="1" spans="1:23" x14ac:dyDescent="0.25">
      <c r="A1" s="109" t="s">
        <v>19</v>
      </c>
      <c r="B1" s="109"/>
      <c r="C1" s="109"/>
      <c r="D1" s="109"/>
      <c r="E1" s="10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3" s="2" customFormat="1" x14ac:dyDescent="0.25"/>
    <row r="3" spans="1:23" x14ac:dyDescent="0.25">
      <c r="A3" s="117" t="s">
        <v>39</v>
      </c>
      <c r="B3" s="118"/>
      <c r="C3" s="118"/>
      <c r="D3" s="118"/>
      <c r="E3" s="119"/>
      <c r="F3" s="2"/>
      <c r="G3" s="117" t="s">
        <v>56</v>
      </c>
      <c r="H3" s="118"/>
      <c r="I3" s="118"/>
      <c r="J3" s="118"/>
      <c r="K3" s="1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1"/>
      <c r="B4" s="15"/>
      <c r="C4" s="15"/>
      <c r="D4" s="15"/>
      <c r="E4" s="22"/>
      <c r="F4" s="2"/>
      <c r="G4" s="21"/>
      <c r="H4" s="15"/>
      <c r="I4" s="15"/>
      <c r="J4" s="15"/>
      <c r="K4" s="2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20" t="s">
        <v>54</v>
      </c>
      <c r="B5" s="121"/>
      <c r="C5" s="121"/>
      <c r="D5" s="122" t="s">
        <v>2</v>
      </c>
      <c r="E5" s="123"/>
      <c r="F5" s="2"/>
      <c r="G5" s="120" t="s">
        <v>54</v>
      </c>
      <c r="H5" s="121"/>
      <c r="I5" s="121"/>
      <c r="J5" s="122" t="s">
        <v>2</v>
      </c>
      <c r="K5" s="12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6.5" customHeight="1" x14ac:dyDescent="0.25">
      <c r="A6" s="1" t="s">
        <v>0</v>
      </c>
      <c r="B6" s="16">
        <v>3.15</v>
      </c>
      <c r="C6" s="24" t="s">
        <v>40</v>
      </c>
      <c r="D6" s="110" t="s">
        <v>18</v>
      </c>
      <c r="E6" s="111"/>
      <c r="F6" s="2"/>
      <c r="G6" s="1" t="s">
        <v>0</v>
      </c>
      <c r="H6" s="16">
        <v>3.15</v>
      </c>
      <c r="I6" s="24" t="s">
        <v>40</v>
      </c>
      <c r="J6" s="110" t="s">
        <v>18</v>
      </c>
      <c r="K6" s="1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 customHeight="1" x14ac:dyDescent="0.25">
      <c r="A7" s="1" t="s">
        <v>55</v>
      </c>
      <c r="B7" s="16">
        <v>1</v>
      </c>
      <c r="D7" s="110" t="s">
        <v>3</v>
      </c>
      <c r="E7" s="111"/>
      <c r="F7" s="2"/>
      <c r="G7" s="1" t="s">
        <v>55</v>
      </c>
      <c r="H7" s="16">
        <v>1</v>
      </c>
      <c r="J7" s="110" t="s">
        <v>3</v>
      </c>
      <c r="K7" s="1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26" t="s">
        <v>4</v>
      </c>
      <c r="B8" s="63">
        <v>178</v>
      </c>
      <c r="C8" s="25" t="s">
        <v>44</v>
      </c>
      <c r="D8" s="112">
        <v>2</v>
      </c>
      <c r="E8" s="113"/>
      <c r="F8" s="2"/>
      <c r="G8" s="26" t="s">
        <v>4</v>
      </c>
      <c r="H8" s="45">
        <v>215</v>
      </c>
      <c r="I8" s="25" t="s">
        <v>44</v>
      </c>
      <c r="J8" s="112">
        <v>2</v>
      </c>
      <c r="K8" s="11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26" t="s">
        <v>53</v>
      </c>
      <c r="B9" s="57">
        <v>25</v>
      </c>
      <c r="C9" s="25"/>
      <c r="D9" s="144" t="s">
        <v>96</v>
      </c>
      <c r="E9" s="145"/>
      <c r="F9" s="2"/>
      <c r="G9" s="26" t="s">
        <v>53</v>
      </c>
      <c r="H9" s="57">
        <v>25</v>
      </c>
      <c r="I9" s="25"/>
      <c r="J9" s="144" t="s">
        <v>97</v>
      </c>
      <c r="K9" s="14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34"/>
      <c r="B10" s="35"/>
      <c r="C10" s="35"/>
      <c r="D10" s="35"/>
      <c r="E10" s="36"/>
      <c r="F10" s="2"/>
      <c r="G10" s="34"/>
      <c r="H10" s="35"/>
      <c r="I10" s="35"/>
      <c r="J10" s="35"/>
      <c r="K10" s="3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114" t="s">
        <v>5</v>
      </c>
      <c r="B11" s="114"/>
      <c r="C11" s="114"/>
      <c r="D11" s="114"/>
      <c r="E11" s="114"/>
      <c r="F11" s="2"/>
      <c r="G11" s="114" t="s">
        <v>5</v>
      </c>
      <c r="H11" s="114"/>
      <c r="I11" s="114"/>
      <c r="J11" s="114"/>
      <c r="K11" s="1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 customHeight="1" x14ac:dyDescent="0.25">
      <c r="A12" s="1"/>
      <c r="B12" s="2"/>
      <c r="C12" s="2"/>
      <c r="D12" s="2"/>
      <c r="E12" s="17"/>
      <c r="F12" s="2"/>
      <c r="G12" s="1"/>
      <c r="H12" s="2"/>
      <c r="I12" s="2"/>
      <c r="J12" s="2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 customHeight="1" x14ac:dyDescent="0.25">
      <c r="A13" s="29" t="s">
        <v>37</v>
      </c>
      <c r="B13" s="30"/>
      <c r="C13" s="31" t="s">
        <v>80</v>
      </c>
      <c r="D13" s="31" t="s">
        <v>7</v>
      </c>
      <c r="E13" s="32" t="s">
        <v>8</v>
      </c>
      <c r="F13" s="2"/>
      <c r="G13" s="29" t="s">
        <v>37</v>
      </c>
      <c r="H13" s="30"/>
      <c r="I13" s="31" t="s">
        <v>80</v>
      </c>
      <c r="J13" s="31" t="s">
        <v>7</v>
      </c>
      <c r="K13" s="32" t="s">
        <v>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" customHeight="1" x14ac:dyDescent="0.25">
      <c r="A14" s="26" t="s">
        <v>4</v>
      </c>
      <c r="B14" s="2"/>
      <c r="C14" s="6" t="s">
        <v>38</v>
      </c>
      <c r="D14" s="6" t="s">
        <v>38</v>
      </c>
      <c r="E14" s="42">
        <f>+B8/100</f>
        <v>1.78</v>
      </c>
      <c r="F14" s="2"/>
      <c r="G14" s="26" t="s">
        <v>4</v>
      </c>
      <c r="H14" s="2"/>
      <c r="I14" s="6" t="s">
        <v>38</v>
      </c>
      <c r="J14" s="6" t="s">
        <v>38</v>
      </c>
      <c r="K14" s="42">
        <f>+H8/100</f>
        <v>2.15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11" t="s">
        <v>9</v>
      </c>
      <c r="B15" s="12"/>
      <c r="C15" s="7">
        <v>0.05</v>
      </c>
      <c r="D15" s="8">
        <v>16</v>
      </c>
      <c r="E15" s="42">
        <f>+C15*D15</f>
        <v>0.8</v>
      </c>
      <c r="F15" s="2"/>
      <c r="G15" s="11" t="s">
        <v>9</v>
      </c>
      <c r="H15" s="12"/>
      <c r="I15" s="7">
        <v>0.05</v>
      </c>
      <c r="J15" s="8">
        <v>16</v>
      </c>
      <c r="K15" s="42">
        <f>+I15*J15</f>
        <v>0.8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11" t="s">
        <v>10</v>
      </c>
      <c r="B16" s="12"/>
      <c r="C16" s="7">
        <v>0.02</v>
      </c>
      <c r="D16" s="8">
        <v>21</v>
      </c>
      <c r="E16" s="42">
        <f>+C16*D16</f>
        <v>0.42</v>
      </c>
      <c r="F16" s="2"/>
      <c r="G16" s="11" t="s">
        <v>10</v>
      </c>
      <c r="H16" s="12"/>
      <c r="I16" s="7">
        <v>0.02</v>
      </c>
      <c r="J16" s="8">
        <v>21</v>
      </c>
      <c r="K16" s="42">
        <f>+I16*J16</f>
        <v>0.42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" customHeight="1" x14ac:dyDescent="0.25">
      <c r="A17" s="13" t="s">
        <v>11</v>
      </c>
      <c r="B17" s="14"/>
      <c r="C17" s="7"/>
      <c r="D17" s="8"/>
      <c r="E17" s="42">
        <v>3.0000000000000001E-3</v>
      </c>
      <c r="F17" s="2"/>
      <c r="G17" s="13" t="s">
        <v>11</v>
      </c>
      <c r="H17" s="14"/>
      <c r="I17" s="7"/>
      <c r="J17" s="8"/>
      <c r="K17" s="42">
        <v>3.0000000000000001E-3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13" t="s">
        <v>12</v>
      </c>
      <c r="B18" s="14"/>
      <c r="C18" s="7"/>
      <c r="D18" s="8"/>
      <c r="E18" s="42">
        <v>0.28000000000000003</v>
      </c>
      <c r="F18" s="2"/>
      <c r="G18" s="13" t="s">
        <v>12</v>
      </c>
      <c r="H18" s="14"/>
      <c r="I18" s="7"/>
      <c r="J18" s="8"/>
      <c r="K18" s="42">
        <v>0.28000000000000003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115" t="s">
        <v>13</v>
      </c>
      <c r="B19" s="116"/>
      <c r="C19" s="27">
        <v>0</v>
      </c>
      <c r="D19" s="28">
        <v>17</v>
      </c>
      <c r="E19" s="44">
        <f>(C19*D19)/(B6*B7)</f>
        <v>0</v>
      </c>
      <c r="F19" s="2"/>
      <c r="G19" s="115" t="s">
        <v>13</v>
      </c>
      <c r="H19" s="116"/>
      <c r="I19" s="27">
        <f>0.2*2</f>
        <v>0.4</v>
      </c>
      <c r="J19" s="28">
        <v>17</v>
      </c>
      <c r="K19" s="44">
        <f>(I19*J19)/(H7)</f>
        <v>6.8000000000000007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37" t="s">
        <v>48</v>
      </c>
      <c r="B20" s="38"/>
      <c r="C20" s="39"/>
      <c r="D20" s="40"/>
      <c r="E20" s="43">
        <f>SUM(E14:E19)</f>
        <v>3.2830000000000004</v>
      </c>
      <c r="F20" s="2"/>
      <c r="G20" s="37" t="s">
        <v>48</v>
      </c>
      <c r="H20" s="38"/>
      <c r="I20" s="39"/>
      <c r="J20" s="40"/>
      <c r="K20" s="43">
        <f>SUM(K14:K19)</f>
        <v>10.453000000000001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41" t="s">
        <v>47</v>
      </c>
      <c r="B21" s="2"/>
      <c r="C21" s="2"/>
      <c r="E21" s="43">
        <f>+D8</f>
        <v>2</v>
      </c>
      <c r="F21" s="2"/>
      <c r="G21" s="41" t="s">
        <v>47</v>
      </c>
      <c r="H21" s="2"/>
      <c r="I21" s="2"/>
      <c r="K21" s="43">
        <f>J8</f>
        <v>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" customHeight="1" x14ac:dyDescent="0.25">
      <c r="A22" s="114" t="s">
        <v>45</v>
      </c>
      <c r="B22" s="114"/>
      <c r="C22" s="114"/>
      <c r="D22" s="114"/>
      <c r="E22" s="114"/>
      <c r="F22" s="2"/>
      <c r="G22" s="114" t="s">
        <v>45</v>
      </c>
      <c r="H22" s="114"/>
      <c r="I22" s="114"/>
      <c r="J22" s="114"/>
      <c r="K22" s="11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" customHeight="1" x14ac:dyDescent="0.25">
      <c r="A23" s="21"/>
      <c r="B23" s="15"/>
      <c r="C23" s="15"/>
      <c r="D23" s="15"/>
      <c r="E23" s="22"/>
      <c r="F23" s="2"/>
      <c r="G23" s="21"/>
      <c r="H23" s="15"/>
      <c r="I23" s="15"/>
      <c r="J23" s="15"/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" customHeight="1" x14ac:dyDescent="0.25">
      <c r="A24" s="33" t="s">
        <v>50</v>
      </c>
      <c r="B24" s="47">
        <f>+ROUND((((E20+E21)*B6^2)/8),2)</f>
        <v>6.55</v>
      </c>
      <c r="C24" s="48">
        <f>+B24*100</f>
        <v>655</v>
      </c>
      <c r="D24" s="124"/>
      <c r="E24" s="125"/>
      <c r="F24" s="2"/>
      <c r="G24" s="33" t="s">
        <v>50</v>
      </c>
      <c r="H24" s="47">
        <v>8.85</v>
      </c>
      <c r="I24" s="48">
        <f>+H24*100</f>
        <v>885</v>
      </c>
      <c r="J24" s="124" t="s">
        <v>81</v>
      </c>
      <c r="K24" s="12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18"/>
      <c r="B25" s="2"/>
      <c r="C25" s="2"/>
      <c r="D25" s="2"/>
      <c r="E25" s="17"/>
      <c r="F25" s="2"/>
      <c r="G25" s="18"/>
      <c r="H25" s="2"/>
      <c r="I25" s="2"/>
      <c r="J25" s="2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131" t="s">
        <v>41</v>
      </c>
      <c r="B26" s="132"/>
      <c r="C26" s="133"/>
      <c r="D26" s="2"/>
      <c r="E26" s="17"/>
      <c r="F26" s="2"/>
      <c r="G26" s="131" t="s">
        <v>41</v>
      </c>
      <c r="H26" s="132"/>
      <c r="I26" s="133"/>
      <c r="J26" s="2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" customHeight="1" x14ac:dyDescent="0.25">
      <c r="A27" s="99" t="s">
        <v>14</v>
      </c>
      <c r="B27" s="99"/>
      <c r="C27" s="19" t="s">
        <v>43</v>
      </c>
      <c r="D27" s="2"/>
      <c r="E27" s="20"/>
      <c r="F27" s="2"/>
      <c r="G27" s="99" t="s">
        <v>14</v>
      </c>
      <c r="H27" s="99"/>
      <c r="I27" s="19" t="s">
        <v>57</v>
      </c>
      <c r="J27" s="2"/>
      <c r="K27" s="2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99" t="s">
        <v>15</v>
      </c>
      <c r="B28" s="99"/>
      <c r="C28" s="23">
        <v>3.15</v>
      </c>
      <c r="D28" s="2"/>
      <c r="E28" s="17"/>
      <c r="F28" s="2"/>
      <c r="G28" s="99" t="s">
        <v>15</v>
      </c>
      <c r="H28" s="99"/>
      <c r="I28" s="23">
        <v>3.15</v>
      </c>
      <c r="J28" s="2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99" t="s">
        <v>79</v>
      </c>
      <c r="B29" s="99"/>
      <c r="C29" s="23">
        <v>0.13</v>
      </c>
      <c r="D29" s="2"/>
      <c r="E29" s="17"/>
      <c r="F29" s="2"/>
      <c r="G29" s="99" t="s">
        <v>16</v>
      </c>
      <c r="H29" s="99"/>
      <c r="I29" s="23">
        <v>0.13</v>
      </c>
      <c r="J29" s="2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" customHeight="1" x14ac:dyDescent="0.25">
      <c r="A30" s="99" t="s">
        <v>17</v>
      </c>
      <c r="B30" s="99"/>
      <c r="C30" s="23">
        <v>0.05</v>
      </c>
      <c r="D30" s="2"/>
      <c r="E30" s="17"/>
      <c r="F30" s="2"/>
      <c r="G30" s="99" t="s">
        <v>17</v>
      </c>
      <c r="H30" s="99"/>
      <c r="I30" s="23">
        <v>0.05</v>
      </c>
      <c r="J30" s="2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25">
      <c r="A31" s="99" t="s">
        <v>49</v>
      </c>
      <c r="B31" s="99"/>
      <c r="C31" s="46">
        <v>845</v>
      </c>
      <c r="D31" s="104" t="s">
        <v>42</v>
      </c>
      <c r="E31" s="105"/>
      <c r="F31" s="2"/>
      <c r="G31" s="99" t="s">
        <v>49</v>
      </c>
      <c r="H31" s="99"/>
      <c r="I31" s="76">
        <v>1254</v>
      </c>
      <c r="J31" s="104" t="s">
        <v>42</v>
      </c>
      <c r="K31" s="10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1"/>
      <c r="B32" s="2"/>
      <c r="C32" s="2"/>
      <c r="D32" s="2"/>
      <c r="E32" s="17"/>
      <c r="F32" s="2"/>
      <c r="G32" s="1"/>
      <c r="H32" s="2"/>
      <c r="I32" s="2"/>
      <c r="J32" s="2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25">
      <c r="A33" s="106" t="str">
        <f>IF(C31&gt;C24,"M Admisible &gt; M Total → Buenas Condiciones","M Admisible &lt; M Total  → Malas Condiciones")</f>
        <v>M Admisible &gt; M Total → Buenas Condiciones</v>
      </c>
      <c r="B33" s="107"/>
      <c r="C33" s="107"/>
      <c r="D33" s="107"/>
      <c r="E33" s="108"/>
      <c r="F33" s="2"/>
      <c r="G33" s="106" t="str">
        <f>IF(I31&gt;I24,"M Admisible &gt; M Total → Buenas Condiciones","M Admisible &lt; M Total  → Malas Condiciones")</f>
        <v>M Admisible &gt; M Total → Buenas Condiciones</v>
      </c>
      <c r="H33" s="107"/>
      <c r="I33" s="107"/>
      <c r="J33" s="107"/>
      <c r="K33" s="10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25">
      <c r="A34" s="52"/>
      <c r="B34" s="53"/>
      <c r="C34" s="53"/>
      <c r="D34" s="53"/>
      <c r="E34" s="54"/>
      <c r="F34" s="2"/>
      <c r="G34" s="52"/>
      <c r="H34" s="53"/>
      <c r="I34" s="53"/>
      <c r="J34" s="53"/>
      <c r="K34" s="5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25">
      <c r="A35" s="100" t="s">
        <v>58</v>
      </c>
      <c r="B35" s="101"/>
      <c r="C35" s="102" t="s">
        <v>71</v>
      </c>
      <c r="D35" s="102"/>
      <c r="E35" s="103"/>
      <c r="F35" s="2"/>
      <c r="G35" s="100" t="s">
        <v>58</v>
      </c>
      <c r="H35" s="101"/>
      <c r="I35" s="102" t="s">
        <v>59</v>
      </c>
      <c r="J35" s="102"/>
      <c r="K35" s="10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s="2" customFormat="1" ht="15.75" customHeight="1" x14ac:dyDescent="0.25">
      <c r="A36" s="49"/>
      <c r="B36" s="50"/>
      <c r="C36" s="50"/>
      <c r="D36" s="50"/>
      <c r="E36" s="51"/>
      <c r="G36" s="49"/>
      <c r="H36" s="50"/>
      <c r="I36" s="50"/>
      <c r="J36" s="50"/>
      <c r="K36" s="51"/>
    </row>
    <row r="37" spans="1:23" s="2" customFormat="1" ht="15.75" customHeight="1" x14ac:dyDescent="0.25">
      <c r="A37" s="128" t="s">
        <v>46</v>
      </c>
      <c r="B37" s="129"/>
      <c r="C37" s="129"/>
      <c r="D37" s="129"/>
      <c r="E37" s="130"/>
      <c r="G37" s="128" t="s">
        <v>46</v>
      </c>
      <c r="H37" s="129"/>
      <c r="I37" s="129"/>
      <c r="J37" s="129"/>
      <c r="K37" s="130"/>
    </row>
    <row r="38" spans="1:23" s="2" customFormat="1" ht="15.75" customHeight="1" x14ac:dyDescent="0.25">
      <c r="A38" s="66"/>
      <c r="B38" s="67"/>
      <c r="C38" s="67"/>
      <c r="D38" s="67"/>
      <c r="E38" s="68"/>
      <c r="G38" s="66"/>
      <c r="H38" s="67"/>
      <c r="I38" s="67"/>
      <c r="J38" s="67"/>
      <c r="K38" s="68"/>
    </row>
    <row r="39" spans="1:23" s="2" customFormat="1" ht="15.75" customHeight="1" x14ac:dyDescent="0.25">
      <c r="A39" s="21" t="s">
        <v>51</v>
      </c>
      <c r="B39" s="56">
        <f>+ROUND(((1.2*$E$20+1.6*$E$21)*$B$6)/2,2)</f>
        <v>11.24</v>
      </c>
      <c r="D39" s="15"/>
      <c r="E39" s="22"/>
      <c r="G39" s="21" t="s">
        <v>51</v>
      </c>
      <c r="H39" s="56">
        <f>+ROUND(((1.2*$K$20+1.6*$K$21)*$H$6)/2,2)</f>
        <v>24.8</v>
      </c>
      <c r="J39" s="15"/>
      <c r="K39" s="22"/>
    </row>
    <row r="40" spans="1:23" s="2" customFormat="1" ht="15.75" customHeight="1" x14ac:dyDescent="0.25">
      <c r="A40" s="49" t="s">
        <v>52</v>
      </c>
      <c r="B40" s="69">
        <f>+(1/6)*($B$9^(1/2))*($B$7*1000)*(1000*($C$29+$C$30-0.03))/1000</f>
        <v>124.99999999999999</v>
      </c>
      <c r="C40" s="126" t="str">
        <f>+IF($B$40&gt;$B$39,"NO ES NECESARIA ARM. DE CORTE","ES NECESARIA ARM. DE CORTE")</f>
        <v>NO ES NECESARIA ARM. DE CORTE</v>
      </c>
      <c r="D40" s="126"/>
      <c r="E40" s="127"/>
      <c r="G40" s="49" t="s">
        <v>52</v>
      </c>
      <c r="H40" s="69">
        <f>+(1/6)*($H$9^(1/2))*($H$7*1000)*(1000*($I$29+$I$30-0.03))/1000</f>
        <v>124.99999999999999</v>
      </c>
      <c r="I40" s="126" t="str">
        <f>+IF($B$40&gt;$B$39,"NO ES NECESARIA ARM. DE CORTE","ES NECESARIA ARM. DE CORTE")</f>
        <v>NO ES NECESARIA ARM. DE CORTE</v>
      </c>
      <c r="J40" s="126"/>
      <c r="K40" s="127"/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5">
      <c r="A64" s="2"/>
      <c r="B64" s="2"/>
      <c r="C64" s="2"/>
      <c r="D64" s="2"/>
      <c r="E64" s="2"/>
    </row>
  </sheetData>
  <mergeCells count="47">
    <mergeCell ref="J24:K24"/>
    <mergeCell ref="D24:E24"/>
    <mergeCell ref="C40:E40"/>
    <mergeCell ref="A37:E37"/>
    <mergeCell ref="A33:E33"/>
    <mergeCell ref="A27:B27"/>
    <mergeCell ref="A28:B28"/>
    <mergeCell ref="A29:B29"/>
    <mergeCell ref="A30:B30"/>
    <mergeCell ref="A26:C26"/>
    <mergeCell ref="G37:K37"/>
    <mergeCell ref="I40:K40"/>
    <mergeCell ref="G26:I26"/>
    <mergeCell ref="G27:H27"/>
    <mergeCell ref="G28:H28"/>
    <mergeCell ref="G29:H29"/>
    <mergeCell ref="A22:E22"/>
    <mergeCell ref="G3:K3"/>
    <mergeCell ref="G5:I5"/>
    <mergeCell ref="J5:K5"/>
    <mergeCell ref="J6:K6"/>
    <mergeCell ref="G22:K22"/>
    <mergeCell ref="D6:E6"/>
    <mergeCell ref="D7:E7"/>
    <mergeCell ref="D8:E8"/>
    <mergeCell ref="A3:E3"/>
    <mergeCell ref="A11:E11"/>
    <mergeCell ref="D5:E5"/>
    <mergeCell ref="A5:C5"/>
    <mergeCell ref="D9:E9"/>
    <mergeCell ref="J9:K9"/>
    <mergeCell ref="A1:E1"/>
    <mergeCell ref="J7:K7"/>
    <mergeCell ref="J8:K8"/>
    <mergeCell ref="G11:K11"/>
    <mergeCell ref="G19:H19"/>
    <mergeCell ref="A19:B19"/>
    <mergeCell ref="G30:H30"/>
    <mergeCell ref="A35:B35"/>
    <mergeCell ref="C35:E35"/>
    <mergeCell ref="G35:H35"/>
    <mergeCell ref="I35:K35"/>
    <mergeCell ref="G31:H31"/>
    <mergeCell ref="J31:K31"/>
    <mergeCell ref="G33:K33"/>
    <mergeCell ref="A31:B31"/>
    <mergeCell ref="D31:E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EB27-35A6-4157-8643-D667BDE52886}">
  <dimension ref="A1:G57"/>
  <sheetViews>
    <sheetView topLeftCell="A7" zoomScale="130" zoomScaleNormal="130" workbookViewId="0">
      <selection activeCell="E27" sqref="E27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9" t="s">
        <v>82</v>
      </c>
      <c r="B1" s="140"/>
      <c r="C1" s="140"/>
      <c r="D1" s="140"/>
      <c r="E1" s="141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9" t="s">
        <v>67</v>
      </c>
      <c r="B3" s="140"/>
      <c r="C3" s="140"/>
      <c r="D3" s="140"/>
      <c r="E3" s="141"/>
    </row>
    <row r="4" spans="1:6" x14ac:dyDescent="0.25">
      <c r="A4" s="95"/>
      <c r="B4" s="95"/>
      <c r="C4" s="95"/>
      <c r="D4" s="142" t="s">
        <v>83</v>
      </c>
      <c r="E4" s="142"/>
    </row>
    <row r="5" spans="1:6" x14ac:dyDescent="0.25">
      <c r="A5" s="77" t="s">
        <v>54</v>
      </c>
      <c r="B5" s="95"/>
      <c r="C5" s="95"/>
      <c r="D5" s="95"/>
      <c r="E5" s="95"/>
    </row>
    <row r="6" spans="1:6" x14ac:dyDescent="0.25">
      <c r="A6" s="95" t="s">
        <v>20</v>
      </c>
      <c r="B6" s="89">
        <v>3.15</v>
      </c>
      <c r="C6" s="2"/>
      <c r="D6" s="95" t="s">
        <v>23</v>
      </c>
      <c r="E6" s="89">
        <v>0.3</v>
      </c>
    </row>
    <row r="7" spans="1:6" x14ac:dyDescent="0.25">
      <c r="A7" s="95" t="s">
        <v>28</v>
      </c>
      <c r="B7" s="90">
        <v>25</v>
      </c>
      <c r="C7" s="2"/>
      <c r="D7" s="95" t="s">
        <v>35</v>
      </c>
      <c r="E7" s="89">
        <v>0.2</v>
      </c>
      <c r="F7" s="2"/>
    </row>
    <row r="8" spans="1:6" x14ac:dyDescent="0.25">
      <c r="A8" s="95" t="s">
        <v>29</v>
      </c>
      <c r="B8" s="62">
        <v>420</v>
      </c>
      <c r="C8" s="2"/>
      <c r="D8" s="143" t="s">
        <v>86</v>
      </c>
      <c r="E8" s="143"/>
    </row>
    <row r="9" spans="1:6" x14ac:dyDescent="0.25">
      <c r="A9" s="2"/>
      <c r="B9" s="2"/>
      <c r="C9" s="2"/>
      <c r="D9" s="2"/>
      <c r="E9" s="2"/>
    </row>
    <row r="10" spans="1:6" x14ac:dyDescent="0.25">
      <c r="A10" s="131" t="s">
        <v>66</v>
      </c>
      <c r="B10" s="132"/>
      <c r="C10" s="132"/>
      <c r="D10" s="132"/>
      <c r="E10" s="133"/>
    </row>
    <row r="11" spans="1:6" x14ac:dyDescent="0.25">
      <c r="A11" s="95"/>
      <c r="B11" s="95"/>
      <c r="C11" s="95"/>
      <c r="D11" s="95"/>
      <c r="E11" s="95"/>
    </row>
    <row r="12" spans="1:6" x14ac:dyDescent="0.25">
      <c r="A12" s="2"/>
      <c r="B12" s="2"/>
      <c r="C12" s="94" t="s">
        <v>6</v>
      </c>
      <c r="D12" s="94" t="s">
        <v>7</v>
      </c>
      <c r="E12" s="94" t="s">
        <v>8</v>
      </c>
    </row>
    <row r="13" spans="1:6" x14ac:dyDescent="0.25">
      <c r="A13" s="137" t="s">
        <v>61</v>
      </c>
      <c r="B13" s="137"/>
      <c r="C13" s="59">
        <f>+E6*E7</f>
        <v>0.06</v>
      </c>
      <c r="D13" s="8">
        <v>25</v>
      </c>
      <c r="E13" s="78">
        <f>+C13*D13</f>
        <v>1.5</v>
      </c>
    </row>
    <row r="14" spans="1:6" x14ac:dyDescent="0.25">
      <c r="A14" s="137" t="s">
        <v>60</v>
      </c>
      <c r="B14" s="137"/>
      <c r="C14" s="59">
        <f>3.2*0.2</f>
        <v>0.64000000000000012</v>
      </c>
      <c r="D14" s="8">
        <v>17</v>
      </c>
      <c r="E14" s="78">
        <f>+C14*D14</f>
        <v>10.880000000000003</v>
      </c>
    </row>
    <row r="15" spans="1:6" x14ac:dyDescent="0.25">
      <c r="A15" s="79" t="s">
        <v>48</v>
      </c>
      <c r="B15" s="14"/>
      <c r="C15" s="9"/>
      <c r="D15" s="8"/>
      <c r="E15" s="80">
        <f>SUM(E13:E14)</f>
        <v>12.380000000000003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94" t="s">
        <v>1</v>
      </c>
      <c r="D17" s="94" t="s">
        <v>7</v>
      </c>
      <c r="E17" s="94" t="s">
        <v>8</v>
      </c>
    </row>
    <row r="18" spans="1:7" x14ac:dyDescent="0.25">
      <c r="A18" s="137" t="s">
        <v>62</v>
      </c>
      <c r="B18" s="137"/>
      <c r="C18" s="89">
        <v>0</v>
      </c>
      <c r="D18" s="91">
        <v>0</v>
      </c>
      <c r="E18" s="78">
        <f>+C18*D18</f>
        <v>0</v>
      </c>
    </row>
    <row r="19" spans="1:7" x14ac:dyDescent="0.25">
      <c r="A19" s="137" t="s">
        <v>63</v>
      </c>
      <c r="B19" s="137"/>
      <c r="C19" s="89">
        <v>0</v>
      </c>
      <c r="D19" s="91">
        <v>3.2</v>
      </c>
      <c r="E19" s="78">
        <f>+C19*D19</f>
        <v>0</v>
      </c>
    </row>
    <row r="20" spans="1:7" x14ac:dyDescent="0.25">
      <c r="A20" s="96"/>
      <c r="B20" s="96"/>
      <c r="C20" s="7"/>
      <c r="D20" s="97"/>
      <c r="E20" s="78"/>
    </row>
    <row r="21" spans="1:7" x14ac:dyDescent="0.25">
      <c r="A21" s="96" t="s">
        <v>85</v>
      </c>
      <c r="B21" s="96"/>
      <c r="C21" s="89">
        <f>+C19</f>
        <v>0</v>
      </c>
      <c r="D21" s="91">
        <v>2</v>
      </c>
      <c r="E21" s="78">
        <f>+C21*D21</f>
        <v>0</v>
      </c>
    </row>
    <row r="22" spans="1:7" x14ac:dyDescent="0.25">
      <c r="A22" s="2"/>
      <c r="B22" s="2"/>
      <c r="C22" s="2"/>
      <c r="D22" s="2"/>
      <c r="E22" s="2"/>
    </row>
    <row r="23" spans="1:7" x14ac:dyDescent="0.25">
      <c r="A23" s="131" t="s">
        <v>68</v>
      </c>
      <c r="B23" s="132"/>
      <c r="C23" s="132"/>
      <c r="D23" s="132"/>
      <c r="E23" s="133"/>
    </row>
    <row r="24" spans="1:7" x14ac:dyDescent="0.25">
      <c r="A24" s="95"/>
      <c r="B24" s="95"/>
      <c r="C24" s="95"/>
      <c r="D24" s="95"/>
      <c r="E24" s="95"/>
    </row>
    <row r="25" spans="1:7" x14ac:dyDescent="0.25">
      <c r="A25" s="138" t="s">
        <v>21</v>
      </c>
      <c r="B25" s="138"/>
      <c r="C25" s="2"/>
      <c r="D25" s="138" t="s">
        <v>22</v>
      </c>
      <c r="E25" s="138"/>
    </row>
    <row r="26" spans="1:7" x14ac:dyDescent="0.25">
      <c r="A26" s="2" t="s">
        <v>75</v>
      </c>
      <c r="B26" s="60">
        <v>18.260000000000002</v>
      </c>
      <c r="C26" s="2"/>
      <c r="D26" s="2" t="s">
        <v>69</v>
      </c>
      <c r="E26" s="60">
        <v>14.17</v>
      </c>
      <c r="G26" s="60">
        <f>ROUND((((1.2*(E15+E19))+(1.6*E21))),2)</f>
        <v>14.86</v>
      </c>
    </row>
    <row r="27" spans="1:7" x14ac:dyDescent="0.25">
      <c r="A27" s="2" t="s">
        <v>76</v>
      </c>
      <c r="B27" s="5">
        <f>ROUND(((E15+E18)*B6/2),2)</f>
        <v>19.5</v>
      </c>
      <c r="C27" s="2"/>
      <c r="D27" s="2" t="s">
        <v>51</v>
      </c>
      <c r="E27" s="5">
        <v>36.619999999999997</v>
      </c>
    </row>
    <row r="28" spans="1:7" x14ac:dyDescent="0.25">
      <c r="A28" s="2"/>
      <c r="B28" s="2"/>
      <c r="C28" s="2"/>
      <c r="D28" s="2"/>
      <c r="E28" s="2"/>
    </row>
    <row r="29" spans="1:7" x14ac:dyDescent="0.25">
      <c r="A29" s="131" t="s">
        <v>45</v>
      </c>
      <c r="B29" s="132"/>
      <c r="C29" s="132"/>
      <c r="D29" s="132"/>
      <c r="E29" s="133"/>
    </row>
    <row r="30" spans="1:7" x14ac:dyDescent="0.25">
      <c r="A30" s="95"/>
      <c r="B30" s="95"/>
      <c r="C30" s="95"/>
      <c r="D30" s="95"/>
      <c r="E30" s="95"/>
    </row>
    <row r="31" spans="1:7" x14ac:dyDescent="0.25">
      <c r="A31" s="81" t="s">
        <v>23</v>
      </c>
      <c r="B31" s="3">
        <f>+E6</f>
        <v>0.3</v>
      </c>
      <c r="C31" s="2"/>
      <c r="D31" s="2" t="s">
        <v>26</v>
      </c>
      <c r="E31" s="82">
        <f>((E26/(1000*0.9)))</f>
        <v>1.5744444444444443E-2</v>
      </c>
    </row>
    <row r="32" spans="1:7" x14ac:dyDescent="0.25">
      <c r="A32" s="58" t="s">
        <v>36</v>
      </c>
      <c r="B32" s="4">
        <v>0.03</v>
      </c>
      <c r="C32" s="2"/>
      <c r="D32" s="2" t="s">
        <v>27</v>
      </c>
      <c r="E32" s="83">
        <f>(B35/((E31/E7)^(1/2)))</f>
        <v>0.92666908674578941</v>
      </c>
    </row>
    <row r="33" spans="1:7" x14ac:dyDescent="0.25">
      <c r="A33" s="81" t="s">
        <v>64</v>
      </c>
      <c r="B33" s="4">
        <v>6.0000000000000001E-3</v>
      </c>
      <c r="C33" s="2"/>
      <c r="D33" s="2" t="s">
        <v>30</v>
      </c>
      <c r="E33" s="92">
        <v>0.79600000000000004</v>
      </c>
      <c r="F33" s="93" t="s">
        <v>84</v>
      </c>
    </row>
    <row r="34" spans="1:7" x14ac:dyDescent="0.25">
      <c r="A34" s="58" t="s">
        <v>24</v>
      </c>
      <c r="B34" s="4">
        <v>0.01</v>
      </c>
      <c r="C34" s="2"/>
      <c r="D34" s="2" t="s">
        <v>31</v>
      </c>
      <c r="E34" s="84">
        <v>24.765999999999998</v>
      </c>
    </row>
    <row r="35" spans="1:7" x14ac:dyDescent="0.25">
      <c r="A35" s="95" t="s">
        <v>25</v>
      </c>
      <c r="B35" s="3">
        <f>+ROUND(B31-B32-B33-B34/2,2)</f>
        <v>0.26</v>
      </c>
      <c r="C35" s="2"/>
      <c r="E35" s="2"/>
    </row>
    <row r="36" spans="1:7" x14ac:dyDescent="0.25">
      <c r="A36" s="2"/>
      <c r="B36" s="2"/>
      <c r="C36" s="2"/>
      <c r="D36" s="2"/>
      <c r="E36" s="2"/>
    </row>
    <row r="37" spans="1:7" x14ac:dyDescent="0.25">
      <c r="A37" s="58" t="s">
        <v>32</v>
      </c>
      <c r="B37" s="61">
        <f>(E34*(E31/B35))</f>
        <v>1.4997188888888886</v>
      </c>
      <c r="C37" s="2"/>
      <c r="D37" s="2"/>
      <c r="E37" s="2"/>
    </row>
    <row r="38" spans="1:7" x14ac:dyDescent="0.25">
      <c r="A38" s="58" t="s">
        <v>33</v>
      </c>
      <c r="B38" s="61">
        <f>+ROUND(((1.4*$E$7*$B$35)/$B$8)*10000,3)</f>
        <v>1.7330000000000001</v>
      </c>
      <c r="C38" s="2"/>
      <c r="D38" s="94" t="s">
        <v>65</v>
      </c>
      <c r="E38" s="85">
        <f>+IF(B38&gt;B37,B38,B37)</f>
        <v>1.7330000000000001</v>
      </c>
    </row>
    <row r="39" spans="1:7" x14ac:dyDescent="0.25">
      <c r="A39" s="2"/>
      <c r="B39" s="2"/>
      <c r="C39" s="2"/>
      <c r="D39" s="2"/>
      <c r="E39" s="2"/>
    </row>
    <row r="40" spans="1:7" x14ac:dyDescent="0.25">
      <c r="A40" s="134" t="s">
        <v>34</v>
      </c>
      <c r="B40" s="134"/>
      <c r="C40" s="64">
        <v>3</v>
      </c>
      <c r="D40" s="87">
        <v>10</v>
      </c>
      <c r="E40" s="88">
        <f>C40*(PI()*(D40/10)^2)/4</f>
        <v>2.3561944901923448</v>
      </c>
      <c r="F40" s="10"/>
      <c r="G40" t="s">
        <v>87</v>
      </c>
    </row>
    <row r="41" spans="1:7" x14ac:dyDescent="0.25">
      <c r="A41" s="134"/>
      <c r="B41" s="134"/>
      <c r="C41" s="64">
        <v>0</v>
      </c>
      <c r="D41" s="87">
        <v>16</v>
      </c>
      <c r="E41" s="88">
        <f>C41*(PI()*(D41/10)^2)/4</f>
        <v>0</v>
      </c>
    </row>
    <row r="42" spans="1:7" x14ac:dyDescent="0.25">
      <c r="A42" s="2"/>
      <c r="B42" s="2"/>
      <c r="C42" s="2"/>
      <c r="D42" s="65" t="str">
        <f>+IF(E42&gt;E38,"B.C.","M.C.")</f>
        <v>B.C.</v>
      </c>
      <c r="E42" s="85">
        <f>SUM(E40:E41)</f>
        <v>2.3561944901923448</v>
      </c>
    </row>
    <row r="43" spans="1:7" x14ac:dyDescent="0.25">
      <c r="A43" s="2"/>
      <c r="B43" s="2"/>
      <c r="C43" s="2"/>
      <c r="D43" s="2"/>
      <c r="E43" s="86"/>
    </row>
    <row r="44" spans="1:7" x14ac:dyDescent="0.25">
      <c r="A44" s="131" t="s">
        <v>46</v>
      </c>
      <c r="B44" s="132"/>
      <c r="C44" s="132"/>
      <c r="D44" s="132"/>
      <c r="E44" s="133"/>
    </row>
    <row r="45" spans="1:7" x14ac:dyDescent="0.25">
      <c r="A45" s="2"/>
      <c r="B45" s="2"/>
      <c r="C45" s="2"/>
      <c r="D45" s="2"/>
      <c r="E45" s="2"/>
    </row>
    <row r="46" spans="1:7" x14ac:dyDescent="0.25">
      <c r="A46" s="14" t="s">
        <v>74</v>
      </c>
      <c r="B46" s="5">
        <f>+E27/0.75</f>
        <v>48.826666666666661</v>
      </c>
      <c r="C46" s="2"/>
      <c r="D46" s="2"/>
      <c r="E46" s="2"/>
    </row>
    <row r="47" spans="1:7" ht="15" customHeight="1" x14ac:dyDescent="0.25">
      <c r="A47" s="74" t="s">
        <v>52</v>
      </c>
      <c r="B47" s="5">
        <f>((1/6)*(B7^(1/2))*(E7*1000)*(1000*(B35))/1000)</f>
        <v>43.333333333333329</v>
      </c>
      <c r="C47" s="2"/>
      <c r="D47" s="2"/>
      <c r="E47" s="2"/>
    </row>
    <row r="48" spans="1:7" x14ac:dyDescent="0.25">
      <c r="A48" s="2" t="s">
        <v>77</v>
      </c>
      <c r="B48" s="5">
        <f>+IF(B47&gt;B46,0,B46-B47)</f>
        <v>5.4933333333333323</v>
      </c>
      <c r="C48" s="135" t="str">
        <f>+IF(B47&gt;B46,"ARM. MINIMA DE CORTE","ES NECESARIA ARM. DE CORTE")</f>
        <v>ES NECESARIA ARM. DE CORTE</v>
      </c>
      <c r="D48" s="135"/>
      <c r="E48" s="135"/>
    </row>
    <row r="49" spans="1:5" x14ac:dyDescent="0.25">
      <c r="A49" s="2"/>
      <c r="B49" s="2"/>
      <c r="C49" s="2"/>
      <c r="D49" s="2"/>
      <c r="E49" s="2"/>
    </row>
    <row r="50" spans="1:5" x14ac:dyDescent="0.25">
      <c r="A50" s="134" t="s">
        <v>70</v>
      </c>
      <c r="B50" s="134"/>
      <c r="C50" s="136" t="s">
        <v>72</v>
      </c>
      <c r="D50" s="136"/>
      <c r="E50" s="136"/>
    </row>
    <row r="51" spans="1:5" x14ac:dyDescent="0.25">
      <c r="A51" s="134"/>
      <c r="B51" s="134"/>
      <c r="C51" s="70">
        <v>1</v>
      </c>
      <c r="D51" s="71">
        <v>6</v>
      </c>
      <c r="E51" s="72">
        <v>20</v>
      </c>
    </row>
    <row r="52" spans="1:5" x14ac:dyDescent="0.25">
      <c r="A52" s="2"/>
      <c r="B52" s="2"/>
      <c r="C52" s="2"/>
      <c r="D52" s="2"/>
      <c r="E52" s="2"/>
    </row>
    <row r="53" spans="1:5" ht="18" x14ac:dyDescent="0.35">
      <c r="A53" s="75" t="s">
        <v>78</v>
      </c>
      <c r="B53" s="73">
        <f>+((((2*(PI()*(D51/10)^2)/4)/(100^2))*B8*B35)/(E51/100))*1000</f>
        <v>30.875572599480485</v>
      </c>
      <c r="C53" s="65" t="str">
        <f>+IF(B53&gt;B48,"B.C.","M.C.")</f>
        <v>B.C.</v>
      </c>
      <c r="D53" s="2"/>
      <c r="E53" s="2"/>
    </row>
    <row r="54" spans="1:5" x14ac:dyDescent="0.25">
      <c r="A54" s="2"/>
      <c r="B54" s="2"/>
      <c r="C54" s="2"/>
      <c r="D54" s="2"/>
      <c r="E54" s="2"/>
    </row>
    <row r="57" spans="1:5" ht="18" customHeight="1" x14ac:dyDescent="0.25"/>
  </sheetData>
  <mergeCells count="18">
    <mergeCell ref="A13:B13"/>
    <mergeCell ref="A1:E1"/>
    <mergeCell ref="A3:E3"/>
    <mergeCell ref="D4:E4"/>
    <mergeCell ref="D8:E8"/>
    <mergeCell ref="A10:E10"/>
    <mergeCell ref="A14:B14"/>
    <mergeCell ref="A18:B18"/>
    <mergeCell ref="A19:B19"/>
    <mergeCell ref="A23:E23"/>
    <mergeCell ref="A25:B25"/>
    <mergeCell ref="D25:E25"/>
    <mergeCell ref="A29:E29"/>
    <mergeCell ref="A40:B41"/>
    <mergeCell ref="A44:E44"/>
    <mergeCell ref="C48:E48"/>
    <mergeCell ref="A50:B51"/>
    <mergeCell ref="C50:E5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40F-C532-48BA-94F1-7E5FA3C03385}">
  <dimension ref="A1:G57"/>
  <sheetViews>
    <sheetView topLeftCell="A31" zoomScale="130" zoomScaleNormal="130" workbookViewId="0">
      <selection activeCell="E31" sqref="E31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9" t="s">
        <v>82</v>
      </c>
      <c r="B1" s="140"/>
      <c r="C1" s="140"/>
      <c r="D1" s="140"/>
      <c r="E1" s="141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9" t="s">
        <v>67</v>
      </c>
      <c r="B3" s="140"/>
      <c r="C3" s="140"/>
      <c r="D3" s="140"/>
      <c r="E3" s="141"/>
    </row>
    <row r="4" spans="1:6" x14ac:dyDescent="0.25">
      <c r="A4" s="55"/>
      <c r="B4" s="55"/>
      <c r="C4" s="55"/>
      <c r="D4" s="142" t="s">
        <v>83</v>
      </c>
      <c r="E4" s="142"/>
    </row>
    <row r="5" spans="1:6" x14ac:dyDescent="0.25">
      <c r="A5" s="77" t="s">
        <v>54</v>
      </c>
      <c r="B5" s="55"/>
      <c r="C5" s="55"/>
      <c r="D5" s="55"/>
      <c r="E5" s="55"/>
    </row>
    <row r="6" spans="1:6" x14ac:dyDescent="0.25">
      <c r="A6" s="55" t="s">
        <v>20</v>
      </c>
      <c r="B6" s="89">
        <v>3.15</v>
      </c>
      <c r="C6" s="2"/>
      <c r="D6" s="55" t="s">
        <v>23</v>
      </c>
      <c r="E6" s="89">
        <v>0.3</v>
      </c>
    </row>
    <row r="7" spans="1:6" x14ac:dyDescent="0.25">
      <c r="A7" s="55" t="s">
        <v>28</v>
      </c>
      <c r="B7" s="90">
        <v>25</v>
      </c>
      <c r="C7" s="2"/>
      <c r="D7" s="55" t="s">
        <v>35</v>
      </c>
      <c r="E7" s="89">
        <v>0.2</v>
      </c>
      <c r="F7" s="2"/>
    </row>
    <row r="8" spans="1:6" x14ac:dyDescent="0.25">
      <c r="A8" s="55" t="s">
        <v>29</v>
      </c>
      <c r="B8" s="62">
        <v>420</v>
      </c>
      <c r="C8" s="2"/>
      <c r="D8" s="143" t="s">
        <v>86</v>
      </c>
      <c r="E8" s="143"/>
    </row>
    <row r="9" spans="1:6" x14ac:dyDescent="0.25">
      <c r="A9" s="2"/>
      <c r="B9" s="2"/>
      <c r="C9" s="2"/>
      <c r="D9" s="2"/>
      <c r="E9" s="2"/>
    </row>
    <row r="10" spans="1:6" x14ac:dyDescent="0.25">
      <c r="A10" s="131" t="s">
        <v>66</v>
      </c>
      <c r="B10" s="132"/>
      <c r="C10" s="132"/>
      <c r="D10" s="132"/>
      <c r="E10" s="133"/>
    </row>
    <row r="11" spans="1:6" x14ac:dyDescent="0.25">
      <c r="A11" s="55"/>
      <c r="B11" s="55"/>
      <c r="C11" s="55"/>
      <c r="D11" s="55"/>
      <c r="E11" s="55"/>
    </row>
    <row r="12" spans="1:6" x14ac:dyDescent="0.25">
      <c r="A12" s="2"/>
      <c r="B12" s="2"/>
      <c r="C12" s="6" t="s">
        <v>6</v>
      </c>
      <c r="D12" s="6" t="s">
        <v>7</v>
      </c>
      <c r="E12" s="6" t="s">
        <v>8</v>
      </c>
    </row>
    <row r="13" spans="1:6" x14ac:dyDescent="0.25">
      <c r="A13" s="137" t="s">
        <v>61</v>
      </c>
      <c r="B13" s="137"/>
      <c r="C13" s="59">
        <f>+E6*E7</f>
        <v>0.06</v>
      </c>
      <c r="D13" s="8">
        <v>25</v>
      </c>
      <c r="E13" s="78">
        <f>+C13*D13</f>
        <v>1.5</v>
      </c>
    </row>
    <row r="14" spans="1:6" x14ac:dyDescent="0.25">
      <c r="A14" s="137" t="s">
        <v>60</v>
      </c>
      <c r="B14" s="137"/>
      <c r="C14" s="59">
        <f>3.2*0.2</f>
        <v>0.64000000000000012</v>
      </c>
      <c r="D14" s="8">
        <v>17</v>
      </c>
      <c r="E14" s="78">
        <f>+C14*D14</f>
        <v>10.880000000000003</v>
      </c>
    </row>
    <row r="15" spans="1:6" x14ac:dyDescent="0.25">
      <c r="A15" s="79" t="s">
        <v>48</v>
      </c>
      <c r="B15" s="14"/>
      <c r="C15" s="9"/>
      <c r="D15" s="8"/>
      <c r="E15" s="80">
        <f>SUM(E13:E14)</f>
        <v>12.380000000000003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6" t="s">
        <v>1</v>
      </c>
      <c r="D17" s="6" t="s">
        <v>7</v>
      </c>
      <c r="E17" s="6" t="s">
        <v>8</v>
      </c>
    </row>
    <row r="18" spans="1:7" x14ac:dyDescent="0.25">
      <c r="A18" s="137" t="s">
        <v>62</v>
      </c>
      <c r="B18" s="137"/>
      <c r="C18" s="89">
        <v>0</v>
      </c>
      <c r="D18" s="91">
        <v>0</v>
      </c>
      <c r="E18" s="78">
        <f>+C18*D18</f>
        <v>0</v>
      </c>
    </row>
    <row r="19" spans="1:7" x14ac:dyDescent="0.25">
      <c r="A19" s="137" t="s">
        <v>63</v>
      </c>
      <c r="B19" s="137"/>
      <c r="C19" s="89">
        <v>0.5</v>
      </c>
      <c r="D19" s="91">
        <v>3.2</v>
      </c>
      <c r="E19" s="78">
        <f>+C19*D19</f>
        <v>1.6</v>
      </c>
    </row>
    <row r="20" spans="1:7" x14ac:dyDescent="0.25">
      <c r="A20" s="12"/>
      <c r="B20" s="12"/>
      <c r="C20" s="7"/>
      <c r="D20" s="97"/>
      <c r="E20" s="78"/>
    </row>
    <row r="21" spans="1:7" x14ac:dyDescent="0.25">
      <c r="A21" s="12" t="s">
        <v>85</v>
      </c>
      <c r="B21" s="12"/>
      <c r="C21" s="89">
        <f>+C19</f>
        <v>0.5</v>
      </c>
      <c r="D21" s="91">
        <v>2</v>
      </c>
      <c r="E21" s="78">
        <f>+C21*D21</f>
        <v>1</v>
      </c>
    </row>
    <row r="22" spans="1:7" x14ac:dyDescent="0.25">
      <c r="A22" s="2"/>
      <c r="B22" s="2"/>
      <c r="C22" s="2"/>
      <c r="D22" s="2"/>
      <c r="E22" s="2"/>
    </row>
    <row r="23" spans="1:7" x14ac:dyDescent="0.25">
      <c r="A23" s="131" t="s">
        <v>68</v>
      </c>
      <c r="B23" s="132"/>
      <c r="C23" s="132"/>
      <c r="D23" s="132"/>
      <c r="E23" s="133"/>
    </row>
    <row r="24" spans="1:7" x14ac:dyDescent="0.25">
      <c r="A24" s="55"/>
      <c r="B24" s="55"/>
      <c r="C24" s="55"/>
      <c r="D24" s="55"/>
      <c r="E24" s="55"/>
    </row>
    <row r="25" spans="1:7" x14ac:dyDescent="0.25">
      <c r="A25" s="138" t="s">
        <v>21</v>
      </c>
      <c r="B25" s="138"/>
      <c r="C25" s="2"/>
      <c r="D25" s="138" t="s">
        <v>22</v>
      </c>
      <c r="E25" s="138"/>
    </row>
    <row r="26" spans="1:7" x14ac:dyDescent="0.25">
      <c r="A26" s="2" t="s">
        <v>75</v>
      </c>
      <c r="B26" s="60">
        <v>18.260000000000002</v>
      </c>
      <c r="C26" s="2"/>
      <c r="D26" s="2" t="s">
        <v>69</v>
      </c>
      <c r="E26" s="60">
        <v>18.260000000000002</v>
      </c>
      <c r="G26" s="60">
        <f>ROUND((((1.2*(E15+E19))+(1.6*E21))),2)</f>
        <v>18.38</v>
      </c>
    </row>
    <row r="27" spans="1:7" x14ac:dyDescent="0.25">
      <c r="A27" s="2" t="s">
        <v>76</v>
      </c>
      <c r="B27" s="5">
        <f>ROUND(((E15+E18)*B6/2),2)</f>
        <v>19.5</v>
      </c>
      <c r="C27" s="2"/>
      <c r="D27" s="2" t="s">
        <v>51</v>
      </c>
      <c r="E27" s="5">
        <v>36.619999999999997</v>
      </c>
    </row>
    <row r="28" spans="1:7" x14ac:dyDescent="0.25">
      <c r="A28" s="2"/>
      <c r="B28" s="2"/>
      <c r="C28" s="2"/>
      <c r="D28" s="2"/>
      <c r="E28" s="2"/>
    </row>
    <row r="29" spans="1:7" x14ac:dyDescent="0.25">
      <c r="A29" s="131" t="s">
        <v>45</v>
      </c>
      <c r="B29" s="132"/>
      <c r="C29" s="132"/>
      <c r="D29" s="132"/>
      <c r="E29" s="133"/>
    </row>
    <row r="30" spans="1:7" x14ac:dyDescent="0.25">
      <c r="A30" s="55"/>
      <c r="B30" s="55"/>
      <c r="C30" s="55"/>
      <c r="D30" s="55"/>
      <c r="E30" s="55"/>
    </row>
    <row r="31" spans="1:7" x14ac:dyDescent="0.25">
      <c r="A31" s="81" t="s">
        <v>23</v>
      </c>
      <c r="B31" s="3">
        <f>+E6</f>
        <v>0.3</v>
      </c>
      <c r="C31" s="2"/>
      <c r="D31" s="2" t="s">
        <v>26</v>
      </c>
      <c r="E31" s="82">
        <f>((E26/(1000*0.9)))</f>
        <v>2.0288888888888891E-2</v>
      </c>
    </row>
    <row r="32" spans="1:7" x14ac:dyDescent="0.25">
      <c r="A32" s="58" t="s">
        <v>36</v>
      </c>
      <c r="B32" s="4">
        <v>0.03</v>
      </c>
      <c r="C32" s="2"/>
      <c r="D32" s="2" t="s">
        <v>27</v>
      </c>
      <c r="E32" s="83">
        <f>(B35/((E31/E7)^(1/2)))</f>
        <v>0.81631770118389302</v>
      </c>
    </row>
    <row r="33" spans="1:7" x14ac:dyDescent="0.25">
      <c r="A33" s="81" t="s">
        <v>64</v>
      </c>
      <c r="B33" s="4">
        <v>6.0000000000000001E-3</v>
      </c>
      <c r="C33" s="2"/>
      <c r="D33" s="2" t="s">
        <v>30</v>
      </c>
      <c r="E33" s="92">
        <v>0.79600000000000004</v>
      </c>
      <c r="F33" s="93" t="s">
        <v>84</v>
      </c>
    </row>
    <row r="34" spans="1:7" x14ac:dyDescent="0.25">
      <c r="A34" s="58" t="s">
        <v>24</v>
      </c>
      <c r="B34" s="4">
        <v>0.01</v>
      </c>
      <c r="C34" s="2"/>
      <c r="D34" s="2" t="s">
        <v>31</v>
      </c>
      <c r="E34" s="84">
        <v>24.765999999999998</v>
      </c>
    </row>
    <row r="35" spans="1:7" x14ac:dyDescent="0.25">
      <c r="A35" s="55" t="s">
        <v>25</v>
      </c>
      <c r="B35" s="3">
        <f>+ROUND(B31-B32-B33-B34/2,2)</f>
        <v>0.26</v>
      </c>
      <c r="C35" s="2"/>
      <c r="E35" s="2"/>
    </row>
    <row r="36" spans="1:7" x14ac:dyDescent="0.25">
      <c r="A36" s="2"/>
      <c r="B36" s="2"/>
      <c r="C36" s="2"/>
      <c r="D36" s="2"/>
      <c r="E36" s="2"/>
    </row>
    <row r="37" spans="1:7" x14ac:dyDescent="0.25">
      <c r="A37" s="58" t="s">
        <v>32</v>
      </c>
      <c r="B37" s="61">
        <f>(E34*(E31/B35))</f>
        <v>1.9325947008547011</v>
      </c>
      <c r="C37" s="2"/>
      <c r="D37" s="2"/>
      <c r="E37" s="2"/>
    </row>
    <row r="38" spans="1:7" x14ac:dyDescent="0.25">
      <c r="A38" s="58" t="s">
        <v>33</v>
      </c>
      <c r="B38" s="61">
        <f>+ROUND(((1.4*$E$7*$B$35)/$B$8)*10000,3)</f>
        <v>1.7330000000000001</v>
      </c>
      <c r="C38" s="2"/>
      <c r="D38" s="6" t="s">
        <v>65</v>
      </c>
      <c r="E38" s="85">
        <f>+IF(B38&gt;B37,B38,B37)</f>
        <v>1.9325947008547011</v>
      </c>
    </row>
    <row r="39" spans="1:7" x14ac:dyDescent="0.25">
      <c r="A39" s="2"/>
      <c r="B39" s="2"/>
      <c r="C39" s="2"/>
      <c r="D39" s="2"/>
      <c r="E39" s="2"/>
    </row>
    <row r="40" spans="1:7" x14ac:dyDescent="0.25">
      <c r="A40" s="134" t="s">
        <v>34</v>
      </c>
      <c r="B40" s="134"/>
      <c r="C40" s="64">
        <v>3</v>
      </c>
      <c r="D40" s="87">
        <v>10</v>
      </c>
      <c r="E40" s="88">
        <f>C40*(PI()*(D40/10)^2)/4</f>
        <v>2.3561944901923448</v>
      </c>
      <c r="F40" s="10"/>
      <c r="G40" t="s">
        <v>87</v>
      </c>
    </row>
    <row r="41" spans="1:7" x14ac:dyDescent="0.25">
      <c r="A41" s="134"/>
      <c r="B41" s="134"/>
      <c r="C41" s="64">
        <v>0</v>
      </c>
      <c r="D41" s="87">
        <v>16</v>
      </c>
      <c r="E41" s="88">
        <f>C41*(PI()*(D41/10)^2)/4</f>
        <v>0</v>
      </c>
    </row>
    <row r="42" spans="1:7" x14ac:dyDescent="0.25">
      <c r="A42" s="2"/>
      <c r="B42" s="2"/>
      <c r="C42" s="2"/>
      <c r="D42" s="65" t="str">
        <f>+IF(E42&gt;E38,"B.C.","M.C.")</f>
        <v>B.C.</v>
      </c>
      <c r="E42" s="85">
        <f>SUM(E40:E41)</f>
        <v>2.3561944901923448</v>
      </c>
    </row>
    <row r="43" spans="1:7" x14ac:dyDescent="0.25">
      <c r="A43" s="2"/>
      <c r="B43" s="2"/>
      <c r="C43" s="2"/>
      <c r="D43" s="2"/>
      <c r="E43" s="86"/>
    </row>
    <row r="44" spans="1:7" x14ac:dyDescent="0.25">
      <c r="A44" s="131" t="s">
        <v>46</v>
      </c>
      <c r="B44" s="132"/>
      <c r="C44" s="132"/>
      <c r="D44" s="132"/>
      <c r="E44" s="133"/>
    </row>
    <row r="45" spans="1:7" x14ac:dyDescent="0.25">
      <c r="A45" s="2"/>
      <c r="B45" s="2"/>
      <c r="C45" s="2"/>
      <c r="D45" s="2"/>
      <c r="E45" s="2"/>
    </row>
    <row r="46" spans="1:7" x14ac:dyDescent="0.25">
      <c r="A46" s="14" t="s">
        <v>74</v>
      </c>
      <c r="B46" s="5">
        <f>+E27/0.75</f>
        <v>48.826666666666661</v>
      </c>
      <c r="C46" s="2"/>
      <c r="D46" s="2"/>
      <c r="E46" s="2"/>
    </row>
    <row r="47" spans="1:7" ht="15" customHeight="1" x14ac:dyDescent="0.25">
      <c r="A47" s="74" t="s">
        <v>52</v>
      </c>
      <c r="B47" s="5">
        <f>((1/6)*(B7^(1/2))*(E7*1000)*(1000*(B35))/1000)</f>
        <v>43.333333333333329</v>
      </c>
      <c r="C47" s="2"/>
      <c r="D47" s="2"/>
      <c r="E47" s="2"/>
    </row>
    <row r="48" spans="1:7" x14ac:dyDescent="0.25">
      <c r="A48" s="2" t="s">
        <v>77</v>
      </c>
      <c r="B48" s="5">
        <f>+IF(B47&gt;B46,0,B46-B47)</f>
        <v>5.4933333333333323</v>
      </c>
      <c r="C48" s="135" t="str">
        <f>+IF(B47&gt;B46,"ARM. MINIMA DE CORTE","ES NECESARIA ARM. DE CORTE")</f>
        <v>ES NECESARIA ARM. DE CORTE</v>
      </c>
      <c r="D48" s="135"/>
      <c r="E48" s="135"/>
    </row>
    <row r="49" spans="1:5" x14ac:dyDescent="0.25">
      <c r="A49" s="2"/>
      <c r="B49" s="2"/>
      <c r="C49" s="2"/>
      <c r="D49" s="2"/>
      <c r="E49" s="2"/>
    </row>
    <row r="50" spans="1:5" x14ac:dyDescent="0.25">
      <c r="A50" s="134" t="s">
        <v>70</v>
      </c>
      <c r="B50" s="134"/>
      <c r="C50" s="136" t="s">
        <v>72</v>
      </c>
      <c r="D50" s="136"/>
      <c r="E50" s="136"/>
    </row>
    <row r="51" spans="1:5" x14ac:dyDescent="0.25">
      <c r="A51" s="134"/>
      <c r="B51" s="134"/>
      <c r="C51" s="70">
        <v>1</v>
      </c>
      <c r="D51" s="71">
        <v>6</v>
      </c>
      <c r="E51" s="72">
        <v>20</v>
      </c>
    </row>
    <row r="52" spans="1:5" x14ac:dyDescent="0.25">
      <c r="A52" s="2"/>
      <c r="B52" s="2"/>
      <c r="C52" s="2"/>
      <c r="D52" s="2"/>
      <c r="E52" s="2"/>
    </row>
    <row r="53" spans="1:5" ht="18" x14ac:dyDescent="0.35">
      <c r="A53" s="75" t="s">
        <v>78</v>
      </c>
      <c r="B53" s="73">
        <f>+((((2*(PI()*(D51/10)^2)/4)/(100^2))*B8*B35)/(E51/100))*1000</f>
        <v>30.875572599480485</v>
      </c>
      <c r="C53" s="65" t="str">
        <f>+IF(B53&gt;B48,"B.C.","M.C.")</f>
        <v>B.C.</v>
      </c>
      <c r="D53" s="2"/>
      <c r="E53" s="2"/>
    </row>
    <row r="54" spans="1:5" x14ac:dyDescent="0.25">
      <c r="A54" s="2"/>
      <c r="B54" s="2"/>
      <c r="C54" s="2"/>
      <c r="D54" s="2"/>
      <c r="E54" s="2"/>
    </row>
    <row r="57" spans="1:5" ht="18" customHeight="1" x14ac:dyDescent="0.25"/>
  </sheetData>
  <mergeCells count="18">
    <mergeCell ref="A1:E1"/>
    <mergeCell ref="A3:E3"/>
    <mergeCell ref="A10:E10"/>
    <mergeCell ref="A13:B13"/>
    <mergeCell ref="A19:B19"/>
    <mergeCell ref="D4:E4"/>
    <mergeCell ref="D8:E8"/>
    <mergeCell ref="C48:E48"/>
    <mergeCell ref="A50:B51"/>
    <mergeCell ref="C50:E50"/>
    <mergeCell ref="A14:B14"/>
    <mergeCell ref="A18:B18"/>
    <mergeCell ref="A40:B41"/>
    <mergeCell ref="A29:E29"/>
    <mergeCell ref="A23:E23"/>
    <mergeCell ref="A25:B25"/>
    <mergeCell ref="D25:E25"/>
    <mergeCell ref="A44:E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BF4C-C0F8-4FE7-949B-271367FB6829}">
  <dimension ref="A1:G57"/>
  <sheetViews>
    <sheetView topLeftCell="A13" zoomScale="130" zoomScaleNormal="130" workbookViewId="0">
      <selection activeCell="D16" sqref="D16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9" t="s">
        <v>82</v>
      </c>
      <c r="B1" s="140"/>
      <c r="C1" s="140"/>
      <c r="D1" s="140"/>
      <c r="E1" s="141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9" t="s">
        <v>91</v>
      </c>
      <c r="B3" s="140"/>
      <c r="C3" s="140"/>
      <c r="D3" s="140"/>
      <c r="E3" s="141"/>
    </row>
    <row r="4" spans="1:6" x14ac:dyDescent="0.25">
      <c r="A4" s="95"/>
      <c r="B4" s="95"/>
      <c r="C4" s="95"/>
      <c r="D4" s="142" t="s">
        <v>83</v>
      </c>
      <c r="E4" s="142"/>
    </row>
    <row r="5" spans="1:6" x14ac:dyDescent="0.25">
      <c r="A5" s="77" t="s">
        <v>54</v>
      </c>
      <c r="B5" s="95"/>
      <c r="C5" s="95"/>
      <c r="D5" s="95"/>
      <c r="E5" s="95"/>
    </row>
    <row r="6" spans="1:6" x14ac:dyDescent="0.25">
      <c r="A6" s="95" t="s">
        <v>20</v>
      </c>
      <c r="B6" s="89">
        <v>3.15</v>
      </c>
      <c r="C6" s="2"/>
      <c r="D6" s="95" t="s">
        <v>23</v>
      </c>
      <c r="E6" s="89">
        <v>0.3</v>
      </c>
    </row>
    <row r="7" spans="1:6" x14ac:dyDescent="0.25">
      <c r="A7" s="95" t="s">
        <v>28</v>
      </c>
      <c r="B7" s="90">
        <v>25</v>
      </c>
      <c r="C7" s="2"/>
      <c r="D7" s="95" t="s">
        <v>35</v>
      </c>
      <c r="E7" s="89">
        <v>0.2</v>
      </c>
      <c r="F7" s="2"/>
    </row>
    <row r="8" spans="1:6" x14ac:dyDescent="0.25">
      <c r="A8" s="95" t="s">
        <v>29</v>
      </c>
      <c r="B8" s="62">
        <v>420</v>
      </c>
      <c r="C8" s="2"/>
      <c r="D8" s="143" t="s">
        <v>73</v>
      </c>
      <c r="E8" s="143"/>
    </row>
    <row r="9" spans="1:6" x14ac:dyDescent="0.25">
      <c r="A9" s="2"/>
      <c r="B9" s="2"/>
      <c r="C9" s="2"/>
      <c r="D9" s="2"/>
      <c r="E9" s="2"/>
    </row>
    <row r="10" spans="1:6" x14ac:dyDescent="0.25">
      <c r="A10" s="131" t="s">
        <v>66</v>
      </c>
      <c r="B10" s="132"/>
      <c r="C10" s="132"/>
      <c r="D10" s="132"/>
      <c r="E10" s="133"/>
    </row>
    <row r="11" spans="1:6" x14ac:dyDescent="0.25">
      <c r="A11" s="95"/>
      <c r="B11" s="95"/>
      <c r="C11" s="95"/>
      <c r="D11" s="95"/>
      <c r="E11" s="95"/>
    </row>
    <row r="12" spans="1:6" x14ac:dyDescent="0.25">
      <c r="A12" s="2"/>
      <c r="B12" s="2"/>
      <c r="C12" s="94" t="s">
        <v>6</v>
      </c>
      <c r="D12" s="94" t="s">
        <v>7</v>
      </c>
      <c r="E12" s="94" t="s">
        <v>8</v>
      </c>
    </row>
    <row r="13" spans="1:6" x14ac:dyDescent="0.25">
      <c r="A13" s="137" t="s">
        <v>61</v>
      </c>
      <c r="B13" s="137"/>
      <c r="C13" s="59">
        <f>+E6*E7</f>
        <v>0.06</v>
      </c>
      <c r="D13" s="8">
        <v>25</v>
      </c>
      <c r="E13" s="78">
        <f>+C13*D13</f>
        <v>1.5</v>
      </c>
    </row>
    <row r="14" spans="1:6" x14ac:dyDescent="0.25">
      <c r="A14" s="137" t="s">
        <v>60</v>
      </c>
      <c r="B14" s="137"/>
      <c r="C14" s="59">
        <f>4.2*0.2</f>
        <v>0.84000000000000008</v>
      </c>
      <c r="D14" s="8">
        <v>17</v>
      </c>
      <c r="E14" s="78">
        <f>+C14*D14</f>
        <v>14.280000000000001</v>
      </c>
    </row>
    <row r="15" spans="1:6" x14ac:dyDescent="0.25">
      <c r="A15" s="79" t="s">
        <v>48</v>
      </c>
      <c r="B15" s="14"/>
      <c r="C15" s="9"/>
      <c r="D15" s="8"/>
      <c r="E15" s="80">
        <f>SUM(E13:E14)</f>
        <v>15.780000000000001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94" t="s">
        <v>1</v>
      </c>
      <c r="D17" s="94" t="s">
        <v>7</v>
      </c>
      <c r="E17" s="94" t="s">
        <v>8</v>
      </c>
    </row>
    <row r="18" spans="1:7" x14ac:dyDescent="0.25">
      <c r="A18" s="137" t="s">
        <v>62</v>
      </c>
      <c r="B18" s="137"/>
      <c r="C18" s="89">
        <v>0</v>
      </c>
      <c r="D18" s="91">
        <v>0</v>
      </c>
      <c r="E18" s="78">
        <f>+C18*D18</f>
        <v>0</v>
      </c>
    </row>
    <row r="19" spans="1:7" x14ac:dyDescent="0.25">
      <c r="A19" s="137" t="s">
        <v>63</v>
      </c>
      <c r="B19" s="137"/>
      <c r="C19" s="89">
        <v>0.5</v>
      </c>
      <c r="D19" s="91">
        <v>3.2</v>
      </c>
      <c r="E19" s="78">
        <f>+C19*D19</f>
        <v>1.6</v>
      </c>
    </row>
    <row r="20" spans="1:7" x14ac:dyDescent="0.25">
      <c r="A20" s="96"/>
      <c r="B20" s="96"/>
      <c r="C20" s="7"/>
      <c r="D20" s="97"/>
      <c r="E20" s="78"/>
    </row>
    <row r="21" spans="1:7" x14ac:dyDescent="0.25">
      <c r="A21" s="96" t="s">
        <v>85</v>
      </c>
      <c r="B21" s="96"/>
      <c r="C21" s="89">
        <f>+C19</f>
        <v>0.5</v>
      </c>
      <c r="D21" s="91">
        <v>2</v>
      </c>
      <c r="E21" s="78">
        <f>+C21*D21</f>
        <v>1</v>
      </c>
    </row>
    <row r="22" spans="1:7" x14ac:dyDescent="0.25">
      <c r="A22" s="2"/>
      <c r="B22" s="2"/>
      <c r="C22" s="2"/>
      <c r="D22" s="2"/>
      <c r="E22" s="2"/>
    </row>
    <row r="23" spans="1:7" x14ac:dyDescent="0.25">
      <c r="A23" s="131" t="s">
        <v>68</v>
      </c>
      <c r="B23" s="132"/>
      <c r="C23" s="132"/>
      <c r="D23" s="132"/>
      <c r="E23" s="133"/>
    </row>
    <row r="24" spans="1:7" x14ac:dyDescent="0.25">
      <c r="A24" s="95"/>
      <c r="B24" s="95"/>
      <c r="C24" s="95"/>
      <c r="D24" s="95"/>
      <c r="E24" s="95"/>
    </row>
    <row r="25" spans="1:7" x14ac:dyDescent="0.25">
      <c r="A25" s="138" t="s">
        <v>21</v>
      </c>
      <c r="B25" s="138"/>
      <c r="C25" s="2"/>
      <c r="D25" s="138" t="s">
        <v>22</v>
      </c>
      <c r="E25" s="138"/>
    </row>
    <row r="26" spans="1:7" x14ac:dyDescent="0.25">
      <c r="A26" s="2" t="s">
        <v>75</v>
      </c>
      <c r="B26" s="60">
        <v>18.260000000000002</v>
      </c>
      <c r="C26" s="2"/>
      <c r="D26" s="2" t="s">
        <v>69</v>
      </c>
      <c r="E26" s="60">
        <v>30.18</v>
      </c>
      <c r="G26" s="60">
        <f>ROUND((((1.2*(E15+E19))+(1.6*E21))),2)</f>
        <v>22.46</v>
      </c>
    </row>
    <row r="27" spans="1:7" x14ac:dyDescent="0.25">
      <c r="A27" s="2" t="s">
        <v>76</v>
      </c>
      <c r="B27" s="5">
        <f>ROUND(((E15+E18)*B6/2),2)</f>
        <v>24.85</v>
      </c>
      <c r="C27" s="2"/>
      <c r="D27" s="2" t="s">
        <v>51</v>
      </c>
      <c r="E27" s="5">
        <v>38.32</v>
      </c>
    </row>
    <row r="28" spans="1:7" x14ac:dyDescent="0.25">
      <c r="A28" s="2"/>
      <c r="B28" s="2"/>
      <c r="C28" s="2"/>
      <c r="D28" s="2"/>
      <c r="E28" s="2"/>
    </row>
    <row r="29" spans="1:7" x14ac:dyDescent="0.25">
      <c r="A29" s="131" t="s">
        <v>45</v>
      </c>
      <c r="B29" s="132"/>
      <c r="C29" s="132"/>
      <c r="D29" s="132"/>
      <c r="E29" s="133"/>
    </row>
    <row r="30" spans="1:7" x14ac:dyDescent="0.25">
      <c r="A30" s="95"/>
      <c r="B30" s="95"/>
      <c r="C30" s="95"/>
      <c r="D30" s="95"/>
      <c r="E30" s="95"/>
    </row>
    <row r="31" spans="1:7" x14ac:dyDescent="0.25">
      <c r="A31" s="81" t="s">
        <v>23</v>
      </c>
      <c r="B31" s="3">
        <f>+E6</f>
        <v>0.3</v>
      </c>
      <c r="C31" s="2"/>
      <c r="D31" s="2" t="s">
        <v>26</v>
      </c>
      <c r="E31" s="82">
        <f>((E26/(1000*0.9)))</f>
        <v>3.3533333333333332E-2</v>
      </c>
    </row>
    <row r="32" spans="1:7" x14ac:dyDescent="0.25">
      <c r="A32" s="58" t="s">
        <v>36</v>
      </c>
      <c r="B32" s="4">
        <v>0.03</v>
      </c>
      <c r="C32" s="2"/>
      <c r="D32" s="2" t="s">
        <v>27</v>
      </c>
      <c r="E32" s="83">
        <f>(B35/((E31/E7)^(1/2)))</f>
        <v>0.63496528606918545</v>
      </c>
    </row>
    <row r="33" spans="1:7" x14ac:dyDescent="0.25">
      <c r="A33" s="81" t="s">
        <v>64</v>
      </c>
      <c r="B33" s="4">
        <v>6.0000000000000001E-3</v>
      </c>
      <c r="C33" s="2"/>
      <c r="D33" s="2" t="s">
        <v>30</v>
      </c>
      <c r="E33" s="92">
        <v>0.59799999999999998</v>
      </c>
      <c r="F33" s="93" t="s">
        <v>84</v>
      </c>
    </row>
    <row r="34" spans="1:7" x14ac:dyDescent="0.25">
      <c r="A34" s="58" t="s">
        <v>24</v>
      </c>
      <c r="B34" s="4">
        <v>0.01</v>
      </c>
      <c r="C34" s="2"/>
      <c r="D34" s="2" t="s">
        <v>31</v>
      </c>
      <c r="E34" s="84">
        <v>25.625</v>
      </c>
    </row>
    <row r="35" spans="1:7" x14ac:dyDescent="0.25">
      <c r="A35" s="95" t="s">
        <v>25</v>
      </c>
      <c r="B35" s="3">
        <f>+ROUND(B31-B32-B33-B34/2,2)</f>
        <v>0.26</v>
      </c>
      <c r="C35" s="2"/>
      <c r="E35" s="2"/>
    </row>
    <row r="36" spans="1:7" x14ac:dyDescent="0.25">
      <c r="A36" s="2"/>
      <c r="B36" s="2"/>
      <c r="C36" s="2"/>
      <c r="D36" s="2"/>
      <c r="E36" s="2"/>
    </row>
    <row r="37" spans="1:7" x14ac:dyDescent="0.25">
      <c r="A37" s="58" t="s">
        <v>32</v>
      </c>
      <c r="B37" s="61">
        <f>(E34*(E31/B35))</f>
        <v>3.3049679487179486</v>
      </c>
      <c r="C37" s="2"/>
      <c r="D37" s="2"/>
      <c r="E37" s="2"/>
    </row>
    <row r="38" spans="1:7" x14ac:dyDescent="0.25">
      <c r="A38" s="58" t="s">
        <v>33</v>
      </c>
      <c r="B38" s="61">
        <f>+ROUND(((1.4*$E$7*$B$35)/$B$8)*10000,3)</f>
        <v>1.7330000000000001</v>
      </c>
      <c r="C38" s="2"/>
      <c r="D38" s="94" t="s">
        <v>65</v>
      </c>
      <c r="E38" s="85">
        <f>+IF(B38&gt;B37,B38,B37)</f>
        <v>3.3049679487179486</v>
      </c>
    </row>
    <row r="39" spans="1:7" x14ac:dyDescent="0.25">
      <c r="A39" s="2"/>
      <c r="B39" s="2"/>
      <c r="C39" s="2"/>
      <c r="D39" s="2"/>
      <c r="E39" s="2"/>
    </row>
    <row r="40" spans="1:7" x14ac:dyDescent="0.25">
      <c r="A40" s="134" t="s">
        <v>34</v>
      </c>
      <c r="B40" s="134"/>
      <c r="C40" s="64"/>
      <c r="D40" s="87">
        <v>10</v>
      </c>
      <c r="E40" s="88">
        <f>C40*(PI()*(D40/10)^2)/4</f>
        <v>0</v>
      </c>
      <c r="F40" s="10"/>
      <c r="G40" t="s">
        <v>88</v>
      </c>
    </row>
    <row r="41" spans="1:7" x14ac:dyDescent="0.25">
      <c r="A41" s="134"/>
      <c r="B41" s="134"/>
      <c r="C41" s="64">
        <v>2</v>
      </c>
      <c r="D41" s="87">
        <v>16</v>
      </c>
      <c r="E41" s="88">
        <f>C41*(PI()*(D41/10)^2)/4</f>
        <v>4.0212385965949355</v>
      </c>
    </row>
    <row r="42" spans="1:7" x14ac:dyDescent="0.25">
      <c r="A42" s="2"/>
      <c r="B42" s="2"/>
      <c r="C42" s="2"/>
      <c r="D42" s="65" t="str">
        <f>+IF(E42&gt;E38,"B.C.","M.C.")</f>
        <v>B.C.</v>
      </c>
      <c r="E42" s="85">
        <f>SUM(E40:E41)</f>
        <v>4.0212385965949355</v>
      </c>
    </row>
    <row r="43" spans="1:7" x14ac:dyDescent="0.25">
      <c r="A43" s="2"/>
      <c r="B43" s="2"/>
      <c r="C43" s="2"/>
      <c r="D43" s="2"/>
      <c r="E43" s="86"/>
    </row>
    <row r="44" spans="1:7" x14ac:dyDescent="0.25">
      <c r="A44" s="131" t="s">
        <v>46</v>
      </c>
      <c r="B44" s="132"/>
      <c r="C44" s="132"/>
      <c r="D44" s="132"/>
      <c r="E44" s="133"/>
    </row>
    <row r="45" spans="1:7" x14ac:dyDescent="0.25">
      <c r="A45" s="2"/>
      <c r="B45" s="2"/>
      <c r="C45" s="2"/>
      <c r="D45" s="2"/>
      <c r="E45" s="2"/>
    </row>
    <row r="46" spans="1:7" x14ac:dyDescent="0.25">
      <c r="A46" s="14" t="s">
        <v>74</v>
      </c>
      <c r="B46" s="5">
        <f>+E27/0.75</f>
        <v>51.093333333333334</v>
      </c>
      <c r="C46" s="2"/>
      <c r="D46" s="2"/>
      <c r="E46" s="2"/>
    </row>
    <row r="47" spans="1:7" ht="15" customHeight="1" x14ac:dyDescent="0.25">
      <c r="A47" s="74" t="s">
        <v>52</v>
      </c>
      <c r="B47" s="5">
        <f>((1/6)*(B7^(1/2))*(E7*1000)*(1000*(B35))/1000)</f>
        <v>43.333333333333329</v>
      </c>
      <c r="C47" s="2"/>
      <c r="D47" s="2"/>
      <c r="E47" s="2"/>
    </row>
    <row r="48" spans="1:7" x14ac:dyDescent="0.25">
      <c r="A48" s="2" t="s">
        <v>77</v>
      </c>
      <c r="B48" s="5">
        <f>+IF(B47&gt;B46,0,B46-B47)</f>
        <v>7.7600000000000051</v>
      </c>
      <c r="C48" s="135" t="str">
        <f>+IF(B47&gt;B46,"ARM. MINIMA DE CORTE","ES NECESARIA ARM. DE CORTE")</f>
        <v>ES NECESARIA ARM. DE CORTE</v>
      </c>
      <c r="D48" s="135"/>
      <c r="E48" s="135"/>
    </row>
    <row r="49" spans="1:5" x14ac:dyDescent="0.25">
      <c r="A49" s="2"/>
      <c r="B49" s="2"/>
      <c r="C49" s="2"/>
      <c r="D49" s="2"/>
      <c r="E49" s="2"/>
    </row>
    <row r="50" spans="1:5" x14ac:dyDescent="0.25">
      <c r="A50" s="134" t="s">
        <v>70</v>
      </c>
      <c r="B50" s="134"/>
      <c r="C50" s="136" t="s">
        <v>72</v>
      </c>
      <c r="D50" s="136"/>
      <c r="E50" s="136"/>
    </row>
    <row r="51" spans="1:5" x14ac:dyDescent="0.25">
      <c r="A51" s="134"/>
      <c r="B51" s="134"/>
      <c r="C51" s="70">
        <v>1</v>
      </c>
      <c r="D51" s="71">
        <v>6</v>
      </c>
      <c r="E51" s="72">
        <v>20</v>
      </c>
    </row>
    <row r="52" spans="1:5" x14ac:dyDescent="0.25">
      <c r="A52" s="2"/>
      <c r="B52" s="2"/>
      <c r="C52" s="2"/>
      <c r="D52" s="2"/>
      <c r="E52" s="2"/>
    </row>
    <row r="53" spans="1:5" ht="18" x14ac:dyDescent="0.35">
      <c r="A53" s="75" t="s">
        <v>78</v>
      </c>
      <c r="B53" s="73">
        <f>+((((2*(PI()*(D51/10)^2)/4)/(100^2))*B8*B35)/(E51/100))*1000</f>
        <v>30.875572599480485</v>
      </c>
      <c r="C53" s="65" t="str">
        <f>+IF(B53&gt;B48,"B.C.","M.C.")</f>
        <v>B.C.</v>
      </c>
      <c r="D53" s="2"/>
      <c r="E53" s="2"/>
    </row>
    <row r="54" spans="1:5" x14ac:dyDescent="0.25">
      <c r="A54" s="2"/>
      <c r="B54" s="2"/>
      <c r="C54" s="2"/>
      <c r="D54" s="2"/>
      <c r="E54" s="2"/>
    </row>
    <row r="57" spans="1:5" ht="18" customHeight="1" x14ac:dyDescent="0.25"/>
  </sheetData>
  <mergeCells count="18">
    <mergeCell ref="A13:B13"/>
    <mergeCell ref="A1:E1"/>
    <mergeCell ref="A3:E3"/>
    <mergeCell ref="D4:E4"/>
    <mergeCell ref="D8:E8"/>
    <mergeCell ref="A10:E10"/>
    <mergeCell ref="A14:B14"/>
    <mergeCell ref="A18:B18"/>
    <mergeCell ref="A19:B19"/>
    <mergeCell ref="A23:E23"/>
    <mergeCell ref="A25:B25"/>
    <mergeCell ref="D25:E25"/>
    <mergeCell ref="A29:E29"/>
    <mergeCell ref="A40:B41"/>
    <mergeCell ref="A44:E44"/>
    <mergeCell ref="C48:E48"/>
    <mergeCell ref="A50:B51"/>
    <mergeCell ref="C50:E5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795D-E2A5-496C-B487-460167F8BB74}">
  <dimension ref="A1:G58"/>
  <sheetViews>
    <sheetView topLeftCell="A10" zoomScale="130" zoomScaleNormal="130" workbookViewId="0">
      <selection activeCell="G26" sqref="G26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9" t="s">
        <v>82</v>
      </c>
      <c r="B1" s="140"/>
      <c r="C1" s="140"/>
      <c r="D1" s="140"/>
      <c r="E1" s="141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9" t="s">
        <v>92</v>
      </c>
      <c r="B3" s="140"/>
      <c r="C3" s="140"/>
      <c r="D3" s="140"/>
      <c r="E3" s="141"/>
    </row>
    <row r="4" spans="1:6" x14ac:dyDescent="0.25">
      <c r="A4" s="95"/>
      <c r="B4" s="95"/>
      <c r="C4" s="95"/>
      <c r="D4" s="142" t="s">
        <v>83</v>
      </c>
      <c r="E4" s="142"/>
    </row>
    <row r="5" spans="1:6" x14ac:dyDescent="0.25">
      <c r="A5" s="77" t="s">
        <v>54</v>
      </c>
      <c r="B5" s="95"/>
      <c r="C5" s="95"/>
      <c r="D5" s="95"/>
      <c r="E5" s="95"/>
    </row>
    <row r="6" spans="1:6" x14ac:dyDescent="0.25">
      <c r="A6" s="95" t="s">
        <v>20</v>
      </c>
      <c r="B6" s="89">
        <v>1.75</v>
      </c>
      <c r="C6" s="2"/>
      <c r="D6" s="95" t="s">
        <v>23</v>
      </c>
      <c r="E6" s="89">
        <v>0.17</v>
      </c>
    </row>
    <row r="7" spans="1:6" x14ac:dyDescent="0.25">
      <c r="A7" s="95" t="s">
        <v>28</v>
      </c>
      <c r="B7" s="90">
        <v>25</v>
      </c>
      <c r="C7" s="2"/>
      <c r="D7" s="95" t="s">
        <v>35</v>
      </c>
      <c r="E7" s="89">
        <v>0.2</v>
      </c>
      <c r="F7" s="2"/>
    </row>
    <row r="8" spans="1:6" x14ac:dyDescent="0.25">
      <c r="A8" s="95" t="s">
        <v>29</v>
      </c>
      <c r="B8" s="62">
        <v>420</v>
      </c>
      <c r="C8" s="2"/>
      <c r="D8" s="143" t="s">
        <v>93</v>
      </c>
      <c r="E8" s="143"/>
    </row>
    <row r="9" spans="1:6" x14ac:dyDescent="0.25">
      <c r="A9" s="2"/>
      <c r="B9" s="2"/>
      <c r="C9" s="2"/>
      <c r="D9" s="2"/>
      <c r="E9" s="2"/>
    </row>
    <row r="10" spans="1:6" x14ac:dyDescent="0.25">
      <c r="A10" s="131" t="s">
        <v>66</v>
      </c>
      <c r="B10" s="132"/>
      <c r="C10" s="132"/>
      <c r="D10" s="132"/>
      <c r="E10" s="133"/>
    </row>
    <row r="11" spans="1:6" x14ac:dyDescent="0.25">
      <c r="A11" s="95"/>
      <c r="B11" s="95"/>
      <c r="C11" s="95"/>
      <c r="D11" s="95"/>
      <c r="E11" s="95"/>
    </row>
    <row r="12" spans="1:6" x14ac:dyDescent="0.25">
      <c r="A12" s="2"/>
      <c r="B12" s="2"/>
      <c r="C12" s="94" t="s">
        <v>6</v>
      </c>
      <c r="D12" s="94" t="s">
        <v>7</v>
      </c>
      <c r="E12" s="94" t="s">
        <v>8</v>
      </c>
    </row>
    <row r="13" spans="1:6" x14ac:dyDescent="0.25">
      <c r="A13" s="137" t="s">
        <v>61</v>
      </c>
      <c r="B13" s="137"/>
      <c r="C13" s="59">
        <f>+E6*E7</f>
        <v>3.4000000000000002E-2</v>
      </c>
      <c r="D13" s="8">
        <v>25</v>
      </c>
      <c r="E13" s="78">
        <f>+C13*D13</f>
        <v>0.85000000000000009</v>
      </c>
    </row>
    <row r="14" spans="1:6" x14ac:dyDescent="0.25">
      <c r="A14" s="137" t="s">
        <v>89</v>
      </c>
      <c r="B14" s="137"/>
      <c r="C14" s="59" t="s">
        <v>38</v>
      </c>
      <c r="D14" s="8" t="s">
        <v>38</v>
      </c>
      <c r="E14" s="78">
        <v>0</v>
      </c>
    </row>
    <row r="15" spans="1:6" x14ac:dyDescent="0.25">
      <c r="A15" s="79" t="s">
        <v>48</v>
      </c>
      <c r="B15" s="14"/>
      <c r="C15" s="9"/>
      <c r="D15" s="8"/>
      <c r="E15" s="80">
        <f>SUM(E13:E14)</f>
        <v>0.85000000000000009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94" t="s">
        <v>1</v>
      </c>
      <c r="D17" s="94" t="s">
        <v>7</v>
      </c>
      <c r="E17" s="94" t="s">
        <v>8</v>
      </c>
    </row>
    <row r="18" spans="1:7" x14ac:dyDescent="0.25">
      <c r="A18" s="137" t="s">
        <v>62</v>
      </c>
      <c r="B18" s="137"/>
      <c r="C18" s="89">
        <v>0</v>
      </c>
      <c r="D18" s="91">
        <v>0</v>
      </c>
      <c r="E18" s="78">
        <f>+C18*D18</f>
        <v>0</v>
      </c>
    </row>
    <row r="19" spans="1:7" x14ac:dyDescent="0.25">
      <c r="A19" s="137" t="s">
        <v>98</v>
      </c>
      <c r="B19" s="137"/>
      <c r="C19" s="89">
        <v>0.5</v>
      </c>
      <c r="D19" s="91">
        <v>3.2</v>
      </c>
      <c r="E19" s="78">
        <f>+C19*D19</f>
        <v>1.6</v>
      </c>
    </row>
    <row r="20" spans="1:7" x14ac:dyDescent="0.25">
      <c r="A20" s="137" t="s">
        <v>99</v>
      </c>
      <c r="B20" s="137"/>
      <c r="C20" s="89">
        <v>0.5</v>
      </c>
      <c r="D20" s="91">
        <v>2</v>
      </c>
      <c r="E20" s="78">
        <f>+C20*D20</f>
        <v>1</v>
      </c>
    </row>
    <row r="21" spans="1:7" x14ac:dyDescent="0.25">
      <c r="A21" s="96" t="s">
        <v>100</v>
      </c>
      <c r="B21" s="96"/>
      <c r="C21" s="89">
        <v>1.3</v>
      </c>
      <c r="D21" s="91">
        <v>0.5</v>
      </c>
      <c r="E21" s="78">
        <f>+C21*D21</f>
        <v>0.65</v>
      </c>
    </row>
    <row r="22" spans="1:7" x14ac:dyDescent="0.25">
      <c r="A22" s="98" t="s">
        <v>101</v>
      </c>
      <c r="B22" s="98"/>
      <c r="C22" s="89">
        <v>1.3</v>
      </c>
      <c r="D22" s="91">
        <v>2</v>
      </c>
      <c r="E22" s="78">
        <f>+C22*D22</f>
        <v>2.6</v>
      </c>
    </row>
    <row r="23" spans="1:7" x14ac:dyDescent="0.25">
      <c r="A23" s="2"/>
      <c r="B23" s="2"/>
      <c r="C23" s="2"/>
      <c r="D23" s="2"/>
      <c r="E23" s="2"/>
    </row>
    <row r="24" spans="1:7" x14ac:dyDescent="0.25">
      <c r="A24" s="131" t="s">
        <v>68</v>
      </c>
      <c r="B24" s="132"/>
      <c r="C24" s="132"/>
      <c r="D24" s="132"/>
      <c r="E24" s="133"/>
    </row>
    <row r="25" spans="1:7" x14ac:dyDescent="0.25">
      <c r="A25" s="95"/>
      <c r="B25" s="95"/>
      <c r="C25" s="95"/>
      <c r="D25" s="95"/>
      <c r="E25" s="95"/>
    </row>
    <row r="26" spans="1:7" x14ac:dyDescent="0.25">
      <c r="A26" s="138" t="s">
        <v>21</v>
      </c>
      <c r="B26" s="138"/>
      <c r="C26" s="2"/>
      <c r="D26" s="138" t="s">
        <v>22</v>
      </c>
      <c r="E26" s="138"/>
    </row>
    <row r="27" spans="1:7" x14ac:dyDescent="0.25">
      <c r="A27" s="2" t="s">
        <v>75</v>
      </c>
      <c r="B27" s="60">
        <v>18.260000000000002</v>
      </c>
      <c r="C27" s="2"/>
      <c r="D27" s="2" t="s">
        <v>69</v>
      </c>
      <c r="E27" s="60">
        <v>2.41</v>
      </c>
      <c r="G27" s="60">
        <f>ROUND((((1.2*(E15+E19))+(1.6*E21))),2)</f>
        <v>3.98</v>
      </c>
    </row>
    <row r="28" spans="1:7" x14ac:dyDescent="0.25">
      <c r="A28" s="2" t="s">
        <v>76</v>
      </c>
      <c r="B28" s="5">
        <f>ROUND(((E15+E18)*B6/2),2)</f>
        <v>0.74</v>
      </c>
      <c r="C28" s="2"/>
      <c r="D28" s="2" t="s">
        <v>51</v>
      </c>
      <c r="E28" s="5">
        <v>6.07</v>
      </c>
    </row>
    <row r="29" spans="1:7" x14ac:dyDescent="0.25">
      <c r="A29" s="2"/>
      <c r="B29" s="2"/>
      <c r="C29" s="2"/>
      <c r="D29" s="2"/>
      <c r="E29" s="2"/>
    </row>
    <row r="30" spans="1:7" x14ac:dyDescent="0.25">
      <c r="A30" s="131" t="s">
        <v>45</v>
      </c>
      <c r="B30" s="132"/>
      <c r="C30" s="132"/>
      <c r="D30" s="132"/>
      <c r="E30" s="133"/>
    </row>
    <row r="31" spans="1:7" x14ac:dyDescent="0.25">
      <c r="A31" s="95"/>
      <c r="B31" s="95"/>
      <c r="C31" s="95"/>
      <c r="D31" s="95"/>
      <c r="E31" s="95"/>
    </row>
    <row r="32" spans="1:7" x14ac:dyDescent="0.25">
      <c r="A32" s="81" t="s">
        <v>23</v>
      </c>
      <c r="B32" s="3">
        <f>+E6</f>
        <v>0.17</v>
      </c>
      <c r="C32" s="2"/>
      <c r="D32" s="2" t="s">
        <v>26</v>
      </c>
      <c r="E32" s="82">
        <f>((E27/(1000*0.9)))</f>
        <v>2.6777777777777781E-3</v>
      </c>
    </row>
    <row r="33" spans="1:7" x14ac:dyDescent="0.25">
      <c r="A33" s="58" t="s">
        <v>36</v>
      </c>
      <c r="B33" s="4">
        <v>0.03</v>
      </c>
      <c r="C33" s="2"/>
      <c r="D33" s="2" t="s">
        <v>27</v>
      </c>
      <c r="E33" s="83">
        <f>(B36/((E32/E7)^(1/2)))</f>
        <v>1.123494843735571</v>
      </c>
    </row>
    <row r="34" spans="1:7" x14ac:dyDescent="0.25">
      <c r="A34" s="81" t="s">
        <v>64</v>
      </c>
      <c r="B34" s="4">
        <v>6.0000000000000001E-3</v>
      </c>
      <c r="C34" s="2"/>
      <c r="D34" s="2" t="s">
        <v>30</v>
      </c>
      <c r="E34" s="92">
        <v>1.089</v>
      </c>
      <c r="F34" s="93" t="s">
        <v>84</v>
      </c>
    </row>
    <row r="35" spans="1:7" x14ac:dyDescent="0.25">
      <c r="A35" s="58" t="s">
        <v>24</v>
      </c>
      <c r="B35" s="4">
        <v>0.01</v>
      </c>
      <c r="C35" s="2"/>
      <c r="D35" s="2" t="s">
        <v>31</v>
      </c>
      <c r="E35" s="84">
        <v>24.300999999999998</v>
      </c>
    </row>
    <row r="36" spans="1:7" x14ac:dyDescent="0.25">
      <c r="A36" s="95" t="s">
        <v>25</v>
      </c>
      <c r="B36" s="3">
        <f>+ROUND(B32-B33-B34-B35/2,2)</f>
        <v>0.13</v>
      </c>
      <c r="C36" s="2"/>
      <c r="E36" s="2"/>
    </row>
    <row r="37" spans="1:7" x14ac:dyDescent="0.25">
      <c r="A37" s="2"/>
      <c r="B37" s="2"/>
      <c r="C37" s="2"/>
      <c r="D37" s="2"/>
      <c r="E37" s="2"/>
    </row>
    <row r="38" spans="1:7" x14ac:dyDescent="0.25">
      <c r="A38" s="58" t="s">
        <v>32</v>
      </c>
      <c r="B38" s="61">
        <f>(E35*(E32/B36))</f>
        <v>0.50055905982905979</v>
      </c>
      <c r="C38" s="2"/>
      <c r="D38" s="2"/>
      <c r="E38" s="2"/>
    </row>
    <row r="39" spans="1:7" x14ac:dyDescent="0.25">
      <c r="A39" s="58" t="s">
        <v>33</v>
      </c>
      <c r="B39" s="61">
        <f>+ROUND(((1.4*$E$7*$B$36)/$B$8)*10000,3)</f>
        <v>0.86699999999999999</v>
      </c>
      <c r="C39" s="2"/>
      <c r="D39" s="94" t="s">
        <v>65</v>
      </c>
      <c r="E39" s="85">
        <f>+IF(B39&gt;B38,B39,B38)</f>
        <v>0.86699999999999999</v>
      </c>
    </row>
    <row r="40" spans="1:7" x14ac:dyDescent="0.25">
      <c r="A40" s="2"/>
      <c r="B40" s="2"/>
      <c r="C40" s="2"/>
      <c r="D40" s="2"/>
      <c r="E40" s="2"/>
    </row>
    <row r="41" spans="1:7" x14ac:dyDescent="0.25">
      <c r="A41" s="134" t="s">
        <v>34</v>
      </c>
      <c r="B41" s="134"/>
      <c r="C41" s="64">
        <v>0</v>
      </c>
      <c r="D41" s="87">
        <v>10</v>
      </c>
      <c r="E41" s="88">
        <f>C41*(PI()*(D41/10)^2)/4</f>
        <v>0</v>
      </c>
      <c r="F41" s="10"/>
      <c r="G41" t="s">
        <v>90</v>
      </c>
    </row>
    <row r="42" spans="1:7" x14ac:dyDescent="0.25">
      <c r="A42" s="134"/>
      <c r="B42" s="134"/>
      <c r="C42" s="64">
        <v>0</v>
      </c>
      <c r="D42" s="87">
        <v>16</v>
      </c>
      <c r="E42" s="88">
        <f>C42*(PI()*(D42/10)^2)/4</f>
        <v>0</v>
      </c>
    </row>
    <row r="43" spans="1:7" x14ac:dyDescent="0.25">
      <c r="A43" s="2"/>
      <c r="B43" s="2"/>
      <c r="C43" s="2"/>
      <c r="D43" s="65" t="str">
        <f>+IF(E43&gt;E39,"B.C.","M.C.")</f>
        <v>M.C.</v>
      </c>
      <c r="E43" s="85">
        <f>SUM(E41:E42)</f>
        <v>0</v>
      </c>
    </row>
    <row r="44" spans="1:7" x14ac:dyDescent="0.25">
      <c r="A44" s="2"/>
      <c r="B44" s="2"/>
      <c r="C44" s="2"/>
      <c r="D44" s="2"/>
      <c r="E44" s="86"/>
    </row>
    <row r="45" spans="1:7" x14ac:dyDescent="0.25">
      <c r="A45" s="131" t="s">
        <v>46</v>
      </c>
      <c r="B45" s="132"/>
      <c r="C45" s="132"/>
      <c r="D45" s="132"/>
      <c r="E45" s="133"/>
    </row>
    <row r="46" spans="1:7" x14ac:dyDescent="0.25">
      <c r="A46" s="2"/>
      <c r="B46" s="2"/>
      <c r="C46" s="2"/>
      <c r="D46" s="2"/>
      <c r="E46" s="2"/>
    </row>
    <row r="47" spans="1:7" x14ac:dyDescent="0.25">
      <c r="A47" s="14" t="s">
        <v>74</v>
      </c>
      <c r="B47" s="5">
        <f>+E28/0.75</f>
        <v>8.0933333333333337</v>
      </c>
      <c r="C47" s="2"/>
      <c r="D47" s="2"/>
      <c r="E47" s="2"/>
    </row>
    <row r="48" spans="1:7" ht="15" customHeight="1" x14ac:dyDescent="0.25">
      <c r="A48" s="74" t="s">
        <v>52</v>
      </c>
      <c r="B48" s="5">
        <f>((1/6)*(B7^(1/2))*(E7*1000)*(1000*(B36))/1000)</f>
        <v>21.666666666666664</v>
      </c>
      <c r="C48" s="2"/>
      <c r="D48" s="2"/>
      <c r="E48" s="2"/>
    </row>
    <row r="49" spans="1:5" x14ac:dyDescent="0.25">
      <c r="A49" s="2" t="s">
        <v>77</v>
      </c>
      <c r="B49" s="5">
        <f>+IF(B48&gt;B47,0,B47-B48)</f>
        <v>0</v>
      </c>
      <c r="C49" s="135" t="str">
        <f>+IF(B48&gt;B47,"ARM. MINIMA DE CORTE","ES NECESARIA ARM. DE CORTE")</f>
        <v>ARM. MINIMA DE CORTE</v>
      </c>
      <c r="D49" s="135"/>
      <c r="E49" s="135"/>
    </row>
    <row r="50" spans="1:5" x14ac:dyDescent="0.25">
      <c r="A50" s="2"/>
      <c r="B50" s="2"/>
      <c r="C50" s="2"/>
      <c r="D50" s="2"/>
      <c r="E50" s="2"/>
    </row>
    <row r="51" spans="1:5" x14ac:dyDescent="0.25">
      <c r="A51" s="134" t="s">
        <v>70</v>
      </c>
      <c r="B51" s="134"/>
      <c r="C51" s="136" t="s">
        <v>72</v>
      </c>
      <c r="D51" s="136"/>
      <c r="E51" s="136"/>
    </row>
    <row r="52" spans="1:5" x14ac:dyDescent="0.25">
      <c r="A52" s="134"/>
      <c r="B52" s="134"/>
      <c r="C52" s="70">
        <v>1</v>
      </c>
      <c r="D52" s="71">
        <v>6</v>
      </c>
      <c r="E52" s="72">
        <v>20</v>
      </c>
    </row>
    <row r="53" spans="1:5" x14ac:dyDescent="0.25">
      <c r="A53" s="2"/>
      <c r="B53" s="2"/>
      <c r="C53" s="2"/>
      <c r="D53" s="2"/>
      <c r="E53" s="2"/>
    </row>
    <row r="54" spans="1:5" ht="18" x14ac:dyDescent="0.35">
      <c r="A54" s="75" t="s">
        <v>78</v>
      </c>
      <c r="B54" s="73">
        <f>+((((2*(PI()*(D52/10)^2)/4)/(100^2))*B8*B36)/(E52/100))*1000</f>
        <v>15.437786299740242</v>
      </c>
      <c r="C54" s="65" t="str">
        <f>+IF(B54&gt;B49,"B.C.","M.C.")</f>
        <v>B.C.</v>
      </c>
      <c r="D54" s="2"/>
      <c r="E54" s="2"/>
    </row>
    <row r="55" spans="1:5" x14ac:dyDescent="0.25">
      <c r="A55" s="2"/>
      <c r="B55" s="2"/>
      <c r="C55" s="2"/>
      <c r="D55" s="2"/>
      <c r="E55" s="2"/>
    </row>
    <row r="58" spans="1:5" ht="18" customHeight="1" x14ac:dyDescent="0.25"/>
  </sheetData>
  <mergeCells count="19">
    <mergeCell ref="A13:B13"/>
    <mergeCell ref="A20:B20"/>
    <mergeCell ref="A1:E1"/>
    <mergeCell ref="A3:E3"/>
    <mergeCell ref="D4:E4"/>
    <mergeCell ref="D8:E8"/>
    <mergeCell ref="A10:E10"/>
    <mergeCell ref="A14:B14"/>
    <mergeCell ref="A18:B18"/>
    <mergeCell ref="A19:B19"/>
    <mergeCell ref="A24:E24"/>
    <mergeCell ref="A26:B26"/>
    <mergeCell ref="D26:E26"/>
    <mergeCell ref="A30:E30"/>
    <mergeCell ref="A41:B42"/>
    <mergeCell ref="A45:E45"/>
    <mergeCell ref="C49:E49"/>
    <mergeCell ref="A51:B52"/>
    <mergeCell ref="C51:E5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2836-A092-4CEC-91EB-8768324FE023}">
  <dimension ref="A1:G59"/>
  <sheetViews>
    <sheetView topLeftCell="A16" zoomScale="130" zoomScaleNormal="130" workbookViewId="0">
      <selection activeCell="E30" sqref="E30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9" t="s">
        <v>82</v>
      </c>
      <c r="B1" s="140"/>
      <c r="C1" s="140"/>
      <c r="D1" s="140"/>
      <c r="E1" s="141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9" t="s">
        <v>94</v>
      </c>
      <c r="B3" s="140"/>
      <c r="C3" s="140"/>
      <c r="D3" s="140"/>
      <c r="E3" s="141"/>
    </row>
    <row r="4" spans="1:6" x14ac:dyDescent="0.25">
      <c r="A4" s="95"/>
      <c r="B4" s="95"/>
      <c r="C4" s="95"/>
      <c r="D4" s="142" t="s">
        <v>83</v>
      </c>
      <c r="E4" s="142"/>
    </row>
    <row r="5" spans="1:6" x14ac:dyDescent="0.25">
      <c r="A5" s="77" t="s">
        <v>54</v>
      </c>
      <c r="B5" s="95"/>
      <c r="C5" s="95"/>
      <c r="D5" s="95"/>
      <c r="E5" s="95"/>
    </row>
    <row r="6" spans="1:6" x14ac:dyDescent="0.25">
      <c r="A6" s="95" t="s">
        <v>20</v>
      </c>
      <c r="B6" s="89">
        <v>3.15</v>
      </c>
      <c r="C6" s="2"/>
      <c r="D6" s="95" t="s">
        <v>23</v>
      </c>
      <c r="E6" s="89">
        <v>0.4</v>
      </c>
    </row>
    <row r="7" spans="1:6" x14ac:dyDescent="0.25">
      <c r="A7" s="95" t="s">
        <v>28</v>
      </c>
      <c r="B7" s="90">
        <v>25</v>
      </c>
      <c r="C7" s="2"/>
      <c r="D7" s="95" t="s">
        <v>35</v>
      </c>
      <c r="E7" s="89">
        <v>0.15</v>
      </c>
      <c r="F7" s="2"/>
    </row>
    <row r="8" spans="1:6" x14ac:dyDescent="0.25">
      <c r="A8" s="95" t="s">
        <v>29</v>
      </c>
      <c r="B8" s="62">
        <v>420</v>
      </c>
      <c r="C8" s="2"/>
      <c r="D8" s="143" t="s">
        <v>86</v>
      </c>
      <c r="E8" s="143"/>
    </row>
    <row r="9" spans="1:6" x14ac:dyDescent="0.25">
      <c r="A9" s="2"/>
      <c r="B9" s="2"/>
      <c r="C9" s="2"/>
      <c r="D9" s="2"/>
      <c r="E9" s="2"/>
    </row>
    <row r="10" spans="1:6" x14ac:dyDescent="0.25">
      <c r="A10" s="131" t="s">
        <v>66</v>
      </c>
      <c r="B10" s="132"/>
      <c r="C10" s="132"/>
      <c r="D10" s="132"/>
      <c r="E10" s="133"/>
    </row>
    <row r="11" spans="1:6" x14ac:dyDescent="0.25">
      <c r="A11" s="95"/>
      <c r="B11" s="95"/>
      <c r="C11" s="95"/>
      <c r="D11" s="95"/>
      <c r="E11" s="95"/>
    </row>
    <row r="12" spans="1:6" x14ac:dyDescent="0.25">
      <c r="A12" s="2"/>
      <c r="B12" s="2"/>
      <c r="C12" s="94" t="s">
        <v>6</v>
      </c>
      <c r="D12" s="94" t="s">
        <v>7</v>
      </c>
      <c r="E12" s="94" t="s">
        <v>8</v>
      </c>
    </row>
    <row r="13" spans="1:6" x14ac:dyDescent="0.25">
      <c r="A13" s="137" t="s">
        <v>61</v>
      </c>
      <c r="B13" s="137"/>
      <c r="C13" s="59">
        <f>+E6*E7</f>
        <v>0.06</v>
      </c>
      <c r="D13" s="8">
        <v>25</v>
      </c>
      <c r="E13" s="78">
        <f>+C13*D13</f>
        <v>1.5</v>
      </c>
    </row>
    <row r="14" spans="1:6" x14ac:dyDescent="0.25">
      <c r="A14" s="137" t="s">
        <v>60</v>
      </c>
      <c r="B14" s="137"/>
      <c r="C14" s="59">
        <f>3.2*0.2</f>
        <v>0.64000000000000012</v>
      </c>
      <c r="D14" s="8">
        <v>17</v>
      </c>
      <c r="E14" s="78">
        <f>+C14*D14</f>
        <v>10.880000000000003</v>
      </c>
    </row>
    <row r="15" spans="1:6" x14ac:dyDescent="0.25">
      <c r="A15" s="79" t="s">
        <v>48</v>
      </c>
      <c r="B15" s="14"/>
      <c r="C15" s="9"/>
      <c r="D15" s="8"/>
      <c r="E15" s="80">
        <f>SUM(E13:E14)</f>
        <v>12.380000000000003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94" t="s">
        <v>1</v>
      </c>
      <c r="D17" s="94" t="s">
        <v>7</v>
      </c>
      <c r="E17" s="94" t="s">
        <v>8</v>
      </c>
    </row>
    <row r="18" spans="1:7" x14ac:dyDescent="0.25">
      <c r="A18" s="137" t="s">
        <v>62</v>
      </c>
      <c r="B18" s="137"/>
      <c r="C18" s="89">
        <v>0</v>
      </c>
      <c r="D18" s="91">
        <v>0</v>
      </c>
      <c r="E18" s="78">
        <f>+C18*D18</f>
        <v>0</v>
      </c>
    </row>
    <row r="19" spans="1:7" x14ac:dyDescent="0.25">
      <c r="A19" s="137" t="s">
        <v>63</v>
      </c>
      <c r="B19" s="137"/>
      <c r="C19" s="89">
        <f>3.15/2</f>
        <v>1.575</v>
      </c>
      <c r="D19" s="91">
        <v>3.2</v>
      </c>
      <c r="E19" s="78">
        <f>+C19*D19</f>
        <v>5.04</v>
      </c>
    </row>
    <row r="20" spans="1:7" x14ac:dyDescent="0.25">
      <c r="A20" s="137" t="s">
        <v>63</v>
      </c>
      <c r="B20" s="137"/>
      <c r="C20" s="89">
        <f>(1.73+3.15)/2</f>
        <v>2.44</v>
      </c>
      <c r="D20" s="91">
        <v>3.2</v>
      </c>
      <c r="E20" s="78">
        <f>+C20*D20</f>
        <v>7.8079999999999998</v>
      </c>
    </row>
    <row r="21" spans="1:7" x14ac:dyDescent="0.25">
      <c r="A21" s="96"/>
      <c r="B21" s="96"/>
      <c r="C21" s="7"/>
      <c r="D21" s="97"/>
      <c r="E21" s="78"/>
    </row>
    <row r="22" spans="1:7" x14ac:dyDescent="0.25">
      <c r="A22" s="96" t="s">
        <v>85</v>
      </c>
      <c r="B22" s="96"/>
      <c r="C22" s="89">
        <f>+C19</f>
        <v>1.575</v>
      </c>
      <c r="D22" s="91">
        <v>2</v>
      </c>
      <c r="E22" s="78">
        <f>+C22*D22</f>
        <v>3.15</v>
      </c>
    </row>
    <row r="23" spans="1:7" x14ac:dyDescent="0.25">
      <c r="A23" s="96" t="s">
        <v>85</v>
      </c>
      <c r="B23" s="96"/>
      <c r="C23" s="89">
        <f>+C20</f>
        <v>2.44</v>
      </c>
      <c r="D23" s="91">
        <v>2</v>
      </c>
      <c r="E23" s="78">
        <f>+C23*D23</f>
        <v>4.88</v>
      </c>
    </row>
    <row r="24" spans="1:7" x14ac:dyDescent="0.25">
      <c r="A24" s="2"/>
      <c r="B24" s="2"/>
      <c r="C24" s="2"/>
      <c r="D24" s="2"/>
      <c r="E24" s="2"/>
    </row>
    <row r="25" spans="1:7" x14ac:dyDescent="0.25">
      <c r="A25" s="131" t="s">
        <v>68</v>
      </c>
      <c r="B25" s="132"/>
      <c r="C25" s="132"/>
      <c r="D25" s="132"/>
      <c r="E25" s="133"/>
    </row>
    <row r="26" spans="1:7" x14ac:dyDescent="0.25">
      <c r="A26" s="95"/>
      <c r="B26" s="95"/>
      <c r="C26" s="95"/>
      <c r="D26" s="95"/>
      <c r="E26" s="95"/>
    </row>
    <row r="27" spans="1:7" x14ac:dyDescent="0.25">
      <c r="A27" s="138" t="s">
        <v>21</v>
      </c>
      <c r="B27" s="138"/>
      <c r="C27" s="2"/>
      <c r="D27" s="138" t="s">
        <v>22</v>
      </c>
      <c r="E27" s="138"/>
    </row>
    <row r="28" spans="1:7" x14ac:dyDescent="0.25">
      <c r="A28" s="2" t="s">
        <v>75</v>
      </c>
      <c r="B28" s="60">
        <v>18.260000000000002</v>
      </c>
      <c r="C28" s="2"/>
      <c r="D28" s="2" t="s">
        <v>69</v>
      </c>
      <c r="E28" s="60">
        <v>15.22</v>
      </c>
      <c r="G28" s="60">
        <f>ROUND((((1.2*(E15+E19))+(1.6*E22))),2)</f>
        <v>25.94</v>
      </c>
    </row>
    <row r="29" spans="1:7" x14ac:dyDescent="0.25">
      <c r="A29" s="2" t="s">
        <v>76</v>
      </c>
      <c r="B29" s="5">
        <f>ROUND(((E15+E18)*B6/2),2)</f>
        <v>19.5</v>
      </c>
      <c r="C29" s="2"/>
      <c r="D29" s="2" t="s">
        <v>51</v>
      </c>
      <c r="E29" s="5">
        <v>58.27</v>
      </c>
    </row>
    <row r="30" spans="1:7" x14ac:dyDescent="0.25">
      <c r="A30" s="2"/>
      <c r="B30" s="2"/>
      <c r="C30" s="2"/>
      <c r="D30" s="2"/>
      <c r="E30" s="2"/>
    </row>
    <row r="31" spans="1:7" x14ac:dyDescent="0.25">
      <c r="A31" s="131" t="s">
        <v>45</v>
      </c>
      <c r="B31" s="132"/>
      <c r="C31" s="132"/>
      <c r="D31" s="132"/>
      <c r="E31" s="133"/>
    </row>
    <row r="32" spans="1:7" x14ac:dyDescent="0.25">
      <c r="A32" s="95"/>
      <c r="B32" s="95"/>
      <c r="C32" s="95"/>
      <c r="D32" s="95"/>
      <c r="E32" s="95"/>
    </row>
    <row r="33" spans="1:7" x14ac:dyDescent="0.25">
      <c r="A33" s="81" t="s">
        <v>23</v>
      </c>
      <c r="B33" s="3">
        <f>+E6</f>
        <v>0.4</v>
      </c>
      <c r="C33" s="2"/>
      <c r="D33" s="2" t="s">
        <v>26</v>
      </c>
      <c r="E33" s="82">
        <f>((E28/(1000*0.9)))</f>
        <v>1.6911111111111113E-2</v>
      </c>
    </row>
    <row r="34" spans="1:7" x14ac:dyDescent="0.25">
      <c r="A34" s="58" t="s">
        <v>36</v>
      </c>
      <c r="B34" s="4">
        <v>0.03</v>
      </c>
      <c r="C34" s="2"/>
      <c r="D34" s="2" t="s">
        <v>27</v>
      </c>
      <c r="E34" s="83">
        <f>(B37/((E33/E7)^(1/2)))</f>
        <v>1.0721660686869487</v>
      </c>
    </row>
    <row r="35" spans="1:7" x14ac:dyDescent="0.25">
      <c r="A35" s="81" t="s">
        <v>64</v>
      </c>
      <c r="B35" s="4">
        <v>6.0000000000000001E-3</v>
      </c>
      <c r="C35" s="2"/>
      <c r="D35" s="2" t="s">
        <v>30</v>
      </c>
      <c r="E35" s="92">
        <v>1.089</v>
      </c>
      <c r="F35" s="93" t="s">
        <v>84</v>
      </c>
    </row>
    <row r="36" spans="1:7" x14ac:dyDescent="0.25">
      <c r="A36" s="58" t="s">
        <v>24</v>
      </c>
      <c r="B36" s="4">
        <v>0.01</v>
      </c>
      <c r="C36" s="2"/>
      <c r="D36" s="2" t="s">
        <v>31</v>
      </c>
      <c r="E36" s="84">
        <v>24.300999999999998</v>
      </c>
    </row>
    <row r="37" spans="1:7" x14ac:dyDescent="0.25">
      <c r="A37" s="95" t="s">
        <v>25</v>
      </c>
      <c r="B37" s="3">
        <f>+ROUND(B33-B34-B35-B36/2,2)</f>
        <v>0.36</v>
      </c>
      <c r="C37" s="2"/>
      <c r="E37" s="2"/>
    </row>
    <row r="38" spans="1:7" x14ac:dyDescent="0.25">
      <c r="A38" s="2"/>
      <c r="B38" s="2"/>
      <c r="C38" s="2"/>
      <c r="D38" s="2"/>
      <c r="E38" s="2"/>
    </row>
    <row r="39" spans="1:7" x14ac:dyDescent="0.25">
      <c r="A39" s="58" t="s">
        <v>32</v>
      </c>
      <c r="B39" s="61">
        <f>(E36*(E33/B37))</f>
        <v>1.141546975308642</v>
      </c>
      <c r="C39" s="2"/>
      <c r="D39" s="2"/>
      <c r="E39" s="2"/>
    </row>
    <row r="40" spans="1:7" x14ac:dyDescent="0.25">
      <c r="A40" s="58" t="s">
        <v>33</v>
      </c>
      <c r="B40" s="61">
        <f>+ROUND(((1.4*$E$7*$B$37)/$B$8)*10000,3)</f>
        <v>1.8</v>
      </c>
      <c r="C40" s="2"/>
      <c r="D40" s="94" t="s">
        <v>65</v>
      </c>
      <c r="E40" s="85">
        <f>+IF(B40&gt;B39,B40,B39)</f>
        <v>1.8</v>
      </c>
    </row>
    <row r="41" spans="1:7" x14ac:dyDescent="0.25">
      <c r="A41" s="2"/>
      <c r="B41" s="2"/>
      <c r="C41" s="2"/>
      <c r="D41" s="2"/>
      <c r="E41" s="2"/>
    </row>
    <row r="42" spans="1:7" x14ac:dyDescent="0.25">
      <c r="A42" s="134" t="s">
        <v>34</v>
      </c>
      <c r="B42" s="134"/>
      <c r="C42" s="64">
        <v>2</v>
      </c>
      <c r="D42" s="87">
        <v>10</v>
      </c>
      <c r="E42" s="88">
        <f>C42*(PI()*(D42/10)^2)/4</f>
        <v>1.5707963267948966</v>
      </c>
      <c r="F42" s="10"/>
      <c r="G42" t="s">
        <v>95</v>
      </c>
    </row>
    <row r="43" spans="1:7" x14ac:dyDescent="0.25">
      <c r="A43" s="134"/>
      <c r="B43" s="134"/>
      <c r="C43" s="64">
        <v>0</v>
      </c>
      <c r="D43" s="87">
        <v>16</v>
      </c>
      <c r="E43" s="88">
        <f>C43*(PI()*(D43/10)^2)/4</f>
        <v>0</v>
      </c>
    </row>
    <row r="44" spans="1:7" x14ac:dyDescent="0.25">
      <c r="A44" s="2"/>
      <c r="B44" s="2"/>
      <c r="C44" s="2"/>
      <c r="D44" s="65" t="str">
        <f>+IF(E44&gt;E40,"B.C.","M.C.")</f>
        <v>M.C.</v>
      </c>
      <c r="E44" s="85">
        <f>SUM(E42:E43)</f>
        <v>1.5707963267948966</v>
      </c>
    </row>
    <row r="45" spans="1:7" x14ac:dyDescent="0.25">
      <c r="A45" s="2"/>
      <c r="B45" s="2"/>
      <c r="C45" s="2"/>
      <c r="D45" s="2"/>
      <c r="E45" s="86"/>
    </row>
    <row r="46" spans="1:7" x14ac:dyDescent="0.25">
      <c r="A46" s="131" t="s">
        <v>46</v>
      </c>
      <c r="B46" s="132"/>
      <c r="C46" s="132"/>
      <c r="D46" s="132"/>
      <c r="E46" s="133"/>
    </row>
    <row r="47" spans="1:7" x14ac:dyDescent="0.25">
      <c r="A47" s="2"/>
      <c r="B47" s="2"/>
      <c r="C47" s="2"/>
      <c r="D47" s="2"/>
      <c r="E47" s="2"/>
    </row>
    <row r="48" spans="1:7" x14ac:dyDescent="0.25">
      <c r="A48" s="14" t="s">
        <v>74</v>
      </c>
      <c r="B48" s="5">
        <f>+E29/0.75</f>
        <v>77.693333333333342</v>
      </c>
      <c r="C48" s="2"/>
      <c r="D48" s="2"/>
      <c r="E48" s="2"/>
    </row>
    <row r="49" spans="1:5" ht="15" customHeight="1" x14ac:dyDescent="0.25">
      <c r="A49" s="74" t="s">
        <v>52</v>
      </c>
      <c r="B49" s="5">
        <f>((1/6)*(B7^(1/2))*(E7*1000)*(1000*(B37))/1000)</f>
        <v>44.999999999999993</v>
      </c>
      <c r="C49" s="2"/>
      <c r="D49" s="2"/>
      <c r="E49" s="2"/>
    </row>
    <row r="50" spans="1:5" x14ac:dyDescent="0.25">
      <c r="A50" s="2" t="s">
        <v>77</v>
      </c>
      <c r="B50" s="5">
        <f>+IF(B49&gt;B48,0,B48-B49)</f>
        <v>32.693333333333349</v>
      </c>
      <c r="C50" s="135" t="str">
        <f>+IF(B49&gt;B48,"ARM. MINIMA DE CORTE","ES NECESARIA ARM. DE CORTE")</f>
        <v>ES NECESARIA ARM. DE CORTE</v>
      </c>
      <c r="D50" s="135"/>
      <c r="E50" s="135"/>
    </row>
    <row r="51" spans="1:5" x14ac:dyDescent="0.25">
      <c r="A51" s="2"/>
      <c r="B51" s="2"/>
      <c r="C51" s="2"/>
      <c r="D51" s="2"/>
      <c r="E51" s="2"/>
    </row>
    <row r="52" spans="1:5" x14ac:dyDescent="0.25">
      <c r="A52" s="134" t="s">
        <v>70</v>
      </c>
      <c r="B52" s="134"/>
      <c r="C52" s="136" t="s">
        <v>72</v>
      </c>
      <c r="D52" s="136"/>
      <c r="E52" s="136"/>
    </row>
    <row r="53" spans="1:5" x14ac:dyDescent="0.25">
      <c r="A53" s="134"/>
      <c r="B53" s="134"/>
      <c r="C53" s="70">
        <v>1</v>
      </c>
      <c r="D53" s="71">
        <v>6</v>
      </c>
      <c r="E53" s="72">
        <v>20</v>
      </c>
    </row>
    <row r="54" spans="1:5" x14ac:dyDescent="0.25">
      <c r="A54" s="2"/>
      <c r="B54" s="2"/>
      <c r="C54" s="2"/>
      <c r="D54" s="2"/>
      <c r="E54" s="2"/>
    </row>
    <row r="55" spans="1:5" ht="18" x14ac:dyDescent="0.35">
      <c r="A55" s="75" t="s">
        <v>78</v>
      </c>
      <c r="B55" s="73">
        <f>+((((2*(PI()*(D53/10)^2)/4)/(100^2))*B8*B37)/(E53/100))*1000</f>
        <v>42.750792830049903</v>
      </c>
      <c r="C55" s="65" t="str">
        <f>+IF(B55&gt;B50,"B.C.","M.C.")</f>
        <v>B.C.</v>
      </c>
      <c r="D55" s="2"/>
      <c r="E55" s="2"/>
    </row>
    <row r="56" spans="1:5" x14ac:dyDescent="0.25">
      <c r="A56" s="2"/>
      <c r="B56" s="2"/>
      <c r="C56" s="2"/>
      <c r="D56" s="2"/>
      <c r="E56" s="2"/>
    </row>
    <row r="59" spans="1:5" ht="18" customHeight="1" x14ac:dyDescent="0.25"/>
  </sheetData>
  <mergeCells count="19">
    <mergeCell ref="A27:B27"/>
    <mergeCell ref="D27:E27"/>
    <mergeCell ref="A1:E1"/>
    <mergeCell ref="A3:E3"/>
    <mergeCell ref="D4:E4"/>
    <mergeCell ref="D8:E8"/>
    <mergeCell ref="A10:E10"/>
    <mergeCell ref="A13:B13"/>
    <mergeCell ref="A14:B14"/>
    <mergeCell ref="A18:B18"/>
    <mergeCell ref="A19:B19"/>
    <mergeCell ref="A20:B20"/>
    <mergeCell ref="A25:E25"/>
    <mergeCell ref="A31:E31"/>
    <mergeCell ref="A42:B43"/>
    <mergeCell ref="A46:E46"/>
    <mergeCell ref="C50:E50"/>
    <mergeCell ref="A52:B53"/>
    <mergeCell ref="C52:E5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4DB6-F503-4C26-876F-20F31B326D54}">
  <dimension ref="A1:G59"/>
  <sheetViews>
    <sheetView topLeftCell="A4" zoomScale="130" zoomScaleNormal="130" workbookViewId="0">
      <selection activeCell="E30" sqref="E30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9" t="s">
        <v>82</v>
      </c>
      <c r="B1" s="140"/>
      <c r="C1" s="140"/>
      <c r="D1" s="140"/>
      <c r="E1" s="141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9" t="s">
        <v>94</v>
      </c>
      <c r="B3" s="140"/>
      <c r="C3" s="140"/>
      <c r="D3" s="140"/>
      <c r="E3" s="141"/>
    </row>
    <row r="4" spans="1:6" x14ac:dyDescent="0.25">
      <c r="A4" s="95"/>
      <c r="B4" s="95"/>
      <c r="C4" s="95"/>
      <c r="D4" s="142" t="s">
        <v>83</v>
      </c>
      <c r="E4" s="142"/>
    </row>
    <row r="5" spans="1:6" x14ac:dyDescent="0.25">
      <c r="A5" s="77" t="s">
        <v>54</v>
      </c>
      <c r="B5" s="95"/>
      <c r="C5" s="95"/>
      <c r="D5" s="95"/>
      <c r="E5" s="95"/>
    </row>
    <row r="6" spans="1:6" x14ac:dyDescent="0.25">
      <c r="A6" s="95" t="s">
        <v>20</v>
      </c>
      <c r="B6" s="89">
        <v>3.15</v>
      </c>
      <c r="C6" s="2"/>
      <c r="D6" s="95" t="s">
        <v>23</v>
      </c>
      <c r="E6" s="89">
        <v>0.4</v>
      </c>
    </row>
    <row r="7" spans="1:6" x14ac:dyDescent="0.25">
      <c r="A7" s="95" t="s">
        <v>28</v>
      </c>
      <c r="B7" s="90">
        <v>25</v>
      </c>
      <c r="C7" s="2"/>
      <c r="D7" s="95" t="s">
        <v>35</v>
      </c>
      <c r="E7" s="89">
        <v>0.15</v>
      </c>
      <c r="F7" s="2"/>
    </row>
    <row r="8" spans="1:6" x14ac:dyDescent="0.25">
      <c r="A8" s="95" t="s">
        <v>29</v>
      </c>
      <c r="B8" s="62">
        <v>420</v>
      </c>
      <c r="C8" s="2"/>
      <c r="D8" s="143" t="s">
        <v>86</v>
      </c>
      <c r="E8" s="143"/>
    </row>
    <row r="9" spans="1:6" x14ac:dyDescent="0.25">
      <c r="A9" s="2"/>
      <c r="B9" s="2"/>
      <c r="C9" s="2"/>
      <c r="D9" s="2"/>
      <c r="E9" s="2"/>
    </row>
    <row r="10" spans="1:6" x14ac:dyDescent="0.25">
      <c r="A10" s="131" t="s">
        <v>66</v>
      </c>
      <c r="B10" s="132"/>
      <c r="C10" s="132"/>
      <c r="D10" s="132"/>
      <c r="E10" s="133"/>
    </row>
    <row r="11" spans="1:6" x14ac:dyDescent="0.25">
      <c r="A11" s="95"/>
      <c r="B11" s="95"/>
      <c r="C11" s="95"/>
      <c r="D11" s="95"/>
      <c r="E11" s="95"/>
    </row>
    <row r="12" spans="1:6" x14ac:dyDescent="0.25">
      <c r="A12" s="2"/>
      <c r="B12" s="2"/>
      <c r="C12" s="94" t="s">
        <v>6</v>
      </c>
      <c r="D12" s="94" t="s">
        <v>7</v>
      </c>
      <c r="E12" s="94" t="s">
        <v>8</v>
      </c>
    </row>
    <row r="13" spans="1:6" x14ac:dyDescent="0.25">
      <c r="A13" s="137" t="s">
        <v>61</v>
      </c>
      <c r="B13" s="137"/>
      <c r="C13" s="59">
        <f>+E6*E7</f>
        <v>0.06</v>
      </c>
      <c r="D13" s="8">
        <v>25</v>
      </c>
      <c r="E13" s="78">
        <f>+C13*D13</f>
        <v>1.5</v>
      </c>
    </row>
    <row r="14" spans="1:6" x14ac:dyDescent="0.25">
      <c r="A14" s="137" t="s">
        <v>60</v>
      </c>
      <c r="B14" s="137"/>
      <c r="C14" s="59">
        <f>3.2*0.2</f>
        <v>0.64000000000000012</v>
      </c>
      <c r="D14" s="8">
        <v>17</v>
      </c>
      <c r="E14" s="78">
        <f>+C14*D14</f>
        <v>10.880000000000003</v>
      </c>
    </row>
    <row r="15" spans="1:6" x14ac:dyDescent="0.25">
      <c r="A15" s="79" t="s">
        <v>48</v>
      </c>
      <c r="B15" s="14"/>
      <c r="C15" s="9"/>
      <c r="D15" s="8"/>
      <c r="E15" s="80">
        <f>SUM(E13:E14)</f>
        <v>12.380000000000003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94" t="s">
        <v>1</v>
      </c>
      <c r="D17" s="94" t="s">
        <v>7</v>
      </c>
      <c r="E17" s="94" t="s">
        <v>8</v>
      </c>
    </row>
    <row r="18" spans="1:7" x14ac:dyDescent="0.25">
      <c r="A18" s="137" t="s">
        <v>62</v>
      </c>
      <c r="B18" s="137"/>
      <c r="C18" s="89">
        <v>0</v>
      </c>
      <c r="D18" s="91">
        <v>0</v>
      </c>
      <c r="E18" s="78">
        <f>+C18*D18</f>
        <v>0</v>
      </c>
    </row>
    <row r="19" spans="1:7" x14ac:dyDescent="0.25">
      <c r="A19" s="137" t="s">
        <v>63</v>
      </c>
      <c r="B19" s="137"/>
      <c r="C19" s="89">
        <f>3.15/2</f>
        <v>1.575</v>
      </c>
      <c r="D19" s="91">
        <v>3.2</v>
      </c>
      <c r="E19" s="78">
        <f>+C19*D19</f>
        <v>5.04</v>
      </c>
    </row>
    <row r="20" spans="1:7" x14ac:dyDescent="0.25">
      <c r="A20" s="137" t="s">
        <v>63</v>
      </c>
      <c r="B20" s="137"/>
      <c r="C20" s="89">
        <f>(1.73+3.15)/2</f>
        <v>2.44</v>
      </c>
      <c r="D20" s="91">
        <v>3.2</v>
      </c>
      <c r="E20" s="78">
        <f>+C20*D20</f>
        <v>7.8079999999999998</v>
      </c>
    </row>
    <row r="21" spans="1:7" x14ac:dyDescent="0.25">
      <c r="A21" s="96"/>
      <c r="B21" s="96"/>
      <c r="C21" s="7"/>
      <c r="D21" s="97"/>
      <c r="E21" s="78"/>
    </row>
    <row r="22" spans="1:7" x14ac:dyDescent="0.25">
      <c r="A22" s="96" t="s">
        <v>85</v>
      </c>
      <c r="B22" s="96"/>
      <c r="C22" s="89">
        <f>+C19</f>
        <v>1.575</v>
      </c>
      <c r="D22" s="91">
        <v>2</v>
      </c>
      <c r="E22" s="78">
        <f>+C22*D22</f>
        <v>3.15</v>
      </c>
    </row>
    <row r="23" spans="1:7" x14ac:dyDescent="0.25">
      <c r="A23" s="96" t="s">
        <v>85</v>
      </c>
      <c r="B23" s="96"/>
      <c r="C23" s="89">
        <f>+C20</f>
        <v>2.44</v>
      </c>
      <c r="D23" s="91">
        <v>2</v>
      </c>
      <c r="E23" s="78">
        <f>+C23*D23</f>
        <v>4.88</v>
      </c>
    </row>
    <row r="24" spans="1:7" x14ac:dyDescent="0.25">
      <c r="A24" s="2"/>
      <c r="B24" s="2"/>
      <c r="C24" s="2"/>
      <c r="D24" s="2"/>
      <c r="E24" s="2"/>
    </row>
    <row r="25" spans="1:7" x14ac:dyDescent="0.25">
      <c r="A25" s="131" t="s">
        <v>68</v>
      </c>
      <c r="B25" s="132"/>
      <c r="C25" s="132"/>
      <c r="D25" s="132"/>
      <c r="E25" s="133"/>
    </row>
    <row r="26" spans="1:7" x14ac:dyDescent="0.25">
      <c r="A26" s="95"/>
      <c r="B26" s="95"/>
      <c r="C26" s="95"/>
      <c r="D26" s="95"/>
      <c r="E26" s="95"/>
    </row>
    <row r="27" spans="1:7" x14ac:dyDescent="0.25">
      <c r="A27" s="138" t="s">
        <v>21</v>
      </c>
      <c r="B27" s="138"/>
      <c r="C27" s="2"/>
      <c r="D27" s="138" t="s">
        <v>22</v>
      </c>
      <c r="E27" s="138"/>
    </row>
    <row r="28" spans="1:7" x14ac:dyDescent="0.25">
      <c r="A28" s="2" t="s">
        <v>75</v>
      </c>
      <c r="B28" s="60">
        <v>18.260000000000002</v>
      </c>
      <c r="C28" s="2"/>
      <c r="D28" s="2" t="s">
        <v>69</v>
      </c>
      <c r="E28" s="60">
        <v>33.46</v>
      </c>
      <c r="G28" s="60">
        <f>ROUND((((1.2*(E15+E19))+(1.6*E22))),2)</f>
        <v>25.94</v>
      </c>
    </row>
    <row r="29" spans="1:7" x14ac:dyDescent="0.25">
      <c r="A29" s="2" t="s">
        <v>76</v>
      </c>
      <c r="B29" s="5">
        <f>ROUND(((E15+E18)*B6/2),2)</f>
        <v>19.5</v>
      </c>
      <c r="C29" s="2"/>
      <c r="D29" s="2" t="s">
        <v>51</v>
      </c>
      <c r="E29" s="5">
        <v>58.27</v>
      </c>
    </row>
    <row r="30" spans="1:7" x14ac:dyDescent="0.25">
      <c r="A30" s="2"/>
      <c r="B30" s="2"/>
      <c r="C30" s="2"/>
      <c r="D30" s="2"/>
      <c r="E30" s="2"/>
    </row>
    <row r="31" spans="1:7" x14ac:dyDescent="0.25">
      <c r="A31" s="131" t="s">
        <v>45</v>
      </c>
      <c r="B31" s="132"/>
      <c r="C31" s="132"/>
      <c r="D31" s="132"/>
      <c r="E31" s="133"/>
    </row>
    <row r="32" spans="1:7" x14ac:dyDescent="0.25">
      <c r="A32" s="95"/>
      <c r="B32" s="95"/>
      <c r="C32" s="95"/>
      <c r="D32" s="95"/>
      <c r="E32" s="95"/>
    </row>
    <row r="33" spans="1:7" x14ac:dyDescent="0.25">
      <c r="A33" s="81" t="s">
        <v>23</v>
      </c>
      <c r="B33" s="3">
        <f>+E6</f>
        <v>0.4</v>
      </c>
      <c r="C33" s="2"/>
      <c r="D33" s="2" t="s">
        <v>26</v>
      </c>
      <c r="E33" s="82">
        <f>((E28/(1000*0.9)))</f>
        <v>3.7177777777777782E-2</v>
      </c>
    </row>
    <row r="34" spans="1:7" x14ac:dyDescent="0.25">
      <c r="A34" s="58" t="s">
        <v>36</v>
      </c>
      <c r="B34" s="4">
        <v>0.03</v>
      </c>
      <c r="C34" s="2"/>
      <c r="D34" s="2" t="s">
        <v>27</v>
      </c>
      <c r="E34" s="83">
        <f>(B37/((E33/E7)^(1/2)))</f>
        <v>0.72311341197284873</v>
      </c>
    </row>
    <row r="35" spans="1:7" x14ac:dyDescent="0.25">
      <c r="A35" s="81" t="s">
        <v>64</v>
      </c>
      <c r="B35" s="4">
        <v>6.0000000000000001E-3</v>
      </c>
      <c r="C35" s="2"/>
      <c r="D35" s="2" t="s">
        <v>30</v>
      </c>
      <c r="E35" s="92">
        <v>0.67</v>
      </c>
      <c r="F35" s="93" t="s">
        <v>84</v>
      </c>
    </row>
    <row r="36" spans="1:7" x14ac:dyDescent="0.25">
      <c r="A36" s="58" t="s">
        <v>24</v>
      </c>
      <c r="B36" s="4">
        <v>0.01</v>
      </c>
      <c r="C36" s="2"/>
      <c r="D36" s="2" t="s">
        <v>31</v>
      </c>
      <c r="E36" s="84">
        <v>25.207000000000001</v>
      </c>
    </row>
    <row r="37" spans="1:7" x14ac:dyDescent="0.25">
      <c r="A37" s="95" t="s">
        <v>25</v>
      </c>
      <c r="B37" s="3">
        <f>+ROUND(B33-B34-B35-B36/2,2)</f>
        <v>0.36</v>
      </c>
      <c r="C37" s="2"/>
      <c r="E37" s="2"/>
    </row>
    <row r="38" spans="1:7" x14ac:dyDescent="0.25">
      <c r="A38" s="2"/>
      <c r="B38" s="2"/>
      <c r="C38" s="2"/>
      <c r="D38" s="2"/>
      <c r="E38" s="2"/>
    </row>
    <row r="39" spans="1:7" x14ac:dyDescent="0.25">
      <c r="A39" s="58" t="s">
        <v>32</v>
      </c>
      <c r="B39" s="61">
        <f>(E36*(E33/B37))</f>
        <v>2.6031673456790125</v>
      </c>
      <c r="C39" s="2"/>
      <c r="D39" s="2"/>
      <c r="E39" s="2"/>
    </row>
    <row r="40" spans="1:7" x14ac:dyDescent="0.25">
      <c r="A40" s="58" t="s">
        <v>33</v>
      </c>
      <c r="B40" s="61">
        <f>+ROUND(((1.4*$E$7*$B$37)/$B$8)*10000,3)</f>
        <v>1.8</v>
      </c>
      <c r="C40" s="2"/>
      <c r="D40" s="94" t="s">
        <v>65</v>
      </c>
      <c r="E40" s="85">
        <f>+IF(B40&gt;B39,B40,B39)</f>
        <v>2.6031673456790125</v>
      </c>
    </row>
    <row r="41" spans="1:7" x14ac:dyDescent="0.25">
      <c r="A41" s="2"/>
      <c r="B41" s="2"/>
      <c r="C41" s="2"/>
      <c r="D41" s="2"/>
      <c r="E41" s="2"/>
    </row>
    <row r="42" spans="1:7" x14ac:dyDescent="0.25">
      <c r="A42" s="134" t="s">
        <v>34</v>
      </c>
      <c r="B42" s="134"/>
      <c r="C42" s="64">
        <v>3</v>
      </c>
      <c r="D42" s="87">
        <v>10</v>
      </c>
      <c r="E42" s="88">
        <f>C42*(PI()*(D42/10)^2)/4</f>
        <v>2.3561944901923448</v>
      </c>
      <c r="F42" s="10"/>
      <c r="G42" t="s">
        <v>95</v>
      </c>
    </row>
    <row r="43" spans="1:7" x14ac:dyDescent="0.25">
      <c r="A43" s="134"/>
      <c r="B43" s="134"/>
      <c r="C43" s="64">
        <v>0</v>
      </c>
      <c r="D43" s="87">
        <v>16</v>
      </c>
      <c r="E43" s="88">
        <f>C43*(PI()*(D43/10)^2)/4</f>
        <v>0</v>
      </c>
    </row>
    <row r="44" spans="1:7" x14ac:dyDescent="0.25">
      <c r="A44" s="2"/>
      <c r="B44" s="2"/>
      <c r="C44" s="2"/>
      <c r="D44" s="65" t="str">
        <f>+IF(E44&gt;E40,"B.C.","M.C.")</f>
        <v>M.C.</v>
      </c>
      <c r="E44" s="85">
        <f>SUM(E42:E43)</f>
        <v>2.3561944901923448</v>
      </c>
    </row>
    <row r="45" spans="1:7" x14ac:dyDescent="0.25">
      <c r="A45" s="2"/>
      <c r="B45" s="2"/>
      <c r="C45" s="2"/>
      <c r="D45" s="2"/>
      <c r="E45" s="86"/>
    </row>
    <row r="46" spans="1:7" x14ac:dyDescent="0.25">
      <c r="A46" s="131" t="s">
        <v>46</v>
      </c>
      <c r="B46" s="132"/>
      <c r="C46" s="132"/>
      <c r="D46" s="132"/>
      <c r="E46" s="133"/>
    </row>
    <row r="47" spans="1:7" x14ac:dyDescent="0.25">
      <c r="A47" s="2"/>
      <c r="B47" s="2"/>
      <c r="C47" s="2"/>
      <c r="D47" s="2"/>
      <c r="E47" s="2"/>
    </row>
    <row r="48" spans="1:7" x14ac:dyDescent="0.25">
      <c r="A48" s="14" t="s">
        <v>74</v>
      </c>
      <c r="B48" s="5">
        <f>+E29/0.75</f>
        <v>77.693333333333342</v>
      </c>
      <c r="C48" s="2"/>
      <c r="D48" s="2"/>
      <c r="E48" s="2"/>
    </row>
    <row r="49" spans="1:5" ht="15" customHeight="1" x14ac:dyDescent="0.25">
      <c r="A49" s="74" t="s">
        <v>52</v>
      </c>
      <c r="B49" s="5">
        <f>((1/6)*(B7^(1/2))*(E7*1000)*(1000*(B37))/1000)</f>
        <v>44.999999999999993</v>
      </c>
      <c r="C49" s="2"/>
      <c r="D49" s="2"/>
      <c r="E49" s="2"/>
    </row>
    <row r="50" spans="1:5" x14ac:dyDescent="0.25">
      <c r="A50" s="2" t="s">
        <v>77</v>
      </c>
      <c r="B50" s="5">
        <f>+IF(B49&gt;B48,0,B48-B49)</f>
        <v>32.693333333333349</v>
      </c>
      <c r="C50" s="135" t="str">
        <f>+IF(B49&gt;B48,"ARM. MINIMA DE CORTE","ES NECESARIA ARM. DE CORTE")</f>
        <v>ES NECESARIA ARM. DE CORTE</v>
      </c>
      <c r="D50" s="135"/>
      <c r="E50" s="135"/>
    </row>
    <row r="51" spans="1:5" x14ac:dyDescent="0.25">
      <c r="A51" s="2"/>
      <c r="B51" s="2"/>
      <c r="C51" s="2"/>
      <c r="D51" s="2"/>
      <c r="E51" s="2"/>
    </row>
    <row r="52" spans="1:5" x14ac:dyDescent="0.25">
      <c r="A52" s="134" t="s">
        <v>70</v>
      </c>
      <c r="B52" s="134"/>
      <c r="C52" s="136" t="s">
        <v>72</v>
      </c>
      <c r="D52" s="136"/>
      <c r="E52" s="136"/>
    </row>
    <row r="53" spans="1:5" x14ac:dyDescent="0.25">
      <c r="A53" s="134"/>
      <c r="B53" s="134"/>
      <c r="C53" s="70">
        <v>1</v>
      </c>
      <c r="D53" s="71">
        <v>6</v>
      </c>
      <c r="E53" s="72">
        <v>20</v>
      </c>
    </row>
    <row r="54" spans="1:5" x14ac:dyDescent="0.25">
      <c r="A54" s="2"/>
      <c r="B54" s="2"/>
      <c r="C54" s="2"/>
      <c r="D54" s="2"/>
      <c r="E54" s="2"/>
    </row>
    <row r="55" spans="1:5" ht="18" x14ac:dyDescent="0.35">
      <c r="A55" s="75" t="s">
        <v>78</v>
      </c>
      <c r="B55" s="73">
        <f>+((((2*(PI()*(D53/10)^2)/4)/(100^2))*B8*B37)/(E53/100))*1000</f>
        <v>42.750792830049903</v>
      </c>
      <c r="C55" s="65" t="str">
        <f>+IF(B55&gt;B50,"B.C.","M.C.")</f>
        <v>B.C.</v>
      </c>
      <c r="D55" s="2"/>
      <c r="E55" s="2"/>
    </row>
    <row r="56" spans="1:5" x14ac:dyDescent="0.25">
      <c r="A56" s="2"/>
      <c r="B56" s="2"/>
      <c r="C56" s="2"/>
      <c r="D56" s="2"/>
      <c r="E56" s="2"/>
    </row>
    <row r="59" spans="1:5" ht="18" customHeight="1" x14ac:dyDescent="0.25"/>
  </sheetData>
  <mergeCells count="19">
    <mergeCell ref="A13:B13"/>
    <mergeCell ref="A1:E1"/>
    <mergeCell ref="A3:E3"/>
    <mergeCell ref="D4:E4"/>
    <mergeCell ref="D8:E8"/>
    <mergeCell ref="A10:E10"/>
    <mergeCell ref="A14:B14"/>
    <mergeCell ref="A18:B18"/>
    <mergeCell ref="A19:B19"/>
    <mergeCell ref="A25:E25"/>
    <mergeCell ref="A27:B27"/>
    <mergeCell ref="D27:E27"/>
    <mergeCell ref="A20:B20"/>
    <mergeCell ref="A31:E31"/>
    <mergeCell ref="A42:B43"/>
    <mergeCell ref="A46:E46"/>
    <mergeCell ref="C50:E50"/>
    <mergeCell ref="A52:B53"/>
    <mergeCell ref="C52:E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LOSAS VIGUETAS</vt:lpstr>
      <vt:lpstr>VIGA 100-101 Arm Inf</vt:lpstr>
      <vt:lpstr>VIGA 100-101 Arm Sup</vt:lpstr>
      <vt:lpstr>VIGA 102</vt:lpstr>
      <vt:lpstr>VIGA 103</vt:lpstr>
      <vt:lpstr>VIGA 104-105 Arm Inf</vt:lpstr>
      <vt:lpstr>VIGA 104-105 Arm Sup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USUARIO</cp:lastModifiedBy>
  <dcterms:created xsi:type="dcterms:W3CDTF">2015-06-05T18:17:20Z</dcterms:created>
  <dcterms:modified xsi:type="dcterms:W3CDTF">2023-04-19T14:14:58Z</dcterms:modified>
</cp:coreProperties>
</file>