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ndya\Desktop\"/>
    </mc:Choice>
  </mc:AlternateContent>
  <xr:revisionPtr revIDLastSave="0" documentId="13_ncr:1_{7DA5C1DA-6FAC-4B1D-A786-4C6C4EC14C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igas" sheetId="1" r:id="rId1"/>
    <sheet name="Tabla k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9" i="2"/>
  <c r="E36" i="1" s="1"/>
  <c r="B10" i="2"/>
  <c r="E35" i="1" s="1"/>
  <c r="B11" i="2"/>
  <c r="B12" i="2"/>
  <c r="B13" i="2"/>
  <c r="B8" i="2"/>
  <c r="B41" i="1"/>
  <c r="C20" i="1"/>
  <c r="B43" i="1" s="1"/>
  <c r="B45" i="1" l="1"/>
  <c r="C50" i="1" s="1"/>
  <c r="B30" i="1"/>
  <c r="E37" i="1"/>
  <c r="M6" i="1" l="1"/>
  <c r="M7" i="1"/>
  <c r="M8" i="1"/>
  <c r="M9" i="1"/>
  <c r="M10" i="1"/>
  <c r="M11" i="1"/>
  <c r="M12" i="1"/>
  <c r="M13" i="1"/>
  <c r="M14" i="1"/>
  <c r="M15" i="1"/>
  <c r="M16" i="1"/>
  <c r="M5" i="1"/>
  <c r="B14" i="1"/>
  <c r="B22" i="1" l="1"/>
  <c r="B25" i="1" l="1"/>
  <c r="B26" i="1" s="1"/>
  <c r="B28" i="1" s="1"/>
  <c r="B33" i="1" s="1"/>
  <c r="D37" i="1" s="1"/>
</calcChain>
</file>

<file path=xl/sharedStrings.xml><?xml version="1.0" encoding="utf-8"?>
<sst xmlns="http://schemas.openxmlformats.org/spreadsheetml/2006/main" count="19" uniqueCount="19">
  <si>
    <t>CÁLCULO DE VIGA XX</t>
  </si>
  <si>
    <t>Mu</t>
  </si>
  <si>
    <t>Vu</t>
  </si>
  <si>
    <t>h</t>
  </si>
  <si>
    <t>Cc</t>
  </si>
  <si>
    <t>db Estr</t>
  </si>
  <si>
    <t>db Long</t>
  </si>
  <si>
    <t>kd</t>
  </si>
  <si>
    <t>b</t>
  </si>
  <si>
    <t>f'c</t>
  </si>
  <si>
    <t>Fy</t>
  </si>
  <si>
    <t>H</t>
  </si>
  <si>
    <t>Características</t>
  </si>
  <si>
    <t>Solicitaciones</t>
  </si>
  <si>
    <t>Dimensionado por Flexión</t>
  </si>
  <si>
    <t>Dimensionado por Corte</t>
  </si>
  <si>
    <t>Armadura transversal</t>
  </si>
  <si>
    <t>Estribos cerrados en 2 ramas</t>
  </si>
  <si>
    <t>Armadura longitudinal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</si>
</sst>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\ &quot;kNm&quot;"/>
    <numFmt numFmtId="165" formatCode="0.00\ &quot;kN&quot;"/>
    <numFmt numFmtId="166" formatCode="0.0000\ &quot;MNm&quot;"/>
    <numFmt numFmtId="167" formatCode="0.00\ &quot;m&quot;"/>
    <numFmt numFmtId="168" formatCode="0\ &quot;MPa&quot;"/>
    <numFmt numFmtId="169" formatCode="&quot;H&quot;0"/>
    <numFmt numFmtId="170" formatCode="0.000&quot;cm²/MN&quot;"/>
    <numFmt numFmtId="171" formatCode="0.000\ &quot;cm²&quot;"/>
    <numFmt numFmtId="172" formatCode="0\ &quot;mm&quot;"/>
    <numFmt numFmtId="174" formatCode="&quot;Ø&quot;\ 0"/>
    <numFmt numFmtId="175" formatCode="0.00\ &quot;cm²&quot;"/>
    <numFmt numFmtId="176" formatCode="&quot;c/&quot;0\ &quot;cm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 applyAlignment="1">
      <alignment horizontal="center"/>
    </xf>
    <xf numFmtId="168" fontId="3" fillId="0" borderId="0" xfId="0" applyNumberFormat="1" applyFont="1" applyAlignment="1">
      <alignment horizontal="center"/>
    </xf>
    <xf numFmtId="169" fontId="0" fillId="0" borderId="0" xfId="0" applyNumberFormat="1"/>
    <xf numFmtId="0" fontId="0" fillId="0" borderId="0" xfId="0" applyAlignment="1"/>
    <xf numFmtId="0" fontId="0" fillId="0" borderId="0" xfId="0" applyNumberFormat="1"/>
    <xf numFmtId="174" fontId="0" fillId="0" borderId="0" xfId="0" applyNumberFormat="1"/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5" fontId="0" fillId="0" borderId="0" xfId="0" applyNumberFormat="1"/>
    <xf numFmtId="175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5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74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left"/>
    </xf>
    <xf numFmtId="17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17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21772</xdr:colOff>
      <xdr:row>21</xdr:row>
      <xdr:rowOff>0</xdr:rowOff>
    </xdr:from>
    <xdr:ext cx="805029" cy="5319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A7B2EE4-2950-04EB-608E-0F52595A5FB3}"/>
                </a:ext>
              </a:extLst>
            </xdr:cNvPr>
            <xdr:cNvSpPr txBox="1"/>
          </xdr:nvSpPr>
          <xdr:spPr>
            <a:xfrm>
              <a:off x="21772" y="4051739"/>
              <a:ext cx="805029" cy="531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A7B2EE4-2950-04EB-608E-0F52595A5FB3}"/>
                </a:ext>
              </a:extLst>
            </xdr:cNvPr>
            <xdr:cNvSpPr txBox="1"/>
          </xdr:nvSpPr>
          <xdr:spPr>
            <a:xfrm>
              <a:off x="21772" y="4051739"/>
              <a:ext cx="805029" cy="531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𝑘_𝑑=𝑑/√(𝑀_𝑛/𝑏)=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24</xdr:row>
      <xdr:rowOff>15766</xdr:rowOff>
    </xdr:from>
    <xdr:ext cx="7254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A21E227-017D-4DA8-81D0-19A7F56FA63F}"/>
                </a:ext>
              </a:extLst>
            </xdr:cNvPr>
            <xdr:cNvSpPr txBox="1"/>
          </xdr:nvSpPr>
          <xdr:spPr>
            <a:xfrm>
              <a:off x="0" y="3405352"/>
              <a:ext cx="725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𝑇𝑎𝑏𝑙𝑎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 b="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A21E227-017D-4DA8-81D0-19A7F56FA63F}"/>
                </a:ext>
              </a:extLst>
            </xdr:cNvPr>
            <xdr:cNvSpPr txBox="1"/>
          </xdr:nvSpPr>
          <xdr:spPr>
            <a:xfrm>
              <a:off x="0" y="3405352"/>
              <a:ext cx="725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𝑘_𝑑  𝑇𝑎𝑏𝑙𝑎=</a:t>
              </a:r>
              <a:endParaRPr lang="es-AR" sz="1100" b="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3190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ECB3B56-3D0B-4318-BCF5-A4703F5577B1}"/>
                </a:ext>
              </a:extLst>
            </xdr:cNvPr>
            <xdr:cNvSpPr txBox="1"/>
          </xdr:nvSpPr>
          <xdr:spPr>
            <a:xfrm>
              <a:off x="0" y="3573517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ECB3B56-3D0B-4318-BCF5-A4703F5577B1}"/>
                </a:ext>
              </a:extLst>
            </xdr:cNvPr>
            <xdr:cNvSpPr txBox="1"/>
          </xdr:nvSpPr>
          <xdr:spPr>
            <a:xfrm>
              <a:off x="0" y="3573517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𝑘_𝑒=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26</xdr:row>
      <xdr:rowOff>105667</xdr:rowOff>
    </xdr:from>
    <xdr:ext cx="859659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FB2B4DA-F628-126E-B264-3A7E2F92EC27}"/>
                </a:ext>
              </a:extLst>
            </xdr:cNvPr>
            <xdr:cNvSpPr txBox="1"/>
          </xdr:nvSpPr>
          <xdr:spPr>
            <a:xfrm>
              <a:off x="0" y="5156638"/>
              <a:ext cx="8596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FB2B4DA-F628-126E-B264-3A7E2F92EC27}"/>
                </a:ext>
              </a:extLst>
            </xdr:cNvPr>
            <xdr:cNvSpPr txBox="1"/>
          </xdr:nvSpPr>
          <xdr:spPr>
            <a:xfrm>
              <a:off x="0" y="5156638"/>
              <a:ext cx="8596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𝐴_𝑠=𝑘_𝑒  𝑀_𝑛/𝑑=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28</xdr:row>
      <xdr:rowOff>119555</xdr:rowOff>
    </xdr:from>
    <xdr:ext cx="1264064" cy="3688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700447D-6FBE-B745-3307-C5F300D5A80B}"/>
                </a:ext>
              </a:extLst>
            </xdr:cNvPr>
            <xdr:cNvSpPr txBox="1"/>
          </xdr:nvSpPr>
          <xdr:spPr>
            <a:xfrm>
              <a:off x="0" y="5540641"/>
              <a:ext cx="1264064" cy="368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1,4.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700447D-6FBE-B745-3307-C5F300D5A80B}"/>
                </a:ext>
              </a:extLst>
            </xdr:cNvPr>
            <xdr:cNvSpPr txBox="1"/>
          </xdr:nvSpPr>
          <xdr:spPr>
            <a:xfrm>
              <a:off x="0" y="5540641"/>
              <a:ext cx="1264064" cy="368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𝐴_(𝑠 𝑚í𝑛)=(1,4.𝑏_𝑤.𝑑)/𝑓_𝑦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18</xdr:row>
      <xdr:rowOff>111578</xdr:rowOff>
    </xdr:from>
    <xdr:ext cx="2111475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6D60356-10F6-7295-0F05-01BAB825C599}"/>
                </a:ext>
              </a:extLst>
            </xdr:cNvPr>
            <xdr:cNvSpPr txBox="1"/>
          </xdr:nvSpPr>
          <xdr:spPr>
            <a:xfrm>
              <a:off x="0" y="3311978"/>
              <a:ext cx="211147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𝑒𝑠𝑡𝑟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𝑙𝑜𝑛𝑔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6D60356-10F6-7295-0F05-01BAB825C599}"/>
                </a:ext>
              </a:extLst>
            </xdr:cNvPr>
            <xdr:cNvSpPr txBox="1"/>
          </xdr:nvSpPr>
          <xdr:spPr>
            <a:xfrm>
              <a:off x="0" y="3311978"/>
              <a:ext cx="211147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𝑑=ℎ−𝐶𝑐−𝑑_(𝑏 𝑒𝑠𝑡𝑟)−1/2 𝑑_𝑏 𝑙𝑜𝑛𝑔=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</xdr:row>
      <xdr:rowOff>106135</xdr:rowOff>
    </xdr:from>
    <xdr:ext cx="732636" cy="3455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C525CA1-49FA-9C50-7F78-9777ABF496BB}"/>
                </a:ext>
              </a:extLst>
            </xdr:cNvPr>
            <xdr:cNvSpPr txBox="1"/>
          </xdr:nvSpPr>
          <xdr:spPr>
            <a:xfrm>
              <a:off x="0" y="2381249"/>
              <a:ext cx="732636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C525CA1-49FA-9C50-7F78-9777ABF496BB}"/>
                </a:ext>
              </a:extLst>
            </xdr:cNvPr>
            <xdr:cNvSpPr txBox="1"/>
          </xdr:nvSpPr>
          <xdr:spPr>
            <a:xfrm>
              <a:off x="0" y="2381249"/>
              <a:ext cx="732636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𝑀_𝑛=𝑀_𝑢/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𝑏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5443</xdr:colOff>
      <xdr:row>12</xdr:row>
      <xdr:rowOff>182335</xdr:rowOff>
    </xdr:from>
    <xdr:ext cx="8920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5132BB1-4FE9-8D88-3301-1A18F1F6C9A4}"/>
                </a:ext>
              </a:extLst>
            </xdr:cNvPr>
            <xdr:cNvSpPr txBox="1"/>
          </xdr:nvSpPr>
          <xdr:spPr>
            <a:xfrm>
              <a:off x="2552700" y="2457449"/>
              <a:ext cx="892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5132BB1-4FE9-8D88-3301-1A18F1F6C9A4}"/>
                </a:ext>
              </a:extLst>
            </xdr:cNvPr>
            <xdr:cNvSpPr txBox="1"/>
          </xdr:nvSpPr>
          <xdr:spPr>
            <a:xfrm>
              <a:off x="2552700" y="2457449"/>
              <a:ext cx="892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16328</xdr:colOff>
      <xdr:row>32</xdr:row>
      <xdr:rowOff>13606</xdr:rowOff>
    </xdr:from>
    <xdr:ext cx="4180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B8E5029-76F6-3E12-A88D-A17418F14214}"/>
                </a:ext>
              </a:extLst>
            </xdr:cNvPr>
            <xdr:cNvSpPr txBox="1"/>
          </xdr:nvSpPr>
          <xdr:spPr>
            <a:xfrm>
              <a:off x="16328" y="6174920"/>
              <a:ext cx="418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𝑨</m:t>
                      </m:r>
                    </m:e>
                    <m:sub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𝒔</m:t>
                      </m:r>
                      <m:r>
                        <a:rPr lang="es-AR" sz="1100" b="1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𝒏𝒆𝒄</m:t>
                      </m:r>
                    </m:sub>
                  </m:sSub>
                </m:oMath>
              </a14:m>
              <a:r>
                <a:rPr lang="es-AR" sz="1100" b="1"/>
                <a:t>=</a:t>
              </a:r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B8E5029-76F6-3E12-A88D-A17418F14214}"/>
                </a:ext>
              </a:extLst>
            </xdr:cNvPr>
            <xdr:cNvSpPr txBox="1"/>
          </xdr:nvSpPr>
          <xdr:spPr>
            <a:xfrm>
              <a:off x="16328" y="6174920"/>
              <a:ext cx="418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1" i="0">
                  <a:latin typeface="Cambria Math" panose="02040503050406030204" pitchFamily="18" charset="0"/>
                </a:rPr>
                <a:t>𝑨_(𝒔 𝒏𝒆𝒄)</a:t>
              </a:r>
              <a:r>
                <a:rPr lang="es-AR" sz="1100" b="1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48985</xdr:colOff>
      <xdr:row>39</xdr:row>
      <xdr:rowOff>108858</xdr:rowOff>
    </xdr:from>
    <xdr:ext cx="645048" cy="3454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8CF4CC1-069B-46E5-9973-546501B25D7A}"/>
                </a:ext>
              </a:extLst>
            </xdr:cNvPr>
            <xdr:cNvSpPr txBox="1"/>
          </xdr:nvSpPr>
          <xdr:spPr>
            <a:xfrm>
              <a:off x="48985" y="7554687"/>
              <a:ext cx="64504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8CF4CC1-069B-46E5-9973-546501B25D7A}"/>
                </a:ext>
              </a:extLst>
            </xdr:cNvPr>
            <xdr:cNvSpPr txBox="1"/>
          </xdr:nvSpPr>
          <xdr:spPr>
            <a:xfrm>
              <a:off x="48985" y="7554687"/>
              <a:ext cx="64504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𝑉_𝑛=𝑉_𝑢/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𝑣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54428</xdr:colOff>
      <xdr:row>40</xdr:row>
      <xdr:rowOff>1</xdr:rowOff>
    </xdr:from>
    <xdr:ext cx="8885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8BFB651-060D-4E9B-AB41-3266335C8DDE}"/>
                </a:ext>
              </a:extLst>
            </xdr:cNvPr>
            <xdr:cNvSpPr txBox="1"/>
          </xdr:nvSpPr>
          <xdr:spPr>
            <a:xfrm>
              <a:off x="2601685" y="7630887"/>
              <a:ext cx="8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=0,75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8BFB651-060D-4E9B-AB41-3266335C8DDE}"/>
                </a:ext>
              </a:extLst>
            </xdr:cNvPr>
            <xdr:cNvSpPr txBox="1"/>
          </xdr:nvSpPr>
          <xdr:spPr>
            <a:xfrm>
              <a:off x="2601685" y="7630887"/>
              <a:ext cx="8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𝑣=0,75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48986</xdr:colOff>
      <xdr:row>41</xdr:row>
      <xdr:rowOff>111578</xdr:rowOff>
    </xdr:from>
    <xdr:ext cx="1244443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C54FCFE-F695-4652-8A18-FAEF2C914B6F}"/>
                </a:ext>
              </a:extLst>
            </xdr:cNvPr>
            <xdr:cNvSpPr txBox="1"/>
          </xdr:nvSpPr>
          <xdr:spPr>
            <a:xfrm>
              <a:off x="48986" y="7927521"/>
              <a:ext cx="124444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C54FCFE-F695-4652-8A18-FAEF2C914B6F}"/>
                </a:ext>
              </a:extLst>
            </xdr:cNvPr>
            <xdr:cNvSpPr txBox="1"/>
          </xdr:nvSpPr>
          <xdr:spPr>
            <a:xfrm>
              <a:off x="48986" y="7927521"/>
              <a:ext cx="124444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𝑉_𝑐=1/6 √(〖𝑓′〗_𝑐 ).𝑏_𝑤  . 𝑑=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44</xdr:row>
      <xdr:rowOff>8164</xdr:rowOff>
    </xdr:from>
    <xdr:ext cx="4900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82150E8-ADE3-FE33-5A0D-3FF89467DFBC}"/>
                </a:ext>
              </a:extLst>
            </xdr:cNvPr>
            <xdr:cNvSpPr txBox="1"/>
          </xdr:nvSpPr>
          <xdr:spPr>
            <a:xfrm>
              <a:off x="65314" y="8016091"/>
              <a:ext cx="49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𝑛𝑒𝑐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82150E8-ADE3-FE33-5A0D-3FF89467DFBC}"/>
                </a:ext>
              </a:extLst>
            </xdr:cNvPr>
            <xdr:cNvSpPr txBox="1"/>
          </xdr:nvSpPr>
          <xdr:spPr>
            <a:xfrm>
              <a:off x="65314" y="8016091"/>
              <a:ext cx="49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𝑉_(𝑠 𝑛𝑒𝑐)=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59872</xdr:colOff>
      <xdr:row>48</xdr:row>
      <xdr:rowOff>108857</xdr:rowOff>
    </xdr:from>
    <xdr:ext cx="1257460" cy="3264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65723EEA-D946-4F63-9B4C-DBCE9EAD5333}"/>
                </a:ext>
              </a:extLst>
            </xdr:cNvPr>
            <xdr:cNvSpPr txBox="1"/>
          </xdr:nvSpPr>
          <xdr:spPr>
            <a:xfrm>
              <a:off x="59872" y="8837221"/>
              <a:ext cx="1257460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𝑟𝑒𝑎𝑙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 b="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65723EEA-D946-4F63-9B4C-DBCE9EAD5333}"/>
                </a:ext>
              </a:extLst>
            </xdr:cNvPr>
            <xdr:cNvSpPr txBox="1"/>
          </xdr:nvSpPr>
          <xdr:spPr>
            <a:xfrm>
              <a:off x="59872" y="8837221"/>
              <a:ext cx="1257460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𝑉_(𝑠 𝑟𝑒𝑎𝑙)=(𝐴_𝑣  .𝑑 . 𝑓_𝑦)/𝑠=</a:t>
              </a:r>
              <a:endParaRPr lang="es-AR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showGridLines="0" tabSelected="1" zoomScale="110" zoomScaleNormal="110" workbookViewId="0">
      <selection activeCell="C56" sqref="C56"/>
    </sheetView>
  </sheetViews>
  <sheetFormatPr baseColWidth="10" defaultColWidth="8.88671875" defaultRowHeight="14.4" x14ac:dyDescent="0.3"/>
  <cols>
    <col min="2" max="2" width="19.33203125" customWidth="1"/>
    <col min="5" max="5" width="8.88671875" customWidth="1"/>
  </cols>
  <sheetData>
    <row r="1" spans="1:15" ht="15.6" x14ac:dyDescent="0.3">
      <c r="A1" s="19" t="s">
        <v>0</v>
      </c>
      <c r="B1" s="19"/>
      <c r="C1" s="19"/>
      <c r="D1" s="19"/>
      <c r="E1" s="19"/>
    </row>
    <row r="2" spans="1:15" ht="15.6" x14ac:dyDescent="0.3">
      <c r="A2" s="4"/>
      <c r="B2" s="4"/>
      <c r="C2" s="4"/>
      <c r="D2" s="4"/>
      <c r="E2" s="4"/>
    </row>
    <row r="3" spans="1:15" x14ac:dyDescent="0.3">
      <c r="A3" s="20" t="s">
        <v>12</v>
      </c>
      <c r="B3" s="20"/>
      <c r="C3" s="20"/>
      <c r="D3" s="20"/>
      <c r="E3" s="20"/>
    </row>
    <row r="4" spans="1:15" ht="15.6" x14ac:dyDescent="0.3">
      <c r="A4" s="9" t="s">
        <v>3</v>
      </c>
      <c r="B4" s="30">
        <v>0.3</v>
      </c>
      <c r="C4" s="4"/>
      <c r="D4" s="9" t="s">
        <v>9</v>
      </c>
      <c r="E4" s="10">
        <v>25</v>
      </c>
    </row>
    <row r="5" spans="1:15" ht="15.6" x14ac:dyDescent="0.3">
      <c r="A5" s="9" t="s">
        <v>8</v>
      </c>
      <c r="B5" s="30">
        <v>0.2</v>
      </c>
      <c r="C5" s="4"/>
      <c r="D5" s="9" t="s">
        <v>10</v>
      </c>
      <c r="E5" s="10">
        <v>420</v>
      </c>
      <c r="L5" t="s">
        <v>7</v>
      </c>
      <c r="M5">
        <f>VLOOKUP($E$4,'Tabla kd'!$A$2:$M$4,O5,FALSE)</f>
        <v>1.089</v>
      </c>
      <c r="N5">
        <v>24.300999999999998</v>
      </c>
      <c r="O5">
        <v>2</v>
      </c>
    </row>
    <row r="6" spans="1:15" x14ac:dyDescent="0.3">
      <c r="M6">
        <f>VLOOKUP($E$4,'Tabla kd'!$A$2:$M$4,O6,FALSE)</f>
        <v>0.79600000000000004</v>
      </c>
      <c r="N6">
        <v>24.765999999999998</v>
      </c>
      <c r="O6">
        <v>3</v>
      </c>
    </row>
    <row r="7" spans="1:15" x14ac:dyDescent="0.3">
      <c r="A7" s="20" t="s">
        <v>13</v>
      </c>
      <c r="B7" s="20"/>
      <c r="C7" s="20"/>
      <c r="D7" s="20"/>
      <c r="E7" s="20"/>
      <c r="M7">
        <f>VLOOKUP($E$4,'Tabla kd'!$A$2:$M$4,O7,FALSE)</f>
        <v>0.67</v>
      </c>
      <c r="N7">
        <v>25.207000000000001</v>
      </c>
      <c r="O7">
        <v>4</v>
      </c>
    </row>
    <row r="8" spans="1:15" x14ac:dyDescent="0.3">
      <c r="A8" s="2"/>
      <c r="B8" s="2"/>
      <c r="C8" s="2"/>
      <c r="D8" s="2"/>
      <c r="E8" s="2"/>
      <c r="M8">
        <f>VLOOKUP($E$4,'Tabla kd'!$A$2:$M$4,O8,FALSE)</f>
        <v>0.59799999999999998</v>
      </c>
      <c r="N8">
        <v>25.625</v>
      </c>
      <c r="O8">
        <v>5</v>
      </c>
    </row>
    <row r="9" spans="1:15" x14ac:dyDescent="0.3">
      <c r="A9" t="s">
        <v>1</v>
      </c>
      <c r="B9" s="5">
        <v>14.17</v>
      </c>
      <c r="M9">
        <f>VLOOKUP($E$4,'Tabla kd'!$A$2:$M$4,O9,FALSE)</f>
        <v>0.55000000000000004</v>
      </c>
      <c r="N9">
        <v>26.021000000000001</v>
      </c>
      <c r="O9">
        <v>6</v>
      </c>
    </row>
    <row r="10" spans="1:15" x14ac:dyDescent="0.3">
      <c r="A10" t="s">
        <v>2</v>
      </c>
      <c r="B10" s="6">
        <v>36.619999999999997</v>
      </c>
      <c r="M10">
        <f>VLOOKUP($E$4,'Tabla kd'!$A$2:$M$4,O10,FALSE)</f>
        <v>0.51600000000000001</v>
      </c>
      <c r="N10">
        <v>26.399000000000001</v>
      </c>
      <c r="O10">
        <v>7</v>
      </c>
    </row>
    <row r="11" spans="1:15" x14ac:dyDescent="0.3">
      <c r="M11">
        <f>VLOOKUP($E$4,'Tabla kd'!$A$2:$M$4,O11,FALSE)</f>
        <v>0.49</v>
      </c>
      <c r="N11">
        <v>26.757999999999999</v>
      </c>
      <c r="O11">
        <v>8</v>
      </c>
    </row>
    <row r="12" spans="1:15" x14ac:dyDescent="0.3">
      <c r="A12" s="20" t="s">
        <v>14</v>
      </c>
      <c r="B12" s="20"/>
      <c r="C12" s="20"/>
      <c r="D12" s="20"/>
      <c r="E12" s="20"/>
      <c r="M12">
        <f>VLOOKUP($E$4,'Tabla kd'!$A$2:$M$4,O12,FALSE)</f>
        <v>0.47</v>
      </c>
      <c r="N12">
        <v>27.1</v>
      </c>
      <c r="O12">
        <v>9</v>
      </c>
    </row>
    <row r="13" spans="1:15" x14ac:dyDescent="0.3">
      <c r="M13">
        <f>VLOOKUP($E$4,'Tabla kd'!$A$2:$M$4,O13,FALSE)</f>
        <v>0.45300000000000001</v>
      </c>
      <c r="N13">
        <v>27.427</v>
      </c>
      <c r="O13">
        <v>10</v>
      </c>
    </row>
    <row r="14" spans="1:15" x14ac:dyDescent="0.3">
      <c r="B14" s="22">
        <f>B9/(0.9*1000)</f>
        <v>1.5744444444444443E-2</v>
      </c>
      <c r="E14" s="8"/>
      <c r="M14">
        <f>VLOOKUP($E$4,'Tabla kd'!$A$2:$M$4,O14,FALSE)</f>
        <v>0.44</v>
      </c>
      <c r="N14">
        <v>27.739000000000001</v>
      </c>
      <c r="O14">
        <v>11</v>
      </c>
    </row>
    <row r="15" spans="1:15" x14ac:dyDescent="0.3">
      <c r="B15" s="7"/>
      <c r="E15" s="8"/>
      <c r="M15">
        <f>VLOOKUP($E$4,'Tabla kd'!$A$2:$M$4,O15,FALSE)</f>
        <v>0.42899999999999999</v>
      </c>
      <c r="N15">
        <v>28.038</v>
      </c>
      <c r="O15">
        <v>12</v>
      </c>
    </row>
    <row r="16" spans="1:15" x14ac:dyDescent="0.3">
      <c r="A16" t="s">
        <v>4</v>
      </c>
      <c r="B16" s="21">
        <v>30</v>
      </c>
      <c r="E16" s="8"/>
      <c r="M16">
        <f>VLOOKUP($E$4,'Tabla kd'!$A$2:$M$4,O16,FALSE)</f>
        <v>0.41899999999999998</v>
      </c>
      <c r="N16">
        <v>28.324000000000002</v>
      </c>
      <c r="O16">
        <v>13</v>
      </c>
    </row>
    <row r="17" spans="1:5" x14ac:dyDescent="0.3">
      <c r="A17" t="s">
        <v>6</v>
      </c>
      <c r="B17" s="21">
        <v>10</v>
      </c>
    </row>
    <row r="18" spans="1:5" x14ac:dyDescent="0.3">
      <c r="A18" t="s">
        <v>5</v>
      </c>
      <c r="B18" s="21">
        <v>6</v>
      </c>
    </row>
    <row r="19" spans="1:5" x14ac:dyDescent="0.3">
      <c r="B19" s="7"/>
      <c r="E19" s="8"/>
    </row>
    <row r="20" spans="1:5" x14ac:dyDescent="0.3">
      <c r="B20" s="7"/>
      <c r="C20" s="8">
        <f>ROUND((B4*1000-B16-B18-0.5*B17)/1000,2)</f>
        <v>0.26</v>
      </c>
      <c r="E20" s="8"/>
    </row>
    <row r="21" spans="1:5" x14ac:dyDescent="0.3">
      <c r="B21" s="7"/>
      <c r="E21" s="8"/>
    </row>
    <row r="22" spans="1:5" x14ac:dyDescent="0.3">
      <c r="B22" s="32">
        <f>ROUND(C20/SQRT(B14/B5),3)</f>
        <v>0.92700000000000005</v>
      </c>
    </row>
    <row r="23" spans="1:5" x14ac:dyDescent="0.3">
      <c r="B23" s="32"/>
    </row>
    <row r="24" spans="1:5" x14ac:dyDescent="0.3">
      <c r="B24" s="32"/>
      <c r="D24" s="3"/>
    </row>
    <row r="25" spans="1:5" x14ac:dyDescent="0.3">
      <c r="B25" s="32">
        <f>_xlfn.XLOOKUP(B22,M5:M16,M5:M16,,-1)</f>
        <v>0.79600000000000004</v>
      </c>
    </row>
    <row r="26" spans="1:5" x14ac:dyDescent="0.3">
      <c r="B26" s="33">
        <f>_xlfn.XLOOKUP(B25,M5:M21,N5:N21,,0)</f>
        <v>24.765999999999998</v>
      </c>
    </row>
    <row r="28" spans="1:5" x14ac:dyDescent="0.3">
      <c r="B28" s="31">
        <f>ROUNDUP(B26*B14/C20,3)</f>
        <v>1.5</v>
      </c>
    </row>
    <row r="30" spans="1:5" x14ac:dyDescent="0.3">
      <c r="B30" s="17">
        <f>ROUND(1.4*B5*C20*10000/E5,3)</f>
        <v>1.7330000000000001</v>
      </c>
    </row>
    <row r="33" spans="1:5" x14ac:dyDescent="0.3">
      <c r="B33" s="34">
        <f>MAX(B28,B30)</f>
        <v>1.7330000000000001</v>
      </c>
    </row>
    <row r="35" spans="1:5" x14ac:dyDescent="0.3">
      <c r="A35" s="24" t="s">
        <v>18</v>
      </c>
      <c r="B35" s="24"/>
      <c r="C35" s="1">
        <v>1</v>
      </c>
      <c r="D35" s="15">
        <v>10</v>
      </c>
      <c r="E35" s="16">
        <f>C35*_xlfn.XLOOKUP(D35,'Tabla kd'!$A$8:$A$13,'Tabla kd'!$B$8:$B$13,,0)</f>
        <v>0.78</v>
      </c>
    </row>
    <row r="36" spans="1:5" x14ac:dyDescent="0.3">
      <c r="A36" s="24"/>
      <c r="B36" s="24"/>
      <c r="C36" s="1">
        <v>2</v>
      </c>
      <c r="D36" s="15">
        <v>8</v>
      </c>
      <c r="E36" s="16">
        <f>C36*_xlfn.XLOOKUP(D36,'Tabla kd'!$A$8:$A$13,'Tabla kd'!$B$8:$B$13,,0)</f>
        <v>1</v>
      </c>
    </row>
    <row r="37" spans="1:5" x14ac:dyDescent="0.3">
      <c r="D37" s="26" t="str">
        <f>IF(E37&gt;B33,"B.C.","M.C.")</f>
        <v>B.C.</v>
      </c>
      <c r="E37" s="18">
        <f>SUM(E35:E36)</f>
        <v>1.78</v>
      </c>
    </row>
    <row r="39" spans="1:5" x14ac:dyDescent="0.3">
      <c r="A39" s="20" t="s">
        <v>15</v>
      </c>
      <c r="B39" s="20"/>
      <c r="C39" s="20"/>
      <c r="D39" s="20"/>
      <c r="E39" s="20"/>
    </row>
    <row r="41" spans="1:5" x14ac:dyDescent="0.3">
      <c r="B41" s="25">
        <f>B10/0.75</f>
        <v>48.826666666666661</v>
      </c>
    </row>
    <row r="43" spans="1:5" x14ac:dyDescent="0.3">
      <c r="B43" s="6">
        <f>1/6*SQRT(E4)*B5*C20*1000</f>
        <v>43.333333333333336</v>
      </c>
    </row>
    <row r="45" spans="1:5" x14ac:dyDescent="0.3">
      <c r="B45" s="25">
        <f>B41-B43</f>
        <v>5.4933333333333252</v>
      </c>
    </row>
    <row r="47" spans="1:5" x14ac:dyDescent="0.3">
      <c r="A47" s="24" t="s">
        <v>16</v>
      </c>
      <c r="B47" s="24"/>
      <c r="C47" s="23" t="s">
        <v>17</v>
      </c>
      <c r="D47" s="23"/>
      <c r="E47" s="23"/>
    </row>
    <row r="48" spans="1:5" x14ac:dyDescent="0.3">
      <c r="A48" s="24"/>
      <c r="B48" s="24"/>
      <c r="C48" s="27">
        <v>1</v>
      </c>
      <c r="D48" s="28">
        <v>6</v>
      </c>
      <c r="E48" s="29">
        <v>20</v>
      </c>
    </row>
    <row r="50" spans="2:3" x14ac:dyDescent="0.3">
      <c r="B50" s="6">
        <f>ROUND(2*_xlfn.XLOOKUP(D48,'Tabla kd'!A8:A13,'Tabla kd'!B8:B13,,0)*C20*E5/(E48/10),2)</f>
        <v>30.58</v>
      </c>
      <c r="C50" s="26" t="str">
        <f>IF(B50&gt;B45,"B.C.","M.C")</f>
        <v>B.C.</v>
      </c>
    </row>
  </sheetData>
  <mergeCells count="8">
    <mergeCell ref="A35:B36"/>
    <mergeCell ref="A39:E39"/>
    <mergeCell ref="A47:B48"/>
    <mergeCell ref="C47:E47"/>
    <mergeCell ref="A1:E1"/>
    <mergeCell ref="A7:E7"/>
    <mergeCell ref="A12:E12"/>
    <mergeCell ref="A3:E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DACCD4C-3D35-493A-85CB-36D19B4FF0A0}">
          <x14:formula1>
            <xm:f>'Tabla kd'!$A$2:$A$4</xm:f>
          </x14:formula1>
          <xm:sqref>E4</xm:sqref>
        </x14:dataValidation>
        <x14:dataValidation type="list" allowBlank="1" showInputMessage="1" showErrorMessage="1" xr:uid="{70AF8F6B-5AD4-4DE1-83AF-E87C4B8AA8B6}">
          <x14:formula1>
            <xm:f>'Tabla kd'!$A$9:$A$13</xm:f>
          </x14:formula1>
          <xm:sqref>D36</xm:sqref>
        </x14:dataValidation>
        <x14:dataValidation type="list" allowBlank="1" showInputMessage="1" showErrorMessage="1" xr:uid="{4B3D5E9E-04CA-4C5E-AC3A-FF81353EAF03}">
          <x14:formula1>
            <xm:f>'Tabla kd'!$A$8:$A$13</xm:f>
          </x14:formula1>
          <xm:sqref>D35 D48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E3DF-E582-4680-BADB-EBA5CB9F1B04}">
  <dimension ref="A1:M13"/>
  <sheetViews>
    <sheetView workbookViewId="0">
      <selection activeCell="C9" sqref="C9"/>
    </sheetView>
  </sheetViews>
  <sheetFormatPr baseColWidth="10" defaultRowHeight="14.4" x14ac:dyDescent="0.3"/>
  <sheetData>
    <row r="1" spans="1:13" x14ac:dyDescent="0.3">
      <c r="A1" s="12" t="s">
        <v>11</v>
      </c>
      <c r="B1" s="12"/>
      <c r="C1" s="12"/>
    </row>
    <row r="2" spans="1:13" x14ac:dyDescent="0.3">
      <c r="A2" s="11">
        <v>20</v>
      </c>
      <c r="B2" s="13">
        <v>1.218</v>
      </c>
      <c r="C2" s="13">
        <v>0.89</v>
      </c>
      <c r="D2">
        <v>0.749</v>
      </c>
      <c r="E2">
        <v>0.66800000000000004</v>
      </c>
      <c r="F2">
        <v>0.61499999999999999</v>
      </c>
      <c r="G2">
        <v>0.57699999999999996</v>
      </c>
      <c r="H2">
        <v>0.54800000000000004</v>
      </c>
      <c r="I2">
        <v>0.52500000000000002</v>
      </c>
      <c r="J2">
        <v>0.50700000000000001</v>
      </c>
      <c r="K2">
        <v>0.49199999999999999</v>
      </c>
      <c r="L2">
        <v>0.47899999999999998</v>
      </c>
      <c r="M2">
        <v>0.46899999999999997</v>
      </c>
    </row>
    <row r="3" spans="1:13" x14ac:dyDescent="0.3">
      <c r="A3" s="11">
        <v>25</v>
      </c>
      <c r="B3">
        <v>1.089</v>
      </c>
      <c r="C3">
        <v>0.79600000000000004</v>
      </c>
      <c r="D3">
        <v>0.67</v>
      </c>
      <c r="E3">
        <v>0.59799999999999998</v>
      </c>
      <c r="F3">
        <v>0.55000000000000004</v>
      </c>
      <c r="G3">
        <v>0.51600000000000001</v>
      </c>
      <c r="H3">
        <v>0.49</v>
      </c>
      <c r="I3">
        <v>0.47</v>
      </c>
      <c r="J3">
        <v>0.45300000000000001</v>
      </c>
      <c r="K3">
        <v>0.44</v>
      </c>
      <c r="L3">
        <v>0.42899999999999999</v>
      </c>
      <c r="M3">
        <v>0.41899999999999998</v>
      </c>
    </row>
    <row r="4" spans="1:13" x14ac:dyDescent="0.3">
      <c r="A4" s="11">
        <v>30</v>
      </c>
      <c r="B4">
        <v>0.996</v>
      </c>
      <c r="C4">
        <v>0.72699999999999998</v>
      </c>
      <c r="D4">
        <v>0.61199999999999999</v>
      </c>
      <c r="E4">
        <v>0.54600000000000004</v>
      </c>
      <c r="F4">
        <v>0.502</v>
      </c>
      <c r="G4">
        <v>0.47099999999999997</v>
      </c>
      <c r="H4">
        <v>0.44700000000000001</v>
      </c>
      <c r="I4">
        <v>0.42899999999999999</v>
      </c>
      <c r="J4">
        <v>0.41399999999999998</v>
      </c>
      <c r="K4">
        <v>0.40200000000000002</v>
      </c>
      <c r="L4">
        <v>0.39100000000000001</v>
      </c>
      <c r="M4">
        <v>0.38300000000000001</v>
      </c>
    </row>
    <row r="8" spans="1:13" x14ac:dyDescent="0.3">
      <c r="A8" s="14">
        <v>6</v>
      </c>
      <c r="B8">
        <f>ROUNDDOWN(PI()*(A8/10)^2/4,2)</f>
        <v>0.28000000000000003</v>
      </c>
    </row>
    <row r="9" spans="1:13" x14ac:dyDescent="0.3">
      <c r="A9" s="14">
        <v>8</v>
      </c>
      <c r="B9">
        <f t="shared" ref="B9:B13" si="0">ROUNDDOWN(PI()*(A9/10)^2/4,2)</f>
        <v>0.5</v>
      </c>
    </row>
    <row r="10" spans="1:13" x14ac:dyDescent="0.3">
      <c r="A10" s="14">
        <v>10</v>
      </c>
      <c r="B10">
        <f t="shared" si="0"/>
        <v>0.78</v>
      </c>
    </row>
    <row r="11" spans="1:13" x14ac:dyDescent="0.3">
      <c r="A11" s="14">
        <v>12</v>
      </c>
      <c r="B11">
        <f t="shared" si="0"/>
        <v>1.1299999999999999</v>
      </c>
    </row>
    <row r="12" spans="1:13" x14ac:dyDescent="0.3">
      <c r="A12" s="14">
        <v>16</v>
      </c>
      <c r="B12">
        <f t="shared" si="0"/>
        <v>2.0099999999999998</v>
      </c>
    </row>
    <row r="13" spans="1:13" x14ac:dyDescent="0.3">
      <c r="A13" s="14">
        <v>20</v>
      </c>
      <c r="B13">
        <f t="shared" si="0"/>
        <v>3.14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Vigas</vt:lpstr>
      <vt:lpstr>Tabla kd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Romero</dc:creator>
  <cp:lastModifiedBy>Andrés Romero</cp:lastModifiedBy>
  <dcterms:created xsi:type="dcterms:W3CDTF">2015-06-05T18:19:34Z</dcterms:created>
  <dcterms:modified xsi:type="dcterms:W3CDTF">2023-04-20T01:29:17Z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2023-04-18T16:27:39Z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b3fc7a2e-9016-4143-8be3-1cfe736570b0</vt:lpwstr>
  </property>
  <property fmtid="{D5CDD505-2E9C-101B-9397-08002B2CF9AE}" pid="8" name="MSIP_Label_defa4170-0d19-0005-0004-bc88714345d2_ContentBits">
    <vt:lpwstr>0</vt:lpwstr>
  </property>
</Properties>
</file>