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1_ILAG_Viviendas\01_Hojas de calculo\"/>
    </mc:Choice>
  </mc:AlternateContent>
  <xr:revisionPtr revIDLastSave="0" documentId="13_ncr:1_{11584870-BFA3-43E5-AF4D-7B6FF6AD15AD}" xr6:coauthVersionLast="45" xr6:coauthVersionMax="46" xr10:uidLastSave="{00000000-0000-0000-0000-000000000000}"/>
  <bookViews>
    <workbookView xWindow="-120" yWindow="-120" windowWidth="24240" windowHeight="13140" firstSheet="2" activeTab="5" xr2:uid="{00000000-000D-0000-FFFF-FFFF00000000}"/>
  </bookViews>
  <sheets>
    <sheet name="LOSAS VIGUETAS" sheetId="1" r:id="rId1"/>
    <sheet name="VIGA 100-101 Arm Inf" sheetId="7" r:id="rId2"/>
    <sheet name="VIGA 100-101 Arm Sup" sheetId="5" r:id="rId3"/>
    <sheet name="VIGA 102" sheetId="6" r:id="rId4"/>
    <sheet name="VIGA 103" sheetId="8" r:id="rId5"/>
    <sheet name="VIGA 104-105 Arm Inf" sheetId="10" r:id="rId6"/>
    <sheet name="VIGA 104-105 Arm Sup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0" l="1"/>
  <c r="E43" i="10"/>
  <c r="E42" i="10"/>
  <c r="E33" i="10"/>
  <c r="B33" i="10"/>
  <c r="B37" i="10" s="1"/>
  <c r="C20" i="10"/>
  <c r="E20" i="10" s="1"/>
  <c r="C19" i="10"/>
  <c r="E19" i="10" s="1"/>
  <c r="E18" i="10"/>
  <c r="C14" i="10"/>
  <c r="E14" i="10" s="1"/>
  <c r="C13" i="10"/>
  <c r="E13" i="10" s="1"/>
  <c r="C23" i="9"/>
  <c r="E23" i="9" s="1"/>
  <c r="C20" i="9"/>
  <c r="E20" i="9" s="1"/>
  <c r="C19" i="9"/>
  <c r="C22" i="9" s="1"/>
  <c r="E22" i="9" s="1"/>
  <c r="B48" i="9"/>
  <c r="E43" i="9"/>
  <c r="E44" i="9" s="1"/>
  <c r="E42" i="9"/>
  <c r="E33" i="9"/>
  <c r="B33" i="9"/>
  <c r="B37" i="9" s="1"/>
  <c r="E19" i="9"/>
  <c r="E18" i="9"/>
  <c r="C14" i="9"/>
  <c r="E14" i="9" s="1"/>
  <c r="C13" i="9"/>
  <c r="E13" i="9" s="1"/>
  <c r="B46" i="8"/>
  <c r="E41" i="8"/>
  <c r="E40" i="8"/>
  <c r="E42" i="8" s="1"/>
  <c r="E31" i="8"/>
  <c r="B31" i="8"/>
  <c r="B35" i="8" s="1"/>
  <c r="E21" i="8"/>
  <c r="C21" i="8"/>
  <c r="E19" i="8"/>
  <c r="E18" i="8"/>
  <c r="C13" i="8"/>
  <c r="E13" i="8" s="1"/>
  <c r="B46" i="7"/>
  <c r="E41" i="7"/>
  <c r="E40" i="7"/>
  <c r="E42" i="7" s="1"/>
  <c r="E31" i="7"/>
  <c r="B31" i="7"/>
  <c r="B35" i="7" s="1"/>
  <c r="E21" i="7"/>
  <c r="C21" i="7"/>
  <c r="E19" i="7"/>
  <c r="E18" i="7"/>
  <c r="C14" i="7"/>
  <c r="E14" i="7" s="1"/>
  <c r="C13" i="7"/>
  <c r="E13" i="7" s="1"/>
  <c r="E15" i="7" s="1"/>
  <c r="C14" i="6"/>
  <c r="E14" i="6" s="1"/>
  <c r="B46" i="6"/>
  <c r="E41" i="6"/>
  <c r="E40" i="6"/>
  <c r="B35" i="6"/>
  <c r="B53" i="6" s="1"/>
  <c r="E31" i="6"/>
  <c r="B37" i="6" s="1"/>
  <c r="B31" i="6"/>
  <c r="C21" i="6"/>
  <c r="E21" i="6" s="1"/>
  <c r="E19" i="6"/>
  <c r="E18" i="6"/>
  <c r="C13" i="6"/>
  <c r="E13" i="6" s="1"/>
  <c r="C14" i="5"/>
  <c r="K21" i="1"/>
  <c r="E44" i="10" l="1"/>
  <c r="E15" i="10"/>
  <c r="B55" i="10"/>
  <c r="E34" i="10"/>
  <c r="B40" i="10"/>
  <c r="B49" i="10"/>
  <c r="B39" i="10"/>
  <c r="C23" i="10"/>
  <c r="E23" i="10" s="1"/>
  <c r="C22" i="10"/>
  <c r="E22" i="10" s="1"/>
  <c r="E15" i="9"/>
  <c r="B39" i="9"/>
  <c r="B29" i="9"/>
  <c r="G28" i="9"/>
  <c r="B49" i="9"/>
  <c r="B55" i="9"/>
  <c r="E34" i="9"/>
  <c r="B40" i="9"/>
  <c r="E40" i="9" s="1"/>
  <c r="D44" i="9" s="1"/>
  <c r="E15" i="8"/>
  <c r="B27" i="8" s="1"/>
  <c r="B37" i="8"/>
  <c r="B47" i="8"/>
  <c r="B53" i="8"/>
  <c r="B38" i="8"/>
  <c r="E32" i="8"/>
  <c r="E42" i="6"/>
  <c r="B47" i="7"/>
  <c r="B38" i="7"/>
  <c r="B53" i="7"/>
  <c r="E32" i="7"/>
  <c r="B27" i="7"/>
  <c r="G26" i="7"/>
  <c r="B37" i="7"/>
  <c r="E15" i="6"/>
  <c r="G26" i="6"/>
  <c r="B27" i="6"/>
  <c r="B38" i="6"/>
  <c r="E38" i="6" s="1"/>
  <c r="B47" i="6"/>
  <c r="E32" i="6"/>
  <c r="E14" i="5"/>
  <c r="C21" i="5"/>
  <c r="E21" i="5" s="1"/>
  <c r="E21" i="1"/>
  <c r="C50" i="10" l="1"/>
  <c r="B50" i="10"/>
  <c r="C55" i="10"/>
  <c r="E40" i="10"/>
  <c r="D44" i="10" s="1"/>
  <c r="B29" i="10"/>
  <c r="G28" i="10"/>
  <c r="C50" i="9"/>
  <c r="B50" i="9"/>
  <c r="C55" i="9" s="1"/>
  <c r="E38" i="8"/>
  <c r="D42" i="8" s="1"/>
  <c r="G26" i="8"/>
  <c r="C48" i="8"/>
  <c r="B48" i="8"/>
  <c r="C53" i="8" s="1"/>
  <c r="D42" i="6"/>
  <c r="E38" i="7"/>
  <c r="D42" i="7" s="1"/>
  <c r="C48" i="7"/>
  <c r="B48" i="7"/>
  <c r="C53" i="7" s="1"/>
  <c r="C48" i="6"/>
  <c r="B48" i="6"/>
  <c r="C53" i="6" s="1"/>
  <c r="E19" i="5"/>
  <c r="E18" i="5"/>
  <c r="I19" i="1"/>
  <c r="B31" i="5" l="1"/>
  <c r="E41" i="5"/>
  <c r="E40" i="5"/>
  <c r="C13" i="5"/>
  <c r="E13" i="5" s="1"/>
  <c r="K19" i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s="1"/>
  <c r="G26" i="5" l="1"/>
  <c r="B47" i="5"/>
  <c r="B53" i="5"/>
  <c r="B46" i="5"/>
  <c r="B27" i="5"/>
  <c r="B38" i="5"/>
  <c r="I24" i="1"/>
  <c r="G33" i="1" s="1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<sst xmlns="http://schemas.openxmlformats.org/spreadsheetml/2006/main" count="411" uniqueCount="97">
  <si>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</si>
  <si>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</si>
  <si>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</si>
  <si>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</si>
  <si>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</si>
  <si>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</si>
  <si>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</si>
  <si>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</si>
  <si>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</si>
  <si>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</si>
  <si>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</si>
  <si>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</si>
  <si>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</si>
  <si>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</si>
  <si>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</si>
  <si>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</si>
  <si>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</si>
  <si>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</si>
  <si>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</si>
  <si>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</si>
  <si>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</si>
  <si>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</si>
  <si>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</si>
  <si>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</si>
  <si>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</si>
  <si>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</si>
  <si>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</si>
  <si>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</si>
  <si>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</si>
  <si>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</si>
  <si>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</si>
  <si>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</si>
  <si>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</si>
  <si>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</si>
  <si>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</si>
  <si>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</si>
  <si>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</si>
  <si>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</si>
  <si>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</si>
  <si>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</si>
  <si>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</si>
  <si>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</si>
  <si>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</si>
  <si>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</si>
  <si>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</si>
  <si>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</si>
  <si>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</si>
  <si>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</si>
  <si>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</si>
  <si>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</si>
  <si>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</si>
  <si>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</si>
  <si>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</si>
  <si>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</si>
  <si>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</si>
  <si>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</si>
  <si>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</si>
  <si>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</si>
  <si>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</si>
  <si>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</si>
  <si>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</si>
  <si>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</si>
  <si>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</si>
  <si>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</si>
  <si>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</si>
  <si>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</si>
  <si>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</si>
  <si>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</si>
  <si>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</si>
  <si>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</si>
  <si>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</si>
  <si>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</si>
  <si>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</si>
  <si>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</si>
  <si>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</si>
  <si>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</si>
  <si>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</si>
  <si>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</si>
  <si>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</si>
  <si>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</si>
  <si>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</si>
  <si>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Apoyos continuos</t>
  </si>
  <si>
    <t>CÁLCULO DE VIGA</t>
  </si>
  <si>
    <t>Ref.: Ingresar valores</t>
  </si>
  <si>
    <t>TABLA Kd</t>
  </si>
  <si>
    <t>Sobrecarga</t>
  </si>
  <si>
    <t>Viga continua</t>
  </si>
  <si>
    <t>o 2fi12</t>
  </si>
  <si>
    <t>o 3fi12</t>
  </si>
  <si>
    <t>Carga de escalera</t>
  </si>
  <si>
    <t>kN</t>
  </si>
  <si>
    <t>2 fi 8</t>
  </si>
  <si>
    <t>VIGA 102</t>
  </si>
  <si>
    <t>VIGA 103</t>
  </si>
  <si>
    <t>Simplemente Apoyada</t>
  </si>
  <si>
    <t>VIGA 104 - 105</t>
  </si>
  <si>
    <t>o 2fi10 + 1fi12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</si>
</sst>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6" fontId="0" fillId="2" borderId="3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344AD1-C152-4626-8401-69E660D8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C749F-48CA-4115-9F8C-BCA050085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CBF10D-1726-4314-A918-D291A0710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C45261-5F7F-4192-B725-0A661670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88834-92AA-4D98-AF5D-B3CBD4FC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33453C-9EA5-44E8-9B2C-5BFEF872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856034-D05A-4982-8E18-4E44424F7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144B23-CD8C-407A-A9F7-35F840456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B060BA-9D24-4C2D-8F62-30E1462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FC4663-DE99-4295-BBB7-E96B3A5E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411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50324-64AE-41A0-83A9-201B10A6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6268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AF5CD6-3688-4C39-AE50-C2693768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554700"/>
          <a:ext cx="13876190" cy="23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746501-A3BB-4DA1-9B59-E2084841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E9D7FD-0EE2-415F-B395-DEEBDC37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D13F-EEF2-43F7-ACB0-5B7635CD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A19" zoomScale="130" zoomScaleNormal="130" workbookViewId="0">
      <selection activeCell="B39" sqref="B39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26" t="s">
        <v>19</v>
      </c>
      <c r="B1" s="126"/>
      <c r="C1" s="126"/>
      <c r="D1" s="126"/>
      <c r="E1" s="12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15" t="s">
        <v>39</v>
      </c>
      <c r="B3" s="116"/>
      <c r="C3" s="116"/>
      <c r="D3" s="116"/>
      <c r="E3" s="117"/>
      <c r="F3" s="2"/>
      <c r="G3" s="115" t="s">
        <v>56</v>
      </c>
      <c r="H3" s="116"/>
      <c r="I3" s="116"/>
      <c r="J3" s="116"/>
      <c r="K3" s="1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18" t="s">
        <v>54</v>
      </c>
      <c r="B5" s="119"/>
      <c r="C5" s="119"/>
      <c r="D5" s="120" t="s">
        <v>2</v>
      </c>
      <c r="E5" s="121"/>
      <c r="F5" s="2"/>
      <c r="G5" s="118" t="s">
        <v>54</v>
      </c>
      <c r="H5" s="119"/>
      <c r="I5" s="119"/>
      <c r="J5" s="120" t="s">
        <v>2</v>
      </c>
      <c r="K5" s="12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3.15</v>
      </c>
      <c r="C6" s="24" t="s">
        <v>40</v>
      </c>
      <c r="D6" s="122" t="s">
        <v>18</v>
      </c>
      <c r="E6" s="123"/>
      <c r="F6" s="2"/>
      <c r="G6" s="1" t="s">
        <v>0</v>
      </c>
      <c r="H6" s="16">
        <v>3.15</v>
      </c>
      <c r="I6" s="24" t="s">
        <v>40</v>
      </c>
      <c r="J6" s="122" t="s">
        <v>18</v>
      </c>
      <c r="K6" s="12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22" t="s">
        <v>3</v>
      </c>
      <c r="E7" s="123"/>
      <c r="F7" s="2"/>
      <c r="G7" s="1" t="s">
        <v>55</v>
      </c>
      <c r="H7" s="16">
        <v>1</v>
      </c>
      <c r="J7" s="122" t="s">
        <v>3</v>
      </c>
      <c r="K7" s="1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5">
        <v>178</v>
      </c>
      <c r="C8" s="25" t="s">
        <v>44</v>
      </c>
      <c r="D8" s="124">
        <v>2</v>
      </c>
      <c r="E8" s="125"/>
      <c r="F8" s="2"/>
      <c r="G8" s="26" t="s">
        <v>4</v>
      </c>
      <c r="H8" s="45">
        <v>215</v>
      </c>
      <c r="I8" s="25" t="s">
        <v>44</v>
      </c>
      <c r="J8" s="124">
        <v>2</v>
      </c>
      <c r="K8" s="12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9">
        <v>25</v>
      </c>
      <c r="C9" s="25"/>
      <c r="D9" s="47"/>
      <c r="E9" s="46"/>
      <c r="F9" s="2"/>
      <c r="G9" s="26" t="s">
        <v>53</v>
      </c>
      <c r="H9" s="59">
        <v>25</v>
      </c>
      <c r="I9" s="25"/>
      <c r="J9" s="47"/>
      <c r="K9" s="4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14" t="s">
        <v>5</v>
      </c>
      <c r="B11" s="114"/>
      <c r="C11" s="114"/>
      <c r="D11" s="114"/>
      <c r="E11" s="114"/>
      <c r="F11" s="2"/>
      <c r="G11" s="114" t="s">
        <v>5</v>
      </c>
      <c r="H11" s="114"/>
      <c r="I11" s="114"/>
      <c r="J11" s="114"/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80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80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2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2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2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2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2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2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2">
        <v>3.0000000000000001E-3</v>
      </c>
      <c r="F17" s="2"/>
      <c r="G17" s="13" t="s">
        <v>11</v>
      </c>
      <c r="H17" s="14"/>
      <c r="I17" s="7"/>
      <c r="J17" s="8"/>
      <c r="K17" s="42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2">
        <v>0.2</v>
      </c>
      <c r="F18" s="2"/>
      <c r="G18" s="13" t="s">
        <v>12</v>
      </c>
      <c r="H18" s="14"/>
      <c r="I18" s="7"/>
      <c r="J18" s="8"/>
      <c r="K18" s="42">
        <v>0.2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27" t="s">
        <v>13</v>
      </c>
      <c r="B19" s="128"/>
      <c r="C19" s="27">
        <v>0</v>
      </c>
      <c r="D19" s="28">
        <v>17</v>
      </c>
      <c r="E19" s="44">
        <f>(C19*D19)/(B6*B7)</f>
        <v>0</v>
      </c>
      <c r="F19" s="2"/>
      <c r="G19" s="127" t="s">
        <v>13</v>
      </c>
      <c r="H19" s="128"/>
      <c r="I19" s="27">
        <f>0.2*2*3.2</f>
        <v>1.2800000000000002</v>
      </c>
      <c r="J19" s="28">
        <v>17</v>
      </c>
      <c r="K19" s="44">
        <f>(I19*J19)/(H6*H7)</f>
        <v>6.90793650793651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3">
        <f>SUM(E14:E19)</f>
        <v>3.2030000000000003</v>
      </c>
      <c r="F20" s="2"/>
      <c r="G20" s="37" t="s">
        <v>48</v>
      </c>
      <c r="H20" s="38"/>
      <c r="I20" s="39"/>
      <c r="J20" s="40"/>
      <c r="K20" s="43">
        <f>SUM(K14:K19)</f>
        <v>10.48093650793651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41" t="s">
        <v>47</v>
      </c>
      <c r="B21" s="2"/>
      <c r="C21" s="2"/>
      <c r="E21" s="43">
        <f>+D8</f>
        <v>2</v>
      </c>
      <c r="F21" s="2"/>
      <c r="G21" s="41" t="s">
        <v>47</v>
      </c>
      <c r="H21" s="2"/>
      <c r="I21" s="2"/>
      <c r="K21" s="43">
        <f>J8</f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14" t="s">
        <v>45</v>
      </c>
      <c r="B22" s="114"/>
      <c r="C22" s="114"/>
      <c r="D22" s="114"/>
      <c r="E22" s="114"/>
      <c r="F22" s="2"/>
      <c r="G22" s="114" t="s">
        <v>45</v>
      </c>
      <c r="H22" s="114"/>
      <c r="I22" s="114"/>
      <c r="J22" s="114"/>
      <c r="K22" s="1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9">
        <f>+ROUND((((E20+E21)*B6^2)/8),2)</f>
        <v>6.45</v>
      </c>
      <c r="C24" s="50">
        <f>+B24*100</f>
        <v>645</v>
      </c>
      <c r="D24" s="100"/>
      <c r="E24" s="101"/>
      <c r="F24" s="2"/>
      <c r="G24" s="33" t="s">
        <v>50</v>
      </c>
      <c r="H24" s="49">
        <v>15.48</v>
      </c>
      <c r="I24" s="50">
        <f>+H24*100</f>
        <v>1548</v>
      </c>
      <c r="J24" s="100" t="s">
        <v>81</v>
      </c>
      <c r="K24" s="10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11" t="s">
        <v>41</v>
      </c>
      <c r="B26" s="112"/>
      <c r="C26" s="113"/>
      <c r="D26" s="2"/>
      <c r="E26" s="17"/>
      <c r="F26" s="2"/>
      <c r="G26" s="111" t="s">
        <v>41</v>
      </c>
      <c r="H26" s="112"/>
      <c r="I26" s="113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110" t="s">
        <v>14</v>
      </c>
      <c r="B27" s="110"/>
      <c r="C27" s="19" t="s">
        <v>43</v>
      </c>
      <c r="D27" s="2"/>
      <c r="E27" s="20"/>
      <c r="F27" s="2"/>
      <c r="G27" s="110" t="s">
        <v>14</v>
      </c>
      <c r="H27" s="110"/>
      <c r="I27" s="19" t="s">
        <v>57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110" t="s">
        <v>15</v>
      </c>
      <c r="B28" s="110"/>
      <c r="C28" s="23">
        <v>4.3</v>
      </c>
      <c r="D28" s="2"/>
      <c r="E28" s="17"/>
      <c r="F28" s="2"/>
      <c r="G28" s="110" t="s">
        <v>15</v>
      </c>
      <c r="H28" s="110"/>
      <c r="I28" s="23">
        <v>3.1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10" t="s">
        <v>79</v>
      </c>
      <c r="B29" s="110"/>
      <c r="C29" s="23">
        <v>0.13</v>
      </c>
      <c r="D29" s="2"/>
      <c r="E29" s="17"/>
      <c r="F29" s="2"/>
      <c r="G29" s="110" t="s">
        <v>16</v>
      </c>
      <c r="H29" s="110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110" t="s">
        <v>17</v>
      </c>
      <c r="B30" s="110"/>
      <c r="C30" s="23">
        <v>0.05</v>
      </c>
      <c r="D30" s="2"/>
      <c r="E30" s="17"/>
      <c r="F30" s="2"/>
      <c r="G30" s="110" t="s">
        <v>17</v>
      </c>
      <c r="H30" s="110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110" t="s">
        <v>49</v>
      </c>
      <c r="B31" s="110"/>
      <c r="C31" s="48">
        <v>845</v>
      </c>
      <c r="D31" s="133" t="s">
        <v>42</v>
      </c>
      <c r="E31" s="134"/>
      <c r="F31" s="2"/>
      <c r="G31" s="110" t="s">
        <v>49</v>
      </c>
      <c r="H31" s="110"/>
      <c r="I31" s="78">
        <v>1254</v>
      </c>
      <c r="J31" s="133" t="s">
        <v>42</v>
      </c>
      <c r="K31" s="13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07" t="str">
        <f>IF(C31&gt;C24,"M Admisible &gt; M Total → Buenas Condiciones","M Admisible &lt; M Total  → Malas Condiciones")</f>
        <v>M Admisible &gt; M Total → Buenas Condiciones</v>
      </c>
      <c r="B33" s="108"/>
      <c r="C33" s="108"/>
      <c r="D33" s="108"/>
      <c r="E33" s="109"/>
      <c r="F33" s="2"/>
      <c r="G33" s="107" t="str">
        <f>IF(I31&gt;I24,"M Admisible &gt; M Total → Buenas Condiciones","M Admisible &lt; M Total  → Malas Condiciones")</f>
        <v>M Admisible &lt; M Total  → Malas Condiciones</v>
      </c>
      <c r="H33" s="108"/>
      <c r="I33" s="108"/>
      <c r="J33" s="108"/>
      <c r="K33" s="10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4"/>
      <c r="B34" s="55"/>
      <c r="C34" s="55"/>
      <c r="D34" s="55"/>
      <c r="E34" s="56"/>
      <c r="F34" s="2"/>
      <c r="G34" s="54"/>
      <c r="H34" s="55"/>
      <c r="I34" s="55"/>
      <c r="J34" s="55"/>
      <c r="K34" s="5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129" t="s">
        <v>58</v>
      </c>
      <c r="B35" s="130"/>
      <c r="C35" s="131" t="s">
        <v>71</v>
      </c>
      <c r="D35" s="131"/>
      <c r="E35" s="132"/>
      <c r="F35" s="2"/>
      <c r="G35" s="129" t="s">
        <v>58</v>
      </c>
      <c r="H35" s="130"/>
      <c r="I35" s="131" t="s">
        <v>59</v>
      </c>
      <c r="J35" s="131"/>
      <c r="K35" s="1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51"/>
      <c r="B36" s="52"/>
      <c r="C36" s="52"/>
      <c r="D36" s="52"/>
      <c r="E36" s="53"/>
      <c r="G36" s="51"/>
      <c r="H36" s="52"/>
      <c r="I36" s="52"/>
      <c r="J36" s="52"/>
      <c r="K36" s="53"/>
    </row>
    <row r="37" spans="1:23" s="2" customFormat="1" ht="15.75" customHeight="1" x14ac:dyDescent="0.25">
      <c r="A37" s="104" t="s">
        <v>46</v>
      </c>
      <c r="B37" s="105"/>
      <c r="C37" s="105"/>
      <c r="D37" s="105"/>
      <c r="E37" s="106"/>
      <c r="G37" s="104" t="s">
        <v>46</v>
      </c>
      <c r="H37" s="105"/>
      <c r="I37" s="105"/>
      <c r="J37" s="105"/>
      <c r="K37" s="106"/>
    </row>
    <row r="38" spans="1:23" s="2" customFormat="1" ht="15.75" customHeight="1" x14ac:dyDescent="0.25">
      <c r="A38" s="68"/>
      <c r="B38" s="69"/>
      <c r="C38" s="69"/>
      <c r="D38" s="69"/>
      <c r="E38" s="70"/>
      <c r="G38" s="68"/>
      <c r="H38" s="69"/>
      <c r="I38" s="69"/>
      <c r="J38" s="69"/>
      <c r="K38" s="70"/>
    </row>
    <row r="39" spans="1:23" s="2" customFormat="1" ht="15.75" customHeight="1" x14ac:dyDescent="0.25">
      <c r="A39" s="21" t="s">
        <v>51</v>
      </c>
      <c r="B39" s="58">
        <f>+ROUND(((1.2*$E$20+1.6*$E$21)*$B$6)/2,2)</f>
        <v>11.09</v>
      </c>
      <c r="D39" s="15"/>
      <c r="E39" s="22"/>
      <c r="G39" s="21" t="s">
        <v>51</v>
      </c>
      <c r="H39" s="58">
        <f>+ROUND(((1.2*$K$20+1.6*$K$21)*$H$6)/2,2)</f>
        <v>24.85</v>
      </c>
      <c r="J39" s="15"/>
      <c r="K39" s="22"/>
    </row>
    <row r="40" spans="1:23" s="2" customFormat="1" ht="15.75" customHeight="1" x14ac:dyDescent="0.25">
      <c r="A40" s="51" t="s">
        <v>52</v>
      </c>
      <c r="B40" s="71">
        <f>+(1/6)*($B$9^(1/2))*($B$7*1000)*(1000*($C$29+$C$30-0.03))/1000</f>
        <v>124.99999999999999</v>
      </c>
      <c r="C40" s="102" t="str">
        <f>+IF($B$40&gt;$B$39,"NO ES NECESARIA ARM. DE CORTE","ES NECESARIA ARM. DE CORTE")</f>
        <v>NO ES NECESARIA ARM. DE CORTE</v>
      </c>
      <c r="D40" s="102"/>
      <c r="E40" s="103"/>
      <c r="G40" s="51" t="s">
        <v>52</v>
      </c>
      <c r="H40" s="71">
        <f>+(1/6)*($H$9^(1/2))*($H$7*1000)*(1000*($I$29+$I$30-0.03))/1000</f>
        <v>124.99999999999999</v>
      </c>
      <c r="I40" s="102" t="str">
        <f>+IF($B$40&gt;$B$39,"NO ES NECESARIA ARM. DE CORTE","ES NECESARIA ARM. DE CORTE")</f>
        <v>NO ES NECESARIA ARM. DE CORTE</v>
      </c>
      <c r="J40" s="102"/>
      <c r="K40" s="103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5"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  <mergeCell ref="A1:E1"/>
    <mergeCell ref="J7:K7"/>
    <mergeCell ref="J8:K8"/>
    <mergeCell ref="G11:K11"/>
    <mergeCell ref="G19:H19"/>
    <mergeCell ref="A19:B1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EB27-35A6-4157-8643-D667BDE52886}">
  <dimension ref="A1:G57"/>
  <sheetViews>
    <sheetView topLeftCell="A22" zoomScale="130" zoomScaleNormal="130" workbookViewId="0">
      <selection activeCell="B38" sqref="B38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5" t="s">
        <v>82</v>
      </c>
      <c r="B1" s="136"/>
      <c r="C1" s="136"/>
      <c r="D1" s="136"/>
      <c r="E1" s="137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5" t="s">
        <v>67</v>
      </c>
      <c r="B3" s="136"/>
      <c r="C3" s="136"/>
      <c r="D3" s="136"/>
      <c r="E3" s="137"/>
    </row>
    <row r="4" spans="1:6" x14ac:dyDescent="0.25">
      <c r="A4" s="97"/>
      <c r="B4" s="97"/>
      <c r="C4" s="97"/>
      <c r="D4" s="139" t="s">
        <v>83</v>
      </c>
      <c r="E4" s="139"/>
    </row>
    <row r="5" spans="1:6" x14ac:dyDescent="0.25">
      <c r="A5" s="79" t="s">
        <v>54</v>
      </c>
      <c r="B5" s="97"/>
      <c r="C5" s="97"/>
      <c r="D5" s="97"/>
      <c r="E5" s="97"/>
    </row>
    <row r="6" spans="1:6" x14ac:dyDescent="0.25">
      <c r="A6" s="97" t="s">
        <v>20</v>
      </c>
      <c r="B6" s="91">
        <v>3.15</v>
      </c>
      <c r="C6" s="2"/>
      <c r="D6" s="97" t="s">
        <v>23</v>
      </c>
      <c r="E6" s="91">
        <v>0.3</v>
      </c>
    </row>
    <row r="7" spans="1:6" x14ac:dyDescent="0.25">
      <c r="A7" s="97" t="s">
        <v>28</v>
      </c>
      <c r="B7" s="92">
        <v>25</v>
      </c>
      <c r="C7" s="2"/>
      <c r="D7" s="97" t="s">
        <v>35</v>
      </c>
      <c r="E7" s="91">
        <v>0.2</v>
      </c>
      <c r="F7" s="2"/>
    </row>
    <row r="8" spans="1:6" x14ac:dyDescent="0.25">
      <c r="A8" s="97" t="s">
        <v>29</v>
      </c>
      <c r="B8" s="64">
        <v>420</v>
      </c>
      <c r="C8" s="2"/>
      <c r="D8" s="140" t="s">
        <v>86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11" t="s">
        <v>66</v>
      </c>
      <c r="B10" s="112"/>
      <c r="C10" s="112"/>
      <c r="D10" s="112"/>
      <c r="E10" s="113"/>
    </row>
    <row r="11" spans="1:6" x14ac:dyDescent="0.25">
      <c r="A11" s="97"/>
      <c r="B11" s="97"/>
      <c r="C11" s="97"/>
      <c r="D11" s="97"/>
      <c r="E11" s="97"/>
    </row>
    <row r="12" spans="1:6" x14ac:dyDescent="0.25">
      <c r="A12" s="2"/>
      <c r="B12" s="2"/>
      <c r="C12" s="96" t="s">
        <v>6</v>
      </c>
      <c r="D12" s="96" t="s">
        <v>7</v>
      </c>
      <c r="E12" s="96" t="s">
        <v>8</v>
      </c>
    </row>
    <row r="13" spans="1:6" x14ac:dyDescent="0.25">
      <c r="A13" s="138" t="s">
        <v>61</v>
      </c>
      <c r="B13" s="138"/>
      <c r="C13" s="61">
        <f>+E6*E7</f>
        <v>0.06</v>
      </c>
      <c r="D13" s="8">
        <v>25</v>
      </c>
      <c r="E13" s="80">
        <f>+C13*D13</f>
        <v>1.5</v>
      </c>
    </row>
    <row r="14" spans="1:6" x14ac:dyDescent="0.25">
      <c r="A14" s="138" t="s">
        <v>60</v>
      </c>
      <c r="B14" s="138"/>
      <c r="C14" s="61">
        <f>3.2*0.2</f>
        <v>0.64000000000000012</v>
      </c>
      <c r="D14" s="8">
        <v>17</v>
      </c>
      <c r="E14" s="80">
        <f>+C14*D14</f>
        <v>10.880000000000003</v>
      </c>
    </row>
    <row r="15" spans="1:6" x14ac:dyDescent="0.25">
      <c r="A15" s="81" t="s">
        <v>48</v>
      </c>
      <c r="B15" s="14"/>
      <c r="C15" s="9"/>
      <c r="D15" s="8"/>
      <c r="E15" s="82">
        <f>SUM(E13:E14)</f>
        <v>12.380000000000003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96" t="s">
        <v>1</v>
      </c>
      <c r="D17" s="96" t="s">
        <v>7</v>
      </c>
      <c r="E17" s="9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v>0.5</v>
      </c>
      <c r="D19" s="93">
        <v>3.2</v>
      </c>
      <c r="E19" s="80">
        <f>+C19*D19</f>
        <v>1.6</v>
      </c>
    </row>
    <row r="20" spans="1:7" x14ac:dyDescent="0.25">
      <c r="A20" s="98"/>
      <c r="B20" s="98"/>
      <c r="C20" s="7"/>
      <c r="D20" s="99"/>
      <c r="E20" s="80"/>
    </row>
    <row r="21" spans="1:7" x14ac:dyDescent="0.25">
      <c r="A21" s="98" t="s">
        <v>85</v>
      </c>
      <c r="B21" s="98"/>
      <c r="C21" s="91">
        <f>+C19</f>
        <v>0.5</v>
      </c>
      <c r="D21" s="93">
        <v>2</v>
      </c>
      <c r="E21" s="80">
        <f>+C21*D21</f>
        <v>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1" t="s">
        <v>68</v>
      </c>
      <c r="B23" s="112"/>
      <c r="C23" s="112"/>
      <c r="D23" s="112"/>
      <c r="E23" s="113"/>
    </row>
    <row r="24" spans="1:7" x14ac:dyDescent="0.25">
      <c r="A24" s="97"/>
      <c r="B24" s="97"/>
      <c r="C24" s="97"/>
      <c r="D24" s="97"/>
      <c r="E24" s="97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2">
        <v>18.260000000000002</v>
      </c>
      <c r="C26" s="2"/>
      <c r="D26" s="2" t="s">
        <v>69</v>
      </c>
      <c r="E26" s="62">
        <v>16</v>
      </c>
      <c r="G26" s="62">
        <f>ROUND((((1.2*(E15+E19))+(1.6*E21))),2)</f>
        <v>18.38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1" t="s">
        <v>45</v>
      </c>
      <c r="B29" s="112"/>
      <c r="C29" s="112"/>
      <c r="D29" s="112"/>
      <c r="E29" s="113"/>
    </row>
    <row r="30" spans="1:7" x14ac:dyDescent="0.25">
      <c r="A30" s="97"/>
      <c r="B30" s="97"/>
      <c r="C30" s="97"/>
      <c r="D30" s="97"/>
      <c r="E30" s="97"/>
    </row>
    <row r="31" spans="1:7" x14ac:dyDescent="0.25">
      <c r="A31" s="83" t="s">
        <v>23</v>
      </c>
      <c r="B31" s="3">
        <f>+E6</f>
        <v>0.3</v>
      </c>
      <c r="C31" s="2"/>
      <c r="D31" s="2" t="s">
        <v>26</v>
      </c>
      <c r="E31" s="84">
        <f>((E26/(1000*0.9)))</f>
        <v>1.7777777777777778E-2</v>
      </c>
    </row>
    <row r="32" spans="1:7" x14ac:dyDescent="0.25">
      <c r="A32" s="60" t="s">
        <v>36</v>
      </c>
      <c r="B32" s="4">
        <v>0.03</v>
      </c>
      <c r="C32" s="2"/>
      <c r="D32" s="2" t="s">
        <v>27</v>
      </c>
      <c r="E32" s="85">
        <f>(B35/((E31/E7)^(1/2)))</f>
        <v>0.87206651122491818</v>
      </c>
    </row>
    <row r="33" spans="1:7" x14ac:dyDescent="0.25">
      <c r="A33" s="83" t="s">
        <v>64</v>
      </c>
      <c r="B33" s="4">
        <v>6.0000000000000001E-3</v>
      </c>
      <c r="C33" s="2"/>
      <c r="D33" s="2" t="s">
        <v>30</v>
      </c>
      <c r="E33" s="94">
        <v>0.79600000000000004</v>
      </c>
      <c r="F33" s="95" t="s">
        <v>84</v>
      </c>
    </row>
    <row r="34" spans="1:7" x14ac:dyDescent="0.25">
      <c r="A34" s="60" t="s">
        <v>24</v>
      </c>
      <c r="B34" s="4">
        <v>0.01</v>
      </c>
      <c r="C34" s="2"/>
      <c r="D34" s="2" t="s">
        <v>31</v>
      </c>
      <c r="E34" s="86">
        <v>24.765999999999998</v>
      </c>
    </row>
    <row r="35" spans="1:7" x14ac:dyDescent="0.25">
      <c r="A35" s="97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60" t="s">
        <v>32</v>
      </c>
      <c r="B37" s="63">
        <f>(E34*(E31/B35))</f>
        <v>1.6934017094017091</v>
      </c>
      <c r="C37" s="2"/>
      <c r="D37" s="2"/>
      <c r="E37" s="2"/>
    </row>
    <row r="38" spans="1:7" x14ac:dyDescent="0.25">
      <c r="A38" s="60" t="s">
        <v>33</v>
      </c>
      <c r="B38" s="63">
        <f>+ROUND(((1.4*$E$7*$B$35)/$B$8)*10000,3)</f>
        <v>1.7330000000000001</v>
      </c>
      <c r="C38" s="2"/>
      <c r="D38" s="96" t="s">
        <v>65</v>
      </c>
      <c r="E38" s="87">
        <f>+IF(B38&gt;B37,B38,B37)</f>
        <v>1.7330000000000001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2" t="s">
        <v>34</v>
      </c>
      <c r="B40" s="142"/>
      <c r="C40" s="66">
        <v>3</v>
      </c>
      <c r="D40" s="89">
        <v>10</v>
      </c>
      <c r="E40" s="90">
        <f>C40*(PI()*(D40/10)^2)/4</f>
        <v>2.3561944901923448</v>
      </c>
      <c r="F40" s="10"/>
      <c r="G40" t="s">
        <v>87</v>
      </c>
    </row>
    <row r="41" spans="1:7" x14ac:dyDescent="0.25">
      <c r="A41" s="142"/>
      <c r="B41" s="142"/>
      <c r="C41" s="66">
        <v>0</v>
      </c>
      <c r="D41" s="89">
        <v>16</v>
      </c>
      <c r="E41" s="90">
        <f>C41*(PI()*(D41/10)^2)/4</f>
        <v>0</v>
      </c>
    </row>
    <row r="42" spans="1:7" x14ac:dyDescent="0.25">
      <c r="A42" s="2"/>
      <c r="B42" s="2"/>
      <c r="C42" s="2"/>
      <c r="D42" s="67" t="str">
        <f>+IF(E42&gt;E38,"B.C.","M.C.")</f>
        <v>B.C.</v>
      </c>
      <c r="E42" s="87">
        <f>SUM(E40:E41)</f>
        <v>2.3561944901923448</v>
      </c>
    </row>
    <row r="43" spans="1:7" x14ac:dyDescent="0.25">
      <c r="A43" s="2"/>
      <c r="B43" s="2"/>
      <c r="C43" s="2"/>
      <c r="D43" s="2"/>
      <c r="E43" s="88"/>
    </row>
    <row r="44" spans="1:7" x14ac:dyDescent="0.25">
      <c r="A44" s="111" t="s">
        <v>46</v>
      </c>
      <c r="B44" s="112"/>
      <c r="C44" s="112"/>
      <c r="D44" s="112"/>
      <c r="E44" s="11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6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1" t="str">
        <f>+IF(B47&gt;B46,"ARM. MINIMA DE CORTE","ES NECESARIA ARM. DE CORTE")</f>
        <v>ES NECESARIA ARM. DE CORTE</v>
      </c>
      <c r="D48" s="141"/>
      <c r="E48" s="141"/>
    </row>
    <row r="49" spans="1:5" x14ac:dyDescent="0.25">
      <c r="A49" s="2"/>
      <c r="B49" s="2"/>
      <c r="C49" s="2"/>
      <c r="D49" s="2"/>
      <c r="E49" s="2"/>
    </row>
    <row r="50" spans="1:5" x14ac:dyDescent="0.25">
      <c r="A50" s="142" t="s">
        <v>70</v>
      </c>
      <c r="B50" s="142"/>
      <c r="C50" s="143" t="s">
        <v>72</v>
      </c>
      <c r="D50" s="143"/>
      <c r="E50" s="143"/>
    </row>
    <row r="51" spans="1:5" x14ac:dyDescent="0.25">
      <c r="A51" s="142"/>
      <c r="B51" s="142"/>
      <c r="C51" s="72">
        <v>1</v>
      </c>
      <c r="D51" s="73">
        <v>6</v>
      </c>
      <c r="E51" s="74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7" t="s">
        <v>78</v>
      </c>
      <c r="B53" s="75">
        <f>+((((2*(PI()*(D51/10)^2)/4)/(100^2))*B8*B35)/(E51/100))*1000</f>
        <v>30.875572599480485</v>
      </c>
      <c r="C53" s="67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29:E29"/>
    <mergeCell ref="A40:B41"/>
    <mergeCell ref="A44:E44"/>
    <mergeCell ref="C48:E48"/>
    <mergeCell ref="A50:B51"/>
    <mergeCell ref="C50:E50"/>
    <mergeCell ref="A14:B14"/>
    <mergeCell ref="A18:B18"/>
    <mergeCell ref="A19:B19"/>
    <mergeCell ref="A23:E23"/>
    <mergeCell ref="A25:B25"/>
    <mergeCell ref="D25:E25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topLeftCell="A31" zoomScale="130" zoomScaleNormal="130" workbookViewId="0">
      <selection activeCell="E31" sqref="E3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5" t="s">
        <v>82</v>
      </c>
      <c r="B1" s="136"/>
      <c r="C1" s="136"/>
      <c r="D1" s="136"/>
      <c r="E1" s="137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5" t="s">
        <v>67</v>
      </c>
      <c r="B3" s="136"/>
      <c r="C3" s="136"/>
      <c r="D3" s="136"/>
      <c r="E3" s="137"/>
    </row>
    <row r="4" spans="1:6" x14ac:dyDescent="0.25">
      <c r="A4" s="57"/>
      <c r="B4" s="57"/>
      <c r="C4" s="57"/>
      <c r="D4" s="139" t="s">
        <v>83</v>
      </c>
      <c r="E4" s="139"/>
    </row>
    <row r="5" spans="1:6" x14ac:dyDescent="0.25">
      <c r="A5" s="79" t="s">
        <v>54</v>
      </c>
      <c r="B5" s="57"/>
      <c r="C5" s="57"/>
      <c r="D5" s="57"/>
      <c r="E5" s="57"/>
    </row>
    <row r="6" spans="1:6" x14ac:dyDescent="0.25">
      <c r="A6" s="57" t="s">
        <v>20</v>
      </c>
      <c r="B6" s="91">
        <v>3.15</v>
      </c>
      <c r="C6" s="2"/>
      <c r="D6" s="57" t="s">
        <v>23</v>
      </c>
      <c r="E6" s="91">
        <v>0.3</v>
      </c>
    </row>
    <row r="7" spans="1:6" x14ac:dyDescent="0.25">
      <c r="A7" s="57" t="s">
        <v>28</v>
      </c>
      <c r="B7" s="92">
        <v>25</v>
      </c>
      <c r="C7" s="2"/>
      <c r="D7" s="57" t="s">
        <v>35</v>
      </c>
      <c r="E7" s="91">
        <v>0.2</v>
      </c>
      <c r="F7" s="2"/>
    </row>
    <row r="8" spans="1:6" x14ac:dyDescent="0.25">
      <c r="A8" s="57" t="s">
        <v>29</v>
      </c>
      <c r="B8" s="64">
        <v>420</v>
      </c>
      <c r="C8" s="2"/>
      <c r="D8" s="140" t="s">
        <v>86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11" t="s">
        <v>66</v>
      </c>
      <c r="B10" s="112"/>
      <c r="C10" s="112"/>
      <c r="D10" s="112"/>
      <c r="E10" s="113"/>
    </row>
    <row r="11" spans="1:6" x14ac:dyDescent="0.25">
      <c r="A11" s="57"/>
      <c r="B11" s="57"/>
      <c r="C11" s="57"/>
      <c r="D11" s="57"/>
      <c r="E11" s="57"/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</row>
    <row r="13" spans="1:6" x14ac:dyDescent="0.25">
      <c r="A13" s="138" t="s">
        <v>61</v>
      </c>
      <c r="B13" s="138"/>
      <c r="C13" s="61">
        <f>+E6*E7</f>
        <v>0.06</v>
      </c>
      <c r="D13" s="8">
        <v>25</v>
      </c>
      <c r="E13" s="80">
        <f>+C13*D13</f>
        <v>1.5</v>
      </c>
    </row>
    <row r="14" spans="1:6" x14ac:dyDescent="0.25">
      <c r="A14" s="138" t="s">
        <v>60</v>
      </c>
      <c r="B14" s="138"/>
      <c r="C14" s="61">
        <f>3.2*0.2</f>
        <v>0.64000000000000012</v>
      </c>
      <c r="D14" s="8">
        <v>17</v>
      </c>
      <c r="E14" s="80">
        <f>+C14*D14</f>
        <v>10.880000000000003</v>
      </c>
    </row>
    <row r="15" spans="1:6" x14ac:dyDescent="0.25">
      <c r="A15" s="81" t="s">
        <v>48</v>
      </c>
      <c r="B15" s="14"/>
      <c r="C15" s="9"/>
      <c r="D15" s="8"/>
      <c r="E15" s="82">
        <f>SUM(E13:E14)</f>
        <v>12.380000000000003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6" t="s">
        <v>1</v>
      </c>
      <c r="D17" s="6" t="s">
        <v>7</v>
      </c>
      <c r="E17" s="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v>0.5</v>
      </c>
      <c r="D19" s="93">
        <v>3.2</v>
      </c>
      <c r="E19" s="80">
        <f>+C19*D19</f>
        <v>1.6</v>
      </c>
    </row>
    <row r="20" spans="1:7" x14ac:dyDescent="0.25">
      <c r="A20" s="12"/>
      <c r="B20" s="12"/>
      <c r="C20" s="7"/>
      <c r="D20" s="99"/>
      <c r="E20" s="80"/>
    </row>
    <row r="21" spans="1:7" x14ac:dyDescent="0.25">
      <c r="A21" s="12" t="s">
        <v>85</v>
      </c>
      <c r="B21" s="12"/>
      <c r="C21" s="91">
        <f>+C19</f>
        <v>0.5</v>
      </c>
      <c r="D21" s="93">
        <v>2</v>
      </c>
      <c r="E21" s="80">
        <f>+C21*D21</f>
        <v>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1" t="s">
        <v>68</v>
      </c>
      <c r="B23" s="112"/>
      <c r="C23" s="112"/>
      <c r="D23" s="112"/>
      <c r="E23" s="113"/>
    </row>
    <row r="24" spans="1:7" x14ac:dyDescent="0.25">
      <c r="A24" s="57"/>
      <c r="B24" s="57"/>
      <c r="C24" s="57"/>
      <c r="D24" s="57"/>
      <c r="E24" s="57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2">
        <v>18.260000000000002</v>
      </c>
      <c r="C26" s="2"/>
      <c r="D26" s="2" t="s">
        <v>69</v>
      </c>
      <c r="E26" s="62">
        <v>18.260000000000002</v>
      </c>
      <c r="G26" s="62">
        <f>ROUND((((1.2*(E15+E19))+(1.6*E21))),2)</f>
        <v>18.38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1" t="s">
        <v>45</v>
      </c>
      <c r="B29" s="112"/>
      <c r="C29" s="112"/>
      <c r="D29" s="112"/>
      <c r="E29" s="113"/>
    </row>
    <row r="30" spans="1:7" x14ac:dyDescent="0.25">
      <c r="A30" s="57"/>
      <c r="B30" s="57"/>
      <c r="C30" s="57"/>
      <c r="D30" s="57"/>
      <c r="E30" s="57"/>
    </row>
    <row r="31" spans="1:7" x14ac:dyDescent="0.25">
      <c r="A31" s="83" t="s">
        <v>23</v>
      </c>
      <c r="B31" s="3">
        <f>+E6</f>
        <v>0.3</v>
      </c>
      <c r="C31" s="2"/>
      <c r="D31" s="2" t="s">
        <v>26</v>
      </c>
      <c r="E31" s="84">
        <f>((E26/(1000*0.9)))</f>
        <v>2.0288888888888891E-2</v>
      </c>
    </row>
    <row r="32" spans="1:7" x14ac:dyDescent="0.25">
      <c r="A32" s="60" t="s">
        <v>36</v>
      </c>
      <c r="B32" s="4">
        <v>0.03</v>
      </c>
      <c r="C32" s="2"/>
      <c r="D32" s="2" t="s">
        <v>27</v>
      </c>
      <c r="E32" s="85">
        <f>(B35/((E31/E7)^(1/2)))</f>
        <v>0.81631770118389302</v>
      </c>
    </row>
    <row r="33" spans="1:7" x14ac:dyDescent="0.25">
      <c r="A33" s="83" t="s">
        <v>64</v>
      </c>
      <c r="B33" s="4">
        <v>6.0000000000000001E-3</v>
      </c>
      <c r="C33" s="2"/>
      <c r="D33" s="2" t="s">
        <v>30</v>
      </c>
      <c r="E33" s="94">
        <v>0.79600000000000004</v>
      </c>
      <c r="F33" s="95" t="s">
        <v>84</v>
      </c>
    </row>
    <row r="34" spans="1:7" x14ac:dyDescent="0.25">
      <c r="A34" s="60" t="s">
        <v>24</v>
      </c>
      <c r="B34" s="4">
        <v>0.01</v>
      </c>
      <c r="C34" s="2"/>
      <c r="D34" s="2" t="s">
        <v>31</v>
      </c>
      <c r="E34" s="86">
        <v>24.765999999999998</v>
      </c>
    </row>
    <row r="35" spans="1:7" x14ac:dyDescent="0.25">
      <c r="A35" s="57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60" t="s">
        <v>32</v>
      </c>
      <c r="B37" s="63">
        <f>(E34*(E31/B35))</f>
        <v>1.9325947008547011</v>
      </c>
      <c r="C37" s="2"/>
      <c r="D37" s="2"/>
      <c r="E37" s="2"/>
    </row>
    <row r="38" spans="1:7" x14ac:dyDescent="0.25">
      <c r="A38" s="60" t="s">
        <v>33</v>
      </c>
      <c r="B38" s="63">
        <f>+ROUND(((1.4*$E$7*$B$35)/$B$8)*10000,3)</f>
        <v>1.7330000000000001</v>
      </c>
      <c r="C38" s="2"/>
      <c r="D38" s="6" t="s">
        <v>65</v>
      </c>
      <c r="E38" s="87">
        <f>+IF(B38&gt;B37,B38,B37)</f>
        <v>1.9325947008547011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2" t="s">
        <v>34</v>
      </c>
      <c r="B40" s="142"/>
      <c r="C40" s="66">
        <v>3</v>
      </c>
      <c r="D40" s="89">
        <v>10</v>
      </c>
      <c r="E40" s="90">
        <f>C40*(PI()*(D40/10)^2)/4</f>
        <v>2.3561944901923448</v>
      </c>
      <c r="F40" s="10"/>
      <c r="G40" t="s">
        <v>87</v>
      </c>
    </row>
    <row r="41" spans="1:7" x14ac:dyDescent="0.25">
      <c r="A41" s="142"/>
      <c r="B41" s="142"/>
      <c r="C41" s="66">
        <v>0</v>
      </c>
      <c r="D41" s="89">
        <v>16</v>
      </c>
      <c r="E41" s="90">
        <f>C41*(PI()*(D41/10)^2)/4</f>
        <v>0</v>
      </c>
    </row>
    <row r="42" spans="1:7" x14ac:dyDescent="0.25">
      <c r="A42" s="2"/>
      <c r="B42" s="2"/>
      <c r="C42" s="2"/>
      <c r="D42" s="67" t="str">
        <f>+IF(E42&gt;E38,"B.C.","M.C.")</f>
        <v>B.C.</v>
      </c>
      <c r="E42" s="87">
        <f>SUM(E40:E41)</f>
        <v>2.3561944901923448</v>
      </c>
    </row>
    <row r="43" spans="1:7" x14ac:dyDescent="0.25">
      <c r="A43" s="2"/>
      <c r="B43" s="2"/>
      <c r="C43" s="2"/>
      <c r="D43" s="2"/>
      <c r="E43" s="88"/>
    </row>
    <row r="44" spans="1:7" x14ac:dyDescent="0.25">
      <c r="A44" s="111" t="s">
        <v>46</v>
      </c>
      <c r="B44" s="112"/>
      <c r="C44" s="112"/>
      <c r="D44" s="112"/>
      <c r="E44" s="11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6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1" t="str">
        <f>+IF(B47&gt;B46,"ARM. MINIMA DE CORTE","ES NECESARIA ARM. DE CORTE")</f>
        <v>ES NECESARIA ARM. DE CORTE</v>
      </c>
      <c r="D48" s="141"/>
      <c r="E48" s="141"/>
    </row>
    <row r="49" spans="1:5" x14ac:dyDescent="0.25">
      <c r="A49" s="2"/>
      <c r="B49" s="2"/>
      <c r="C49" s="2"/>
      <c r="D49" s="2"/>
      <c r="E49" s="2"/>
    </row>
    <row r="50" spans="1:5" x14ac:dyDescent="0.25">
      <c r="A50" s="142" t="s">
        <v>70</v>
      </c>
      <c r="B50" s="142"/>
      <c r="C50" s="143" t="s">
        <v>72</v>
      </c>
      <c r="D50" s="143"/>
      <c r="E50" s="143"/>
    </row>
    <row r="51" spans="1:5" x14ac:dyDescent="0.25">
      <c r="A51" s="142"/>
      <c r="B51" s="142"/>
      <c r="C51" s="72">
        <v>1</v>
      </c>
      <c r="D51" s="73">
        <v>6</v>
      </c>
      <c r="E51" s="74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7" t="s">
        <v>78</v>
      </c>
      <c r="B53" s="75">
        <f>+((((2*(PI()*(D51/10)^2)/4)/(100^2))*B8*B35)/(E51/100))*1000</f>
        <v>30.875572599480485</v>
      </c>
      <c r="C53" s="67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  <mergeCell ref="A1:E1"/>
    <mergeCell ref="A3:E3"/>
    <mergeCell ref="A10:E10"/>
    <mergeCell ref="A13:B13"/>
    <mergeCell ref="A19:B19"/>
    <mergeCell ref="D4:E4"/>
    <mergeCell ref="D8:E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BF4C-C0F8-4FE7-949B-271367FB6829}">
  <dimension ref="A1:G57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5" t="s">
        <v>82</v>
      </c>
      <c r="B1" s="136"/>
      <c r="C1" s="136"/>
      <c r="D1" s="136"/>
      <c r="E1" s="137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5" t="s">
        <v>92</v>
      </c>
      <c r="B3" s="136"/>
      <c r="C3" s="136"/>
      <c r="D3" s="136"/>
      <c r="E3" s="137"/>
    </row>
    <row r="4" spans="1:6" x14ac:dyDescent="0.25">
      <c r="A4" s="97"/>
      <c r="B4" s="97"/>
      <c r="C4" s="97"/>
      <c r="D4" s="139" t="s">
        <v>83</v>
      </c>
      <c r="E4" s="139"/>
    </row>
    <row r="5" spans="1:6" x14ac:dyDescent="0.25">
      <c r="A5" s="79" t="s">
        <v>54</v>
      </c>
      <c r="B5" s="97"/>
      <c r="C5" s="97"/>
      <c r="D5" s="97"/>
      <c r="E5" s="97"/>
    </row>
    <row r="6" spans="1:6" x14ac:dyDescent="0.25">
      <c r="A6" s="97" t="s">
        <v>20</v>
      </c>
      <c r="B6" s="91">
        <v>3.15</v>
      </c>
      <c r="C6" s="2"/>
      <c r="D6" s="97" t="s">
        <v>23</v>
      </c>
      <c r="E6" s="91">
        <v>0.3</v>
      </c>
    </row>
    <row r="7" spans="1:6" x14ac:dyDescent="0.25">
      <c r="A7" s="97" t="s">
        <v>28</v>
      </c>
      <c r="B7" s="92">
        <v>25</v>
      </c>
      <c r="C7" s="2"/>
      <c r="D7" s="97" t="s">
        <v>35</v>
      </c>
      <c r="E7" s="91">
        <v>0.2</v>
      </c>
      <c r="F7" s="2"/>
    </row>
    <row r="8" spans="1:6" x14ac:dyDescent="0.25">
      <c r="A8" s="97" t="s">
        <v>29</v>
      </c>
      <c r="B8" s="64">
        <v>420</v>
      </c>
      <c r="C8" s="2"/>
      <c r="D8" s="140" t="s">
        <v>73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11" t="s">
        <v>66</v>
      </c>
      <c r="B10" s="112"/>
      <c r="C10" s="112"/>
      <c r="D10" s="112"/>
      <c r="E10" s="113"/>
    </row>
    <row r="11" spans="1:6" x14ac:dyDescent="0.25">
      <c r="A11" s="97"/>
      <c r="B11" s="97"/>
      <c r="C11" s="97"/>
      <c r="D11" s="97"/>
      <c r="E11" s="97"/>
    </row>
    <row r="12" spans="1:6" x14ac:dyDescent="0.25">
      <c r="A12" s="2"/>
      <c r="B12" s="2"/>
      <c r="C12" s="96" t="s">
        <v>6</v>
      </c>
      <c r="D12" s="96" t="s">
        <v>7</v>
      </c>
      <c r="E12" s="96" t="s">
        <v>8</v>
      </c>
    </row>
    <row r="13" spans="1:6" x14ac:dyDescent="0.25">
      <c r="A13" s="138" t="s">
        <v>61</v>
      </c>
      <c r="B13" s="138"/>
      <c r="C13" s="61">
        <f>+E6*E7</f>
        <v>0.06</v>
      </c>
      <c r="D13" s="8">
        <v>25</v>
      </c>
      <c r="E13" s="80">
        <f>+C13*D13</f>
        <v>1.5</v>
      </c>
    </row>
    <row r="14" spans="1:6" x14ac:dyDescent="0.25">
      <c r="A14" s="138" t="s">
        <v>60</v>
      </c>
      <c r="B14" s="138"/>
      <c r="C14" s="61">
        <f>4.2*0.2</f>
        <v>0.84000000000000008</v>
      </c>
      <c r="D14" s="8">
        <v>17</v>
      </c>
      <c r="E14" s="80">
        <f>+C14*D14</f>
        <v>14.280000000000001</v>
      </c>
    </row>
    <row r="15" spans="1:6" x14ac:dyDescent="0.25">
      <c r="A15" s="81" t="s">
        <v>48</v>
      </c>
      <c r="B15" s="14"/>
      <c r="C15" s="9"/>
      <c r="D15" s="8"/>
      <c r="E15" s="82">
        <f>SUM(E13:E14)</f>
        <v>15.780000000000001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96" t="s">
        <v>1</v>
      </c>
      <c r="D17" s="96" t="s">
        <v>7</v>
      </c>
      <c r="E17" s="9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v>0.5</v>
      </c>
      <c r="D19" s="93">
        <v>3.2</v>
      </c>
      <c r="E19" s="80">
        <f>+C19*D19</f>
        <v>1.6</v>
      </c>
    </row>
    <row r="20" spans="1:7" x14ac:dyDescent="0.25">
      <c r="A20" s="98"/>
      <c r="B20" s="98"/>
      <c r="C20" s="7"/>
      <c r="D20" s="99"/>
      <c r="E20" s="80"/>
    </row>
    <row r="21" spans="1:7" x14ac:dyDescent="0.25">
      <c r="A21" s="98" t="s">
        <v>85</v>
      </c>
      <c r="B21" s="98"/>
      <c r="C21" s="91">
        <f>+C19</f>
        <v>0.5</v>
      </c>
      <c r="D21" s="93">
        <v>2</v>
      </c>
      <c r="E21" s="80">
        <f>+C21*D21</f>
        <v>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1" t="s">
        <v>68</v>
      </c>
      <c r="B23" s="112"/>
      <c r="C23" s="112"/>
      <c r="D23" s="112"/>
      <c r="E23" s="113"/>
    </row>
    <row r="24" spans="1:7" x14ac:dyDescent="0.25">
      <c r="A24" s="97"/>
      <c r="B24" s="97"/>
      <c r="C24" s="97"/>
      <c r="D24" s="97"/>
      <c r="E24" s="97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2">
        <v>18.260000000000002</v>
      </c>
      <c r="C26" s="2"/>
      <c r="D26" s="2" t="s">
        <v>69</v>
      </c>
      <c r="E26" s="62">
        <v>30.18</v>
      </c>
      <c r="G26" s="62">
        <f>ROUND((((1.2*(E15+E19))+(1.6*E21))),2)</f>
        <v>22.46</v>
      </c>
    </row>
    <row r="27" spans="1:7" x14ac:dyDescent="0.25">
      <c r="A27" s="2" t="s">
        <v>76</v>
      </c>
      <c r="B27" s="5">
        <f>ROUND(((E15+E18)*B6/2),2)</f>
        <v>24.85</v>
      </c>
      <c r="C27" s="2"/>
      <c r="D27" s="2" t="s">
        <v>51</v>
      </c>
      <c r="E27" s="5">
        <v>38.32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1" t="s">
        <v>45</v>
      </c>
      <c r="B29" s="112"/>
      <c r="C29" s="112"/>
      <c r="D29" s="112"/>
      <c r="E29" s="113"/>
    </row>
    <row r="30" spans="1:7" x14ac:dyDescent="0.25">
      <c r="A30" s="97"/>
      <c r="B30" s="97"/>
      <c r="C30" s="97"/>
      <c r="D30" s="97"/>
      <c r="E30" s="97"/>
    </row>
    <row r="31" spans="1:7" x14ac:dyDescent="0.25">
      <c r="A31" s="83" t="s">
        <v>23</v>
      </c>
      <c r="B31" s="3">
        <f>+E6</f>
        <v>0.3</v>
      </c>
      <c r="C31" s="2"/>
      <c r="D31" s="2" t="s">
        <v>26</v>
      </c>
      <c r="E31" s="84">
        <f>((E26/(1000*0.9)))</f>
        <v>3.3533333333333332E-2</v>
      </c>
    </row>
    <row r="32" spans="1:7" x14ac:dyDescent="0.25">
      <c r="A32" s="60" t="s">
        <v>36</v>
      </c>
      <c r="B32" s="4">
        <v>0.03</v>
      </c>
      <c r="C32" s="2"/>
      <c r="D32" s="2" t="s">
        <v>27</v>
      </c>
      <c r="E32" s="85">
        <f>(B35/((E31/E7)^(1/2)))</f>
        <v>0.63496528606918545</v>
      </c>
    </row>
    <row r="33" spans="1:7" x14ac:dyDescent="0.25">
      <c r="A33" s="83" t="s">
        <v>64</v>
      </c>
      <c r="B33" s="4">
        <v>6.0000000000000001E-3</v>
      </c>
      <c r="C33" s="2"/>
      <c r="D33" s="2" t="s">
        <v>30</v>
      </c>
      <c r="E33" s="94">
        <v>0.59799999999999998</v>
      </c>
      <c r="F33" s="95" t="s">
        <v>84</v>
      </c>
    </row>
    <row r="34" spans="1:7" x14ac:dyDescent="0.25">
      <c r="A34" s="60" t="s">
        <v>24</v>
      </c>
      <c r="B34" s="4">
        <v>0.01</v>
      </c>
      <c r="C34" s="2"/>
      <c r="D34" s="2" t="s">
        <v>31</v>
      </c>
      <c r="E34" s="86">
        <v>25.625</v>
      </c>
    </row>
    <row r="35" spans="1:7" x14ac:dyDescent="0.25">
      <c r="A35" s="97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60" t="s">
        <v>32</v>
      </c>
      <c r="B37" s="63">
        <f>(E34*(E31/B35))</f>
        <v>3.3049679487179486</v>
      </c>
      <c r="C37" s="2"/>
      <c r="D37" s="2"/>
      <c r="E37" s="2"/>
    </row>
    <row r="38" spans="1:7" x14ac:dyDescent="0.25">
      <c r="A38" s="60" t="s">
        <v>33</v>
      </c>
      <c r="B38" s="63">
        <f>+ROUND(((1.4*$E$7*$B$35)/$B$8)*10000,3)</f>
        <v>1.7330000000000001</v>
      </c>
      <c r="C38" s="2"/>
      <c r="D38" s="96" t="s">
        <v>65</v>
      </c>
      <c r="E38" s="87">
        <f>+IF(B38&gt;B37,B38,B37)</f>
        <v>3.3049679487179486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2" t="s">
        <v>34</v>
      </c>
      <c r="B40" s="142"/>
      <c r="C40" s="66"/>
      <c r="D40" s="89">
        <v>10</v>
      </c>
      <c r="E40" s="90">
        <f>C40*(PI()*(D40/10)^2)/4</f>
        <v>0</v>
      </c>
      <c r="F40" s="10"/>
      <c r="G40" t="s">
        <v>88</v>
      </c>
    </row>
    <row r="41" spans="1:7" x14ac:dyDescent="0.25">
      <c r="A41" s="142"/>
      <c r="B41" s="142"/>
      <c r="C41" s="66">
        <v>2</v>
      </c>
      <c r="D41" s="89">
        <v>16</v>
      </c>
      <c r="E41" s="90">
        <f>C41*(PI()*(D41/10)^2)/4</f>
        <v>4.0212385965949355</v>
      </c>
    </row>
    <row r="42" spans="1:7" x14ac:dyDescent="0.25">
      <c r="A42" s="2"/>
      <c r="B42" s="2"/>
      <c r="C42" s="2"/>
      <c r="D42" s="67" t="str">
        <f>+IF(E42&gt;E38,"B.C.","M.C.")</f>
        <v>B.C.</v>
      </c>
      <c r="E42" s="87">
        <f>SUM(E40:E41)</f>
        <v>4.0212385965949355</v>
      </c>
    </row>
    <row r="43" spans="1:7" x14ac:dyDescent="0.25">
      <c r="A43" s="2"/>
      <c r="B43" s="2"/>
      <c r="C43" s="2"/>
      <c r="D43" s="2"/>
      <c r="E43" s="88"/>
    </row>
    <row r="44" spans="1:7" x14ac:dyDescent="0.25">
      <c r="A44" s="111" t="s">
        <v>46</v>
      </c>
      <c r="B44" s="112"/>
      <c r="C44" s="112"/>
      <c r="D44" s="112"/>
      <c r="E44" s="11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51.093333333333334</v>
      </c>
      <c r="C46" s="2"/>
      <c r="D46" s="2"/>
      <c r="E46" s="2"/>
    </row>
    <row r="47" spans="1:7" ht="15" customHeight="1" x14ac:dyDescent="0.25">
      <c r="A47" s="76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7.7600000000000051</v>
      </c>
      <c r="C48" s="141" t="str">
        <f>+IF(B47&gt;B46,"ARM. MINIMA DE CORTE","ES NECESARIA ARM. DE CORTE")</f>
        <v>ES NECESARIA ARM. DE CORTE</v>
      </c>
      <c r="D48" s="141"/>
      <c r="E48" s="141"/>
    </row>
    <row r="49" spans="1:5" x14ac:dyDescent="0.25">
      <c r="A49" s="2"/>
      <c r="B49" s="2"/>
      <c r="C49" s="2"/>
      <c r="D49" s="2"/>
      <c r="E49" s="2"/>
    </row>
    <row r="50" spans="1:5" x14ac:dyDescent="0.25">
      <c r="A50" s="142" t="s">
        <v>70</v>
      </c>
      <c r="B50" s="142"/>
      <c r="C50" s="143" t="s">
        <v>72</v>
      </c>
      <c r="D50" s="143"/>
      <c r="E50" s="143"/>
    </row>
    <row r="51" spans="1:5" x14ac:dyDescent="0.25">
      <c r="A51" s="142"/>
      <c r="B51" s="142"/>
      <c r="C51" s="72">
        <v>1</v>
      </c>
      <c r="D51" s="73">
        <v>6</v>
      </c>
      <c r="E51" s="74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7" t="s">
        <v>78</v>
      </c>
      <c r="B53" s="75">
        <f>+((((2*(PI()*(D51/10)^2)/4)/(100^2))*B8*B35)/(E51/100))*1000</f>
        <v>30.875572599480485</v>
      </c>
      <c r="C53" s="67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29:E29"/>
    <mergeCell ref="A40:B41"/>
    <mergeCell ref="A44:E44"/>
    <mergeCell ref="C48:E48"/>
    <mergeCell ref="A50:B51"/>
    <mergeCell ref="C50:E50"/>
    <mergeCell ref="A14:B14"/>
    <mergeCell ref="A18:B18"/>
    <mergeCell ref="A19:B19"/>
    <mergeCell ref="A23:E23"/>
    <mergeCell ref="A25:B25"/>
    <mergeCell ref="D25:E25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795D-E2A5-496C-B487-460167F8BB74}">
  <dimension ref="A1:G57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7" x14ac:dyDescent="0.25">
      <c r="A1" s="135" t="s">
        <v>82</v>
      </c>
      <c r="B1" s="136"/>
      <c r="C1" s="136"/>
      <c r="D1" s="136"/>
      <c r="E1" s="137"/>
      <c r="F1" s="10"/>
    </row>
    <row r="2" spans="1:7" x14ac:dyDescent="0.25">
      <c r="A2" s="1"/>
      <c r="B2" s="2"/>
      <c r="C2" s="2"/>
      <c r="D2" s="2"/>
      <c r="E2" s="2"/>
    </row>
    <row r="3" spans="1:7" x14ac:dyDescent="0.25">
      <c r="A3" s="135" t="s">
        <v>93</v>
      </c>
      <c r="B3" s="136"/>
      <c r="C3" s="136"/>
      <c r="D3" s="136"/>
      <c r="E3" s="137"/>
    </row>
    <row r="4" spans="1:7" x14ac:dyDescent="0.25">
      <c r="A4" s="97"/>
      <c r="B4" s="97"/>
      <c r="C4" s="97"/>
      <c r="D4" s="139" t="s">
        <v>83</v>
      </c>
      <c r="E4" s="139"/>
    </row>
    <row r="5" spans="1:7" x14ac:dyDescent="0.25">
      <c r="A5" s="79" t="s">
        <v>54</v>
      </c>
      <c r="B5" s="97"/>
      <c r="C5" s="97"/>
      <c r="D5" s="97"/>
      <c r="E5" s="97"/>
    </row>
    <row r="6" spans="1:7" x14ac:dyDescent="0.25">
      <c r="A6" s="97" t="s">
        <v>20</v>
      </c>
      <c r="B6" s="91">
        <v>1.75</v>
      </c>
      <c r="C6" s="2"/>
      <c r="D6" s="97" t="s">
        <v>23</v>
      </c>
      <c r="E6" s="91">
        <v>0.17</v>
      </c>
    </row>
    <row r="7" spans="1:7" x14ac:dyDescent="0.25">
      <c r="A7" s="97" t="s">
        <v>28</v>
      </c>
      <c r="B7" s="92">
        <v>25</v>
      </c>
      <c r="C7" s="2"/>
      <c r="D7" s="97" t="s">
        <v>35</v>
      </c>
      <c r="E7" s="91">
        <v>0.2</v>
      </c>
      <c r="F7" s="2"/>
    </row>
    <row r="8" spans="1:7" x14ac:dyDescent="0.25">
      <c r="A8" s="97" t="s">
        <v>29</v>
      </c>
      <c r="B8" s="64">
        <v>420</v>
      </c>
      <c r="C8" s="2"/>
      <c r="D8" s="140" t="s">
        <v>94</v>
      </c>
      <c r="E8" s="140"/>
    </row>
    <row r="9" spans="1:7" x14ac:dyDescent="0.25">
      <c r="A9" s="2"/>
      <c r="B9" s="2"/>
      <c r="C9" s="2"/>
      <c r="D9" s="2"/>
      <c r="E9" s="2"/>
    </row>
    <row r="10" spans="1:7" x14ac:dyDescent="0.25">
      <c r="A10" s="111" t="s">
        <v>66</v>
      </c>
      <c r="B10" s="112"/>
      <c r="C10" s="112"/>
      <c r="D10" s="112"/>
      <c r="E10" s="113"/>
    </row>
    <row r="11" spans="1:7" x14ac:dyDescent="0.25">
      <c r="A11" s="97"/>
      <c r="B11" s="97"/>
      <c r="C11" s="97"/>
      <c r="D11" s="97"/>
      <c r="E11" s="97"/>
    </row>
    <row r="12" spans="1:7" x14ac:dyDescent="0.25">
      <c r="A12" s="2"/>
      <c r="B12" s="2"/>
      <c r="C12" s="96" t="s">
        <v>6</v>
      </c>
      <c r="D12" s="96" t="s">
        <v>7</v>
      </c>
      <c r="E12" s="96" t="s">
        <v>8</v>
      </c>
    </row>
    <row r="13" spans="1:7" x14ac:dyDescent="0.25">
      <c r="A13" s="138" t="s">
        <v>61</v>
      </c>
      <c r="B13" s="138"/>
      <c r="C13" s="61">
        <f>+E6*E7</f>
        <v>3.4000000000000002E-2</v>
      </c>
      <c r="D13" s="8">
        <v>25</v>
      </c>
      <c r="E13" s="80">
        <f>+C13*D13</f>
        <v>0.85000000000000009</v>
      </c>
    </row>
    <row r="14" spans="1:7" x14ac:dyDescent="0.25">
      <c r="A14" s="138" t="s">
        <v>89</v>
      </c>
      <c r="B14" s="138"/>
      <c r="C14" s="61" t="s">
        <v>38</v>
      </c>
      <c r="D14" s="8" t="s">
        <v>38</v>
      </c>
      <c r="E14" s="80">
        <v>0</v>
      </c>
      <c r="F14">
        <v>1</v>
      </c>
      <c r="G14" t="s">
        <v>90</v>
      </c>
    </row>
    <row r="15" spans="1:7" x14ac:dyDescent="0.25">
      <c r="A15" s="81" t="s">
        <v>48</v>
      </c>
      <c r="B15" s="14"/>
      <c r="C15" s="9"/>
      <c r="D15" s="8"/>
      <c r="E15" s="82">
        <f>SUM(E13:E14)</f>
        <v>0.85000000000000009</v>
      </c>
      <c r="F15">
        <v>1</v>
      </c>
      <c r="G15" t="s">
        <v>90</v>
      </c>
    </row>
    <row r="16" spans="1:7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96" t="s">
        <v>1</v>
      </c>
      <c r="D17" s="96" t="s">
        <v>7</v>
      </c>
      <c r="E17" s="9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v>0.5</v>
      </c>
      <c r="D19" s="93">
        <v>3.2</v>
      </c>
      <c r="E19" s="80">
        <f>+C19*D19</f>
        <v>1.6</v>
      </c>
    </row>
    <row r="20" spans="1:7" x14ac:dyDescent="0.25">
      <c r="A20" s="98"/>
      <c r="B20" s="98"/>
      <c r="C20" s="7"/>
      <c r="D20" s="99"/>
      <c r="E20" s="80"/>
    </row>
    <row r="21" spans="1:7" x14ac:dyDescent="0.25">
      <c r="A21" s="98" t="s">
        <v>85</v>
      </c>
      <c r="B21" s="98"/>
      <c r="C21" s="91">
        <f>+C19</f>
        <v>0.5</v>
      </c>
      <c r="D21" s="93">
        <v>2</v>
      </c>
      <c r="E21" s="80">
        <f>+C21*D21</f>
        <v>1</v>
      </c>
      <c r="F21">
        <v>1</v>
      </c>
      <c r="G21" t="s">
        <v>90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11" t="s">
        <v>68</v>
      </c>
      <c r="B23" s="112"/>
      <c r="C23" s="112"/>
      <c r="D23" s="112"/>
      <c r="E23" s="113"/>
    </row>
    <row r="24" spans="1:7" x14ac:dyDescent="0.25">
      <c r="A24" s="97"/>
      <c r="B24" s="97"/>
      <c r="C24" s="97"/>
      <c r="D24" s="97"/>
      <c r="E24" s="97"/>
    </row>
    <row r="25" spans="1:7" x14ac:dyDescent="0.25">
      <c r="A25" s="144" t="s">
        <v>21</v>
      </c>
      <c r="B25" s="144"/>
      <c r="C25" s="2"/>
      <c r="D25" s="144" t="s">
        <v>22</v>
      </c>
      <c r="E25" s="144"/>
    </row>
    <row r="26" spans="1:7" x14ac:dyDescent="0.25">
      <c r="A26" s="2" t="s">
        <v>75</v>
      </c>
      <c r="B26" s="62">
        <v>18.260000000000002</v>
      </c>
      <c r="C26" s="2"/>
      <c r="D26" s="2" t="s">
        <v>69</v>
      </c>
      <c r="E26" s="62">
        <v>2.41</v>
      </c>
      <c r="G26" s="62">
        <f>ROUND((((1.2*(E15+E19))+(1.6*E21))),2)</f>
        <v>4.54</v>
      </c>
    </row>
    <row r="27" spans="1:7" x14ac:dyDescent="0.25">
      <c r="A27" s="2" t="s">
        <v>76</v>
      </c>
      <c r="B27" s="5">
        <f>ROUND(((E15+E18)*B6/2),2)</f>
        <v>0.74</v>
      </c>
      <c r="C27" s="2"/>
      <c r="D27" s="2" t="s">
        <v>51</v>
      </c>
      <c r="E27" s="5">
        <v>6.07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11" t="s">
        <v>45</v>
      </c>
      <c r="B29" s="112"/>
      <c r="C29" s="112"/>
      <c r="D29" s="112"/>
      <c r="E29" s="113"/>
    </row>
    <row r="30" spans="1:7" x14ac:dyDescent="0.25">
      <c r="A30" s="97"/>
      <c r="B30" s="97"/>
      <c r="C30" s="97"/>
      <c r="D30" s="97"/>
      <c r="E30" s="97"/>
    </row>
    <row r="31" spans="1:7" x14ac:dyDescent="0.25">
      <c r="A31" s="83" t="s">
        <v>23</v>
      </c>
      <c r="B31" s="3">
        <f>+E6</f>
        <v>0.17</v>
      </c>
      <c r="C31" s="2"/>
      <c r="D31" s="2" t="s">
        <v>26</v>
      </c>
      <c r="E31" s="84">
        <f>((E26/(1000*0.9)))</f>
        <v>2.6777777777777781E-3</v>
      </c>
    </row>
    <row r="32" spans="1:7" x14ac:dyDescent="0.25">
      <c r="A32" s="60" t="s">
        <v>36</v>
      </c>
      <c r="B32" s="4">
        <v>0.03</v>
      </c>
      <c r="C32" s="2"/>
      <c r="D32" s="2" t="s">
        <v>27</v>
      </c>
      <c r="E32" s="85">
        <f>(B35/((E31/E7)^(1/2)))</f>
        <v>1.123494843735571</v>
      </c>
    </row>
    <row r="33" spans="1:7" x14ac:dyDescent="0.25">
      <c r="A33" s="83" t="s">
        <v>64</v>
      </c>
      <c r="B33" s="4">
        <v>6.0000000000000001E-3</v>
      </c>
      <c r="C33" s="2"/>
      <c r="D33" s="2" t="s">
        <v>30</v>
      </c>
      <c r="E33" s="94">
        <v>1.089</v>
      </c>
      <c r="F33" s="95" t="s">
        <v>84</v>
      </c>
    </row>
    <row r="34" spans="1:7" x14ac:dyDescent="0.25">
      <c r="A34" s="60" t="s">
        <v>24</v>
      </c>
      <c r="B34" s="4">
        <v>0.01</v>
      </c>
      <c r="C34" s="2"/>
      <c r="D34" s="2" t="s">
        <v>31</v>
      </c>
      <c r="E34" s="86">
        <v>24.300999999999998</v>
      </c>
    </row>
    <row r="35" spans="1:7" x14ac:dyDescent="0.25">
      <c r="A35" s="97" t="s">
        <v>25</v>
      </c>
      <c r="B35" s="3">
        <f>+ROUND(B31-B32-B33-B34/2,2)</f>
        <v>0.13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60" t="s">
        <v>32</v>
      </c>
      <c r="B37" s="63">
        <f>(E34*(E31/B35))</f>
        <v>0.50055905982905979</v>
      </c>
      <c r="C37" s="2"/>
      <c r="D37" s="2"/>
      <c r="E37" s="2"/>
    </row>
    <row r="38" spans="1:7" x14ac:dyDescent="0.25">
      <c r="A38" s="60" t="s">
        <v>33</v>
      </c>
      <c r="B38" s="63">
        <f>+ROUND(((1.4*$E$7*$B$35)/$B$8)*10000,3)</f>
        <v>0.86699999999999999</v>
      </c>
      <c r="C38" s="2"/>
      <c r="D38" s="96" t="s">
        <v>65</v>
      </c>
      <c r="E38" s="87">
        <f>+IF(B38&gt;B37,B38,B37)</f>
        <v>0.86699999999999999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2" t="s">
        <v>34</v>
      </c>
      <c r="B40" s="142"/>
      <c r="C40" s="66">
        <v>0</v>
      </c>
      <c r="D40" s="89">
        <v>10</v>
      </c>
      <c r="E40" s="90">
        <f>C40*(PI()*(D40/10)^2)/4</f>
        <v>0</v>
      </c>
      <c r="F40" s="10"/>
      <c r="G40" t="s">
        <v>91</v>
      </c>
    </row>
    <row r="41" spans="1:7" x14ac:dyDescent="0.25">
      <c r="A41" s="142"/>
      <c r="B41" s="142"/>
      <c r="C41" s="66">
        <v>0</v>
      </c>
      <c r="D41" s="89">
        <v>16</v>
      </c>
      <c r="E41" s="90">
        <f>C41*(PI()*(D41/10)^2)/4</f>
        <v>0</v>
      </c>
    </row>
    <row r="42" spans="1:7" x14ac:dyDescent="0.25">
      <c r="A42" s="2"/>
      <c r="B42" s="2"/>
      <c r="C42" s="2"/>
      <c r="D42" s="67" t="str">
        <f>+IF(E42&gt;E38,"B.C.","M.C.")</f>
        <v>M.C.</v>
      </c>
      <c r="E42" s="87">
        <f>SUM(E40:E41)</f>
        <v>0</v>
      </c>
    </row>
    <row r="43" spans="1:7" x14ac:dyDescent="0.25">
      <c r="A43" s="2"/>
      <c r="B43" s="2"/>
      <c r="C43" s="2"/>
      <c r="D43" s="2"/>
      <c r="E43" s="88"/>
    </row>
    <row r="44" spans="1:7" x14ac:dyDescent="0.25">
      <c r="A44" s="111" t="s">
        <v>46</v>
      </c>
      <c r="B44" s="112"/>
      <c r="C44" s="112"/>
      <c r="D44" s="112"/>
      <c r="E44" s="113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8.0933333333333337</v>
      </c>
      <c r="C46" s="2"/>
      <c r="D46" s="2"/>
      <c r="E46" s="2"/>
    </row>
    <row r="47" spans="1:7" ht="15" customHeight="1" x14ac:dyDescent="0.25">
      <c r="A47" s="76" t="s">
        <v>52</v>
      </c>
      <c r="B47" s="5">
        <f>((1/6)*(B7^(1/2))*(E7*1000)*(1000*(B35))/1000)</f>
        <v>21.666666666666664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0</v>
      </c>
      <c r="C48" s="141" t="str">
        <f>+IF(B47&gt;B46,"ARM. MINIMA DE CORTE","ES NECESARIA ARM. DE CORTE")</f>
        <v>ARM. MINIMA DE CORTE</v>
      </c>
      <c r="D48" s="141"/>
      <c r="E48" s="141"/>
    </row>
    <row r="49" spans="1:5" x14ac:dyDescent="0.25">
      <c r="A49" s="2"/>
      <c r="B49" s="2"/>
      <c r="C49" s="2"/>
      <c r="D49" s="2"/>
      <c r="E49" s="2"/>
    </row>
    <row r="50" spans="1:5" x14ac:dyDescent="0.25">
      <c r="A50" s="142" t="s">
        <v>70</v>
      </c>
      <c r="B50" s="142"/>
      <c r="C50" s="143" t="s">
        <v>72</v>
      </c>
      <c r="D50" s="143"/>
      <c r="E50" s="143"/>
    </row>
    <row r="51" spans="1:5" x14ac:dyDescent="0.25">
      <c r="A51" s="142"/>
      <c r="B51" s="142"/>
      <c r="C51" s="72">
        <v>1</v>
      </c>
      <c r="D51" s="73">
        <v>6</v>
      </c>
      <c r="E51" s="74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7" t="s">
        <v>78</v>
      </c>
      <c r="B53" s="75">
        <f>+((((2*(PI()*(D51/10)^2)/4)/(100^2))*B8*B35)/(E51/100))*1000</f>
        <v>15.437786299740242</v>
      </c>
      <c r="C53" s="67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29:E29"/>
    <mergeCell ref="A40:B41"/>
    <mergeCell ref="A44:E44"/>
    <mergeCell ref="C48:E48"/>
    <mergeCell ref="A50:B51"/>
    <mergeCell ref="C50:E50"/>
    <mergeCell ref="A14:B14"/>
    <mergeCell ref="A18:B18"/>
    <mergeCell ref="A19:B19"/>
    <mergeCell ref="A23:E23"/>
    <mergeCell ref="A25:B25"/>
    <mergeCell ref="D25:E25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836-A092-4CEC-91EB-8768324FE023}">
  <dimension ref="A1:G59"/>
  <sheetViews>
    <sheetView tabSelected="1" topLeftCell="A22" zoomScale="130" zoomScaleNormal="130" workbookViewId="0">
      <selection activeCell="C43" sqref="C43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5" t="s">
        <v>82</v>
      </c>
      <c r="B1" s="136"/>
      <c r="C1" s="136"/>
      <c r="D1" s="136"/>
      <c r="E1" s="137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5" t="s">
        <v>95</v>
      </c>
      <c r="B3" s="136"/>
      <c r="C3" s="136"/>
      <c r="D3" s="136"/>
      <c r="E3" s="137"/>
    </row>
    <row r="4" spans="1:6" x14ac:dyDescent="0.25">
      <c r="A4" s="97"/>
      <c r="B4" s="97"/>
      <c r="C4" s="97"/>
      <c r="D4" s="139" t="s">
        <v>83</v>
      </c>
      <c r="E4" s="139"/>
    </row>
    <row r="5" spans="1:6" x14ac:dyDescent="0.25">
      <c r="A5" s="79" t="s">
        <v>54</v>
      </c>
      <c r="B5" s="97"/>
      <c r="C5" s="97"/>
      <c r="D5" s="97"/>
      <c r="E5" s="97"/>
    </row>
    <row r="6" spans="1:6" x14ac:dyDescent="0.25">
      <c r="A6" s="97" t="s">
        <v>20</v>
      </c>
      <c r="B6" s="91">
        <v>3.15</v>
      </c>
      <c r="C6" s="2"/>
      <c r="D6" s="97" t="s">
        <v>23</v>
      </c>
      <c r="E6" s="91">
        <v>0.4</v>
      </c>
    </row>
    <row r="7" spans="1:6" x14ac:dyDescent="0.25">
      <c r="A7" s="97" t="s">
        <v>28</v>
      </c>
      <c r="B7" s="92">
        <v>25</v>
      </c>
      <c r="C7" s="2"/>
      <c r="D7" s="97" t="s">
        <v>35</v>
      </c>
      <c r="E7" s="91">
        <v>0.15</v>
      </c>
      <c r="F7" s="2"/>
    </row>
    <row r="8" spans="1:6" x14ac:dyDescent="0.25">
      <c r="A8" s="97" t="s">
        <v>29</v>
      </c>
      <c r="B8" s="64">
        <v>420</v>
      </c>
      <c r="C8" s="2"/>
      <c r="D8" s="140" t="s">
        <v>86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11" t="s">
        <v>66</v>
      </c>
      <c r="B10" s="112"/>
      <c r="C10" s="112"/>
      <c r="D10" s="112"/>
      <c r="E10" s="113"/>
    </row>
    <row r="11" spans="1:6" x14ac:dyDescent="0.25">
      <c r="A11" s="97"/>
      <c r="B11" s="97"/>
      <c r="C11" s="97"/>
      <c r="D11" s="97"/>
      <c r="E11" s="97"/>
    </row>
    <row r="12" spans="1:6" x14ac:dyDescent="0.25">
      <c r="A12" s="2"/>
      <c r="B12" s="2"/>
      <c r="C12" s="96" t="s">
        <v>6</v>
      </c>
      <c r="D12" s="96" t="s">
        <v>7</v>
      </c>
      <c r="E12" s="96" t="s">
        <v>8</v>
      </c>
    </row>
    <row r="13" spans="1:6" x14ac:dyDescent="0.25">
      <c r="A13" s="138" t="s">
        <v>61</v>
      </c>
      <c r="B13" s="138"/>
      <c r="C13" s="61">
        <f>+E6*E7</f>
        <v>0.06</v>
      </c>
      <c r="D13" s="8">
        <v>25</v>
      </c>
      <c r="E13" s="80">
        <f>+C13*D13</f>
        <v>1.5</v>
      </c>
    </row>
    <row r="14" spans="1:6" x14ac:dyDescent="0.25">
      <c r="A14" s="138" t="s">
        <v>60</v>
      </c>
      <c r="B14" s="138"/>
      <c r="C14" s="61">
        <f>3.2*0.2</f>
        <v>0.64000000000000012</v>
      </c>
      <c r="D14" s="8">
        <v>17</v>
      </c>
      <c r="E14" s="80">
        <f>+C14*D14</f>
        <v>10.880000000000003</v>
      </c>
    </row>
    <row r="15" spans="1:6" x14ac:dyDescent="0.25">
      <c r="A15" s="81" t="s">
        <v>48</v>
      </c>
      <c r="B15" s="14"/>
      <c r="C15" s="9"/>
      <c r="D15" s="8"/>
      <c r="E15" s="82">
        <f>SUM(E13:E14)</f>
        <v>12.380000000000003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96" t="s">
        <v>1</v>
      </c>
      <c r="D17" s="96" t="s">
        <v>7</v>
      </c>
      <c r="E17" s="9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f>3.15/2</f>
        <v>1.575</v>
      </c>
      <c r="D19" s="93">
        <v>3.2</v>
      </c>
      <c r="E19" s="80">
        <f>+C19*D19</f>
        <v>5.04</v>
      </c>
    </row>
    <row r="20" spans="1:7" x14ac:dyDescent="0.25">
      <c r="A20" s="138" t="s">
        <v>63</v>
      </c>
      <c r="B20" s="138"/>
      <c r="C20" s="91">
        <f>(1.73+3.15)/2</f>
        <v>2.44</v>
      </c>
      <c r="D20" s="93">
        <v>3.2</v>
      </c>
      <c r="E20" s="80">
        <f>+C20*D20</f>
        <v>7.8079999999999998</v>
      </c>
    </row>
    <row r="21" spans="1:7" x14ac:dyDescent="0.25">
      <c r="A21" s="98"/>
      <c r="B21" s="98"/>
      <c r="C21" s="7"/>
      <c r="D21" s="99"/>
      <c r="E21" s="80"/>
    </row>
    <row r="22" spans="1:7" x14ac:dyDescent="0.25">
      <c r="A22" s="98" t="s">
        <v>85</v>
      </c>
      <c r="B22" s="98"/>
      <c r="C22" s="91">
        <f>+C19</f>
        <v>1.575</v>
      </c>
      <c r="D22" s="93">
        <v>2</v>
      </c>
      <c r="E22" s="80">
        <f>+C22*D22</f>
        <v>3.15</v>
      </c>
    </row>
    <row r="23" spans="1:7" x14ac:dyDescent="0.25">
      <c r="A23" s="98" t="s">
        <v>85</v>
      </c>
      <c r="B23" s="98"/>
      <c r="C23" s="91">
        <f>+C20</f>
        <v>2.44</v>
      </c>
      <c r="D23" s="93">
        <v>2</v>
      </c>
      <c r="E23" s="80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11" t="s">
        <v>68</v>
      </c>
      <c r="B25" s="112"/>
      <c r="C25" s="112"/>
      <c r="D25" s="112"/>
      <c r="E25" s="113"/>
    </row>
    <row r="26" spans="1:7" x14ac:dyDescent="0.25">
      <c r="A26" s="97"/>
      <c r="B26" s="97"/>
      <c r="C26" s="97"/>
      <c r="D26" s="97"/>
      <c r="E26" s="97"/>
    </row>
    <row r="27" spans="1:7" x14ac:dyDescent="0.25">
      <c r="A27" s="144" t="s">
        <v>21</v>
      </c>
      <c r="B27" s="144"/>
      <c r="C27" s="2"/>
      <c r="D27" s="144" t="s">
        <v>22</v>
      </c>
      <c r="E27" s="144"/>
    </row>
    <row r="28" spans="1:7" x14ac:dyDescent="0.25">
      <c r="A28" s="2" t="s">
        <v>75</v>
      </c>
      <c r="B28" s="62">
        <v>18.260000000000002</v>
      </c>
      <c r="C28" s="2"/>
      <c r="D28" s="2" t="s">
        <v>69</v>
      </c>
      <c r="E28" s="62">
        <v>14.73</v>
      </c>
      <c r="G28" s="62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30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11" t="s">
        <v>45</v>
      </c>
      <c r="B31" s="112"/>
      <c r="C31" s="112"/>
      <c r="D31" s="112"/>
      <c r="E31" s="113"/>
    </row>
    <row r="32" spans="1:7" x14ac:dyDescent="0.25">
      <c r="A32" s="97"/>
      <c r="B32" s="97"/>
      <c r="C32" s="97"/>
      <c r="D32" s="97"/>
      <c r="E32" s="97"/>
    </row>
    <row r="33" spans="1:7" x14ac:dyDescent="0.25">
      <c r="A33" s="83" t="s">
        <v>23</v>
      </c>
      <c r="B33" s="3">
        <f>+E6</f>
        <v>0.4</v>
      </c>
      <c r="C33" s="2"/>
      <c r="D33" s="2" t="s">
        <v>26</v>
      </c>
      <c r="E33" s="84">
        <f>((E28/(1000*0.9)))</f>
        <v>1.6366666666666668E-2</v>
      </c>
    </row>
    <row r="34" spans="1:7" x14ac:dyDescent="0.25">
      <c r="A34" s="60" t="s">
        <v>36</v>
      </c>
      <c r="B34" s="4">
        <v>0.03</v>
      </c>
      <c r="C34" s="2"/>
      <c r="D34" s="2" t="s">
        <v>27</v>
      </c>
      <c r="E34" s="85">
        <f>(B37/((E33/E7)^(1/2)))</f>
        <v>1.089853219811364</v>
      </c>
    </row>
    <row r="35" spans="1:7" x14ac:dyDescent="0.25">
      <c r="A35" s="83" t="s">
        <v>64</v>
      </c>
      <c r="B35" s="4">
        <v>6.0000000000000001E-3</v>
      </c>
      <c r="C35" s="2"/>
      <c r="D35" s="2" t="s">
        <v>30</v>
      </c>
      <c r="E35" s="94">
        <v>1.089</v>
      </c>
      <c r="F35" s="95" t="s">
        <v>84</v>
      </c>
    </row>
    <row r="36" spans="1:7" x14ac:dyDescent="0.25">
      <c r="A36" s="60" t="s">
        <v>24</v>
      </c>
      <c r="B36" s="4">
        <v>0.01</v>
      </c>
      <c r="C36" s="2"/>
      <c r="D36" s="2" t="s">
        <v>31</v>
      </c>
      <c r="E36" s="86">
        <v>24.300999999999998</v>
      </c>
    </row>
    <row r="37" spans="1:7" x14ac:dyDescent="0.25">
      <c r="A37" s="97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60" t="s">
        <v>32</v>
      </c>
      <c r="B39" s="63">
        <f>(E36*(E33/B37))</f>
        <v>1.104795462962963</v>
      </c>
      <c r="C39" s="2"/>
      <c r="D39" s="2"/>
      <c r="E39" s="2"/>
    </row>
    <row r="40" spans="1:7" x14ac:dyDescent="0.25">
      <c r="A40" s="60" t="s">
        <v>33</v>
      </c>
      <c r="B40" s="63">
        <f>+ROUND(((1.4*$E$7*$B$37)/$B$8)*10000,3)</f>
        <v>1.8</v>
      </c>
      <c r="C40" s="2"/>
      <c r="D40" s="96" t="s">
        <v>65</v>
      </c>
      <c r="E40" s="87">
        <f>+IF(B40&gt;B39,B40,B39)</f>
        <v>1.8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2" t="s">
        <v>34</v>
      </c>
      <c r="B42" s="142"/>
      <c r="C42" s="66">
        <v>2</v>
      </c>
      <c r="D42" s="89">
        <v>10</v>
      </c>
      <c r="E42" s="90">
        <f>C42*(PI()*(D42/10)^2)/4</f>
        <v>1.5707963267948966</v>
      </c>
      <c r="F42" s="10"/>
      <c r="G42" t="s">
        <v>96</v>
      </c>
    </row>
    <row r="43" spans="1:7" x14ac:dyDescent="0.25">
      <c r="A43" s="142"/>
      <c r="B43" s="142"/>
      <c r="C43" s="66">
        <v>0</v>
      </c>
      <c r="D43" s="89">
        <v>16</v>
      </c>
      <c r="E43" s="90">
        <f>C43*(PI()*(D43/10)^2)/4</f>
        <v>0</v>
      </c>
    </row>
    <row r="44" spans="1:7" x14ac:dyDescent="0.25">
      <c r="A44" s="2"/>
      <c r="B44" s="2"/>
      <c r="C44" s="2"/>
      <c r="D44" s="67" t="str">
        <f>+IF(E44&gt;E40,"B.C.","M.C.")</f>
        <v>M.C.</v>
      </c>
      <c r="E44" s="87">
        <f>SUM(E42:E43)</f>
        <v>1.5707963267948966</v>
      </c>
    </row>
    <row r="45" spans="1:7" x14ac:dyDescent="0.25">
      <c r="A45" s="2"/>
      <c r="B45" s="2"/>
      <c r="C45" s="2"/>
      <c r="D45" s="2"/>
      <c r="E45" s="88"/>
    </row>
    <row r="46" spans="1:7" x14ac:dyDescent="0.25">
      <c r="A46" s="111" t="s">
        <v>46</v>
      </c>
      <c r="B46" s="112"/>
      <c r="C46" s="112"/>
      <c r="D46" s="112"/>
      <c r="E46" s="113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40</v>
      </c>
      <c r="C48" s="2"/>
      <c r="D48" s="2"/>
      <c r="E48" s="2"/>
    </row>
    <row r="49" spans="1:5" ht="15" customHeight="1" x14ac:dyDescent="0.25">
      <c r="A49" s="76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0</v>
      </c>
      <c r="C50" s="141" t="str">
        <f>+IF(B49&gt;B48,"ARM. MINIMA DE CORTE","ES NECESARIA ARM. DE CORTE")</f>
        <v>ARM. MINIMA DE CORTE</v>
      </c>
      <c r="D50" s="141"/>
      <c r="E50" s="141"/>
    </row>
    <row r="51" spans="1:5" x14ac:dyDescent="0.25">
      <c r="A51" s="2"/>
      <c r="B51" s="2"/>
      <c r="C51" s="2"/>
      <c r="D51" s="2"/>
      <c r="E51" s="2"/>
    </row>
    <row r="52" spans="1:5" x14ac:dyDescent="0.25">
      <c r="A52" s="142" t="s">
        <v>70</v>
      </c>
      <c r="B52" s="142"/>
      <c r="C52" s="143" t="s">
        <v>72</v>
      </c>
      <c r="D52" s="143"/>
      <c r="E52" s="143"/>
    </row>
    <row r="53" spans="1:5" x14ac:dyDescent="0.25">
      <c r="A53" s="142"/>
      <c r="B53" s="142"/>
      <c r="C53" s="72">
        <v>1</v>
      </c>
      <c r="D53" s="73">
        <v>6</v>
      </c>
      <c r="E53" s="74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7" t="s">
        <v>78</v>
      </c>
      <c r="B55" s="75">
        <f>+((((2*(PI()*(D53/10)^2)/4)/(100^2))*B8*B37)/(E53/100))*1000</f>
        <v>42.750792830049903</v>
      </c>
      <c r="C55" s="67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31:E31"/>
    <mergeCell ref="A42:B43"/>
    <mergeCell ref="A46:E46"/>
    <mergeCell ref="C50:E50"/>
    <mergeCell ref="A52:B53"/>
    <mergeCell ref="C52:E52"/>
    <mergeCell ref="A14:B14"/>
    <mergeCell ref="A18:B18"/>
    <mergeCell ref="A19:B19"/>
    <mergeCell ref="A20:B20"/>
    <mergeCell ref="A25:E25"/>
    <mergeCell ref="A27:B27"/>
    <mergeCell ref="D27:E27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4DB6-F503-4C26-876F-20F31B326D54}">
  <dimension ref="A1:G59"/>
  <sheetViews>
    <sheetView topLeftCell="A22" zoomScale="130" zoomScaleNormal="130" workbookViewId="0">
      <selection activeCell="G43" sqref="G43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5" t="s">
        <v>82</v>
      </c>
      <c r="B1" s="136"/>
      <c r="C1" s="136"/>
      <c r="D1" s="136"/>
      <c r="E1" s="137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5" t="s">
        <v>95</v>
      </c>
      <c r="B3" s="136"/>
      <c r="C3" s="136"/>
      <c r="D3" s="136"/>
      <c r="E3" s="137"/>
    </row>
    <row r="4" spans="1:6" x14ac:dyDescent="0.25">
      <c r="A4" s="97"/>
      <c r="B4" s="97"/>
      <c r="C4" s="97"/>
      <c r="D4" s="139" t="s">
        <v>83</v>
      </c>
      <c r="E4" s="139"/>
    </row>
    <row r="5" spans="1:6" x14ac:dyDescent="0.25">
      <c r="A5" s="79" t="s">
        <v>54</v>
      </c>
      <c r="B5" s="97"/>
      <c r="C5" s="97"/>
      <c r="D5" s="97"/>
      <c r="E5" s="97"/>
    </row>
    <row r="6" spans="1:6" x14ac:dyDescent="0.25">
      <c r="A6" s="97" t="s">
        <v>20</v>
      </c>
      <c r="B6" s="91">
        <v>3.15</v>
      </c>
      <c r="C6" s="2"/>
      <c r="D6" s="97" t="s">
        <v>23</v>
      </c>
      <c r="E6" s="91">
        <v>0.4</v>
      </c>
    </row>
    <row r="7" spans="1:6" x14ac:dyDescent="0.25">
      <c r="A7" s="97" t="s">
        <v>28</v>
      </c>
      <c r="B7" s="92">
        <v>25</v>
      </c>
      <c r="C7" s="2"/>
      <c r="D7" s="97" t="s">
        <v>35</v>
      </c>
      <c r="E7" s="91">
        <v>0.15</v>
      </c>
      <c r="F7" s="2"/>
    </row>
    <row r="8" spans="1:6" x14ac:dyDescent="0.25">
      <c r="A8" s="97" t="s">
        <v>29</v>
      </c>
      <c r="B8" s="64">
        <v>420</v>
      </c>
      <c r="C8" s="2"/>
      <c r="D8" s="140" t="s">
        <v>86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11" t="s">
        <v>66</v>
      </c>
      <c r="B10" s="112"/>
      <c r="C10" s="112"/>
      <c r="D10" s="112"/>
      <c r="E10" s="113"/>
    </row>
    <row r="11" spans="1:6" x14ac:dyDescent="0.25">
      <c r="A11" s="97"/>
      <c r="B11" s="97"/>
      <c r="C11" s="97"/>
      <c r="D11" s="97"/>
      <c r="E11" s="97"/>
    </row>
    <row r="12" spans="1:6" x14ac:dyDescent="0.25">
      <c r="A12" s="2"/>
      <c r="B12" s="2"/>
      <c r="C12" s="96" t="s">
        <v>6</v>
      </c>
      <c r="D12" s="96" t="s">
        <v>7</v>
      </c>
      <c r="E12" s="96" t="s">
        <v>8</v>
      </c>
    </row>
    <row r="13" spans="1:6" x14ac:dyDescent="0.25">
      <c r="A13" s="138" t="s">
        <v>61</v>
      </c>
      <c r="B13" s="138"/>
      <c r="C13" s="61">
        <f>+E6*E7</f>
        <v>0.06</v>
      </c>
      <c r="D13" s="8">
        <v>25</v>
      </c>
      <c r="E13" s="80">
        <f>+C13*D13</f>
        <v>1.5</v>
      </c>
    </row>
    <row r="14" spans="1:6" x14ac:dyDescent="0.25">
      <c r="A14" s="138" t="s">
        <v>60</v>
      </c>
      <c r="B14" s="138"/>
      <c r="C14" s="61">
        <f>3.2*0.2</f>
        <v>0.64000000000000012</v>
      </c>
      <c r="D14" s="8">
        <v>17</v>
      </c>
      <c r="E14" s="80">
        <f>+C14*D14</f>
        <v>10.880000000000003</v>
      </c>
    </row>
    <row r="15" spans="1:6" x14ac:dyDescent="0.25">
      <c r="A15" s="81" t="s">
        <v>48</v>
      </c>
      <c r="B15" s="14"/>
      <c r="C15" s="9"/>
      <c r="D15" s="8"/>
      <c r="E15" s="82">
        <f>SUM(E13:E14)</f>
        <v>12.380000000000003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96" t="s">
        <v>1</v>
      </c>
      <c r="D17" s="96" t="s">
        <v>7</v>
      </c>
      <c r="E17" s="96" t="s">
        <v>8</v>
      </c>
    </row>
    <row r="18" spans="1:7" x14ac:dyDescent="0.25">
      <c r="A18" s="138" t="s">
        <v>62</v>
      </c>
      <c r="B18" s="138"/>
      <c r="C18" s="91">
        <v>0</v>
      </c>
      <c r="D18" s="93">
        <v>0</v>
      </c>
      <c r="E18" s="80">
        <f>+C18*D18</f>
        <v>0</v>
      </c>
    </row>
    <row r="19" spans="1:7" x14ac:dyDescent="0.25">
      <c r="A19" s="138" t="s">
        <v>63</v>
      </c>
      <c r="B19" s="138"/>
      <c r="C19" s="91">
        <f>3.15/2</f>
        <v>1.575</v>
      </c>
      <c r="D19" s="93">
        <v>3.2</v>
      </c>
      <c r="E19" s="80">
        <f>+C19*D19</f>
        <v>5.04</v>
      </c>
    </row>
    <row r="20" spans="1:7" x14ac:dyDescent="0.25">
      <c r="A20" s="138" t="s">
        <v>63</v>
      </c>
      <c r="B20" s="138"/>
      <c r="C20" s="91">
        <f>(1.73+3.15)/2</f>
        <v>2.44</v>
      </c>
      <c r="D20" s="93">
        <v>3.2</v>
      </c>
      <c r="E20" s="80">
        <f>+C20*D20</f>
        <v>7.8079999999999998</v>
      </c>
    </row>
    <row r="21" spans="1:7" x14ac:dyDescent="0.25">
      <c r="A21" s="98"/>
      <c r="B21" s="98"/>
      <c r="C21" s="7"/>
      <c r="D21" s="99"/>
      <c r="E21" s="80"/>
    </row>
    <row r="22" spans="1:7" x14ac:dyDescent="0.25">
      <c r="A22" s="98" t="s">
        <v>85</v>
      </c>
      <c r="B22" s="98"/>
      <c r="C22" s="91">
        <f>+C19</f>
        <v>1.575</v>
      </c>
      <c r="D22" s="93">
        <v>2</v>
      </c>
      <c r="E22" s="80">
        <f>+C22*D22</f>
        <v>3.15</v>
      </c>
    </row>
    <row r="23" spans="1:7" x14ac:dyDescent="0.25">
      <c r="A23" s="98" t="s">
        <v>85</v>
      </c>
      <c r="B23" s="98"/>
      <c r="C23" s="91">
        <f>+C20</f>
        <v>2.44</v>
      </c>
      <c r="D23" s="93">
        <v>2</v>
      </c>
      <c r="E23" s="80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11" t="s">
        <v>68</v>
      </c>
      <c r="B25" s="112"/>
      <c r="C25" s="112"/>
      <c r="D25" s="112"/>
      <c r="E25" s="113"/>
    </row>
    <row r="26" spans="1:7" x14ac:dyDescent="0.25">
      <c r="A26" s="97"/>
      <c r="B26" s="97"/>
      <c r="C26" s="97"/>
      <c r="D26" s="97"/>
      <c r="E26" s="97"/>
    </row>
    <row r="27" spans="1:7" x14ac:dyDescent="0.25">
      <c r="A27" s="144" t="s">
        <v>21</v>
      </c>
      <c r="B27" s="144"/>
      <c r="C27" s="2"/>
      <c r="D27" s="144" t="s">
        <v>22</v>
      </c>
      <c r="E27" s="144"/>
    </row>
    <row r="28" spans="1:7" x14ac:dyDescent="0.25">
      <c r="A28" s="2" t="s">
        <v>75</v>
      </c>
      <c r="B28" s="62">
        <v>18.260000000000002</v>
      </c>
      <c r="C28" s="2"/>
      <c r="D28" s="2" t="s">
        <v>69</v>
      </c>
      <c r="E28" s="62">
        <v>32.049999999999997</v>
      </c>
      <c r="G28" s="62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56.31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11" t="s">
        <v>45</v>
      </c>
      <c r="B31" s="112"/>
      <c r="C31" s="112"/>
      <c r="D31" s="112"/>
      <c r="E31" s="113"/>
    </row>
    <row r="32" spans="1:7" x14ac:dyDescent="0.25">
      <c r="A32" s="97"/>
      <c r="B32" s="97"/>
      <c r="C32" s="97"/>
      <c r="D32" s="97"/>
      <c r="E32" s="97"/>
    </row>
    <row r="33" spans="1:7" x14ac:dyDescent="0.25">
      <c r="A33" s="83" t="s">
        <v>23</v>
      </c>
      <c r="B33" s="3">
        <f>+E6</f>
        <v>0.4</v>
      </c>
      <c r="C33" s="2"/>
      <c r="D33" s="2" t="s">
        <v>26</v>
      </c>
      <c r="E33" s="84">
        <f>((E28/(1000*0.9)))</f>
        <v>3.5611111111111107E-2</v>
      </c>
    </row>
    <row r="34" spans="1:7" x14ac:dyDescent="0.25">
      <c r="A34" s="60" t="s">
        <v>36</v>
      </c>
      <c r="B34" s="4">
        <v>0.03</v>
      </c>
      <c r="C34" s="2"/>
      <c r="D34" s="2" t="s">
        <v>27</v>
      </c>
      <c r="E34" s="85">
        <f>(B37/((E33/E7)^(1/2)))</f>
        <v>0.73884845258106568</v>
      </c>
    </row>
    <row r="35" spans="1:7" x14ac:dyDescent="0.25">
      <c r="A35" s="83" t="s">
        <v>64</v>
      </c>
      <c r="B35" s="4">
        <v>6.0000000000000001E-3</v>
      </c>
      <c r="C35" s="2"/>
      <c r="D35" s="2" t="s">
        <v>30</v>
      </c>
      <c r="E35" s="94">
        <v>0.67</v>
      </c>
      <c r="F35" s="95" t="s">
        <v>84</v>
      </c>
    </row>
    <row r="36" spans="1:7" x14ac:dyDescent="0.25">
      <c r="A36" s="60" t="s">
        <v>24</v>
      </c>
      <c r="B36" s="4">
        <v>0.01</v>
      </c>
      <c r="C36" s="2"/>
      <c r="D36" s="2" t="s">
        <v>31</v>
      </c>
      <c r="E36" s="86">
        <v>25.207000000000001</v>
      </c>
    </row>
    <row r="37" spans="1:7" x14ac:dyDescent="0.25">
      <c r="A37" s="97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60" t="s">
        <v>32</v>
      </c>
      <c r="B39" s="63">
        <f>(E36*(E33/B37))</f>
        <v>2.4934702160493827</v>
      </c>
      <c r="C39" s="2"/>
      <c r="D39" s="2"/>
      <c r="E39" s="2"/>
    </row>
    <row r="40" spans="1:7" x14ac:dyDescent="0.25">
      <c r="A40" s="60" t="s">
        <v>33</v>
      </c>
      <c r="B40" s="63">
        <f>+ROUND(((1.4*$E$7*$B$37)/$B$8)*10000,3)</f>
        <v>1.8</v>
      </c>
      <c r="C40" s="2"/>
      <c r="D40" s="96" t="s">
        <v>65</v>
      </c>
      <c r="E40" s="87">
        <f>+IF(B40&gt;B39,B40,B39)</f>
        <v>2.4934702160493827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2" t="s">
        <v>34</v>
      </c>
      <c r="B42" s="142"/>
      <c r="C42" s="66">
        <v>3</v>
      </c>
      <c r="D42" s="89">
        <v>10</v>
      </c>
      <c r="E42" s="90">
        <f>C42*(PI()*(D42/10)^2)/4</f>
        <v>2.3561944901923448</v>
      </c>
      <c r="F42" s="10"/>
      <c r="G42" t="s">
        <v>96</v>
      </c>
    </row>
    <row r="43" spans="1:7" x14ac:dyDescent="0.25">
      <c r="A43" s="142"/>
      <c r="B43" s="142"/>
      <c r="C43" s="66">
        <v>0</v>
      </c>
      <c r="D43" s="89">
        <v>16</v>
      </c>
      <c r="E43" s="90">
        <f>C43*(PI()*(D43/10)^2)/4</f>
        <v>0</v>
      </c>
    </row>
    <row r="44" spans="1:7" x14ac:dyDescent="0.25">
      <c r="A44" s="2"/>
      <c r="B44" s="2"/>
      <c r="C44" s="2"/>
      <c r="D44" s="67" t="str">
        <f>+IF(E44&gt;E40,"B.C.","M.C.")</f>
        <v>M.C.</v>
      </c>
      <c r="E44" s="87">
        <f>SUM(E42:E43)</f>
        <v>2.3561944901923448</v>
      </c>
    </row>
    <row r="45" spans="1:7" x14ac:dyDescent="0.25">
      <c r="A45" s="2"/>
      <c r="B45" s="2"/>
      <c r="C45" s="2"/>
      <c r="D45" s="2"/>
      <c r="E45" s="88"/>
    </row>
    <row r="46" spans="1:7" x14ac:dyDescent="0.25">
      <c r="A46" s="111" t="s">
        <v>46</v>
      </c>
      <c r="B46" s="112"/>
      <c r="C46" s="112"/>
      <c r="D46" s="112"/>
      <c r="E46" s="113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75.08</v>
      </c>
      <c r="C48" s="2"/>
      <c r="D48" s="2"/>
      <c r="E48" s="2"/>
    </row>
    <row r="49" spans="1:5" ht="15" customHeight="1" x14ac:dyDescent="0.25">
      <c r="A49" s="76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30.080000000000005</v>
      </c>
      <c r="C50" s="141" t="str">
        <f>+IF(B49&gt;B48,"ARM. MINIMA DE CORTE","ES NECESARIA ARM. DE CORTE")</f>
        <v>ES NECESARIA ARM. DE CORTE</v>
      </c>
      <c r="D50" s="141"/>
      <c r="E50" s="141"/>
    </row>
    <row r="51" spans="1:5" x14ac:dyDescent="0.25">
      <c r="A51" s="2"/>
      <c r="B51" s="2"/>
      <c r="C51" s="2"/>
      <c r="D51" s="2"/>
      <c r="E51" s="2"/>
    </row>
    <row r="52" spans="1:5" x14ac:dyDescent="0.25">
      <c r="A52" s="142" t="s">
        <v>70</v>
      </c>
      <c r="B52" s="142"/>
      <c r="C52" s="143" t="s">
        <v>72</v>
      </c>
      <c r="D52" s="143"/>
      <c r="E52" s="143"/>
    </row>
    <row r="53" spans="1:5" x14ac:dyDescent="0.25">
      <c r="A53" s="142"/>
      <c r="B53" s="142"/>
      <c r="C53" s="72">
        <v>1</v>
      </c>
      <c r="D53" s="73">
        <v>6</v>
      </c>
      <c r="E53" s="74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7" t="s">
        <v>78</v>
      </c>
      <c r="B55" s="75">
        <f>+((((2*(PI()*(D53/10)^2)/4)/(100^2))*B8*B37)/(E53/100))*1000</f>
        <v>42.750792830049903</v>
      </c>
      <c r="C55" s="67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31:E31"/>
    <mergeCell ref="A42:B43"/>
    <mergeCell ref="A46:E46"/>
    <mergeCell ref="C50:E50"/>
    <mergeCell ref="A52:B53"/>
    <mergeCell ref="C52:E52"/>
    <mergeCell ref="A14:B14"/>
    <mergeCell ref="A18:B18"/>
    <mergeCell ref="A19:B19"/>
    <mergeCell ref="A25:E25"/>
    <mergeCell ref="A27:B27"/>
    <mergeCell ref="D27:E27"/>
    <mergeCell ref="A20:B20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LOSAS VIGUETAS</vt:lpstr>
      <vt:lpstr>VIGA 100-101 Arm Inf</vt:lpstr>
      <vt:lpstr>VIGA 100-101 Arm Sup</vt:lpstr>
      <vt:lpstr>VIGA 102</vt:lpstr>
      <vt:lpstr>VIGA 103</vt:lpstr>
      <vt:lpstr>VIGA 104-105 Arm Inf</vt:lpstr>
      <vt:lpstr>VIGA 104-105 Arm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2015-06-05T18:17:20Z</dcterms:created>
  <dcterms:modified xsi:type="dcterms:W3CDTF">2023-04-14T15:08:14Z</dcterms:modified>
</cp:coreProperties>
</file>